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395" yWindow="210" windowWidth="7650" windowHeight="8175" tabRatio="787"/>
  </bookViews>
  <sheets>
    <sheet name="1" sheetId="1" r:id="rId1"/>
    <sheet name="nt1" sheetId="30" r:id="rId2"/>
    <sheet name="2" sheetId="13" r:id="rId3"/>
    <sheet name="nt2" sheetId="31" r:id="rId4"/>
    <sheet name="2A" sheetId="22" r:id="rId5"/>
    <sheet name="nt2A" sheetId="32" r:id="rId6"/>
    <sheet name="2B" sheetId="44" r:id="rId7"/>
    <sheet name="nt2B" sheetId="45" r:id="rId8"/>
    <sheet name="3" sheetId="15" r:id="rId9"/>
    <sheet name="nt3" sheetId="33" r:id="rId10"/>
    <sheet name="4" sheetId="2" r:id="rId11"/>
    <sheet name="nt4" sheetId="34" r:id="rId12"/>
    <sheet name="5" sheetId="3" r:id="rId13"/>
    <sheet name="nt5" sheetId="35" r:id="rId14"/>
    <sheet name="6" sheetId="29" r:id="rId15"/>
    <sheet name="nt6" sheetId="37" r:id="rId16"/>
    <sheet name="7" sheetId="7" r:id="rId17"/>
    <sheet name="nt7" sheetId="38" r:id="rId18"/>
    <sheet name="8" sheetId="6" r:id="rId19"/>
    <sheet name="nt8" sheetId="39" r:id="rId20"/>
  </sheets>
  <definedNames>
    <definedName name="_xlnm._FilterDatabase" localSheetId="4" hidden="1">'2A'!$A$1:$HC$1746</definedName>
    <definedName name="_xlnm._FilterDatabase" localSheetId="14" hidden="1">'6'!$A$3:$D$1269</definedName>
    <definedName name="heading" localSheetId="14">#REF!</definedName>
    <definedName name="heading">#REF!</definedName>
    <definedName name="heading3" localSheetId="14">'6'!$A$1:$Q$3</definedName>
    <definedName name="heading3">'5'!$A$1:$R$2</definedName>
    <definedName name="heading8A" localSheetId="14">#REF!</definedName>
    <definedName name="heading8A">#REF!</definedName>
    <definedName name="heading8A2" localSheetId="14">#REF!</definedName>
    <definedName name="heading8A2">#REF!</definedName>
    <definedName name="heading8bc2" localSheetId="14">#REF!</definedName>
    <definedName name="heading8bc2">#REF!</definedName>
    <definedName name="_xlnm.Print_Area" localSheetId="0">'1'!$A$1:$Q$36</definedName>
    <definedName name="_xlnm.Print_Area" localSheetId="2">'2'!$B$7:$U$43</definedName>
    <definedName name="_xlnm.Print_Area" localSheetId="4">'2A'!$A$1:$AM$1722</definedName>
    <definedName name="_xlnm.Print_Area" localSheetId="6">'2B'!$C$7:$AK$46</definedName>
    <definedName name="_xlnm.Print_Area" localSheetId="8">'3'!$B$6:$AG$42</definedName>
    <definedName name="_xlnm.Print_Area" localSheetId="12">'5'!$A$1:$W$213</definedName>
    <definedName name="_xlnm.Print_Area" localSheetId="14">'6'!$A$1:$V$1275</definedName>
    <definedName name="_xlnm.Print_Area" localSheetId="16">'7'!$A$1:$J$25</definedName>
    <definedName name="_xlnm.Print_Area" localSheetId="1">'nt1'!$A$1:$B$28</definedName>
    <definedName name="_xlnm.Print_Area" localSheetId="3">'nt2'!$A$1:$B$18</definedName>
    <definedName name="_xlnm.Print_Area" localSheetId="9">'nt3'!$A$1:$B$19</definedName>
    <definedName name="_xlnm.Print_Area" localSheetId="11">'nt4'!$A$1:$B$22</definedName>
    <definedName name="_xlnm.Print_Area" localSheetId="13">'nt5'!$A$1:$B$16</definedName>
    <definedName name="_xlnm.Print_Area" localSheetId="15">'nt6'!$A$1:$B$16</definedName>
    <definedName name="_xlnm.Print_Area" localSheetId="17">'nt7'!$A$1:$B$12</definedName>
    <definedName name="_xlnm.Print_Titles" localSheetId="2">'2'!$A:$A,'2'!$1:$6</definedName>
    <definedName name="_xlnm.Print_Titles" localSheetId="4">'2A'!$A:$B,'2A'!$1:$9</definedName>
    <definedName name="_xlnm.Print_Titles" localSheetId="6">'2B'!$A:$B,'2B'!$1:$6</definedName>
    <definedName name="_xlnm.Print_Titles" localSheetId="8">'3'!$A:$A,'3'!$1:$5</definedName>
    <definedName name="_xlnm.Print_Titles" localSheetId="12">'5'!$A:$A,'5'!$1:$2</definedName>
    <definedName name="_xlnm.Print_Titles" localSheetId="14">'6'!$A:$C,'6'!$1:$3</definedName>
    <definedName name="Side8A2" localSheetId="14">#REF!</definedName>
    <definedName name="Side8A2">#REF!</definedName>
    <definedName name="side8BC2" localSheetId="14">#REF!</definedName>
    <definedName name="side8BC2">#REF!</definedName>
    <definedName name="table2">'4'!$A$1:$K$31</definedName>
    <definedName name="table3" localSheetId="14">'6'!$A$4:$Q$235</definedName>
    <definedName name="table3">'5'!$A$3:$R$213</definedName>
    <definedName name="table4" localSheetId="14">#REF!</definedName>
    <definedName name="table4">#REF!</definedName>
    <definedName name="table8A" localSheetId="14">#REF!</definedName>
    <definedName name="table8A">#REF!</definedName>
    <definedName name="table8A2" localSheetId="14">#REF!</definedName>
    <definedName name="table8A2">#REF!</definedName>
    <definedName name="table8BC1" localSheetId="14">#REF!</definedName>
    <definedName name="table8BC1">#REF!</definedName>
    <definedName name="table8BC2" localSheetId="14">#REF!</definedName>
    <definedName name="table8BC2">#REF!</definedName>
  </definedNames>
  <calcPr calcId="144525" fullCalcOnLoad="1"/>
</workbook>
</file>

<file path=xl/calcChain.xml><?xml version="1.0" encoding="utf-8"?>
<calcChain xmlns="http://schemas.openxmlformats.org/spreadsheetml/2006/main">
  <c r="S1721" i="22" l="1"/>
  <c r="S1722" i="22"/>
  <c r="AM1162" i="22"/>
  <c r="AM1161" i="22"/>
  <c r="AM1160" i="22"/>
  <c r="AM1159" i="22"/>
  <c r="AM1158" i="22"/>
  <c r="AM1157" i="22"/>
  <c r="AM1156" i="22"/>
  <c r="AM1155" i="22"/>
  <c r="AM1578" i="22"/>
  <c r="AM1577" i="22"/>
  <c r="AM1576" i="22"/>
  <c r="AM1575" i="22"/>
  <c r="AM1574" i="22"/>
  <c r="AM1573" i="22"/>
  <c r="AM1572" i="22"/>
  <c r="AM1571" i="22"/>
  <c r="AM362" i="22"/>
  <c r="AM361" i="22"/>
  <c r="AM360" i="22"/>
  <c r="AM359" i="22"/>
  <c r="AM358" i="22"/>
  <c r="AM357" i="22"/>
  <c r="AM356" i="22"/>
  <c r="AM355" i="22"/>
  <c r="D8" i="6"/>
  <c r="H1282" i="29"/>
  <c r="H1281" i="29"/>
  <c r="H1280" i="29"/>
  <c r="H1279" i="29"/>
  <c r="H1278" i="29"/>
  <c r="H1277" i="29"/>
  <c r="H1275" i="29"/>
  <c r="H1274" i="29"/>
  <c r="H1273" i="29"/>
  <c r="H1272" i="29"/>
  <c r="H1271" i="29"/>
  <c r="H1270" i="29"/>
  <c r="R29" i="13"/>
  <c r="I24" i="7"/>
  <c r="H24" i="7"/>
  <c r="I23" i="7"/>
  <c r="H23" i="7"/>
  <c r="I16" i="7"/>
  <c r="I14" i="7"/>
  <c r="H14" i="7"/>
  <c r="F13" i="7"/>
  <c r="E13" i="7"/>
  <c r="D13" i="7"/>
  <c r="C13" i="7"/>
  <c r="B13" i="7"/>
  <c r="I10" i="7"/>
  <c r="H10" i="7"/>
  <c r="AD19" i="15"/>
  <c r="Z19" i="15"/>
  <c r="AK35" i="44"/>
  <c r="AK34" i="44"/>
  <c r="AK28" i="44"/>
  <c r="AK27" i="44"/>
  <c r="AK20" i="44"/>
  <c r="AK19" i="44"/>
  <c r="AK13" i="44"/>
  <c r="AK12" i="44"/>
  <c r="AJ46" i="44"/>
  <c r="AI46" i="44"/>
  <c r="AH46" i="44"/>
  <c r="AG46" i="44"/>
  <c r="AF46" i="44"/>
  <c r="AE46" i="44"/>
  <c r="AD46" i="44"/>
  <c r="AC46" i="44"/>
  <c r="AB46" i="44"/>
  <c r="AA46" i="44"/>
  <c r="Z46" i="44"/>
  <c r="Y46" i="44"/>
  <c r="X46" i="44"/>
  <c r="W46" i="44"/>
  <c r="V46" i="44"/>
  <c r="U46" i="44"/>
  <c r="T46" i="44"/>
  <c r="S46" i="44"/>
  <c r="R46" i="44"/>
  <c r="Q46" i="44"/>
  <c r="P46" i="44"/>
  <c r="O46" i="44"/>
  <c r="N46" i="44"/>
  <c r="M46" i="44"/>
  <c r="L46" i="44"/>
  <c r="K46" i="44"/>
  <c r="J46" i="44"/>
  <c r="I46" i="44"/>
  <c r="H46" i="44"/>
  <c r="G46" i="44"/>
  <c r="F46" i="44"/>
  <c r="E46" i="44"/>
  <c r="D46" i="44"/>
  <c r="AJ45" i="44"/>
  <c r="AI45" i="44"/>
  <c r="AH45" i="44"/>
  <c r="AG45" i="44"/>
  <c r="AF45" i="44"/>
  <c r="AE45" i="44"/>
  <c r="AD45" i="44"/>
  <c r="AC45" i="44"/>
  <c r="AB45" i="44"/>
  <c r="AA45" i="44"/>
  <c r="Z45" i="44"/>
  <c r="Y45" i="44"/>
  <c r="X45" i="44"/>
  <c r="W45" i="44"/>
  <c r="V45" i="44"/>
  <c r="U45" i="44"/>
  <c r="T45" i="44"/>
  <c r="S45" i="44"/>
  <c r="R45" i="44"/>
  <c r="Q45" i="44"/>
  <c r="P45" i="44"/>
  <c r="O45" i="44"/>
  <c r="N45" i="44"/>
  <c r="M45" i="44"/>
  <c r="L45" i="44"/>
  <c r="K45" i="44"/>
  <c r="J45" i="44"/>
  <c r="I45" i="44"/>
  <c r="H45" i="44"/>
  <c r="G45" i="44"/>
  <c r="F45" i="44"/>
  <c r="E45" i="44"/>
  <c r="D45" i="44"/>
  <c r="AJ44" i="44"/>
  <c r="AI44" i="44"/>
  <c r="AH44" i="44"/>
  <c r="AG44" i="44"/>
  <c r="AF44" i="44"/>
  <c r="AE44" i="44"/>
  <c r="AD44" i="44"/>
  <c r="AC44" i="44"/>
  <c r="AB44" i="44"/>
  <c r="AA44" i="44"/>
  <c r="Z44" i="44"/>
  <c r="Y44" i="44"/>
  <c r="X44" i="44"/>
  <c r="W44" i="44"/>
  <c r="V44" i="44"/>
  <c r="U44" i="44"/>
  <c r="T44" i="44"/>
  <c r="S44" i="44"/>
  <c r="R44" i="44"/>
  <c r="Q44" i="44"/>
  <c r="P44" i="44"/>
  <c r="O44" i="44"/>
  <c r="N44" i="44"/>
  <c r="M44" i="44"/>
  <c r="L44" i="44"/>
  <c r="K44" i="44"/>
  <c r="J44" i="44"/>
  <c r="I44" i="44"/>
  <c r="H44" i="44"/>
  <c r="G44" i="44"/>
  <c r="F44" i="44"/>
  <c r="E44" i="44"/>
  <c r="D44" i="44"/>
  <c r="AJ43" i="44"/>
  <c r="AI43" i="44"/>
  <c r="AH43" i="44"/>
  <c r="AG43" i="44"/>
  <c r="AF43" i="44"/>
  <c r="AE43" i="44"/>
  <c r="AD43" i="44"/>
  <c r="AC43" i="44"/>
  <c r="AB43" i="44"/>
  <c r="AA43" i="44"/>
  <c r="Z43" i="44"/>
  <c r="Y43" i="44"/>
  <c r="X43" i="44"/>
  <c r="W43" i="44"/>
  <c r="V43" i="44"/>
  <c r="U43" i="44"/>
  <c r="T43" i="44"/>
  <c r="S43" i="44"/>
  <c r="R43" i="44"/>
  <c r="Q43" i="44"/>
  <c r="P43" i="44"/>
  <c r="O43" i="44"/>
  <c r="N43" i="44"/>
  <c r="M43" i="44"/>
  <c r="L43" i="44"/>
  <c r="K43" i="44"/>
  <c r="J43" i="44"/>
  <c r="I43" i="44"/>
  <c r="H43" i="44"/>
  <c r="G43" i="44"/>
  <c r="F43" i="44"/>
  <c r="E43" i="44"/>
  <c r="D43" i="44"/>
  <c r="AJ42" i="44"/>
  <c r="AI42" i="44"/>
  <c r="AH42" i="44"/>
  <c r="AG42" i="44"/>
  <c r="AF42" i="44"/>
  <c r="AE42" i="44"/>
  <c r="AD42" i="44"/>
  <c r="AC42" i="44"/>
  <c r="AB42" i="44"/>
  <c r="AA42" i="44"/>
  <c r="Z42" i="44"/>
  <c r="Y42" i="44"/>
  <c r="X42" i="44"/>
  <c r="W42" i="44"/>
  <c r="V42" i="44"/>
  <c r="U42" i="44"/>
  <c r="T42" i="44"/>
  <c r="S42" i="44"/>
  <c r="R42" i="44"/>
  <c r="Q42" i="44"/>
  <c r="P42" i="44"/>
  <c r="O42" i="44"/>
  <c r="N42" i="44"/>
  <c r="M42" i="44"/>
  <c r="L42" i="44"/>
  <c r="K42" i="44"/>
  <c r="J42" i="44"/>
  <c r="I42" i="44"/>
  <c r="H42" i="44"/>
  <c r="G42" i="44"/>
  <c r="F42" i="44"/>
  <c r="E42" i="44"/>
  <c r="D42" i="44"/>
  <c r="AJ41" i="44"/>
  <c r="AI41" i="44"/>
  <c r="AH41" i="44"/>
  <c r="AG41" i="44"/>
  <c r="AF41" i="44"/>
  <c r="AE41" i="44"/>
  <c r="AD41" i="44"/>
  <c r="AC41" i="44"/>
  <c r="AB41" i="44"/>
  <c r="AA41" i="44"/>
  <c r="Z41" i="44"/>
  <c r="Y41" i="44"/>
  <c r="X41" i="44"/>
  <c r="W41" i="44"/>
  <c r="V41" i="44"/>
  <c r="U41" i="44"/>
  <c r="T41" i="44"/>
  <c r="S41" i="44"/>
  <c r="R41" i="44"/>
  <c r="Q41" i="44"/>
  <c r="P41" i="44"/>
  <c r="O41" i="44"/>
  <c r="N41" i="44"/>
  <c r="M41" i="44"/>
  <c r="L41" i="44"/>
  <c r="K41" i="44"/>
  <c r="J41" i="44"/>
  <c r="I41" i="44"/>
  <c r="H41" i="44"/>
  <c r="G41" i="44"/>
  <c r="F41" i="44"/>
  <c r="E41" i="44"/>
  <c r="D41" i="44"/>
  <c r="AJ40" i="44"/>
  <c r="AI40" i="44"/>
  <c r="AH40" i="44"/>
  <c r="AG40" i="44"/>
  <c r="AF40" i="44"/>
  <c r="AE40" i="44"/>
  <c r="AD40" i="44"/>
  <c r="AC40" i="44"/>
  <c r="AB40" i="44"/>
  <c r="AA40" i="44"/>
  <c r="Z40" i="44"/>
  <c r="Y40" i="44"/>
  <c r="X40" i="44"/>
  <c r="W40" i="44"/>
  <c r="V40" i="44"/>
  <c r="U40" i="44"/>
  <c r="T40" i="44"/>
  <c r="S40" i="44"/>
  <c r="R40" i="44"/>
  <c r="Q40" i="44"/>
  <c r="P40" i="44"/>
  <c r="O40" i="44"/>
  <c r="N40" i="44"/>
  <c r="M40" i="44"/>
  <c r="L40" i="44"/>
  <c r="K40" i="44"/>
  <c r="J40" i="44"/>
  <c r="I40" i="44"/>
  <c r="H40" i="44"/>
  <c r="G40" i="44"/>
  <c r="F40" i="44"/>
  <c r="E40" i="44"/>
  <c r="D40" i="44"/>
  <c r="AJ39" i="44"/>
  <c r="AI39" i="44"/>
  <c r="AH39" i="44"/>
  <c r="AG39" i="44"/>
  <c r="AF39" i="44"/>
  <c r="AE39" i="44"/>
  <c r="AD39" i="44"/>
  <c r="AC39" i="44"/>
  <c r="AB39" i="44"/>
  <c r="AA39" i="44"/>
  <c r="Z39" i="44"/>
  <c r="Y39" i="44"/>
  <c r="X39" i="44"/>
  <c r="W39" i="44"/>
  <c r="V39" i="44"/>
  <c r="U39" i="44"/>
  <c r="T39" i="44"/>
  <c r="S39" i="44"/>
  <c r="R39" i="44"/>
  <c r="Q39" i="44"/>
  <c r="P39" i="44"/>
  <c r="O39" i="44"/>
  <c r="N39" i="44"/>
  <c r="M39" i="44"/>
  <c r="L39" i="44"/>
  <c r="K39" i="44"/>
  <c r="J39" i="44"/>
  <c r="I39" i="44"/>
  <c r="H39" i="44"/>
  <c r="G39" i="44"/>
  <c r="F39" i="44"/>
  <c r="E39" i="44"/>
  <c r="D39" i="44"/>
  <c r="AK39" i="44" s="1"/>
  <c r="C39" i="44"/>
  <c r="C40" i="44"/>
  <c r="C41" i="44"/>
  <c r="C42" i="44"/>
  <c r="AK42" i="44" s="1"/>
  <c r="C43" i="44"/>
  <c r="C44" i="44"/>
  <c r="C45" i="44"/>
  <c r="AK45" i="44" s="1"/>
  <c r="C46" i="44"/>
  <c r="AK43" i="44"/>
  <c r="AK7" i="44"/>
  <c r="AK8" i="44"/>
  <c r="AK9" i="44"/>
  <c r="AK10" i="44"/>
  <c r="AK11" i="44"/>
  <c r="AK14" i="44"/>
  <c r="AK15" i="44"/>
  <c r="AK16" i="44"/>
  <c r="AK17" i="44"/>
  <c r="AK18" i="44"/>
  <c r="AK21" i="44"/>
  <c r="AK22" i="44"/>
  <c r="AK23" i="44"/>
  <c r="AK24" i="44"/>
  <c r="AK25" i="44"/>
  <c r="AK26" i="44"/>
  <c r="AK29" i="44"/>
  <c r="AK30" i="44"/>
  <c r="AK31" i="44"/>
  <c r="AK32" i="44"/>
  <c r="AK33" i="44"/>
  <c r="AK36" i="44"/>
  <c r="AK37" i="44"/>
  <c r="AK38" i="44"/>
  <c r="AK40" i="44"/>
  <c r="AK41" i="44"/>
  <c r="AK44" i="44"/>
  <c r="AK46" i="44"/>
  <c r="X309" i="29"/>
  <c r="X51" i="29"/>
  <c r="Y1269" i="29"/>
  <c r="Y1263" i="29"/>
  <c r="Y1257" i="29"/>
  <c r="Y1251" i="29"/>
  <c r="Y1245" i="29"/>
  <c r="Y1239" i="29"/>
  <c r="Y1233" i="29"/>
  <c r="Y1227" i="29"/>
  <c r="Y1221" i="29"/>
  <c r="Y1215" i="29"/>
  <c r="Y1209" i="29"/>
  <c r="Y1203" i="29"/>
  <c r="Y1197" i="29"/>
  <c r="Y1191" i="29"/>
  <c r="Y1185" i="29"/>
  <c r="Y1179" i="29"/>
  <c r="Y1173" i="29"/>
  <c r="Y1167" i="29"/>
  <c r="Y1161" i="29"/>
  <c r="Y1155" i="29"/>
  <c r="Y1149" i="29"/>
  <c r="Y1143" i="29"/>
  <c r="Y1137" i="29"/>
  <c r="Y1131" i="29"/>
  <c r="Y1125" i="29"/>
  <c r="Y1113" i="29"/>
  <c r="Y1107" i="29"/>
  <c r="Y1101" i="29"/>
  <c r="Y1095" i="29"/>
  <c r="Y1089" i="29"/>
  <c r="Y1083" i="29"/>
  <c r="Y1077" i="29"/>
  <c r="Y1071" i="29"/>
  <c r="Y1065" i="29"/>
  <c r="Y1059" i="29"/>
  <c r="Y1053" i="29"/>
  <c r="Y1047" i="29"/>
  <c r="Y1041" i="29"/>
  <c r="Y1035" i="29"/>
  <c r="Y1029" i="29"/>
  <c r="Y1023" i="29"/>
  <c r="Y1017" i="29"/>
  <c r="Y1011" i="29"/>
  <c r="Y1005" i="29"/>
  <c r="Y999" i="29"/>
  <c r="Y993" i="29"/>
  <c r="Y987" i="29"/>
  <c r="Y981" i="29"/>
  <c r="Y975" i="29"/>
  <c r="Y969" i="29"/>
  <c r="Y963" i="29"/>
  <c r="Y957" i="29"/>
  <c r="Y951" i="29"/>
  <c r="Y945" i="29"/>
  <c r="Y939" i="29"/>
  <c r="Y933" i="29"/>
  <c r="Y927" i="29"/>
  <c r="Y921" i="29"/>
  <c r="Y915" i="29"/>
  <c r="Y909" i="29"/>
  <c r="Y903" i="29"/>
  <c r="Y897" i="29"/>
  <c r="Y891" i="29"/>
  <c r="Y885" i="29"/>
  <c r="Y879" i="29"/>
  <c r="Y873" i="29"/>
  <c r="Y867" i="29"/>
  <c r="Y861" i="29"/>
  <c r="Y855" i="29"/>
  <c r="Y849" i="29"/>
  <c r="Y843" i="29"/>
  <c r="Y837" i="29"/>
  <c r="Y831" i="29"/>
  <c r="Y825" i="29"/>
  <c r="Y819" i="29"/>
  <c r="Y813" i="29"/>
  <c r="Y807" i="29"/>
  <c r="Y801" i="29"/>
  <c r="Y795" i="29"/>
  <c r="Y789" i="29"/>
  <c r="Y783" i="29"/>
  <c r="Y777" i="29"/>
  <c r="Y771" i="29"/>
  <c r="Y765" i="29"/>
  <c r="Y759" i="29"/>
  <c r="Y753" i="29"/>
  <c r="Y747" i="29"/>
  <c r="Y741" i="29"/>
  <c r="Y735" i="29"/>
  <c r="Y729" i="29"/>
  <c r="Y723" i="29"/>
  <c r="Y717" i="29"/>
  <c r="Y711" i="29"/>
  <c r="Y705" i="29"/>
  <c r="Y699" i="29"/>
  <c r="Y693" i="29"/>
  <c r="Y687" i="29"/>
  <c r="Y681" i="29"/>
  <c r="Y675" i="29"/>
  <c r="Y669" i="29"/>
  <c r="Y663" i="29"/>
  <c r="Y657" i="29"/>
  <c r="Y651" i="29"/>
  <c r="Y645" i="29"/>
  <c r="Y639" i="29"/>
  <c r="Y633" i="29"/>
  <c r="Y627" i="29"/>
  <c r="Y621" i="29"/>
  <c r="Y615" i="29"/>
  <c r="Y609" i="29"/>
  <c r="Y603" i="29"/>
  <c r="Y597" i="29"/>
  <c r="Y591" i="29"/>
  <c r="Y585" i="29"/>
  <c r="Y579" i="29"/>
  <c r="Y573" i="29"/>
  <c r="Y567" i="29"/>
  <c r="Y561" i="29"/>
  <c r="Y555" i="29"/>
  <c r="Y549" i="29"/>
  <c r="Y543" i="29"/>
  <c r="Y537" i="29"/>
  <c r="Y531" i="29"/>
  <c r="Y525" i="29"/>
  <c r="Y519" i="29"/>
  <c r="Y513" i="29"/>
  <c r="Y507" i="29"/>
  <c r="Y501" i="29"/>
  <c r="Y495" i="29"/>
  <c r="Y489" i="29"/>
  <c r="Y483" i="29"/>
  <c r="Y477" i="29"/>
  <c r="Y471" i="29"/>
  <c r="Y465" i="29"/>
  <c r="Y459" i="29"/>
  <c r="Y453" i="29"/>
  <c r="Y447" i="29"/>
  <c r="Y441" i="29"/>
  <c r="Y435" i="29"/>
  <c r="Y429" i="29"/>
  <c r="Y423" i="29"/>
  <c r="Y417" i="29"/>
  <c r="Y411" i="29"/>
  <c r="Y405" i="29"/>
  <c r="Y399" i="29"/>
  <c r="Y393" i="29"/>
  <c r="Y387" i="29"/>
  <c r="Y381" i="29"/>
  <c r="Y375" i="29"/>
  <c r="Y369" i="29"/>
  <c r="Y363" i="29"/>
  <c r="Y357" i="29"/>
  <c r="Y351" i="29"/>
  <c r="Y345" i="29"/>
  <c r="Y339" i="29"/>
  <c r="Y333" i="29"/>
  <c r="Y327" i="29"/>
  <c r="Y321" i="29"/>
  <c r="Y315" i="29"/>
  <c r="Y309" i="29"/>
  <c r="Y303" i="29"/>
  <c r="Y297" i="29"/>
  <c r="Y291" i="29"/>
  <c r="Y285" i="29"/>
  <c r="Y279" i="29"/>
  <c r="Y273" i="29"/>
  <c r="Y267" i="29"/>
  <c r="Y261" i="29"/>
  <c r="Y255" i="29"/>
  <c r="Y249" i="29"/>
  <c r="Y1119" i="29"/>
  <c r="Y243" i="29"/>
  <c r="Y237" i="29"/>
  <c r="Y231" i="29"/>
  <c r="Y225" i="29"/>
  <c r="Y219" i="29"/>
  <c r="Y213" i="29"/>
  <c r="Y207" i="29"/>
  <c r="Y201" i="29"/>
  <c r="Y195" i="29"/>
  <c r="Y189" i="29"/>
  <c r="Y183" i="29"/>
  <c r="Y177" i="29"/>
  <c r="Y171" i="29"/>
  <c r="Y165" i="29"/>
  <c r="Y159" i="29"/>
  <c r="Y153" i="29"/>
  <c r="Y147" i="29"/>
  <c r="Y141" i="29"/>
  <c r="Y135" i="29"/>
  <c r="Y129" i="29"/>
  <c r="Y123" i="29"/>
  <c r="Y117" i="29"/>
  <c r="Y111" i="29"/>
  <c r="Y105" i="29"/>
  <c r="Y99" i="29"/>
  <c r="Y93" i="29"/>
  <c r="Y87" i="29"/>
  <c r="Y81" i="29"/>
  <c r="Y75" i="29"/>
  <c r="Y69" i="29"/>
  <c r="Y63" i="29"/>
  <c r="Y57" i="29"/>
  <c r="Y51" i="29"/>
  <c r="Y45" i="29"/>
  <c r="Y39" i="29"/>
  <c r="Y33" i="29"/>
  <c r="Y27" i="29"/>
  <c r="Y21" i="29"/>
  <c r="Y15" i="29"/>
  <c r="Y9" i="29"/>
  <c r="X1196" i="29"/>
  <c r="X812" i="29"/>
  <c r="X680" i="29"/>
  <c r="X602" i="29"/>
  <c r="X272" i="29"/>
  <c r="X1238" i="29"/>
  <c r="X1214" i="29"/>
  <c r="X998" i="29"/>
  <c r="X932" i="29"/>
  <c r="X836" i="29"/>
  <c r="X596" i="29"/>
  <c r="X542" i="29"/>
  <c r="X470" i="29"/>
  <c r="X236" i="29"/>
  <c r="AA8" i="29"/>
  <c r="X1237" i="29"/>
  <c r="X1202" i="29"/>
  <c r="X1201" i="29"/>
  <c r="X1190" i="29"/>
  <c r="X1189" i="29"/>
  <c r="X1166" i="29"/>
  <c r="X1165" i="29"/>
  <c r="X926" i="29"/>
  <c r="X925" i="29"/>
  <c r="X902" i="29"/>
  <c r="X901" i="29"/>
  <c r="X895" i="29"/>
  <c r="X824" i="29"/>
  <c r="X823" i="29"/>
  <c r="X806" i="29"/>
  <c r="X805" i="29"/>
  <c r="X771" i="29"/>
  <c r="X770" i="29"/>
  <c r="X769" i="29"/>
  <c r="X668" i="29"/>
  <c r="X667" i="29"/>
  <c r="X559" i="29"/>
  <c r="X536" i="29"/>
  <c r="X535" i="29"/>
  <c r="X524" i="29"/>
  <c r="X523" i="29"/>
  <c r="X518" i="29"/>
  <c r="X517" i="29"/>
  <c r="X416" i="29"/>
  <c r="X415" i="29"/>
  <c r="X319" i="29"/>
  <c r="X296" i="29"/>
  <c r="X295" i="29"/>
  <c r="X235" i="29"/>
  <c r="X206" i="29"/>
  <c r="X205" i="29"/>
  <c r="X109" i="29"/>
  <c r="X68" i="29"/>
  <c r="X67" i="29"/>
  <c r="X20" i="29"/>
  <c r="X19" i="29"/>
  <c r="X1195" i="29"/>
  <c r="X1124" i="29"/>
  <c r="X1123" i="29"/>
  <c r="X1094" i="29"/>
  <c r="X1093" i="29"/>
  <c r="X1040" i="29"/>
  <c r="X1039" i="29"/>
  <c r="X1034" i="29"/>
  <c r="X1033" i="29"/>
  <c r="X1028" i="29"/>
  <c r="X1027" i="29"/>
  <c r="X997" i="29"/>
  <c r="X950" i="29"/>
  <c r="X949" i="29"/>
  <c r="X931" i="29"/>
  <c r="X914" i="29"/>
  <c r="X913" i="29"/>
  <c r="X865" i="29"/>
  <c r="X854" i="29"/>
  <c r="X853" i="29"/>
  <c r="X842" i="29"/>
  <c r="X841" i="29"/>
  <c r="X740" i="29"/>
  <c r="X739" i="29"/>
  <c r="X650" i="29"/>
  <c r="X649" i="29"/>
  <c r="X608" i="29"/>
  <c r="X607" i="29"/>
  <c r="X578" i="29"/>
  <c r="X577" i="29"/>
  <c r="X566" i="29"/>
  <c r="X565" i="29"/>
  <c r="X541" i="29"/>
  <c r="X458" i="29"/>
  <c r="X457" i="29"/>
  <c r="X410" i="29"/>
  <c r="X409" i="29"/>
  <c r="X356" i="29"/>
  <c r="X355" i="29"/>
  <c r="X326" i="29"/>
  <c r="X325" i="29"/>
  <c r="X289" i="29"/>
  <c r="X284" i="29"/>
  <c r="X283" i="29"/>
  <c r="X248" i="29"/>
  <c r="X247" i="29"/>
  <c r="X62" i="29"/>
  <c r="X61" i="29"/>
  <c r="X864" i="29"/>
  <c r="X258" i="29"/>
  <c r="X78" i="29"/>
  <c r="X269" i="29"/>
  <c r="X899" i="29"/>
  <c r="X929" i="29"/>
  <c r="X1229" i="29"/>
  <c r="X1079" i="29"/>
  <c r="X881" i="29"/>
  <c r="X779" i="29"/>
  <c r="X467" i="29"/>
  <c r="X431" i="29"/>
  <c r="X287" i="29"/>
  <c r="X101" i="29"/>
  <c r="X77" i="29"/>
  <c r="AA5" i="29"/>
  <c r="X905" i="29"/>
  <c r="X904" i="29"/>
  <c r="X245" i="29"/>
  <c r="X244" i="29"/>
  <c r="X203" i="29"/>
  <c r="X202" i="29"/>
  <c r="X59" i="29"/>
  <c r="X58" i="29"/>
  <c r="X1216" i="29"/>
  <c r="X1210" i="29"/>
  <c r="X1199" i="29"/>
  <c r="X1198" i="29"/>
  <c r="X1157" i="29"/>
  <c r="X1156" i="29"/>
  <c r="X1151" i="29"/>
  <c r="X1150" i="29"/>
  <c r="X1121" i="29"/>
  <c r="X1120" i="29"/>
  <c r="X1097" i="29"/>
  <c r="X1096" i="29"/>
  <c r="X1061" i="29"/>
  <c r="X1060" i="29"/>
  <c r="X1055" i="29"/>
  <c r="X1054" i="29"/>
  <c r="X1037" i="29"/>
  <c r="X1036" i="29"/>
  <c r="X1031" i="29"/>
  <c r="X1030" i="29"/>
  <c r="X928" i="29"/>
  <c r="X911" i="29"/>
  <c r="X910" i="29"/>
  <c r="X862" i="29"/>
  <c r="X851" i="29"/>
  <c r="X850" i="29"/>
  <c r="X839" i="29"/>
  <c r="X838" i="29"/>
  <c r="X821" i="29"/>
  <c r="X820" i="29"/>
  <c r="X803" i="29"/>
  <c r="X802" i="29"/>
  <c r="X695" i="29"/>
  <c r="X694" i="29"/>
  <c r="X659" i="29"/>
  <c r="X658" i="29"/>
  <c r="X646" i="29"/>
  <c r="X628" i="29"/>
  <c r="X605" i="29"/>
  <c r="X604" i="29"/>
  <c r="X587" i="29"/>
  <c r="X586" i="29"/>
  <c r="X556" i="29"/>
  <c r="X551" i="29"/>
  <c r="X550" i="29"/>
  <c r="X538" i="29"/>
  <c r="X533" i="29"/>
  <c r="X532" i="29"/>
  <c r="X527" i="29"/>
  <c r="X526" i="29"/>
  <c r="X466" i="29"/>
  <c r="X407" i="29"/>
  <c r="X406" i="29"/>
  <c r="X353" i="29"/>
  <c r="X352" i="29"/>
  <c r="X299" i="29"/>
  <c r="X298" i="29"/>
  <c r="X286" i="29"/>
  <c r="X281" i="29"/>
  <c r="X280" i="29"/>
  <c r="X268" i="29"/>
  <c r="X233" i="29"/>
  <c r="X232" i="29"/>
  <c r="X167" i="29"/>
  <c r="X166" i="29"/>
  <c r="X83" i="29"/>
  <c r="X82" i="29"/>
  <c r="X65" i="29"/>
  <c r="X64" i="29"/>
  <c r="X40" i="29"/>
  <c r="X1269" i="29"/>
  <c r="X1268" i="29"/>
  <c r="X1267" i="29"/>
  <c r="X1266" i="29"/>
  <c r="X1265" i="29"/>
  <c r="X1264" i="29"/>
  <c r="X1263" i="29"/>
  <c r="X1262" i="29"/>
  <c r="X1261" i="29"/>
  <c r="X1260" i="29"/>
  <c r="X1259" i="29"/>
  <c r="X1258" i="29"/>
  <c r="X1257" i="29"/>
  <c r="X1256" i="29"/>
  <c r="X1255" i="29"/>
  <c r="X1254" i="29"/>
  <c r="X1253" i="29"/>
  <c r="X1252" i="29"/>
  <c r="X1251" i="29"/>
  <c r="X1250" i="29"/>
  <c r="X1249" i="29"/>
  <c r="X1248" i="29"/>
  <c r="X1247" i="29"/>
  <c r="X1246" i="29"/>
  <c r="X1245" i="29"/>
  <c r="X1244" i="29"/>
  <c r="X1243" i="29"/>
  <c r="X1242" i="29"/>
  <c r="X1241" i="29"/>
  <c r="X1240" i="29"/>
  <c r="X1239" i="29"/>
  <c r="X1236" i="29"/>
  <c r="X1235" i="29"/>
  <c r="X1234" i="29"/>
  <c r="X1233" i="29"/>
  <c r="X1232" i="29"/>
  <c r="X1231" i="29"/>
  <c r="X1230" i="29"/>
  <c r="X1228" i="29"/>
  <c r="X1227" i="29"/>
  <c r="X1226" i="29"/>
  <c r="X1225" i="29"/>
  <c r="X1224" i="29"/>
  <c r="X1223" i="29"/>
  <c r="X1222" i="29"/>
  <c r="X1221" i="29"/>
  <c r="X1220" i="29"/>
  <c r="X1219" i="29"/>
  <c r="X1218" i="29"/>
  <c r="X1217" i="29"/>
  <c r="X1215" i="29"/>
  <c r="X1213" i="29"/>
  <c r="X1212" i="29"/>
  <c r="X1211" i="29"/>
  <c r="X1209" i="29"/>
  <c r="X1208" i="29"/>
  <c r="X1207" i="29"/>
  <c r="X1206" i="29"/>
  <c r="X1205" i="29"/>
  <c r="X1204" i="29"/>
  <c r="X1203" i="29"/>
  <c r="X1200" i="29"/>
  <c r="X1197" i="29"/>
  <c r="X1194" i="29"/>
  <c r="X1193" i="29"/>
  <c r="X1192" i="29"/>
  <c r="X1191" i="29"/>
  <c r="X1188" i="29"/>
  <c r="X1187" i="29"/>
  <c r="X1186" i="29"/>
  <c r="X1185" i="29"/>
  <c r="X1184" i="29"/>
  <c r="X1183" i="29"/>
  <c r="X1182" i="29"/>
  <c r="X1181" i="29"/>
  <c r="X1180" i="29"/>
  <c r="X1179" i="29"/>
  <c r="X1178" i="29"/>
  <c r="X1177" i="29"/>
  <c r="X1176" i="29"/>
  <c r="X1175" i="29"/>
  <c r="X1174" i="29"/>
  <c r="X1173" i="29"/>
  <c r="X1172" i="29"/>
  <c r="X1171" i="29"/>
  <c r="X1170" i="29"/>
  <c r="X1169" i="29"/>
  <c r="X1168" i="29"/>
  <c r="X1167" i="29"/>
  <c r="X1164" i="29"/>
  <c r="X1163" i="29"/>
  <c r="X1162" i="29"/>
  <c r="X1161" i="29"/>
  <c r="X1160" i="29"/>
  <c r="X1159" i="29"/>
  <c r="X1158" i="29"/>
  <c r="X1155" i="29"/>
  <c r="X1154" i="29"/>
  <c r="X1153" i="29"/>
  <c r="X1152" i="29"/>
  <c r="X1149" i="29"/>
  <c r="X1148" i="29"/>
  <c r="X1147" i="29"/>
  <c r="X1146" i="29"/>
  <c r="X1145" i="29"/>
  <c r="X1144" i="29"/>
  <c r="X1143" i="29"/>
  <c r="X1142" i="29"/>
  <c r="X1141" i="29"/>
  <c r="X1140" i="29"/>
  <c r="X1139" i="29"/>
  <c r="X1138" i="29"/>
  <c r="X1137" i="29"/>
  <c r="X1136" i="29"/>
  <c r="X1135" i="29"/>
  <c r="X1134" i="29"/>
  <c r="X1133" i="29"/>
  <c r="X1132" i="29"/>
  <c r="X1131" i="29"/>
  <c r="X1130" i="29"/>
  <c r="X1129" i="29"/>
  <c r="X1128" i="29"/>
  <c r="X1127" i="29"/>
  <c r="X1126" i="29"/>
  <c r="X1125" i="29"/>
  <c r="X1122" i="29"/>
  <c r="X1113" i="29"/>
  <c r="X1112" i="29"/>
  <c r="X1111" i="29"/>
  <c r="X1110" i="29"/>
  <c r="X1109" i="29"/>
  <c r="X1108" i="29"/>
  <c r="X1107" i="29"/>
  <c r="X1106" i="29"/>
  <c r="X1105" i="29"/>
  <c r="X1104" i="29"/>
  <c r="X1103" i="29"/>
  <c r="X1102" i="29"/>
  <c r="X1101" i="29"/>
  <c r="X1100" i="29"/>
  <c r="X1099" i="29"/>
  <c r="X1098" i="29"/>
  <c r="X1095" i="29"/>
  <c r="X1092" i="29"/>
  <c r="X1091" i="29"/>
  <c r="X1090" i="29"/>
  <c r="X1089" i="29"/>
  <c r="X1088" i="29"/>
  <c r="X1087" i="29"/>
  <c r="X1086" i="29"/>
  <c r="X1085" i="29"/>
  <c r="X1084" i="29"/>
  <c r="X1083" i="29"/>
  <c r="X1082" i="29"/>
  <c r="X1081" i="29"/>
  <c r="X1080" i="29"/>
  <c r="X1078" i="29"/>
  <c r="X1077" i="29"/>
  <c r="X1076" i="29"/>
  <c r="X1075" i="29"/>
  <c r="X1074" i="29"/>
  <c r="X1073" i="29"/>
  <c r="X1072" i="29"/>
  <c r="X1071" i="29"/>
  <c r="X1070" i="29"/>
  <c r="X1069" i="29"/>
  <c r="X1068" i="29"/>
  <c r="X1067" i="29"/>
  <c r="X1066" i="29"/>
  <c r="X1065" i="29"/>
  <c r="X1064" i="29"/>
  <c r="X1063" i="29"/>
  <c r="X1062" i="29"/>
  <c r="X1059" i="29"/>
  <c r="X1058" i="29"/>
  <c r="X1057" i="29"/>
  <c r="X1056" i="29"/>
  <c r="X1053" i="29"/>
  <c r="X1052" i="29"/>
  <c r="X1051" i="29"/>
  <c r="X1050" i="29"/>
  <c r="X1049" i="29"/>
  <c r="X1048" i="29"/>
  <c r="X1047" i="29"/>
  <c r="X1046" i="29"/>
  <c r="X1045" i="29"/>
  <c r="X1044" i="29"/>
  <c r="X1043" i="29"/>
  <c r="X1042" i="29"/>
  <c r="X1041" i="29"/>
  <c r="X1038" i="29"/>
  <c r="X1035" i="29"/>
  <c r="X1032" i="29"/>
  <c r="X1029" i="29"/>
  <c r="X1026" i="29"/>
  <c r="X1025" i="29"/>
  <c r="X1024" i="29"/>
  <c r="X1023" i="29"/>
  <c r="X1022" i="29"/>
  <c r="X1021" i="29"/>
  <c r="X1020" i="29"/>
  <c r="X1019" i="29"/>
  <c r="X1018" i="29"/>
  <c r="X1017" i="29"/>
  <c r="X1016" i="29"/>
  <c r="X1015" i="29"/>
  <c r="X1014" i="29"/>
  <c r="X1013" i="29"/>
  <c r="X1012" i="29"/>
  <c r="X1011" i="29"/>
  <c r="X1010" i="29"/>
  <c r="X1009" i="29"/>
  <c r="X1008" i="29"/>
  <c r="X1007" i="29"/>
  <c r="X1006" i="29"/>
  <c r="X1005" i="29"/>
  <c r="X1004" i="29"/>
  <c r="X1003" i="29"/>
  <c r="X1002" i="29"/>
  <c r="X1001" i="29"/>
  <c r="X1000" i="29"/>
  <c r="X999" i="29"/>
  <c r="X996" i="29"/>
  <c r="X995" i="29"/>
  <c r="X994" i="29"/>
  <c r="X993" i="29"/>
  <c r="X992" i="29"/>
  <c r="X991" i="29"/>
  <c r="X990" i="29"/>
  <c r="X989" i="29"/>
  <c r="X988" i="29"/>
  <c r="X987" i="29"/>
  <c r="X986" i="29"/>
  <c r="X985" i="29"/>
  <c r="X984" i="29"/>
  <c r="X983" i="29"/>
  <c r="X982" i="29"/>
  <c r="X981" i="29"/>
  <c r="X980" i="29"/>
  <c r="X979" i="29"/>
  <c r="X978" i="29"/>
  <c r="X977" i="29"/>
  <c r="X976" i="29"/>
  <c r="X975" i="29"/>
  <c r="X974" i="29"/>
  <c r="X973" i="29"/>
  <c r="X972" i="29"/>
  <c r="X971" i="29"/>
  <c r="X970" i="29"/>
  <c r="X969" i="29"/>
  <c r="X968" i="29"/>
  <c r="X967" i="29"/>
  <c r="X966" i="29"/>
  <c r="X965" i="29"/>
  <c r="X964" i="29"/>
  <c r="X963" i="29"/>
  <c r="X962" i="29"/>
  <c r="X961" i="29"/>
  <c r="X960" i="29"/>
  <c r="X959" i="29"/>
  <c r="X958" i="29"/>
  <c r="X957" i="29"/>
  <c r="X956" i="29"/>
  <c r="X955" i="29"/>
  <c r="X954" i="29"/>
  <c r="X953" i="29"/>
  <c r="X952" i="29"/>
  <c r="X951" i="29"/>
  <c r="X948" i="29"/>
  <c r="X947" i="29"/>
  <c r="X946" i="29"/>
  <c r="X945" i="29"/>
  <c r="X944" i="29"/>
  <c r="X943" i="29"/>
  <c r="X942" i="29"/>
  <c r="X941" i="29"/>
  <c r="X940" i="29"/>
  <c r="X939" i="29"/>
  <c r="X938" i="29"/>
  <c r="X937" i="29"/>
  <c r="X936" i="29"/>
  <c r="X935" i="29"/>
  <c r="X934" i="29"/>
  <c r="X933" i="29"/>
  <c r="X930" i="29"/>
  <c r="X927" i="29"/>
  <c r="X924" i="29"/>
  <c r="X923" i="29"/>
  <c r="X922" i="29"/>
  <c r="X921" i="29"/>
  <c r="X920" i="29"/>
  <c r="X919" i="29"/>
  <c r="X918" i="29"/>
  <c r="X917" i="29"/>
  <c r="X916" i="29"/>
  <c r="X915" i="29"/>
  <c r="X912" i="29"/>
  <c r="X909" i="29"/>
  <c r="X908" i="29"/>
  <c r="X907" i="29"/>
  <c r="X906" i="29"/>
  <c r="X903" i="29"/>
  <c r="X900" i="29"/>
  <c r="X898" i="29"/>
  <c r="X897" i="29"/>
  <c r="X896" i="29"/>
  <c r="X894" i="29"/>
  <c r="X893" i="29"/>
  <c r="X892" i="29"/>
  <c r="X891" i="29"/>
  <c r="X890" i="29"/>
  <c r="X889" i="29"/>
  <c r="X888" i="29"/>
  <c r="X887" i="29"/>
  <c r="X886" i="29"/>
  <c r="X885" i="29"/>
  <c r="X884" i="29"/>
  <c r="X883" i="29"/>
  <c r="X882" i="29"/>
  <c r="X880" i="29"/>
  <c r="X879" i="29"/>
  <c r="X878" i="29"/>
  <c r="X877" i="29"/>
  <c r="X876" i="29"/>
  <c r="X875" i="29"/>
  <c r="X874" i="29"/>
  <c r="X873" i="29"/>
  <c r="X872" i="29"/>
  <c r="X871" i="29"/>
  <c r="X870" i="29"/>
  <c r="X869" i="29"/>
  <c r="X868" i="29"/>
  <c r="X867" i="29"/>
  <c r="X866" i="29"/>
  <c r="X863" i="29"/>
  <c r="X861" i="29"/>
  <c r="X860" i="29"/>
  <c r="X859" i="29"/>
  <c r="X858" i="29"/>
  <c r="X857" i="29"/>
  <c r="X856" i="29"/>
  <c r="X855" i="29"/>
  <c r="X852" i="29"/>
  <c r="X849" i="29"/>
  <c r="X848" i="29"/>
  <c r="X847" i="29"/>
  <c r="X846" i="29"/>
  <c r="X845" i="29"/>
  <c r="X844" i="29"/>
  <c r="X843" i="29"/>
  <c r="X840" i="29"/>
  <c r="X837" i="29"/>
  <c r="X835" i="29"/>
  <c r="X834" i="29"/>
  <c r="X833" i="29"/>
  <c r="X832" i="29"/>
  <c r="X831" i="29"/>
  <c r="X830" i="29"/>
  <c r="X829" i="29"/>
  <c r="X828" i="29"/>
  <c r="X827" i="29"/>
  <c r="X826" i="29"/>
  <c r="X825" i="29"/>
  <c r="X822" i="29"/>
  <c r="X819" i="29"/>
  <c r="X818" i="29"/>
  <c r="X817" i="29"/>
  <c r="X816" i="29"/>
  <c r="X815" i="29"/>
  <c r="X814" i="29"/>
  <c r="X813" i="29"/>
  <c r="X811" i="29"/>
  <c r="X810" i="29"/>
  <c r="X809" i="29"/>
  <c r="X808" i="29"/>
  <c r="X807" i="29"/>
  <c r="X804" i="29"/>
  <c r="X801" i="29"/>
  <c r="X800" i="29"/>
  <c r="X799" i="29"/>
  <c r="X798" i="29"/>
  <c r="X797" i="29"/>
  <c r="X796" i="29"/>
  <c r="X795" i="29"/>
  <c r="X794" i="29"/>
  <c r="X793" i="29"/>
  <c r="X792" i="29"/>
  <c r="X791" i="29"/>
  <c r="X790" i="29"/>
  <c r="X789" i="29"/>
  <c r="X788" i="29"/>
  <c r="X787" i="29"/>
  <c r="X786" i="29"/>
  <c r="X785" i="29"/>
  <c r="X784" i="29"/>
  <c r="X783" i="29"/>
  <c r="X782" i="29"/>
  <c r="X781" i="29"/>
  <c r="X780" i="29"/>
  <c r="X778" i="29"/>
  <c r="X777" i="29"/>
  <c r="X776" i="29"/>
  <c r="X775" i="29"/>
  <c r="X774" i="29"/>
  <c r="X773" i="29"/>
  <c r="X772" i="29"/>
  <c r="X768" i="29"/>
  <c r="X767" i="29"/>
  <c r="X766" i="29"/>
  <c r="X765" i="29"/>
  <c r="X764" i="29"/>
  <c r="X763" i="29"/>
  <c r="X762" i="29"/>
  <c r="X761" i="29"/>
  <c r="X760" i="29"/>
  <c r="X759" i="29"/>
  <c r="X758" i="29"/>
  <c r="X757" i="29"/>
  <c r="X756" i="29"/>
  <c r="X755" i="29"/>
  <c r="X754" i="29"/>
  <c r="X753" i="29"/>
  <c r="X752" i="29"/>
  <c r="X751" i="29"/>
  <c r="X750" i="29"/>
  <c r="X749" i="29"/>
  <c r="X748" i="29"/>
  <c r="X747" i="29"/>
  <c r="X746" i="29"/>
  <c r="X745" i="29"/>
  <c r="X744" i="29"/>
  <c r="X743" i="29"/>
  <c r="X742" i="29"/>
  <c r="X741" i="29"/>
  <c r="X738" i="29"/>
  <c r="X737" i="29"/>
  <c r="X736" i="29"/>
  <c r="X735" i="29"/>
  <c r="X734" i="29"/>
  <c r="X733" i="29"/>
  <c r="X732" i="29"/>
  <c r="X731" i="29"/>
  <c r="X730" i="29"/>
  <c r="X729" i="29"/>
  <c r="X728" i="29"/>
  <c r="X727" i="29"/>
  <c r="X726" i="29"/>
  <c r="X725" i="29"/>
  <c r="X724" i="29"/>
  <c r="X723" i="29"/>
  <c r="X722" i="29"/>
  <c r="X721" i="29"/>
  <c r="X720" i="29"/>
  <c r="X719" i="29"/>
  <c r="X718" i="29"/>
  <c r="X717" i="29"/>
  <c r="X716" i="29"/>
  <c r="X715" i="29"/>
  <c r="X714" i="29"/>
  <c r="X713" i="29"/>
  <c r="X712" i="29"/>
  <c r="X711" i="29"/>
  <c r="X710" i="29"/>
  <c r="X709" i="29"/>
  <c r="X708" i="29"/>
  <c r="X707" i="29"/>
  <c r="X706" i="29"/>
  <c r="X705" i="29"/>
  <c r="X704" i="29"/>
  <c r="X703" i="29"/>
  <c r="X702" i="29"/>
  <c r="X701" i="29"/>
  <c r="X700" i="29"/>
  <c r="X699" i="29"/>
  <c r="X698" i="29"/>
  <c r="X697" i="29"/>
  <c r="X696" i="29"/>
  <c r="X693" i="29"/>
  <c r="X692" i="29"/>
  <c r="X691" i="29"/>
  <c r="X690" i="29"/>
  <c r="X689" i="29"/>
  <c r="X688" i="29"/>
  <c r="X687" i="29"/>
  <c r="X686" i="29"/>
  <c r="X685" i="29"/>
  <c r="X684" i="29"/>
  <c r="X683" i="29"/>
  <c r="X682" i="29"/>
  <c r="X681" i="29"/>
  <c r="X679" i="29"/>
  <c r="X678" i="29"/>
  <c r="X677" i="29"/>
  <c r="X676" i="29"/>
  <c r="X675" i="29"/>
  <c r="X674" i="29"/>
  <c r="X673" i="29"/>
  <c r="X672" i="29"/>
  <c r="X671" i="29"/>
  <c r="X670" i="29"/>
  <c r="X669" i="29"/>
  <c r="X666" i="29"/>
  <c r="X665" i="29"/>
  <c r="X664" i="29"/>
  <c r="X663" i="29"/>
  <c r="X662" i="29"/>
  <c r="X661" i="29"/>
  <c r="X660" i="29"/>
  <c r="X657" i="29"/>
  <c r="X656" i="29"/>
  <c r="X655" i="29"/>
  <c r="X654" i="29"/>
  <c r="X653" i="29"/>
  <c r="X652" i="29"/>
  <c r="X651" i="29"/>
  <c r="X648" i="29"/>
  <c r="X647" i="29"/>
  <c r="X645" i="29"/>
  <c r="X644" i="29"/>
  <c r="X643" i="29"/>
  <c r="X642" i="29"/>
  <c r="X641" i="29"/>
  <c r="X640" i="29"/>
  <c r="X639" i="29"/>
  <c r="X638" i="29"/>
  <c r="X637" i="29"/>
  <c r="X636" i="29"/>
  <c r="X635" i="29"/>
  <c r="X634" i="29"/>
  <c r="X633" i="29"/>
  <c r="X632" i="29"/>
  <c r="X631" i="29"/>
  <c r="X630" i="29"/>
  <c r="X629" i="29"/>
  <c r="X627" i="29"/>
  <c r="X626" i="29"/>
  <c r="X625" i="29"/>
  <c r="X624" i="29"/>
  <c r="X623" i="29"/>
  <c r="X622" i="29"/>
  <c r="X621" i="29"/>
  <c r="X620" i="29"/>
  <c r="X619" i="29"/>
  <c r="X618" i="29"/>
  <c r="X617" i="29"/>
  <c r="X616" i="29"/>
  <c r="X615" i="29"/>
  <c r="X614" i="29"/>
  <c r="X613" i="29"/>
  <c r="X612" i="29"/>
  <c r="X611" i="29"/>
  <c r="X610" i="29"/>
  <c r="X609" i="29"/>
  <c r="X606" i="29"/>
  <c r="X603" i="29"/>
  <c r="X601" i="29"/>
  <c r="X600" i="29"/>
  <c r="X599" i="29"/>
  <c r="X598" i="29"/>
  <c r="X597" i="29"/>
  <c r="X595" i="29"/>
  <c r="X594" i="29"/>
  <c r="X593" i="29"/>
  <c r="X592" i="29"/>
  <c r="X591" i="29"/>
  <c r="X590" i="29"/>
  <c r="X589" i="29"/>
  <c r="X588" i="29"/>
  <c r="X585" i="29"/>
  <c r="X584" i="29"/>
  <c r="X583" i="29"/>
  <c r="X582" i="29"/>
  <c r="X581" i="29"/>
  <c r="X580" i="29"/>
  <c r="X579" i="29"/>
  <c r="X576" i="29"/>
  <c r="X575" i="29"/>
  <c r="X574" i="29"/>
  <c r="X573" i="29"/>
  <c r="X572" i="29"/>
  <c r="X571" i="29"/>
  <c r="X570" i="29"/>
  <c r="X569" i="29"/>
  <c r="X568" i="29"/>
  <c r="X567" i="29"/>
  <c r="X564" i="29"/>
  <c r="X563" i="29"/>
  <c r="X562" i="29"/>
  <c r="X561" i="29"/>
  <c r="X560" i="29"/>
  <c r="X558" i="29"/>
  <c r="X557" i="29"/>
  <c r="X555" i="29"/>
  <c r="X554" i="29"/>
  <c r="X553" i="29"/>
  <c r="X552" i="29"/>
  <c r="X549" i="29"/>
  <c r="X548" i="29"/>
  <c r="X547" i="29"/>
  <c r="X546" i="29"/>
  <c r="X545" i="29"/>
  <c r="X544" i="29"/>
  <c r="X543" i="29"/>
  <c r="X540" i="29"/>
  <c r="X539" i="29"/>
  <c r="X537" i="29"/>
  <c r="X534" i="29"/>
  <c r="X531" i="29"/>
  <c r="X530" i="29"/>
  <c r="X529" i="29"/>
  <c r="X528" i="29"/>
  <c r="X525" i="29"/>
  <c r="X522" i="29"/>
  <c r="X521" i="29"/>
  <c r="X520" i="29"/>
  <c r="X519" i="29"/>
  <c r="X516" i="29"/>
  <c r="X515" i="29"/>
  <c r="X514" i="29"/>
  <c r="X513" i="29"/>
  <c r="X512" i="29"/>
  <c r="X511" i="29"/>
  <c r="X510" i="29"/>
  <c r="X509" i="29"/>
  <c r="X508" i="29"/>
  <c r="X507" i="29"/>
  <c r="X506" i="29"/>
  <c r="X505" i="29"/>
  <c r="X504" i="29"/>
  <c r="X503" i="29"/>
  <c r="X502" i="29"/>
  <c r="X501" i="29"/>
  <c r="X500" i="29"/>
  <c r="X499" i="29"/>
  <c r="X498" i="29"/>
  <c r="X497" i="29"/>
  <c r="X496" i="29"/>
  <c r="X495" i="29"/>
  <c r="X494" i="29"/>
  <c r="X493" i="29"/>
  <c r="X492" i="29"/>
  <c r="X491" i="29"/>
  <c r="X490" i="29"/>
  <c r="X489" i="29"/>
  <c r="X488" i="29"/>
  <c r="X487" i="29"/>
  <c r="X486" i="29"/>
  <c r="X485" i="29"/>
  <c r="X484" i="29"/>
  <c r="X483" i="29"/>
  <c r="X482" i="29"/>
  <c r="X481" i="29"/>
  <c r="X480" i="29"/>
  <c r="X479" i="29"/>
  <c r="X478" i="29"/>
  <c r="X477" i="29"/>
  <c r="X476" i="29"/>
  <c r="X475" i="29"/>
  <c r="X474" i="29"/>
  <c r="X473" i="29"/>
  <c r="X472" i="29"/>
  <c r="X471" i="29"/>
  <c r="X469" i="29"/>
  <c r="X468" i="29"/>
  <c r="X465" i="29"/>
  <c r="X464" i="29"/>
  <c r="X463" i="29"/>
  <c r="X462" i="29"/>
  <c r="X461" i="29"/>
  <c r="X460" i="29"/>
  <c r="X459" i="29"/>
  <c r="X456" i="29"/>
  <c r="X455" i="29"/>
  <c r="X454" i="29"/>
  <c r="X453" i="29"/>
  <c r="X452" i="29"/>
  <c r="X451" i="29"/>
  <c r="X450" i="29"/>
  <c r="X449" i="29"/>
  <c r="X448" i="29"/>
  <c r="X447" i="29"/>
  <c r="X446" i="29"/>
  <c r="X445" i="29"/>
  <c r="X444" i="29"/>
  <c r="X443" i="29"/>
  <c r="X442" i="29"/>
  <c r="X441" i="29"/>
  <c r="X440" i="29"/>
  <c r="X439" i="29"/>
  <c r="X438" i="29"/>
  <c r="X437" i="29"/>
  <c r="X436" i="29"/>
  <c r="X435" i="29"/>
  <c r="X434" i="29"/>
  <c r="X433" i="29"/>
  <c r="X432" i="29"/>
  <c r="X430" i="29"/>
  <c r="X429" i="29"/>
  <c r="X428" i="29"/>
  <c r="X427" i="29"/>
  <c r="X426" i="29"/>
  <c r="X425" i="29"/>
  <c r="X424" i="29"/>
  <c r="X423" i="29"/>
  <c r="X422" i="29"/>
  <c r="X421" i="29"/>
  <c r="X420" i="29"/>
  <c r="X419" i="29"/>
  <c r="X418" i="29"/>
  <c r="X417" i="29"/>
  <c r="X414" i="29"/>
  <c r="X413" i="29"/>
  <c r="X412" i="29"/>
  <c r="X411" i="29"/>
  <c r="X408" i="29"/>
  <c r="X405" i="29"/>
  <c r="X404" i="29"/>
  <c r="X403" i="29"/>
  <c r="X402" i="29"/>
  <c r="X401" i="29"/>
  <c r="X400" i="29"/>
  <c r="X399" i="29"/>
  <c r="X398" i="29"/>
  <c r="X397" i="29"/>
  <c r="X396" i="29"/>
  <c r="X395" i="29"/>
  <c r="X394" i="29"/>
  <c r="X393" i="29"/>
  <c r="X392" i="29"/>
  <c r="X391" i="29"/>
  <c r="X390" i="29"/>
  <c r="X389" i="29"/>
  <c r="X388" i="29"/>
  <c r="X387" i="29"/>
  <c r="X386" i="29"/>
  <c r="X385" i="29"/>
  <c r="X384" i="29"/>
  <c r="X383" i="29"/>
  <c r="X382" i="29"/>
  <c r="X381" i="29"/>
  <c r="X380" i="29"/>
  <c r="X379" i="29"/>
  <c r="X378" i="29"/>
  <c r="X377" i="29"/>
  <c r="X376" i="29"/>
  <c r="X375" i="29"/>
  <c r="X374" i="29"/>
  <c r="X373" i="29"/>
  <c r="X372" i="29"/>
  <c r="X371" i="29"/>
  <c r="X370" i="29"/>
  <c r="X369" i="29"/>
  <c r="X368" i="29"/>
  <c r="X367" i="29"/>
  <c r="X366" i="29"/>
  <c r="X365" i="29"/>
  <c r="X364" i="29"/>
  <c r="X363" i="29"/>
  <c r="X362" i="29"/>
  <c r="X361" i="29"/>
  <c r="X360" i="29"/>
  <c r="X359" i="29"/>
  <c r="X358" i="29"/>
  <c r="X357" i="29"/>
  <c r="X354" i="29"/>
  <c r="X351" i="29"/>
  <c r="X350" i="29"/>
  <c r="X349" i="29"/>
  <c r="X348" i="29"/>
  <c r="X347" i="29"/>
  <c r="X346" i="29"/>
  <c r="X345" i="29"/>
  <c r="X344" i="29"/>
  <c r="X343" i="29"/>
  <c r="X342" i="29"/>
  <c r="X341" i="29"/>
  <c r="X340" i="29"/>
  <c r="X339" i="29"/>
  <c r="X338" i="29"/>
  <c r="X337" i="29"/>
  <c r="X336" i="29"/>
  <c r="X335" i="29"/>
  <c r="X334" i="29"/>
  <c r="X333" i="29"/>
  <c r="X332" i="29"/>
  <c r="X331" i="29"/>
  <c r="X330" i="29"/>
  <c r="X329" i="29"/>
  <c r="X328" i="29"/>
  <c r="X327" i="29"/>
  <c r="X324" i="29"/>
  <c r="X323" i="29"/>
  <c r="X322" i="29"/>
  <c r="X321" i="29"/>
  <c r="X320" i="29"/>
  <c r="X318" i="29"/>
  <c r="X317" i="29"/>
  <c r="X316" i="29"/>
  <c r="X315" i="29"/>
  <c r="X314" i="29"/>
  <c r="X313" i="29"/>
  <c r="X312" i="29"/>
  <c r="X311" i="29"/>
  <c r="X310" i="29"/>
  <c r="X308" i="29"/>
  <c r="X307" i="29"/>
  <c r="X306" i="29"/>
  <c r="X305" i="29"/>
  <c r="X304" i="29"/>
  <c r="X303" i="29"/>
  <c r="X302" i="29"/>
  <c r="X301" i="29"/>
  <c r="X300" i="29"/>
  <c r="X297" i="29"/>
  <c r="X294" i="29"/>
  <c r="X293" i="29"/>
  <c r="X292" i="29"/>
  <c r="X291" i="29"/>
  <c r="X290" i="29"/>
  <c r="X288" i="29"/>
  <c r="X285" i="29"/>
  <c r="X282" i="29"/>
  <c r="X279" i="29"/>
  <c r="X278" i="29"/>
  <c r="X277" i="29"/>
  <c r="X276" i="29"/>
  <c r="X275" i="29"/>
  <c r="X274" i="29"/>
  <c r="X273" i="29"/>
  <c r="X271" i="29"/>
  <c r="X270" i="29"/>
  <c r="X267" i="29"/>
  <c r="X266" i="29"/>
  <c r="X265" i="29"/>
  <c r="X264" i="29"/>
  <c r="X263" i="29"/>
  <c r="X262" i="29"/>
  <c r="X261" i="29"/>
  <c r="X260" i="29"/>
  <c r="X259" i="29"/>
  <c r="X257" i="29"/>
  <c r="X256" i="29"/>
  <c r="X255" i="29"/>
  <c r="X254" i="29"/>
  <c r="X253" i="29"/>
  <c r="X252" i="29"/>
  <c r="X251" i="29"/>
  <c r="X250" i="29"/>
  <c r="X249" i="29"/>
  <c r="X246" i="29"/>
  <c r="X1119" i="29"/>
  <c r="X1118" i="29"/>
  <c r="X1117" i="29"/>
  <c r="X1116" i="29"/>
  <c r="X1115" i="29"/>
  <c r="X1114" i="29"/>
  <c r="X243" i="29"/>
  <c r="X242" i="29"/>
  <c r="X241" i="29"/>
  <c r="X240" i="29"/>
  <c r="X239" i="29"/>
  <c r="X238" i="29"/>
  <c r="X237" i="29"/>
  <c r="X234" i="29"/>
  <c r="X231" i="29"/>
  <c r="X230" i="29"/>
  <c r="X229" i="29"/>
  <c r="X228" i="29"/>
  <c r="X227" i="29"/>
  <c r="X226" i="29"/>
  <c r="X225" i="29"/>
  <c r="X224" i="29"/>
  <c r="X223" i="29"/>
  <c r="X222" i="29"/>
  <c r="X221" i="29"/>
  <c r="X220" i="29"/>
  <c r="X219" i="29"/>
  <c r="X218" i="29"/>
  <c r="X217" i="29"/>
  <c r="X216" i="29"/>
  <c r="X215" i="29"/>
  <c r="X214" i="29"/>
  <c r="X213" i="29"/>
  <c r="X212" i="29"/>
  <c r="X211" i="29"/>
  <c r="X210" i="29"/>
  <c r="X209" i="29"/>
  <c r="X208" i="29"/>
  <c r="X207" i="29"/>
  <c r="X204" i="29"/>
  <c r="X201" i="29"/>
  <c r="X200" i="29"/>
  <c r="X199" i="29"/>
  <c r="X198" i="29"/>
  <c r="X197" i="29"/>
  <c r="X196" i="29"/>
  <c r="X195" i="29"/>
  <c r="X194" i="29"/>
  <c r="X193" i="29"/>
  <c r="X192" i="29"/>
  <c r="X191" i="29"/>
  <c r="X190" i="29"/>
  <c r="X189" i="29"/>
  <c r="X188" i="29"/>
  <c r="X187" i="29"/>
  <c r="X186" i="29"/>
  <c r="X185" i="29"/>
  <c r="X184" i="29"/>
  <c r="X183" i="29"/>
  <c r="X182" i="29"/>
  <c r="X181" i="29"/>
  <c r="X180" i="29"/>
  <c r="X179" i="29"/>
  <c r="X178" i="29"/>
  <c r="X177" i="29"/>
  <c r="X176" i="29"/>
  <c r="X175" i="29"/>
  <c r="X174" i="29"/>
  <c r="X173" i="29"/>
  <c r="X172" i="29"/>
  <c r="X171" i="29"/>
  <c r="X170" i="29"/>
  <c r="X169" i="29"/>
  <c r="X168" i="29"/>
  <c r="X165" i="29"/>
  <c r="X164" i="29"/>
  <c r="X163" i="29"/>
  <c r="X162" i="29"/>
  <c r="X161" i="29"/>
  <c r="X160" i="29"/>
  <c r="X159" i="29"/>
  <c r="X158" i="29"/>
  <c r="X157" i="29"/>
  <c r="X156" i="29"/>
  <c r="X155" i="29"/>
  <c r="X154" i="29"/>
  <c r="X153" i="29"/>
  <c r="X152" i="29"/>
  <c r="X151" i="29"/>
  <c r="X150" i="29"/>
  <c r="X149" i="29"/>
  <c r="X148" i="29"/>
  <c r="X147" i="29"/>
  <c r="X146" i="29"/>
  <c r="X145" i="29"/>
  <c r="X144" i="29"/>
  <c r="X143" i="29"/>
  <c r="X142" i="29"/>
  <c r="X141" i="29"/>
  <c r="X140" i="29"/>
  <c r="X139" i="29"/>
  <c r="X138" i="29"/>
  <c r="X137" i="29"/>
  <c r="X136" i="29"/>
  <c r="X135" i="29"/>
  <c r="X134" i="29"/>
  <c r="X133" i="29"/>
  <c r="X132" i="29"/>
  <c r="X131" i="29"/>
  <c r="X130" i="29"/>
  <c r="X129" i="29"/>
  <c r="X128" i="29"/>
  <c r="X127" i="29"/>
  <c r="X126" i="29"/>
  <c r="X125" i="29"/>
  <c r="X124" i="29"/>
  <c r="X123" i="29"/>
  <c r="X122" i="29"/>
  <c r="X121" i="29"/>
  <c r="X120" i="29"/>
  <c r="X119" i="29"/>
  <c r="X118" i="29"/>
  <c r="X117" i="29"/>
  <c r="X116" i="29"/>
  <c r="X115" i="29"/>
  <c r="X114" i="29"/>
  <c r="X113" i="29"/>
  <c r="X112" i="29"/>
  <c r="X111" i="29"/>
  <c r="X110" i="29"/>
  <c r="X108" i="29"/>
  <c r="X107" i="29"/>
  <c r="X106" i="29"/>
  <c r="X105" i="29"/>
  <c r="X104" i="29"/>
  <c r="X103" i="29"/>
  <c r="X102" i="29"/>
  <c r="X100" i="29"/>
  <c r="X99" i="29"/>
  <c r="X98" i="29"/>
  <c r="X97" i="29"/>
  <c r="X96" i="29"/>
  <c r="X95" i="29"/>
  <c r="X94" i="29"/>
  <c r="X93" i="29"/>
  <c r="X92" i="29"/>
  <c r="X91" i="29"/>
  <c r="X90" i="29"/>
  <c r="X89" i="29"/>
  <c r="X88" i="29"/>
  <c r="X87" i="29"/>
  <c r="X86" i="29"/>
  <c r="X85" i="29"/>
  <c r="X84" i="29"/>
  <c r="X81" i="29"/>
  <c r="X80" i="29"/>
  <c r="X79" i="29"/>
  <c r="X76" i="29"/>
  <c r="X75" i="29"/>
  <c r="X74" i="29"/>
  <c r="X73" i="29"/>
  <c r="X72" i="29"/>
  <c r="X71" i="29"/>
  <c r="X70" i="29"/>
  <c r="X69" i="29"/>
  <c r="X66" i="29"/>
  <c r="X63" i="29"/>
  <c r="X60" i="29"/>
  <c r="X57" i="29"/>
  <c r="X56" i="29"/>
  <c r="X55" i="29"/>
  <c r="X54" i="29"/>
  <c r="X53" i="29"/>
  <c r="X52" i="29"/>
  <c r="X50" i="29"/>
  <c r="X49" i="29"/>
  <c r="X48" i="29"/>
  <c r="X47" i="29"/>
  <c r="X46" i="29"/>
  <c r="X45" i="29"/>
  <c r="X44" i="29"/>
  <c r="X43" i="29"/>
  <c r="X42" i="29"/>
  <c r="X41" i="29"/>
  <c r="X39" i="29"/>
  <c r="X38" i="29"/>
  <c r="X37" i="29"/>
  <c r="X36" i="29"/>
  <c r="X35" i="29"/>
  <c r="X34" i="29"/>
  <c r="X33" i="29"/>
  <c r="X32" i="29"/>
  <c r="X31" i="29"/>
  <c r="X30" i="29"/>
  <c r="X29" i="29"/>
  <c r="X28" i="29"/>
  <c r="X27" i="29"/>
  <c r="X26" i="29"/>
  <c r="X25" i="29"/>
  <c r="X24" i="29"/>
  <c r="X23" i="29"/>
  <c r="X22" i="29"/>
  <c r="X21" i="29"/>
  <c r="X18" i="29"/>
  <c r="X17" i="29"/>
  <c r="X16" i="29"/>
  <c r="X15" i="29"/>
  <c r="X14" i="29"/>
  <c r="X13" i="29"/>
  <c r="X12" i="29"/>
  <c r="X11" i="29"/>
  <c r="X10" i="29"/>
  <c r="X9" i="29"/>
  <c r="X8" i="29"/>
  <c r="X7" i="29"/>
  <c r="X6" i="29"/>
  <c r="X4" i="29"/>
  <c r="AA4" i="29"/>
  <c r="X5" i="29"/>
  <c r="X1270" i="29"/>
  <c r="AK1681" i="22"/>
  <c r="AK1642" i="22"/>
  <c r="AK1641" i="22"/>
  <c r="AK1638" i="22"/>
  <c r="AK1637" i="22"/>
  <c r="AK1618" i="22"/>
  <c r="AK1617" i="22"/>
  <c r="AK1613" i="22"/>
  <c r="AK1562" i="22"/>
  <c r="AK1506" i="22"/>
  <c r="AK1505" i="22"/>
  <c r="AK1474" i="22"/>
  <c r="AK1473" i="22"/>
  <c r="AK1469" i="22"/>
  <c r="AK1466" i="22"/>
  <c r="AK1465" i="22"/>
  <c r="AK1458" i="22"/>
  <c r="AK1434" i="22"/>
  <c r="AK1433" i="22"/>
  <c r="AK1426" i="22"/>
  <c r="AK1425" i="22"/>
  <c r="AK1418" i="22"/>
  <c r="AK1417" i="22"/>
  <c r="AK1394" i="22"/>
  <c r="AK1393" i="22"/>
  <c r="AK1378" i="22"/>
  <c r="AK1377" i="22"/>
  <c r="AK1346" i="22"/>
  <c r="AK1330" i="22"/>
  <c r="AK1329" i="22"/>
  <c r="AK1266" i="22"/>
  <c r="AK1265" i="22"/>
  <c r="AK1242" i="22"/>
  <c r="AK1241" i="22"/>
  <c r="AK1233" i="22"/>
  <c r="AK1217" i="22"/>
  <c r="AK1202" i="22"/>
  <c r="AK1146" i="22"/>
  <c r="AK1145" i="22"/>
  <c r="AK1138" i="22"/>
  <c r="AK1130" i="22"/>
  <c r="AK1129" i="22"/>
  <c r="AK1090" i="22"/>
  <c r="AK1089" i="22"/>
  <c r="AK1074" i="22"/>
  <c r="AK1066" i="22"/>
  <c r="AK1065" i="22"/>
  <c r="AK1061" i="22"/>
  <c r="AK1042" i="22"/>
  <c r="AK1033" i="22"/>
  <c r="AK978" i="22"/>
  <c r="AK977" i="22"/>
  <c r="AK973" i="22"/>
  <c r="AK970" i="22"/>
  <c r="AK969" i="22"/>
  <c r="AK930" i="22"/>
  <c r="AK929" i="22"/>
  <c r="AK922" i="22"/>
  <c r="AK889" i="22"/>
  <c r="AK850" i="22"/>
  <c r="AK849" i="22"/>
  <c r="AK794" i="22"/>
  <c r="AK793" i="22"/>
  <c r="AK770" i="22"/>
  <c r="AK769" i="22"/>
  <c r="AK766" i="22"/>
  <c r="AK754" i="22"/>
  <c r="AK753" i="22"/>
  <c r="AK746" i="22"/>
  <c r="AK738" i="22"/>
  <c r="AK737" i="22"/>
  <c r="AK706" i="22"/>
  <c r="AK705" i="22"/>
  <c r="AK697" i="22"/>
  <c r="AK690" i="22"/>
  <c r="AK678" i="22"/>
  <c r="AK586" i="22"/>
  <c r="AK585" i="22"/>
  <c r="AK582" i="22"/>
  <c r="AK546" i="22"/>
  <c r="AK545" i="22"/>
  <c r="AK542" i="22"/>
  <c r="AK541" i="22"/>
  <c r="AK538" i="22"/>
  <c r="AK537" i="22"/>
  <c r="AK434" i="22"/>
  <c r="AK433" i="22"/>
  <c r="AK410" i="22"/>
  <c r="AK409" i="22"/>
  <c r="AK386" i="22"/>
  <c r="AK330" i="22"/>
  <c r="AK329" i="22"/>
  <c r="AK326" i="22"/>
  <c r="AK282" i="22"/>
  <c r="AK281" i="22"/>
  <c r="AK278" i="22"/>
  <c r="AK242" i="22"/>
  <c r="AK217" i="22"/>
  <c r="AK214" i="22"/>
  <c r="AK154" i="22"/>
  <c r="AK137" i="22"/>
  <c r="AK130" i="22"/>
  <c r="AK98" i="22"/>
  <c r="AK97" i="22"/>
  <c r="AK90" i="22"/>
  <c r="AK89" i="22"/>
  <c r="AK86" i="22"/>
  <c r="AK85" i="22"/>
  <c r="AK66" i="22"/>
  <c r="AK65" i="22"/>
  <c r="P41" i="13"/>
  <c r="N41" i="13"/>
  <c r="L41" i="13"/>
  <c r="J41" i="13"/>
  <c r="O34" i="1"/>
  <c r="N34" i="1"/>
  <c r="M34" i="1"/>
  <c r="L34" i="1"/>
  <c r="J1722" i="22"/>
  <c r="J1721" i="22"/>
  <c r="J1720" i="22"/>
  <c r="J1719" i="22"/>
  <c r="J1718" i="22"/>
  <c r="J1717" i="22"/>
  <c r="J1716" i="22"/>
  <c r="J1715" i="22"/>
  <c r="Q11" i="1"/>
  <c r="P11" i="1"/>
  <c r="O11" i="1"/>
  <c r="N11" i="1"/>
  <c r="M11" i="1"/>
  <c r="L11" i="1"/>
  <c r="K11" i="1"/>
  <c r="J11" i="1"/>
  <c r="I11" i="1"/>
  <c r="H11" i="1"/>
  <c r="G11" i="1"/>
  <c r="F11" i="1"/>
  <c r="E11" i="1"/>
  <c r="D11" i="1"/>
  <c r="AE29" i="15"/>
  <c r="AD29" i="15"/>
  <c r="AA29" i="15"/>
  <c r="Z29" i="15"/>
  <c r="AC29" i="15" s="1"/>
  <c r="W29" i="15"/>
  <c r="Y29" i="15"/>
  <c r="S29" i="15"/>
  <c r="U29" i="15"/>
  <c r="O29" i="15"/>
  <c r="Q29" i="15"/>
  <c r="K29" i="15"/>
  <c r="M29" i="15"/>
  <c r="G29" i="15"/>
  <c r="C29" i="15"/>
  <c r="P30" i="13"/>
  <c r="N30" i="13"/>
  <c r="L30" i="13"/>
  <c r="J30" i="13"/>
  <c r="I30" i="13"/>
  <c r="H30" i="13"/>
  <c r="G30" i="13"/>
  <c r="F30" i="13"/>
  <c r="D30" i="13"/>
  <c r="B30" i="13"/>
  <c r="AG29" i="15"/>
  <c r="M15" i="15"/>
  <c r="M37" i="15"/>
  <c r="AE21" i="15"/>
  <c r="AD21" i="15"/>
  <c r="AG21" i="15" s="1"/>
  <c r="AC21" i="15"/>
  <c r="R1721" i="22"/>
  <c r="R1642" i="22"/>
  <c r="R1639" i="22"/>
  <c r="R1640" i="22" s="1"/>
  <c r="R1638" i="22"/>
  <c r="R1637" i="22"/>
  <c r="R1636" i="22"/>
  <c r="R1635" i="22"/>
  <c r="R1615" i="22"/>
  <c r="R1616" i="22" s="1"/>
  <c r="R1614" i="22"/>
  <c r="R1613" i="22"/>
  <c r="R1612" i="22"/>
  <c r="R1611" i="22"/>
  <c r="R1472" i="22"/>
  <c r="R1470" i="22"/>
  <c r="R1469" i="22"/>
  <c r="R1466" i="22"/>
  <c r="R1463" i="22"/>
  <c r="R1464" i="22" s="1"/>
  <c r="R1462" i="22"/>
  <c r="R1461" i="22"/>
  <c r="R1460" i="22"/>
  <c r="R1459" i="22"/>
  <c r="R1426" i="22"/>
  <c r="R1266" i="22"/>
  <c r="R1264" i="22"/>
  <c r="R1130" i="22"/>
  <c r="R1127" i="22"/>
  <c r="R1128" i="22" s="1"/>
  <c r="R1126" i="22"/>
  <c r="R1125" i="22"/>
  <c r="R1124" i="22"/>
  <c r="R1123" i="22"/>
  <c r="R1088" i="22"/>
  <c r="R1066" i="22"/>
  <c r="R1060" i="22"/>
  <c r="R1059" i="22"/>
  <c r="R890" i="22"/>
  <c r="R888" i="22"/>
  <c r="R886" i="22"/>
  <c r="R885" i="22"/>
  <c r="R770" i="22"/>
  <c r="R768" i="22"/>
  <c r="R764" i="22"/>
  <c r="R763" i="22"/>
  <c r="R750" i="22"/>
  <c r="R749" i="22"/>
  <c r="R748" i="22"/>
  <c r="R747" i="22"/>
  <c r="R738" i="22"/>
  <c r="R735" i="22"/>
  <c r="R736" i="22"/>
  <c r="R732" i="22"/>
  <c r="R731" i="22"/>
  <c r="R608" i="22"/>
  <c r="R586" i="22"/>
  <c r="R583" i="22"/>
  <c r="R584" i="22"/>
  <c r="R582" i="22"/>
  <c r="R581" i="22"/>
  <c r="R580" i="22"/>
  <c r="R579" i="22"/>
  <c r="R546" i="22"/>
  <c r="R544" i="22"/>
  <c r="R542" i="22"/>
  <c r="R541" i="22"/>
  <c r="R534" i="22"/>
  <c r="R533" i="22"/>
  <c r="R434" i="22"/>
  <c r="R431" i="22"/>
  <c r="R432" i="22" s="1"/>
  <c r="R430" i="22"/>
  <c r="R429" i="22"/>
  <c r="R428" i="22"/>
  <c r="R1716" i="22" s="1"/>
  <c r="R427" i="22"/>
  <c r="R272" i="22"/>
  <c r="R270" i="22"/>
  <c r="R269" i="22"/>
  <c r="R268" i="22"/>
  <c r="R267" i="22"/>
  <c r="R1715" i="22" s="1"/>
  <c r="R154" i="22"/>
  <c r="R152" i="22"/>
  <c r="R150" i="22"/>
  <c r="R149" i="22"/>
  <c r="R148" i="22"/>
  <c r="R98" i="22"/>
  <c r="R96" i="22"/>
  <c r="R94" i="22"/>
  <c r="R1718" i="22" s="1"/>
  <c r="R93" i="22"/>
  <c r="R90" i="22"/>
  <c r="R87" i="22"/>
  <c r="H22" i="13"/>
  <c r="F22" i="13"/>
  <c r="D22" i="13"/>
  <c r="B22" i="13"/>
  <c r="R1722" i="22"/>
  <c r="R1717" i="22"/>
  <c r="R1719" i="22"/>
  <c r="R88" i="22"/>
  <c r="R1720" i="22" s="1"/>
  <c r="Q39" i="13"/>
  <c r="O39" i="13" s="1"/>
  <c r="P39" i="13"/>
  <c r="N39" i="13" s="1"/>
  <c r="B7" i="6"/>
  <c r="S1271" i="29"/>
  <c r="B5" i="6"/>
  <c r="AA34" i="15"/>
  <c r="AE34" i="15"/>
  <c r="AG34" i="15" s="1"/>
  <c r="W34" i="15"/>
  <c r="Y34" i="15" s="1"/>
  <c r="U34" i="15"/>
  <c r="K34" i="15"/>
  <c r="M34" i="15"/>
  <c r="G34" i="15"/>
  <c r="I34" i="15"/>
  <c r="E34" i="15"/>
  <c r="AE1722" i="22"/>
  <c r="AE1721" i="22"/>
  <c r="AE1464" i="22"/>
  <c r="AE1128" i="22"/>
  <c r="AE1064" i="22"/>
  <c r="AE920" i="22"/>
  <c r="AE919" i="22"/>
  <c r="AE776" i="22"/>
  <c r="AE768" i="22"/>
  <c r="AE767" i="22"/>
  <c r="AE766" i="22"/>
  <c r="AE765" i="22"/>
  <c r="AE764" i="22"/>
  <c r="AE763" i="22"/>
  <c r="AE1715" i="22"/>
  <c r="AE584" i="22"/>
  <c r="AE583" i="22"/>
  <c r="AE582" i="22"/>
  <c r="AE1718" i="22"/>
  <c r="AE581" i="22"/>
  <c r="AE536" i="22"/>
  <c r="AE1720" i="22" s="1"/>
  <c r="AE429" i="22"/>
  <c r="AE1717" i="22"/>
  <c r="AE151" i="22"/>
  <c r="AE148" i="22"/>
  <c r="AE1716" i="22" s="1"/>
  <c r="P35" i="13"/>
  <c r="N35" i="13"/>
  <c r="L35" i="13"/>
  <c r="J35" i="13"/>
  <c r="H35" i="13"/>
  <c r="F35" i="13"/>
  <c r="D35" i="13"/>
  <c r="B35" i="13"/>
  <c r="AE1719" i="22"/>
  <c r="O34" i="15"/>
  <c r="Q34" i="15" s="1"/>
  <c r="AC34" i="15"/>
  <c r="C29" i="6"/>
  <c r="D29" i="6"/>
  <c r="V1275" i="29"/>
  <c r="V1274" i="29"/>
  <c r="V1273" i="29"/>
  <c r="V1282" i="29"/>
  <c r="V1281" i="29"/>
  <c r="V1280" i="29"/>
  <c r="V1279" i="29"/>
  <c r="V1278" i="29"/>
  <c r="V1277" i="29"/>
  <c r="V1272" i="29"/>
  <c r="V1271" i="29"/>
  <c r="V1270" i="29"/>
  <c r="AD41" i="15"/>
  <c r="AG41" i="15"/>
  <c r="AA41" i="15"/>
  <c r="W41" i="15"/>
  <c r="V41" i="15"/>
  <c r="Y41" i="15"/>
  <c r="S41" i="15"/>
  <c r="R41" i="15"/>
  <c r="U41" i="15" s="1"/>
  <c r="O41" i="15"/>
  <c r="N41" i="15"/>
  <c r="Q41" i="15"/>
  <c r="K41" i="15"/>
  <c r="J41" i="15"/>
  <c r="M41" i="15" s="1"/>
  <c r="G41" i="15"/>
  <c r="F41" i="15"/>
  <c r="I41" i="15"/>
  <c r="C41" i="15"/>
  <c r="B41" i="15"/>
  <c r="E41" i="15" s="1"/>
  <c r="AM1490" i="22"/>
  <c r="AM1489" i="22"/>
  <c r="AM1488" i="22"/>
  <c r="AM1487" i="22"/>
  <c r="AM1486" i="22"/>
  <c r="AM1485" i="22"/>
  <c r="AM1484" i="22"/>
  <c r="AM1483" i="22"/>
  <c r="AL1722" i="22"/>
  <c r="AL1721" i="22"/>
  <c r="AL1720" i="22"/>
  <c r="AL1719" i="22"/>
  <c r="AL1718" i="22"/>
  <c r="AL1717" i="22"/>
  <c r="AL1716" i="22"/>
  <c r="AL1715" i="22"/>
  <c r="N42" i="13"/>
  <c r="L42" i="13"/>
  <c r="J42" i="13"/>
  <c r="H42" i="13"/>
  <c r="F42" i="13"/>
  <c r="D42" i="13"/>
  <c r="B42" i="13"/>
  <c r="P35" i="1"/>
  <c r="O35" i="1"/>
  <c r="N35" i="1"/>
  <c r="M35" i="1"/>
  <c r="L35" i="1"/>
  <c r="K35" i="1"/>
  <c r="J35" i="1"/>
  <c r="I35" i="1"/>
  <c r="H35" i="1"/>
  <c r="G35" i="1"/>
  <c r="F35" i="1"/>
  <c r="E35" i="1"/>
  <c r="D35" i="1"/>
  <c r="C35" i="1"/>
  <c r="B35" i="1"/>
  <c r="D13" i="6"/>
  <c r="L1282" i="29"/>
  <c r="L1281" i="29"/>
  <c r="L1280" i="29"/>
  <c r="L1279" i="29"/>
  <c r="L1278" i="29"/>
  <c r="L1277" i="29"/>
  <c r="L1275" i="29"/>
  <c r="L1274" i="29"/>
  <c r="L1272" i="29"/>
  <c r="L1271" i="29"/>
  <c r="L1270" i="29"/>
  <c r="L1237" i="29"/>
  <c r="L1219" i="29"/>
  <c r="L1213" i="29"/>
  <c r="L1201" i="29"/>
  <c r="L1153" i="29"/>
  <c r="L1081" i="29"/>
  <c r="L973" i="29"/>
  <c r="L967" i="29"/>
  <c r="L961" i="29"/>
  <c r="L919" i="29"/>
  <c r="L895" i="29"/>
  <c r="L889" i="29"/>
  <c r="L877" i="29"/>
  <c r="L829" i="29"/>
  <c r="L805" i="29"/>
  <c r="L739" i="29"/>
  <c r="L571" i="29"/>
  <c r="L505" i="29"/>
  <c r="L493" i="29"/>
  <c r="L487" i="29"/>
  <c r="L469" i="29"/>
  <c r="L463" i="29"/>
  <c r="L415" i="29"/>
  <c r="L361" i="29"/>
  <c r="L349" i="29"/>
  <c r="L343" i="29"/>
  <c r="L337" i="29"/>
  <c r="L289" i="29"/>
  <c r="L271" i="29"/>
  <c r="L247" i="29"/>
  <c r="L235" i="29"/>
  <c r="L205" i="29"/>
  <c r="L151" i="29"/>
  <c r="L133" i="29"/>
  <c r="L115" i="29"/>
  <c r="L97" i="29"/>
  <c r="L79" i="29"/>
  <c r="L43" i="29"/>
  <c r="L37" i="29"/>
  <c r="AE20" i="15"/>
  <c r="AD20" i="15"/>
  <c r="AG20" i="15" s="1"/>
  <c r="AC20" i="15"/>
  <c r="P21" i="13"/>
  <c r="Q18" i="1"/>
  <c r="P18" i="1"/>
  <c r="AE13" i="15"/>
  <c r="AD13" i="15"/>
  <c r="AG13" i="15" s="1"/>
  <c r="AC13" i="15"/>
  <c r="W13" i="15"/>
  <c r="V13" i="15"/>
  <c r="Y13" i="15"/>
  <c r="U13" i="15"/>
  <c r="O13" i="15"/>
  <c r="N13" i="15"/>
  <c r="M13" i="15"/>
  <c r="G13" i="15"/>
  <c r="F13" i="15"/>
  <c r="I13" i="15" s="1"/>
  <c r="E13" i="15"/>
  <c r="AC41" i="15"/>
  <c r="L1273" i="29"/>
  <c r="Q13" i="15"/>
  <c r="AG32" i="15"/>
  <c r="AC32" i="15"/>
  <c r="AC1722" i="22"/>
  <c r="AC1721" i="22"/>
  <c r="AC1718" i="22"/>
  <c r="AC1717" i="22"/>
  <c r="AC1716" i="22"/>
  <c r="AC1715" i="22"/>
  <c r="AM1625" i="22"/>
  <c r="AM178" i="22"/>
  <c r="AM177" i="22"/>
  <c r="AM176" i="22"/>
  <c r="AM175" i="22"/>
  <c r="AM174" i="22"/>
  <c r="AM173" i="22"/>
  <c r="AM172" i="22"/>
  <c r="AM171" i="22"/>
  <c r="AC1672" i="22"/>
  <c r="AC1640" i="22"/>
  <c r="AC1639" i="22"/>
  <c r="AC1616" i="22"/>
  <c r="AC1615" i="22"/>
  <c r="AC1608" i="22"/>
  <c r="AC1560" i="22"/>
  <c r="AC1559" i="22"/>
  <c r="AC1551" i="22"/>
  <c r="AC1472" i="22"/>
  <c r="AC1471" i="22"/>
  <c r="AC1464" i="22"/>
  <c r="AC1463" i="22"/>
  <c r="AC1424" i="22"/>
  <c r="AC1423" i="22"/>
  <c r="AC1392" i="22"/>
  <c r="AC1376" i="22"/>
  <c r="AC1328" i="22"/>
  <c r="AC1264" i="22"/>
  <c r="AC1240" i="22"/>
  <c r="AC1239" i="22"/>
  <c r="AC1232" i="22"/>
  <c r="AC1216" i="22"/>
  <c r="AC1207" i="22"/>
  <c r="AC1192" i="22"/>
  <c r="AC1168" i="22"/>
  <c r="AC1128" i="22"/>
  <c r="AC1127" i="22"/>
  <c r="AC1088" i="22"/>
  <c r="AC1064" i="22"/>
  <c r="AC1063" i="22"/>
  <c r="AC1016" i="22"/>
  <c r="AC1015" i="22"/>
  <c r="AC992" i="22"/>
  <c r="AC991" i="22"/>
  <c r="AC976" i="22"/>
  <c r="AC975" i="22"/>
  <c r="AC903" i="22"/>
  <c r="AC888" i="22"/>
  <c r="AC872" i="22"/>
  <c r="AC871" i="22"/>
  <c r="AC768" i="22"/>
  <c r="AC767" i="22"/>
  <c r="AC752" i="22"/>
  <c r="AC751" i="22"/>
  <c r="AC736" i="22"/>
  <c r="AC735" i="22"/>
  <c r="AC704" i="22"/>
  <c r="AC703" i="22"/>
  <c r="AC688" i="22"/>
  <c r="AC608" i="22"/>
  <c r="AC584" i="22"/>
  <c r="AC583" i="22"/>
  <c r="AC544" i="22"/>
  <c r="AC543" i="22"/>
  <c r="AC536" i="22"/>
  <c r="AC432" i="22"/>
  <c r="AC431" i="22"/>
  <c r="AC408" i="22"/>
  <c r="AC384" i="22"/>
  <c r="AC336" i="22"/>
  <c r="AC335" i="22"/>
  <c r="AC328" i="22"/>
  <c r="AC280" i="22"/>
  <c r="AC279" i="22"/>
  <c r="AC216" i="22"/>
  <c r="AC215" i="22"/>
  <c r="AC192" i="22"/>
  <c r="AC152" i="22"/>
  <c r="AC151" i="22"/>
  <c r="AC1719" i="22" s="1"/>
  <c r="AC120" i="22"/>
  <c r="AC96" i="22"/>
  <c r="AC95" i="22"/>
  <c r="AC88" i="22"/>
  <c r="AC87" i="22"/>
  <c r="D18" i="6"/>
  <c r="Y936" i="37"/>
  <c r="AA1280" i="37"/>
  <c r="Y1109" i="37"/>
  <c r="Y935" i="37"/>
  <c r="Y809" i="37"/>
  <c r="Y245" i="37"/>
  <c r="AA7" i="29"/>
  <c r="Y863" i="37"/>
  <c r="Y862" i="37"/>
  <c r="Y857" i="37"/>
  <c r="Y856" i="37"/>
  <c r="Y563" i="37"/>
  <c r="Y562" i="37"/>
  <c r="Y557" i="37"/>
  <c r="Y556" i="37"/>
  <c r="Y323" i="37"/>
  <c r="Y322" i="37"/>
  <c r="Y107" i="37"/>
  <c r="Y106" i="37"/>
  <c r="AC1720" i="22"/>
  <c r="O1275" i="29"/>
  <c r="P1275" i="29"/>
  <c r="O1274" i="29"/>
  <c r="P1274" i="29"/>
  <c r="O1273" i="29"/>
  <c r="P1273" i="29"/>
  <c r="O1272" i="29"/>
  <c r="P1272" i="29"/>
  <c r="O1271" i="29"/>
  <c r="P1271" i="29"/>
  <c r="O1270" i="29"/>
  <c r="P1270" i="29"/>
  <c r="O192" i="3"/>
  <c r="Q21" i="2"/>
  <c r="P21" i="2"/>
  <c r="AD25" i="15"/>
  <c r="AA25" i="15"/>
  <c r="AC25" i="15" s="1"/>
  <c r="AE25" i="15" s="1"/>
  <c r="AG25" i="15" s="1"/>
  <c r="R25" i="15"/>
  <c r="V25" i="15" s="1"/>
  <c r="V1641" i="22"/>
  <c r="V1642" i="22" s="1"/>
  <c r="V1639" i="22"/>
  <c r="V1640" i="22" s="1"/>
  <c r="V1637" i="22"/>
  <c r="V1638" i="22" s="1"/>
  <c r="V1635" i="22"/>
  <c r="V1636" i="22" s="1"/>
  <c r="V1617" i="22"/>
  <c r="V1618" i="22" s="1"/>
  <c r="V1615" i="22"/>
  <c r="V1616" i="22" s="1"/>
  <c r="V1613" i="22"/>
  <c r="V1614" i="22" s="1"/>
  <c r="V1611" i="22"/>
  <c r="V1612" i="22" s="1"/>
  <c r="V1602" i="22"/>
  <c r="V1560" i="22"/>
  <c r="V1514" i="22"/>
  <c r="V1474" i="22"/>
  <c r="V1471" i="22"/>
  <c r="V1472" i="22" s="1"/>
  <c r="V1469" i="22"/>
  <c r="V1470" i="22" s="1"/>
  <c r="V1467" i="22"/>
  <c r="V1468" i="22" s="1"/>
  <c r="V1465" i="22"/>
  <c r="V1466" i="22" s="1"/>
  <c r="V1463" i="22"/>
  <c r="V1464" i="22" s="1"/>
  <c r="V1461" i="22"/>
  <c r="V1462" i="22" s="1"/>
  <c r="V1459" i="22"/>
  <c r="V1460" i="22" s="1"/>
  <c r="V1425" i="22"/>
  <c r="V1426" i="22" s="1"/>
  <c r="V1423" i="22"/>
  <c r="V1424" i="22" s="1"/>
  <c r="V1421" i="22"/>
  <c r="V1422" i="22" s="1"/>
  <c r="V1420" i="22"/>
  <c r="V1415" i="22"/>
  <c r="V1385" i="22"/>
  <c r="V1386" i="22" s="1"/>
  <c r="V1383" i="22"/>
  <c r="V1384" i="22" s="1"/>
  <c r="V1257" i="22"/>
  <c r="V1258" i="22" s="1"/>
  <c r="V1256" i="22"/>
  <c r="V1215" i="22"/>
  <c r="V1211" i="22"/>
  <c r="V1212" i="22" s="1"/>
  <c r="V1208" i="22"/>
  <c r="V1129" i="22"/>
  <c r="V1130" i="22"/>
  <c r="V1127" i="22"/>
  <c r="V1128" i="22"/>
  <c r="V1125" i="22"/>
  <c r="V1126" i="22"/>
  <c r="V1123" i="22"/>
  <c r="V1124" i="22"/>
  <c r="V1089" i="22"/>
  <c r="V1090" i="22"/>
  <c r="V1087" i="22"/>
  <c r="V1088" i="22"/>
  <c r="V1085" i="22"/>
  <c r="V1086" i="22"/>
  <c r="V1084" i="22"/>
  <c r="V1065" i="22"/>
  <c r="V1066" i="22" s="1"/>
  <c r="V1063" i="22"/>
  <c r="V1064" i="22" s="1"/>
  <c r="V1061" i="22"/>
  <c r="V1062" i="22" s="1"/>
  <c r="V1059" i="22"/>
  <c r="V1060" i="22" s="1"/>
  <c r="V992" i="22"/>
  <c r="V945" i="22"/>
  <c r="V946" i="22"/>
  <c r="V943" i="22"/>
  <c r="V889" i="22"/>
  <c r="V887" i="22"/>
  <c r="V888" i="22"/>
  <c r="V833" i="22"/>
  <c r="V834" i="22"/>
  <c r="V831" i="22"/>
  <c r="V832" i="22"/>
  <c r="V769" i="22"/>
  <c r="V770" i="22"/>
  <c r="V767" i="22"/>
  <c r="V768" i="22"/>
  <c r="V765" i="22"/>
  <c r="V766" i="22"/>
  <c r="V763" i="22"/>
  <c r="V764" i="22"/>
  <c r="V753" i="22"/>
  <c r="V754" i="22"/>
  <c r="V751" i="22"/>
  <c r="V750" i="22"/>
  <c r="V749" i="22"/>
  <c r="V747" i="22"/>
  <c r="V748" i="22" s="1"/>
  <c r="V737" i="22"/>
  <c r="V738" i="22" s="1"/>
  <c r="V735" i="22"/>
  <c r="V736" i="22" s="1"/>
  <c r="V733" i="22"/>
  <c r="V734" i="22" s="1"/>
  <c r="V731" i="22"/>
  <c r="V697" i="22"/>
  <c r="V698" i="22"/>
  <c r="V695" i="22"/>
  <c r="V696" i="22"/>
  <c r="V691" i="22"/>
  <c r="V689" i="22"/>
  <c r="V690" i="22" s="1"/>
  <c r="V687" i="22"/>
  <c r="V688" i="22" s="1"/>
  <c r="V608" i="22"/>
  <c r="V604" i="22"/>
  <c r="V585" i="22"/>
  <c r="V586" i="22" s="1"/>
  <c r="V583" i="22"/>
  <c r="V584" i="22" s="1"/>
  <c r="V581" i="22"/>
  <c r="V582" i="22" s="1"/>
  <c r="V579" i="22"/>
  <c r="V580" i="22" s="1"/>
  <c r="V545" i="22"/>
  <c r="V546" i="22" s="1"/>
  <c r="V543" i="22"/>
  <c r="V544" i="22" s="1"/>
  <c r="V541" i="22"/>
  <c r="V542" i="22" s="1"/>
  <c r="V540" i="22"/>
  <c r="V537" i="22"/>
  <c r="V538" i="22"/>
  <c r="V535" i="22"/>
  <c r="V536" i="22"/>
  <c r="V533" i="22"/>
  <c r="V534" i="22"/>
  <c r="V531" i="22"/>
  <c r="V532" i="22"/>
  <c r="V503" i="22"/>
  <c r="V504" i="22"/>
  <c r="V433" i="22"/>
  <c r="V434" i="22"/>
  <c r="V431" i="22"/>
  <c r="V432" i="22"/>
  <c r="V429" i="22"/>
  <c r="V430" i="22"/>
  <c r="V427" i="22"/>
  <c r="V428" i="22"/>
  <c r="V407" i="22"/>
  <c r="V408" i="22"/>
  <c r="V281" i="22"/>
  <c r="V282" i="22"/>
  <c r="V279" i="22"/>
  <c r="V280" i="22"/>
  <c r="V277" i="22"/>
  <c r="V278" i="22"/>
  <c r="V275" i="22"/>
  <c r="V276" i="22"/>
  <c r="V153" i="22"/>
  <c r="V154" i="22"/>
  <c r="V151" i="22"/>
  <c r="V152" i="22"/>
  <c r="V150" i="22"/>
  <c r="V148" i="22"/>
  <c r="V97" i="22"/>
  <c r="V98" i="22"/>
  <c r="V95" i="22"/>
  <c r="V96" i="22"/>
  <c r="V94" i="22"/>
  <c r="V92" i="22"/>
  <c r="V89" i="22"/>
  <c r="V87" i="22"/>
  <c r="V1719" i="22" s="1"/>
  <c r="V85" i="22"/>
  <c r="V84" i="22"/>
  <c r="N26" i="13"/>
  <c r="P26" i="13"/>
  <c r="J26" i="13"/>
  <c r="L26" i="13"/>
  <c r="G37" i="15"/>
  <c r="C37" i="15"/>
  <c r="AG37" i="15"/>
  <c r="AC37" i="15"/>
  <c r="V1721" i="22"/>
  <c r="V1715" i="22"/>
  <c r="V86" i="22"/>
  <c r="V1718" i="22" s="1"/>
  <c r="V88" i="22"/>
  <c r="V90" i="22"/>
  <c r="V1722" i="22" s="1"/>
  <c r="S25" i="15"/>
  <c r="AH1722" i="22"/>
  <c r="AH1721" i="22"/>
  <c r="AH1720" i="22"/>
  <c r="AH1719" i="22"/>
  <c r="AH1718" i="22"/>
  <c r="AH1717" i="22"/>
  <c r="AH1716" i="22"/>
  <c r="AH1715" i="22"/>
  <c r="D21" i="6"/>
  <c r="AG28" i="15"/>
  <c r="AC28" i="15"/>
  <c r="Y1722" i="22"/>
  <c r="Y1721" i="22"/>
  <c r="Y1720" i="22"/>
  <c r="Y1719" i="22"/>
  <c r="Y1718" i="22"/>
  <c r="Y1717" i="22"/>
  <c r="Y1716" i="22"/>
  <c r="Y1715" i="22"/>
  <c r="P29" i="13"/>
  <c r="N29" i="13"/>
  <c r="L29" i="13"/>
  <c r="J29" i="13"/>
  <c r="Z1722" i="22"/>
  <c r="Z1721" i="22"/>
  <c r="Z1720" i="22"/>
  <c r="Z1719" i="22"/>
  <c r="Z1718" i="22"/>
  <c r="Z1717" i="22"/>
  <c r="Z1716" i="22"/>
  <c r="Z1715" i="22"/>
  <c r="Q27" i="1"/>
  <c r="P27" i="1"/>
  <c r="B4" i="6"/>
  <c r="D4" i="6"/>
  <c r="D1272" i="29"/>
  <c r="D1211" i="29"/>
  <c r="D1147" i="29"/>
  <c r="D967" i="29"/>
  <c r="D895" i="29"/>
  <c r="D740" i="29"/>
  <c r="D739" i="29"/>
  <c r="D566" i="29"/>
  <c r="D565" i="29"/>
  <c r="D542" i="29"/>
  <c r="D541" i="29"/>
  <c r="D530" i="29"/>
  <c r="D529" i="29"/>
  <c r="D517" i="29"/>
  <c r="D458" i="29"/>
  <c r="D457" i="29"/>
  <c r="D446" i="29"/>
  <c r="D445" i="29"/>
  <c r="D410" i="29"/>
  <c r="D409" i="29"/>
  <c r="D345" i="29"/>
  <c r="D1275" i="29"/>
  <c r="D269" i="29"/>
  <c r="D268" i="29"/>
  <c r="D247" i="29"/>
  <c r="D242" i="29"/>
  <c r="D241" i="29"/>
  <c r="D235" i="29"/>
  <c r="D232" i="29"/>
  <c r="D209" i="29"/>
  <c r="D206" i="29"/>
  <c r="D205" i="29"/>
  <c r="D199" i="29"/>
  <c r="D124" i="29"/>
  <c r="D97" i="29"/>
  <c r="D94" i="29"/>
  <c r="D44" i="29"/>
  <c r="D43" i="29"/>
  <c r="D8" i="29"/>
  <c r="D7" i="29"/>
  <c r="AE7" i="15"/>
  <c r="AD7" i="15"/>
  <c r="AA7" i="15"/>
  <c r="Z7" i="15"/>
  <c r="AG6" i="15"/>
  <c r="C1722" i="22"/>
  <c r="C1721" i="22"/>
  <c r="D1720" i="22"/>
  <c r="C1720" i="22"/>
  <c r="D1719" i="22"/>
  <c r="C1719" i="22"/>
  <c r="D1718" i="22"/>
  <c r="C1718" i="22"/>
  <c r="D1717" i="22"/>
  <c r="C1717" i="22"/>
  <c r="D1716" i="22"/>
  <c r="C1716" i="22"/>
  <c r="D1715" i="22"/>
  <c r="C1715" i="22"/>
  <c r="D402" i="22"/>
  <c r="D1722" i="22" s="1"/>
  <c r="D401" i="22"/>
  <c r="D1721" i="22" s="1"/>
  <c r="N7" i="13"/>
  <c r="P7" i="13" s="1"/>
  <c r="Q5" i="1"/>
  <c r="P5" i="1"/>
  <c r="O5" i="1"/>
  <c r="N5" i="1"/>
  <c r="C11" i="6"/>
  <c r="B11" i="6"/>
  <c r="D11" i="6"/>
  <c r="AA6" i="29"/>
  <c r="J1275" i="29"/>
  <c r="J1274" i="29"/>
  <c r="J1273" i="29"/>
  <c r="J1272" i="29"/>
  <c r="J1271" i="29"/>
  <c r="J1270" i="29"/>
  <c r="Q14" i="2"/>
  <c r="P14" i="2"/>
  <c r="AG16" i="15"/>
  <c r="AC16" i="15"/>
  <c r="M1722" i="22"/>
  <c r="M1721" i="22"/>
  <c r="M1719" i="22"/>
  <c r="M1715" i="22"/>
  <c r="M1638" i="22"/>
  <c r="M1614" i="22"/>
  <c r="M1613" i="22"/>
  <c r="M1328" i="22"/>
  <c r="M1720" i="22"/>
  <c r="M1238" i="22"/>
  <c r="M1237" i="22"/>
  <c r="M1198" i="22"/>
  <c r="M1126" i="22"/>
  <c r="M1125" i="22"/>
  <c r="M1062" i="22"/>
  <c r="M765" i="22"/>
  <c r="M581" i="22"/>
  <c r="M580" i="22"/>
  <c r="M542" i="22"/>
  <c r="M1718" i="22" s="1"/>
  <c r="M541" i="22"/>
  <c r="M277" i="22"/>
  <c r="M1717" i="22" s="1"/>
  <c r="M276" i="22"/>
  <c r="M1716" i="22"/>
  <c r="T1282" i="29"/>
  <c r="T1281" i="29"/>
  <c r="T1280" i="29"/>
  <c r="T1279" i="29"/>
  <c r="T1278" i="29"/>
  <c r="T1277" i="29"/>
  <c r="T1275" i="29"/>
  <c r="T1274" i="29"/>
  <c r="T1273" i="29"/>
  <c r="T1272" i="29"/>
  <c r="T1271" i="29"/>
  <c r="T1270" i="29"/>
  <c r="AG39" i="15"/>
  <c r="AC39" i="15"/>
  <c r="AJ1722" i="22"/>
  <c r="AJ1721" i="22"/>
  <c r="AJ1720" i="22"/>
  <c r="AJ1719" i="22"/>
  <c r="AJ1718" i="22"/>
  <c r="AJ1717" i="22"/>
  <c r="AJ1716" i="22"/>
  <c r="AJ1715" i="22"/>
  <c r="D1273" i="29"/>
  <c r="D1270" i="29"/>
  <c r="D1271" i="29"/>
  <c r="D1274" i="29"/>
  <c r="Y1283" i="29"/>
  <c r="C28" i="6"/>
  <c r="B28" i="6"/>
  <c r="D28" i="6"/>
  <c r="U1282" i="29"/>
  <c r="U1280" i="29"/>
  <c r="U1279" i="29"/>
  <c r="U1278" i="29"/>
  <c r="U1277" i="29"/>
  <c r="U1274" i="29"/>
  <c r="U1272" i="29"/>
  <c r="U1270" i="29"/>
  <c r="U1275" i="29"/>
  <c r="U1273" i="29"/>
  <c r="U1271" i="29"/>
  <c r="Q27" i="2"/>
  <c r="P27" i="2"/>
  <c r="AE40" i="15"/>
  <c r="AD40" i="15"/>
  <c r="AG40" i="15"/>
  <c r="AA40" i="15"/>
  <c r="Z40" i="15"/>
  <c r="AC40" i="15" s="1"/>
  <c r="P34" i="1"/>
  <c r="Q34" i="1" s="1"/>
  <c r="D26" i="6"/>
  <c r="Z1270" i="29"/>
  <c r="AA9" i="29"/>
  <c r="S1282" i="29"/>
  <c r="S1281" i="29"/>
  <c r="S1280" i="29"/>
  <c r="S1279" i="29"/>
  <c r="S1278" i="29"/>
  <c r="S1277" i="29"/>
  <c r="S1274" i="29"/>
  <c r="S1273" i="29"/>
  <c r="S1272" i="29"/>
  <c r="S1270" i="29"/>
  <c r="S1275" i="29"/>
  <c r="AE38" i="15"/>
  <c r="AD38" i="15"/>
  <c r="AG38" i="15"/>
  <c r="AC38" i="15"/>
  <c r="AI1722" i="22"/>
  <c r="AI1721" i="22"/>
  <c r="AI1718" i="22"/>
  <c r="AI1717" i="22"/>
  <c r="AI1716" i="22"/>
  <c r="AI1715" i="22"/>
  <c r="AI1720" i="22"/>
  <c r="D20" i="6"/>
  <c r="AE27" i="15"/>
  <c r="Z27" i="15"/>
  <c r="AC27" i="15" s="1"/>
  <c r="X1706" i="22"/>
  <c r="X1719" i="22"/>
  <c r="X1721" i="22"/>
  <c r="X1717" i="22"/>
  <c r="X1715" i="22"/>
  <c r="T28" i="13"/>
  <c r="R28" i="13"/>
  <c r="N28" i="13"/>
  <c r="P28" i="13"/>
  <c r="J28" i="13"/>
  <c r="L28" i="13"/>
  <c r="F28" i="13"/>
  <c r="H28" i="13"/>
  <c r="Q25" i="1"/>
  <c r="D6" i="6"/>
  <c r="F1282" i="29"/>
  <c r="F1281" i="29"/>
  <c r="F1280" i="29"/>
  <c r="F1279" i="29"/>
  <c r="F1278" i="29"/>
  <c r="F1277" i="29"/>
  <c r="F1275" i="29"/>
  <c r="F1274" i="29"/>
  <c r="F1273" i="29"/>
  <c r="F1272" i="29"/>
  <c r="F1271" i="29"/>
  <c r="F1270" i="29"/>
  <c r="AG9" i="15"/>
  <c r="AC9" i="15"/>
  <c r="F1722" i="22"/>
  <c r="F1721" i="22"/>
  <c r="F1720" i="22"/>
  <c r="F1719" i="22"/>
  <c r="F1718" i="22"/>
  <c r="F1717" i="22"/>
  <c r="F1716" i="22"/>
  <c r="F1715" i="22"/>
  <c r="D23" i="6"/>
  <c r="Q1282" i="29"/>
  <c r="Q1281" i="29"/>
  <c r="Q1280" i="29"/>
  <c r="Q1279" i="29"/>
  <c r="Q1278" i="29"/>
  <c r="Q1277" i="29"/>
  <c r="Q1275" i="29"/>
  <c r="Q1274" i="29"/>
  <c r="Q1273" i="29"/>
  <c r="Q1272" i="29"/>
  <c r="Q1271" i="29"/>
  <c r="Q1270" i="29"/>
  <c r="AG30" i="15"/>
  <c r="AC30" i="15"/>
  <c r="AA1722" i="22"/>
  <c r="AA1721" i="22"/>
  <c r="AA1716" i="22"/>
  <c r="AA1715" i="22"/>
  <c r="AA1616" i="22"/>
  <c r="AA1615" i="22"/>
  <c r="AA1560" i="22"/>
  <c r="AA1423" i="22"/>
  <c r="AA1392" i="22"/>
  <c r="AA1390" i="22"/>
  <c r="AA1328" i="22"/>
  <c r="AA1240" i="22"/>
  <c r="AA1216" i="22"/>
  <c r="AA1208" i="22"/>
  <c r="AA1128" i="22"/>
  <c r="AA1127" i="22"/>
  <c r="AA1126" i="22"/>
  <c r="AA1125" i="22"/>
  <c r="AA1109" i="22"/>
  <c r="AA1064" i="22"/>
  <c r="AA973" i="22"/>
  <c r="AA967" i="22"/>
  <c r="AA888" i="22"/>
  <c r="AA887" i="22"/>
  <c r="AA885" i="22"/>
  <c r="AA808" i="22"/>
  <c r="AA807" i="22"/>
  <c r="AA805" i="22"/>
  <c r="AA768" i="22"/>
  <c r="AA767" i="22"/>
  <c r="AA766" i="22"/>
  <c r="AA765" i="22"/>
  <c r="AA752" i="22"/>
  <c r="AA751" i="22"/>
  <c r="AA750" i="22"/>
  <c r="AA749" i="22"/>
  <c r="AA736" i="22"/>
  <c r="AA711" i="22"/>
  <c r="AA704" i="22"/>
  <c r="AA703" i="22"/>
  <c r="AA701" i="22"/>
  <c r="AA686" i="22"/>
  <c r="AA685" i="22"/>
  <c r="AA606" i="22"/>
  <c r="AA605" i="22"/>
  <c r="AA583" i="22"/>
  <c r="AA582" i="22"/>
  <c r="AA581" i="22"/>
  <c r="AA544" i="22"/>
  <c r="AA543" i="22"/>
  <c r="AA542" i="22"/>
  <c r="AA536" i="22"/>
  <c r="AA535" i="22"/>
  <c r="AA534" i="22"/>
  <c r="AA533" i="22"/>
  <c r="AA432" i="22"/>
  <c r="AA430" i="22"/>
  <c r="AA429" i="22"/>
  <c r="AA407" i="22"/>
  <c r="AA405" i="22"/>
  <c r="AA391" i="22"/>
  <c r="AA334" i="22"/>
  <c r="AA333" i="22"/>
  <c r="AA1717" i="22" s="1"/>
  <c r="AA328" i="22"/>
  <c r="AA327" i="22"/>
  <c r="AA215" i="22"/>
  <c r="AA152" i="22"/>
  <c r="AA117" i="22"/>
  <c r="AA96" i="22"/>
  <c r="AA1720" i="22" s="1"/>
  <c r="AA95" i="22"/>
  <c r="C10" i="6"/>
  <c r="D10" i="6" s="1"/>
  <c r="I1282" i="29"/>
  <c r="I1281" i="29"/>
  <c r="I1280" i="29"/>
  <c r="I1279" i="29"/>
  <c r="I1278" i="29"/>
  <c r="I1277" i="29"/>
  <c r="I1273" i="29"/>
  <c r="I1270" i="29"/>
  <c r="I1265" i="29"/>
  <c r="I1247" i="29"/>
  <c r="I1235" i="29"/>
  <c r="I1211" i="29"/>
  <c r="I1103" i="29"/>
  <c r="I1077" i="29"/>
  <c r="I1073" i="29"/>
  <c r="I1017" i="29"/>
  <c r="I1013" i="29"/>
  <c r="I1011" i="29"/>
  <c r="I1007" i="29"/>
  <c r="I971" i="29"/>
  <c r="I953" i="29"/>
  <c r="I929" i="29"/>
  <c r="I875" i="29"/>
  <c r="I863" i="29"/>
  <c r="I833" i="29"/>
  <c r="I765" i="29"/>
  <c r="I761" i="29"/>
  <c r="I737" i="29"/>
  <c r="I725" i="29"/>
  <c r="I707" i="29"/>
  <c r="I633" i="29"/>
  <c r="I629" i="29"/>
  <c r="I605" i="29"/>
  <c r="I563" i="29"/>
  <c r="I549" i="29"/>
  <c r="I545" i="29"/>
  <c r="I543" i="29"/>
  <c r="I539" i="29"/>
  <c r="I495" i="29"/>
  <c r="I491" i="29"/>
  <c r="I477" i="29"/>
  <c r="I473" i="29"/>
  <c r="I461" i="29"/>
  <c r="I455" i="29"/>
  <c r="I449" i="29"/>
  <c r="I363" i="29"/>
  <c r="I359" i="29"/>
  <c r="I351" i="29"/>
  <c r="I347" i="29"/>
  <c r="I287" i="29"/>
  <c r="I270" i="29"/>
  <c r="I243" i="29"/>
  <c r="I239" i="29"/>
  <c r="I237" i="29"/>
  <c r="I233" i="29"/>
  <c r="I197" i="29"/>
  <c r="I1271" i="29" s="1"/>
  <c r="I150" i="29"/>
  <c r="I1272" i="29"/>
  <c r="I149" i="29"/>
  <c r="I135" i="29"/>
  <c r="I1275" i="29" s="1"/>
  <c r="I110" i="29"/>
  <c r="U1281" i="29" s="1"/>
  <c r="AG15" i="15"/>
  <c r="AC15" i="15"/>
  <c r="L1722" i="22"/>
  <c r="L1721" i="22"/>
  <c r="L1720" i="22"/>
  <c r="L1719" i="22"/>
  <c r="L1718" i="22"/>
  <c r="L1717" i="22"/>
  <c r="L1716" i="22"/>
  <c r="L1715" i="22"/>
  <c r="D17" i="6"/>
  <c r="M1282" i="29"/>
  <c r="M1281" i="29"/>
  <c r="M1280" i="29"/>
  <c r="M1279" i="29"/>
  <c r="M1278" i="29"/>
  <c r="M1277" i="29"/>
  <c r="M1275" i="29"/>
  <c r="M1274" i="29"/>
  <c r="M1273" i="29"/>
  <c r="M1272" i="29"/>
  <c r="M1271" i="29"/>
  <c r="M1270" i="29"/>
  <c r="AG24" i="15"/>
  <c r="AC24" i="15"/>
  <c r="U1722" i="22"/>
  <c r="U1721" i="22"/>
  <c r="U1720" i="22"/>
  <c r="U1719" i="22"/>
  <c r="U1718" i="22"/>
  <c r="U1717" i="22"/>
  <c r="U1716" i="22"/>
  <c r="U1715" i="22"/>
  <c r="AA1719" i="22"/>
  <c r="AA1718" i="22"/>
  <c r="I1274" i="29"/>
  <c r="AI1719" i="22"/>
  <c r="AD27" i="15"/>
  <c r="AG27" i="15" s="1"/>
  <c r="X1722" i="22"/>
  <c r="X1716" i="22"/>
  <c r="X1718" i="22"/>
  <c r="X1720" i="22"/>
  <c r="D14" i="6"/>
  <c r="Q19" i="1"/>
  <c r="P19" i="1"/>
  <c r="D12" i="6"/>
  <c r="D24" i="6"/>
  <c r="AG33" i="15"/>
  <c r="AC33" i="15"/>
  <c r="AD1720" i="22"/>
  <c r="AD1719" i="22"/>
  <c r="AD1718" i="22"/>
  <c r="AD1717" i="22"/>
  <c r="AD1716" i="22"/>
  <c r="AD1715" i="22"/>
  <c r="AD1425" i="22"/>
  <c r="AD1721" i="22"/>
  <c r="AD946" i="22"/>
  <c r="AD586" i="22"/>
  <c r="AD1722" i="22" s="1"/>
  <c r="AD154" i="22"/>
  <c r="C15" i="6"/>
  <c r="D15" i="6" s="1"/>
  <c r="AG22" i="15"/>
  <c r="AE22" i="15"/>
  <c r="AC22" i="15"/>
  <c r="AA22" i="15"/>
  <c r="AD1426" i="22"/>
  <c r="D9" i="6"/>
  <c r="N1275" i="29"/>
  <c r="N1274" i="29"/>
  <c r="N1273" i="29"/>
  <c r="N1272" i="29"/>
  <c r="N1271" i="29"/>
  <c r="N1270" i="29"/>
  <c r="P12" i="2"/>
  <c r="Q12" i="2"/>
  <c r="M12" i="2"/>
  <c r="AE14" i="15"/>
  <c r="AA14" i="15"/>
  <c r="K1722" i="22"/>
  <c r="K1721" i="22"/>
  <c r="K1720" i="22"/>
  <c r="K1719" i="22"/>
  <c r="K1638" i="22"/>
  <c r="K1614" i="22"/>
  <c r="K1613" i="22"/>
  <c r="K1612" i="22"/>
  <c r="K1470" i="22"/>
  <c r="K1469" i="22"/>
  <c r="K1468" i="22"/>
  <c r="K1467" i="22"/>
  <c r="K1461" i="22"/>
  <c r="K1460" i="22"/>
  <c r="K1212" i="22"/>
  <c r="K1126" i="22"/>
  <c r="K1125" i="22"/>
  <c r="K1124" i="22"/>
  <c r="K1123" i="22"/>
  <c r="K1062" i="22"/>
  <c r="K1061" i="22"/>
  <c r="K1060" i="22"/>
  <c r="K1059" i="22"/>
  <c r="K886" i="22"/>
  <c r="K885" i="22"/>
  <c r="K884" i="22"/>
  <c r="K765" i="22"/>
  <c r="K764" i="22"/>
  <c r="K763" i="22"/>
  <c r="K750" i="22"/>
  <c r="K749" i="22"/>
  <c r="K748" i="22"/>
  <c r="K747" i="22"/>
  <c r="K734" i="22"/>
  <c r="K733" i="22"/>
  <c r="K732" i="22"/>
  <c r="K582" i="22"/>
  <c r="K581" i="22"/>
  <c r="K580" i="22"/>
  <c r="K579" i="22"/>
  <c r="K542" i="22"/>
  <c r="K541" i="22"/>
  <c r="K534" i="22"/>
  <c r="K533" i="22"/>
  <c r="K532" i="22"/>
  <c r="K531" i="22"/>
  <c r="K430" i="22"/>
  <c r="K1718" i="22" s="1"/>
  <c r="K429" i="22"/>
  <c r="K428" i="22"/>
  <c r="K427" i="22"/>
  <c r="K277" i="22"/>
  <c r="K150" i="22"/>
  <c r="K149" i="22"/>
  <c r="K1717" i="22" s="1"/>
  <c r="K148" i="22"/>
  <c r="K147" i="22"/>
  <c r="P15" i="13"/>
  <c r="K1716" i="22"/>
  <c r="K1715" i="22"/>
  <c r="K1282" i="29"/>
  <c r="K1281" i="29"/>
  <c r="K1280" i="29"/>
  <c r="K1279" i="29"/>
  <c r="K1278" i="29"/>
  <c r="K1277" i="29"/>
  <c r="K1275" i="29"/>
  <c r="K1274" i="29"/>
  <c r="K1273" i="29"/>
  <c r="K1272" i="29"/>
  <c r="K1271" i="29"/>
  <c r="K1270" i="29"/>
  <c r="AG19" i="15"/>
  <c r="AC19" i="15"/>
  <c r="Y19" i="15"/>
  <c r="U19" i="15"/>
  <c r="P1720" i="22"/>
  <c r="P1719" i="22"/>
  <c r="P1718" i="22"/>
  <c r="P1717" i="22"/>
  <c r="P1716" i="22"/>
  <c r="P1715" i="22"/>
  <c r="P282" i="22"/>
  <c r="P281" i="22"/>
  <c r="P1721" i="22"/>
  <c r="P20" i="13"/>
  <c r="N20" i="13"/>
  <c r="D25" i="6"/>
  <c r="R1282" i="29"/>
  <c r="R1281" i="29"/>
  <c r="R1280" i="29"/>
  <c r="R1279" i="29"/>
  <c r="R1278" i="29"/>
  <c r="R1277" i="29"/>
  <c r="R1275" i="29"/>
  <c r="R1274" i="29"/>
  <c r="R1273" i="29"/>
  <c r="R1272" i="29"/>
  <c r="R1271" i="29"/>
  <c r="R1270" i="29"/>
  <c r="AG35" i="15"/>
  <c r="AC35" i="15"/>
  <c r="AF1722" i="22"/>
  <c r="AF1721" i="22"/>
  <c r="AF1720" i="22"/>
  <c r="AF1719" i="22"/>
  <c r="AF1718" i="22"/>
  <c r="AF1717" i="22"/>
  <c r="AF1716" i="22"/>
  <c r="AF1715" i="22"/>
  <c r="AG23" i="15"/>
  <c r="AG42" i="15" s="1"/>
  <c r="AC23" i="15"/>
  <c r="T1722" i="22"/>
  <c r="T1720" i="22"/>
  <c r="T1718" i="22"/>
  <c r="T1717" i="22"/>
  <c r="T1716" i="22"/>
  <c r="T1715" i="22"/>
  <c r="T1641" i="22"/>
  <c r="T1721" i="22" s="1"/>
  <c r="AM1721" i="22" s="1"/>
  <c r="T689" i="22"/>
  <c r="T279" i="22"/>
  <c r="T1719" i="22" s="1"/>
  <c r="D5" i="6"/>
  <c r="E1275" i="29"/>
  <c r="E1274" i="29"/>
  <c r="E1273" i="29"/>
  <c r="E1272" i="29"/>
  <c r="E1271" i="29"/>
  <c r="E1270" i="29"/>
  <c r="AG8" i="15"/>
  <c r="AC8" i="15"/>
  <c r="E1722" i="22"/>
  <c r="E1721" i="22"/>
  <c r="E1720" i="22"/>
  <c r="E1719" i="22"/>
  <c r="E1718" i="22"/>
  <c r="E1717" i="22"/>
  <c r="E1716" i="22"/>
  <c r="E1715" i="22"/>
  <c r="AG31" i="15"/>
  <c r="AC31" i="15"/>
  <c r="U31" i="15"/>
  <c r="AB1722" i="22"/>
  <c r="AB1721" i="22"/>
  <c r="AB1720" i="22"/>
  <c r="AB1719" i="22"/>
  <c r="AB1718" i="22"/>
  <c r="AB1717" i="22"/>
  <c r="AB1716" i="22"/>
  <c r="AB1715" i="22"/>
  <c r="P1722" i="22"/>
  <c r="X1272" i="29"/>
  <c r="X1274" i="29"/>
  <c r="X1271" i="29"/>
  <c r="X1273" i="29"/>
  <c r="X1275" i="29"/>
  <c r="Z1271" i="29" s="1"/>
  <c r="D7" i="6"/>
  <c r="G1282" i="29"/>
  <c r="G1281" i="29"/>
  <c r="G1280" i="29"/>
  <c r="G1279" i="29"/>
  <c r="G1278" i="29"/>
  <c r="G1277" i="29"/>
  <c r="G1275" i="29"/>
  <c r="G1274" i="29"/>
  <c r="G1273" i="29"/>
  <c r="G1272" i="29"/>
  <c r="G1271" i="29"/>
  <c r="G1270" i="29"/>
  <c r="AG10" i="15"/>
  <c r="AC10" i="15"/>
  <c r="G1722" i="22"/>
  <c r="G1721" i="22"/>
  <c r="G1717" i="22"/>
  <c r="G1715" i="22"/>
  <c r="G1712" i="22"/>
  <c r="G1711" i="22"/>
  <c r="AM1711" i="22" s="1"/>
  <c r="G1704" i="22"/>
  <c r="G1671" i="22"/>
  <c r="AM1671" i="22" s="1"/>
  <c r="G1647" i="22"/>
  <c r="G1640" i="22"/>
  <c r="G1639" i="22"/>
  <c r="G1616" i="22"/>
  <c r="G1615" i="22"/>
  <c r="G1559" i="22"/>
  <c r="G1551" i="22"/>
  <c r="G1504" i="22"/>
  <c r="AM1504" i="22" s="1"/>
  <c r="G1503" i="22"/>
  <c r="G1479" i="22"/>
  <c r="G1472" i="22"/>
  <c r="G1471" i="22"/>
  <c r="G1464" i="22"/>
  <c r="G1463" i="22"/>
  <c r="G1424" i="22"/>
  <c r="G1423" i="22"/>
  <c r="G1416" i="22"/>
  <c r="G1415" i="22"/>
  <c r="G1392" i="22"/>
  <c r="G1391" i="22"/>
  <c r="AM1391" i="22" s="1"/>
  <c r="G1388" i="22"/>
  <c r="G1716" i="22"/>
  <c r="G1384" i="22"/>
  <c r="G1264" i="22"/>
  <c r="AM1264" i="22" s="1"/>
  <c r="G1263" i="22"/>
  <c r="G1256" i="22"/>
  <c r="AM1256" i="22" s="1"/>
  <c r="G1255" i="22"/>
  <c r="G1247" i="22"/>
  <c r="AM1247" i="22" s="1"/>
  <c r="G1240" i="22"/>
  <c r="G1239" i="22"/>
  <c r="G1216" i="22"/>
  <c r="G1215" i="22"/>
  <c r="AM1215" i="22" s="1"/>
  <c r="G1208" i="22"/>
  <c r="G1207" i="22"/>
  <c r="AM1207" i="22" s="1"/>
  <c r="G1200" i="22"/>
  <c r="G1144" i="22"/>
  <c r="AM1144" i="22" s="1"/>
  <c r="G1143" i="22"/>
  <c r="G1128" i="22"/>
  <c r="G1127" i="22"/>
  <c r="G1112" i="22"/>
  <c r="AM1112" i="22" s="1"/>
  <c r="G1095" i="22"/>
  <c r="G1088" i="22"/>
  <c r="G1064" i="22"/>
  <c r="G1063" i="22"/>
  <c r="AM1063" i="22" s="1"/>
  <c r="G1039" i="22"/>
  <c r="G1015" i="22"/>
  <c r="G992" i="22"/>
  <c r="G990" i="22"/>
  <c r="G1718" i="22" s="1"/>
  <c r="G943" i="22"/>
  <c r="G920" i="22"/>
  <c r="G919" i="22"/>
  <c r="AM919" i="22" s="1"/>
  <c r="G879" i="22"/>
  <c r="G872" i="22"/>
  <c r="AM872" i="22" s="1"/>
  <c r="G864" i="22"/>
  <c r="G863" i="22"/>
  <c r="AM863" i="22" s="1"/>
  <c r="G832" i="22"/>
  <c r="G831" i="22"/>
  <c r="G808" i="22"/>
  <c r="G792" i="22"/>
  <c r="AM792" i="22" s="1"/>
  <c r="G791" i="22"/>
  <c r="G776" i="22"/>
  <c r="G775" i="22"/>
  <c r="G768" i="22"/>
  <c r="G767" i="22"/>
  <c r="G752" i="22"/>
  <c r="AM752" i="22" s="1"/>
  <c r="G751" i="22"/>
  <c r="G744" i="22"/>
  <c r="AM744" i="22" s="1"/>
  <c r="G736" i="22"/>
  <c r="G735" i="22"/>
  <c r="G720" i="22"/>
  <c r="G719" i="22"/>
  <c r="G711" i="22"/>
  <c r="G704" i="22"/>
  <c r="AM704" i="22" s="1"/>
  <c r="G703" i="22"/>
  <c r="G688" i="22"/>
  <c r="AM688" i="22" s="1"/>
  <c r="G687" i="22"/>
  <c r="G663" i="22"/>
  <c r="AM663" i="22" s="1"/>
  <c r="G607" i="22"/>
  <c r="G591" i="22"/>
  <c r="G584" i="22"/>
  <c r="G583" i="22"/>
  <c r="G544" i="22"/>
  <c r="G543" i="22"/>
  <c r="AM543" i="22" s="1"/>
  <c r="G536" i="22"/>
  <c r="G535" i="22"/>
  <c r="AM535" i="22" s="1"/>
  <c r="G511" i="22"/>
  <c r="G504" i="22"/>
  <c r="G503" i="22"/>
  <c r="G472" i="22"/>
  <c r="G471" i="22"/>
  <c r="G463" i="22"/>
  <c r="AM463" i="22" s="1"/>
  <c r="G408" i="22"/>
  <c r="G407" i="22"/>
  <c r="AM407" i="22" s="1"/>
  <c r="G391" i="22"/>
  <c r="G384" i="22"/>
  <c r="G383" i="22"/>
  <c r="G336" i="22"/>
  <c r="G335" i="22"/>
  <c r="G328" i="22"/>
  <c r="AM328" i="22" s="1"/>
  <c r="G327" i="22"/>
  <c r="G320" i="22"/>
  <c r="G319" i="22"/>
  <c r="G280" i="22"/>
  <c r="G279" i="22"/>
  <c r="G239" i="22"/>
  <c r="G215" i="22"/>
  <c r="G208" i="22"/>
  <c r="G200" i="22"/>
  <c r="G191" i="22"/>
  <c r="AM191" i="22" s="1"/>
  <c r="G152" i="22"/>
  <c r="G151" i="22"/>
  <c r="G103" i="22"/>
  <c r="G96" i="22"/>
  <c r="AM96" i="22" s="1"/>
  <c r="G88" i="22"/>
  <c r="G87" i="22"/>
  <c r="AM87" i="22" s="1"/>
  <c r="G64" i="22"/>
  <c r="G1720" i="22"/>
  <c r="G63" i="22"/>
  <c r="G31" i="22"/>
  <c r="G23" i="22"/>
  <c r="D19" i="6"/>
  <c r="C19" i="6"/>
  <c r="AG26" i="15"/>
  <c r="AC26" i="15"/>
  <c r="W1715" i="22"/>
  <c r="W1650" i="22"/>
  <c r="W1618" i="22"/>
  <c r="W1616" i="22"/>
  <c r="W1614" i="22"/>
  <c r="AM1614" i="22" s="1"/>
  <c r="W1613" i="22"/>
  <c r="W1612" i="22"/>
  <c r="W1550" i="22"/>
  <c r="W1482" i="22"/>
  <c r="AM1482" i="22" s="1"/>
  <c r="W1478" i="22"/>
  <c r="W1476" i="22"/>
  <c r="AM1476" i="22" s="1"/>
  <c r="W1474" i="22"/>
  <c r="W1470" i="22"/>
  <c r="W1469" i="22"/>
  <c r="W1468" i="22"/>
  <c r="AM1468" i="22" s="1"/>
  <c r="W1466" i="22"/>
  <c r="W1462" i="22"/>
  <c r="W1461" i="22"/>
  <c r="W1460" i="22"/>
  <c r="W1426" i="22"/>
  <c r="W1322" i="22"/>
  <c r="W1190" i="22"/>
  <c r="W1182" i="22"/>
  <c r="AM1182" i="22" s="1"/>
  <c r="W1170" i="22"/>
  <c r="W1130" i="22"/>
  <c r="W1126" i="22"/>
  <c r="W1114" i="22"/>
  <c r="W1090" i="22"/>
  <c r="W1088" i="22"/>
  <c r="W1720" i="22" s="1"/>
  <c r="W1086" i="22"/>
  <c r="W1085" i="22"/>
  <c r="AM1085" i="22" s="1"/>
  <c r="W1084" i="22"/>
  <c r="W1066" i="22"/>
  <c r="AM1066" i="22" s="1"/>
  <c r="W1063" i="22"/>
  <c r="W1062" i="22"/>
  <c r="W1061" i="22"/>
  <c r="W1060" i="22"/>
  <c r="W1018" i="22"/>
  <c r="W1014" i="22"/>
  <c r="AM1014" i="22" s="1"/>
  <c r="W978" i="22"/>
  <c r="W974" i="22"/>
  <c r="AM974" i="22" s="1"/>
  <c r="W918" i="22"/>
  <c r="W890" i="22"/>
  <c r="W888" i="22"/>
  <c r="W887" i="22"/>
  <c r="W886" i="22"/>
  <c r="W884" i="22"/>
  <c r="AM884" i="22" s="1"/>
  <c r="W842" i="22"/>
  <c r="W838" i="22"/>
  <c r="AM838" i="22" s="1"/>
  <c r="W836" i="22"/>
  <c r="W770" i="22"/>
  <c r="AM770" i="22" s="1"/>
  <c r="W769" i="22"/>
  <c r="W766" i="22"/>
  <c r="AM766" i="22" s="1"/>
  <c r="W762" i="22"/>
  <c r="W754" i="22"/>
  <c r="AM754" i="22" s="1"/>
  <c r="W738" i="22"/>
  <c r="W734" i="22"/>
  <c r="W733" i="22"/>
  <c r="W622" i="22"/>
  <c r="W586" i="22"/>
  <c r="W583" i="22"/>
  <c r="W582" i="22"/>
  <c r="W581" i="22"/>
  <c r="W580" i="22"/>
  <c r="W578" i="22"/>
  <c r="AM578" i="22" s="1"/>
  <c r="W577" i="22"/>
  <c r="W562" i="22"/>
  <c r="AM562" i="22" s="1"/>
  <c r="W545" i="22"/>
  <c r="W538" i="22"/>
  <c r="AM538" i="22" s="1"/>
  <c r="W537" i="22"/>
  <c r="W534" i="22"/>
  <c r="AM534" i="22" s="1"/>
  <c r="W532" i="22"/>
  <c r="W473" i="22"/>
  <c r="W458" i="22"/>
  <c r="W457" i="22"/>
  <c r="W434" i="22"/>
  <c r="W433" i="22"/>
  <c r="W432" i="22"/>
  <c r="W431" i="22"/>
  <c r="W430" i="22"/>
  <c r="W429" i="22"/>
  <c r="W428" i="22"/>
  <c r="W377" i="22"/>
  <c r="W338" i="22"/>
  <c r="W337" i="22"/>
  <c r="W336" i="22"/>
  <c r="W335" i="22"/>
  <c r="AM335" i="22" s="1"/>
  <c r="W282" i="22"/>
  <c r="W281" i="22"/>
  <c r="AM281" i="22" s="1"/>
  <c r="W279" i="22"/>
  <c r="W278" i="22"/>
  <c r="W1718" i="22" s="1"/>
  <c r="W277" i="22"/>
  <c r="AM277" i="22" s="1"/>
  <c r="W276" i="22"/>
  <c r="W1716" i="22"/>
  <c r="W273" i="22"/>
  <c r="W218" i="22"/>
  <c r="W1722" i="22" s="1"/>
  <c r="W210" i="22"/>
  <c r="W153" i="22"/>
  <c r="W97" i="22"/>
  <c r="W93" i="22"/>
  <c r="AM93" i="22" s="1"/>
  <c r="W90" i="22"/>
  <c r="W89" i="22"/>
  <c r="W1721" i="22" s="1"/>
  <c r="W85" i="22"/>
  <c r="P27" i="13"/>
  <c r="P43" i="13"/>
  <c r="N25" i="2"/>
  <c r="O10" i="2"/>
  <c r="O29" i="2" s="1"/>
  <c r="N10" i="2"/>
  <c r="O13" i="2"/>
  <c r="N13" i="2"/>
  <c r="E40" i="15"/>
  <c r="E24" i="15"/>
  <c r="I24" i="15"/>
  <c r="I9" i="15"/>
  <c r="M26" i="15"/>
  <c r="Y26" i="15"/>
  <c r="AD42" i="15"/>
  <c r="AF42" i="15"/>
  <c r="AE42" i="15"/>
  <c r="AB42" i="15"/>
  <c r="AA42" i="15"/>
  <c r="I1722" i="22"/>
  <c r="N1722" i="22"/>
  <c r="AM1722" i="22" s="1"/>
  <c r="O1722" i="22"/>
  <c r="AG1722" i="22"/>
  <c r="H1722" i="22"/>
  <c r="I1721" i="22"/>
  <c r="N1721" i="22"/>
  <c r="O1721" i="22"/>
  <c r="AG1721" i="22"/>
  <c r="H1721" i="22"/>
  <c r="I1720" i="22"/>
  <c r="N1720" i="22"/>
  <c r="O1720" i="22"/>
  <c r="AG1720" i="22"/>
  <c r="I1719" i="22"/>
  <c r="N1719" i="22"/>
  <c r="O1719" i="22"/>
  <c r="AG1719" i="22"/>
  <c r="I1718" i="22"/>
  <c r="N1718" i="22"/>
  <c r="O1718" i="22"/>
  <c r="I1717" i="22"/>
  <c r="N1717" i="22"/>
  <c r="O1717" i="22"/>
  <c r="I1716" i="22"/>
  <c r="N1716" i="22"/>
  <c r="O1716" i="22"/>
  <c r="AG1716" i="22"/>
  <c r="H1716" i="22"/>
  <c r="I1715" i="22"/>
  <c r="N1715" i="22"/>
  <c r="O1715" i="22"/>
  <c r="H1715" i="22"/>
  <c r="AM67" i="22"/>
  <c r="AM68" i="22"/>
  <c r="AM69" i="22"/>
  <c r="AM70" i="22"/>
  <c r="AM71" i="22"/>
  <c r="AM72" i="22"/>
  <c r="AM1706" i="22"/>
  <c r="AM1705" i="22"/>
  <c r="AM1703" i="22"/>
  <c r="AM1702" i="22"/>
  <c r="AM1700" i="22"/>
  <c r="AM1699" i="22"/>
  <c r="AM1698" i="22"/>
  <c r="AM1697" i="22"/>
  <c r="AM1696" i="22"/>
  <c r="AM1695" i="22"/>
  <c r="AM1694" i="22"/>
  <c r="AM1693" i="22"/>
  <c r="AM1692" i="22"/>
  <c r="AM1691" i="22"/>
  <c r="AM1690" i="22"/>
  <c r="AM1689" i="22"/>
  <c r="AM1688" i="22"/>
  <c r="AM1687" i="22"/>
  <c r="AM1686" i="22"/>
  <c r="AM1684" i="22"/>
  <c r="AM1683" i="22"/>
  <c r="AM1682" i="22"/>
  <c r="AM1681" i="22"/>
  <c r="AM1680" i="22"/>
  <c r="AM1679" i="22"/>
  <c r="AM1678" i="22"/>
  <c r="AM1677" i="22"/>
  <c r="AM1676" i="22"/>
  <c r="AM1675" i="22"/>
  <c r="AM1674" i="22"/>
  <c r="AM1673" i="22"/>
  <c r="AM1670" i="22"/>
  <c r="AM1669" i="22"/>
  <c r="AM1668" i="22"/>
  <c r="AM1667" i="22"/>
  <c r="AM1666" i="22"/>
  <c r="AM1665" i="22"/>
  <c r="AM1664" i="22"/>
  <c r="AM1663" i="22"/>
  <c r="AM1662" i="22"/>
  <c r="AM1661" i="22"/>
  <c r="AM1660" i="22"/>
  <c r="AM1659" i="22"/>
  <c r="AM1658" i="22"/>
  <c r="AM1657" i="22"/>
  <c r="AM1656" i="22"/>
  <c r="AM1655" i="22"/>
  <c r="AM1654" i="22"/>
  <c r="AM1653" i="22"/>
  <c r="AM1652" i="22"/>
  <c r="AM1651" i="22"/>
  <c r="AM1650" i="22"/>
  <c r="AM1649" i="22"/>
  <c r="AM1646" i="22"/>
  <c r="AM1645" i="22"/>
  <c r="AM1644" i="22"/>
  <c r="AM1643" i="22"/>
  <c r="AM1642" i="22"/>
  <c r="AM1641" i="22"/>
  <c r="AM1634" i="22"/>
  <c r="AM1633" i="22"/>
  <c r="AM1632" i="22"/>
  <c r="AM1631" i="22"/>
  <c r="AM1628" i="22"/>
  <c r="AM1627" i="22"/>
  <c r="AM1626" i="22"/>
  <c r="AM1624" i="22"/>
  <c r="AM1623" i="22"/>
  <c r="AM1622" i="22"/>
  <c r="AM1621" i="22"/>
  <c r="AM1620" i="22"/>
  <c r="AM1619" i="22"/>
  <c r="AM1618" i="22"/>
  <c r="AM1617" i="22"/>
  <c r="AM1610" i="22"/>
  <c r="AM1609" i="22"/>
  <c r="AM1606" i="22"/>
  <c r="AM1605" i="22"/>
  <c r="AM1604" i="22"/>
  <c r="AM1603" i="22"/>
  <c r="AM1602" i="22"/>
  <c r="AM1601" i="22"/>
  <c r="AM1600" i="22"/>
  <c r="AM1599" i="22"/>
  <c r="AM1598" i="22"/>
  <c r="AM1597" i="22"/>
  <c r="AM1596" i="22"/>
  <c r="AM1595" i="22"/>
  <c r="AM1594" i="22"/>
  <c r="AM1593" i="22"/>
  <c r="AM1592" i="22"/>
  <c r="AM1591" i="22"/>
  <c r="AM1590" i="22"/>
  <c r="AM1589" i="22"/>
  <c r="AM1588" i="22"/>
  <c r="AM1587" i="22"/>
  <c r="AM1586" i="22"/>
  <c r="AM1585" i="22"/>
  <c r="AM1584" i="22"/>
  <c r="AM1583" i="22"/>
  <c r="AM1582" i="22"/>
  <c r="AM1581" i="22"/>
  <c r="AM1580" i="22"/>
  <c r="AM1579" i="22"/>
  <c r="AM1570" i="22"/>
  <c r="AM1569" i="22"/>
  <c r="AM1568" i="22"/>
  <c r="AM1567" i="22"/>
  <c r="AM1566" i="22"/>
  <c r="AM1565" i="22"/>
  <c r="AM1564" i="22"/>
  <c r="AM1563" i="22"/>
  <c r="AM1562" i="22"/>
  <c r="AM1561" i="22"/>
  <c r="AM1557" i="22"/>
  <c r="AM1556" i="22"/>
  <c r="AM1555" i="22"/>
  <c r="AM1554" i="22"/>
  <c r="AM1553" i="22"/>
  <c r="AM1549" i="22"/>
  <c r="AM1548" i="22"/>
  <c r="AM1547" i="22"/>
  <c r="AM1546" i="22"/>
  <c r="AM1545" i="22"/>
  <c r="AM1544" i="22"/>
  <c r="AM1543" i="22"/>
  <c r="AM1542" i="22"/>
  <c r="AM1541" i="22"/>
  <c r="AM1540" i="22"/>
  <c r="AM1539" i="22"/>
  <c r="AM1538" i="22"/>
  <c r="AM1537" i="22"/>
  <c r="AM1536" i="22"/>
  <c r="AM1535" i="22"/>
  <c r="AM1534" i="22"/>
  <c r="AM1533" i="22"/>
  <c r="AM1532" i="22"/>
  <c r="AM1531" i="22"/>
  <c r="AM1530" i="22"/>
  <c r="AM1529" i="22"/>
  <c r="AM1528" i="22"/>
  <c r="AM1527" i="22"/>
  <c r="AM1526" i="22"/>
  <c r="AM1525" i="22"/>
  <c r="AM1524" i="22"/>
  <c r="AM1523" i="22"/>
  <c r="AM1514" i="22"/>
  <c r="AM1513" i="22"/>
  <c r="AM1512" i="22"/>
  <c r="AM1511" i="22"/>
  <c r="AM1510" i="22"/>
  <c r="AM1509" i="22"/>
  <c r="AM1508" i="22"/>
  <c r="AM1507" i="22"/>
  <c r="AM1506" i="22"/>
  <c r="AM1505" i="22"/>
  <c r="AM1501" i="22"/>
  <c r="AM1500" i="22"/>
  <c r="AM1499" i="22"/>
  <c r="AM1498" i="22"/>
  <c r="AM1497" i="22"/>
  <c r="AM1496" i="22"/>
  <c r="AM1495" i="22"/>
  <c r="AM1494" i="22"/>
  <c r="AM1493" i="22"/>
  <c r="AM1492" i="22"/>
  <c r="AM1491" i="22"/>
  <c r="AM1481" i="22"/>
  <c r="AM1480" i="22"/>
  <c r="AM1475" i="22"/>
  <c r="AM1474" i="22"/>
  <c r="AM1473" i="22"/>
  <c r="AM1466" i="22"/>
  <c r="AM1465" i="22"/>
  <c r="AM1458" i="22"/>
  <c r="AM1457" i="22"/>
  <c r="AM1456" i="22"/>
  <c r="AM1455" i="22"/>
  <c r="AM1454" i="22"/>
  <c r="AM1453" i="22"/>
  <c r="AM1452" i="22"/>
  <c r="AM1451" i="22"/>
  <c r="AM1450" i="22"/>
  <c r="AM1449" i="22"/>
  <c r="AM1448" i="22"/>
  <c r="AM1447" i="22"/>
  <c r="AM1446" i="22"/>
  <c r="AM1445" i="22"/>
  <c r="AM1444" i="22"/>
  <c r="AM1443" i="22"/>
  <c r="AM1442" i="22"/>
  <c r="AM1441" i="22"/>
  <c r="AM1440" i="22"/>
  <c r="AM1439" i="22"/>
  <c r="AM1438" i="22"/>
  <c r="AM1436" i="22"/>
  <c r="AM1435" i="22"/>
  <c r="AM1434" i="22"/>
  <c r="AM1433" i="22"/>
  <c r="AM1431" i="22"/>
  <c r="AM1429" i="22"/>
  <c r="AM1427" i="22"/>
  <c r="AM1426" i="22"/>
  <c r="AM1425" i="22"/>
  <c r="AM1419" i="22"/>
  <c r="AM1418" i="22"/>
  <c r="AM1417" i="22"/>
  <c r="AM1414" i="22"/>
  <c r="AM1413" i="22"/>
  <c r="AM1412" i="22"/>
  <c r="AM1411" i="22"/>
  <c r="AM1410" i="22"/>
  <c r="AM1409" i="22"/>
  <c r="AM1408" i="22"/>
  <c r="AM1407" i="22"/>
  <c r="AM1406" i="22"/>
  <c r="AM1405" i="22"/>
  <c r="AM1404" i="22"/>
  <c r="AM1403" i="22"/>
  <c r="AM1402" i="22"/>
  <c r="AM1401" i="22"/>
  <c r="AM1400" i="22"/>
  <c r="AM1399" i="22"/>
  <c r="AM1398" i="22"/>
  <c r="AM1397" i="22"/>
  <c r="AM1396" i="22"/>
  <c r="AM1395" i="22"/>
  <c r="AM1394" i="22"/>
  <c r="AM1393" i="22"/>
  <c r="AM1389" i="22"/>
  <c r="AM1387" i="22"/>
  <c r="AM1386" i="22"/>
  <c r="AM1385" i="22"/>
  <c r="AM1382" i="22"/>
  <c r="AM1381" i="22"/>
  <c r="AM1380" i="22"/>
  <c r="AM1379" i="22"/>
  <c r="AM1378" i="22"/>
  <c r="AM1377" i="22"/>
  <c r="AM1375" i="22"/>
  <c r="AM1374" i="22"/>
  <c r="AM1373" i="22"/>
  <c r="AM1372" i="22"/>
  <c r="AM1371" i="22"/>
  <c r="AM1370" i="22"/>
  <c r="AM1369" i="22"/>
  <c r="AM1368" i="22"/>
  <c r="AM1367" i="22"/>
  <c r="AM1366" i="22"/>
  <c r="AM1365" i="22"/>
  <c r="AM1364" i="22"/>
  <c r="AM1363" i="22"/>
  <c r="AM1362" i="22"/>
  <c r="AM1361" i="22"/>
  <c r="AM1359" i="22"/>
  <c r="AM1358" i="22"/>
  <c r="AM1357" i="22"/>
  <c r="AM1356" i="22"/>
  <c r="AM1355" i="22"/>
  <c r="AM1354" i="22"/>
  <c r="AM1353" i="22"/>
  <c r="AM1352" i="22"/>
  <c r="AM1351" i="22"/>
  <c r="AM1350" i="22"/>
  <c r="AM1349" i="22"/>
  <c r="AM1348" i="22"/>
  <c r="AM1347" i="22"/>
  <c r="AM1346" i="22"/>
  <c r="AM1345" i="22"/>
  <c r="AM1344" i="22"/>
  <c r="AM1343" i="22"/>
  <c r="AM1342" i="22"/>
  <c r="AM1341" i="22"/>
  <c r="AM1340" i="22"/>
  <c r="AM1339" i="22"/>
  <c r="AM1338" i="22"/>
  <c r="AM1337" i="22"/>
  <c r="AM1336" i="22"/>
  <c r="AM1335" i="22"/>
  <c r="AM1334" i="22"/>
  <c r="AM1333" i="22"/>
  <c r="AM1332" i="22"/>
  <c r="AM1331" i="22"/>
  <c r="AM1330" i="22"/>
  <c r="AM1329" i="22"/>
  <c r="AM1326" i="22"/>
  <c r="AM1325" i="22"/>
  <c r="AM1324" i="22"/>
  <c r="AM1323" i="22"/>
  <c r="AM1322" i="22"/>
  <c r="AM1321" i="22"/>
  <c r="AM1320" i="22"/>
  <c r="AM1319" i="22"/>
  <c r="AM1318" i="22"/>
  <c r="AM1317" i="22"/>
  <c r="AM1316" i="22"/>
  <c r="AM1315" i="22"/>
  <c r="AM1314" i="22"/>
  <c r="AM1313" i="22"/>
  <c r="AM1312" i="22"/>
  <c r="AM1311" i="22"/>
  <c r="AM1310" i="22"/>
  <c r="AM1309" i="22"/>
  <c r="AM1308" i="22"/>
  <c r="AM1307" i="22"/>
  <c r="AM1306" i="22"/>
  <c r="AM1305" i="22"/>
  <c r="AM1304" i="22"/>
  <c r="AM1303" i="22"/>
  <c r="AM1302" i="22"/>
  <c r="AM1301" i="22"/>
  <c r="AM1300" i="22"/>
  <c r="AM1299" i="22"/>
  <c r="AM1298" i="22"/>
  <c r="AM1297" i="22"/>
  <c r="AM1296" i="22"/>
  <c r="AM1295" i="22"/>
  <c r="AM1294" i="22"/>
  <c r="AM1293" i="22"/>
  <c r="AM1292" i="22"/>
  <c r="AM1291" i="22"/>
  <c r="AM1290" i="22"/>
  <c r="AM1289" i="22"/>
  <c r="AM1288" i="22"/>
  <c r="AM1287" i="22"/>
  <c r="AM1286" i="22"/>
  <c r="AM1285" i="22"/>
  <c r="AM1284" i="22"/>
  <c r="AM1283" i="22"/>
  <c r="AM1282" i="22"/>
  <c r="AM1281" i="22"/>
  <c r="AM1280" i="22"/>
  <c r="AM1279" i="22"/>
  <c r="AM1278" i="22"/>
  <c r="AM1277" i="22"/>
  <c r="AM1276" i="22"/>
  <c r="AM1275" i="22"/>
  <c r="AM1274" i="22"/>
  <c r="AM1273" i="22"/>
  <c r="AM1272" i="22"/>
  <c r="AM1271" i="22"/>
  <c r="AM1270" i="22"/>
  <c r="AM1269" i="22"/>
  <c r="AM1268" i="22"/>
  <c r="AM1267" i="22"/>
  <c r="AM1266" i="22"/>
  <c r="AM1265" i="22"/>
  <c r="AM1261" i="22"/>
  <c r="AM1260" i="22"/>
  <c r="AM1259" i="22"/>
  <c r="AM1258" i="22"/>
  <c r="AM1257" i="22"/>
  <c r="AM1254" i="22"/>
  <c r="AM1253" i="22"/>
  <c r="AM1252" i="22"/>
  <c r="AM1251" i="22"/>
  <c r="AM1250" i="22"/>
  <c r="AM1249" i="22"/>
  <c r="AM1248" i="22"/>
  <c r="AM1246" i="22"/>
  <c r="AM1245" i="22"/>
  <c r="AM1244" i="22"/>
  <c r="AM1243" i="22"/>
  <c r="AM1242" i="22"/>
  <c r="AM1241" i="22"/>
  <c r="AM1236" i="22"/>
  <c r="AM1235" i="22"/>
  <c r="AM1234" i="22"/>
  <c r="AM1233" i="22"/>
  <c r="AM1231" i="22"/>
  <c r="AM1228" i="22"/>
  <c r="AM1227" i="22"/>
  <c r="AM1226" i="22"/>
  <c r="AM1225" i="22"/>
  <c r="AM1224" i="22"/>
  <c r="AM1223" i="22"/>
  <c r="AM1222" i="22"/>
  <c r="AM1221" i="22"/>
  <c r="AM1220" i="22"/>
  <c r="AM1219" i="22"/>
  <c r="AM1218" i="22"/>
  <c r="AM1217" i="22"/>
  <c r="AM1214" i="22"/>
  <c r="AM1213" i="22"/>
  <c r="AM1210" i="22"/>
  <c r="AM1209" i="22"/>
  <c r="AM1203" i="22"/>
  <c r="AM1202" i="22"/>
  <c r="AM1201" i="22"/>
  <c r="AM1199" i="22"/>
  <c r="AM1197" i="22"/>
  <c r="AM1196" i="22"/>
  <c r="AM1195" i="22"/>
  <c r="AM1194" i="22"/>
  <c r="AM1193" i="22"/>
  <c r="AM1189" i="22"/>
  <c r="AM1188" i="22"/>
  <c r="AM1187" i="22"/>
  <c r="AM1186" i="22"/>
  <c r="AM1185" i="22"/>
  <c r="AM1184" i="22"/>
  <c r="AM1183" i="22"/>
  <c r="AM1181" i="22"/>
  <c r="AM1180" i="22"/>
  <c r="AM1179" i="22"/>
  <c r="AM1178" i="22"/>
  <c r="AM1177" i="22"/>
  <c r="AM1174" i="22"/>
  <c r="AM1173" i="22"/>
  <c r="AM1172" i="22"/>
  <c r="AM1171" i="22"/>
  <c r="AM1170" i="22"/>
  <c r="AM1169" i="22"/>
  <c r="AM1166" i="22"/>
  <c r="AM1165" i="22"/>
  <c r="AM1164" i="22"/>
  <c r="AM1163" i="22"/>
  <c r="AM1154" i="22"/>
  <c r="AM1153" i="22"/>
  <c r="AM1152" i="22"/>
  <c r="AM1151" i="22"/>
  <c r="AM1150" i="22"/>
  <c r="AM1149" i="22"/>
  <c r="AM1148" i="22"/>
  <c r="AM1147" i="22"/>
  <c r="AM1146" i="22"/>
  <c r="AM1145" i="22"/>
  <c r="AM1139" i="22"/>
  <c r="AM1138" i="22"/>
  <c r="AM1137" i="22"/>
  <c r="AM1136" i="22"/>
  <c r="AM1135" i="22"/>
  <c r="AM1134" i="22"/>
  <c r="AM1132" i="22"/>
  <c r="AM1131" i="22"/>
  <c r="AM1130" i="22"/>
  <c r="AM1129" i="22"/>
  <c r="AM1122" i="22"/>
  <c r="AM1121" i="22"/>
  <c r="AM1120" i="22"/>
  <c r="AM1119" i="22"/>
  <c r="AM1118" i="22"/>
  <c r="AM1117" i="22"/>
  <c r="AM1116" i="22"/>
  <c r="AM1115" i="22"/>
  <c r="AM1114" i="22"/>
  <c r="AM1113" i="22"/>
  <c r="AM1110" i="22"/>
  <c r="AM1108" i="22"/>
  <c r="AM1107" i="22"/>
  <c r="AM1106" i="22"/>
  <c r="AM1105" i="22"/>
  <c r="AM1104" i="22"/>
  <c r="AM1103" i="22"/>
  <c r="AM1102" i="22"/>
  <c r="AM1101" i="22"/>
  <c r="AM1100" i="22"/>
  <c r="AM1099" i="22"/>
  <c r="AM1098" i="22"/>
  <c r="AM1097" i="22"/>
  <c r="AM1096" i="22"/>
  <c r="AM1094" i="22"/>
  <c r="AM1093" i="22"/>
  <c r="AM1092" i="22"/>
  <c r="AM1091" i="22"/>
  <c r="AM1090" i="22"/>
  <c r="AM1089" i="22"/>
  <c r="AM1083" i="22"/>
  <c r="AM1082" i="22"/>
  <c r="AM1081" i="22"/>
  <c r="AM1080" i="22"/>
  <c r="AM1079" i="22"/>
  <c r="AM1078" i="22"/>
  <c r="AM1077" i="22"/>
  <c r="AM1076" i="22"/>
  <c r="AM1075" i="22"/>
  <c r="AM1074" i="22"/>
  <c r="AM1073" i="22"/>
  <c r="AM1072" i="22"/>
  <c r="AM1071" i="22"/>
  <c r="AM1070" i="22"/>
  <c r="AM1069" i="22"/>
  <c r="AM1068" i="22"/>
  <c r="AM1067" i="22"/>
  <c r="AM1065" i="22"/>
  <c r="AM1058" i="22"/>
  <c r="AM1057" i="22"/>
  <c r="AM1056" i="22"/>
  <c r="AM1055" i="22"/>
  <c r="AM1054" i="22"/>
  <c r="AM1053" i="22"/>
  <c r="AM1052" i="22"/>
  <c r="AM1051" i="22"/>
  <c r="AM1050" i="22"/>
  <c r="AM1049" i="22"/>
  <c r="AM1048" i="22"/>
  <c r="AM1047" i="22"/>
  <c r="AM1046" i="22"/>
  <c r="AM1045" i="22"/>
  <c r="AM1044" i="22"/>
  <c r="AM1043" i="22"/>
  <c r="AM1042" i="22"/>
  <c r="AM1041" i="22"/>
  <c r="AM1040" i="22"/>
  <c r="AM1038" i="22"/>
  <c r="AM1037" i="22"/>
  <c r="AM1036" i="22"/>
  <c r="AM1035" i="22"/>
  <c r="AM1034" i="22"/>
  <c r="AM1033" i="22"/>
  <c r="AM1032" i="22"/>
  <c r="AM1031" i="22"/>
  <c r="AM1030" i="22"/>
  <c r="AM1029" i="22"/>
  <c r="AM1028" i="22"/>
  <c r="AM1027" i="22"/>
  <c r="AM1026" i="22"/>
  <c r="AM1025" i="22"/>
  <c r="AM1024" i="22"/>
  <c r="AM1023" i="22"/>
  <c r="AM1022" i="22"/>
  <c r="AM1021" i="22"/>
  <c r="AM1020" i="22"/>
  <c r="AM1019" i="22"/>
  <c r="AM1018" i="22"/>
  <c r="AM1017" i="22"/>
  <c r="AM1013" i="22"/>
  <c r="AM1012" i="22"/>
  <c r="AM1011" i="22"/>
  <c r="AM1010" i="22"/>
  <c r="AM1009" i="22"/>
  <c r="AM1008" i="22"/>
  <c r="AM1007" i="22"/>
  <c r="AM1006" i="22"/>
  <c r="AM1005" i="22"/>
  <c r="AM1004" i="22"/>
  <c r="AM1003" i="22"/>
  <c r="AM1002" i="22"/>
  <c r="AM1001" i="22"/>
  <c r="AM1000" i="22"/>
  <c r="AM999" i="22"/>
  <c r="AM998" i="22"/>
  <c r="AM997" i="22"/>
  <c r="AM996" i="22"/>
  <c r="AM995" i="22"/>
  <c r="AM994" i="22"/>
  <c r="AM993" i="22"/>
  <c r="AM989" i="22"/>
  <c r="AM988" i="22"/>
  <c r="AM987" i="22"/>
  <c r="AM986" i="22"/>
  <c r="AM985" i="22"/>
  <c r="AM984" i="22"/>
  <c r="AM983" i="22"/>
  <c r="AM982" i="22"/>
  <c r="AM981" i="22"/>
  <c r="AM980" i="22"/>
  <c r="AM979" i="22"/>
  <c r="AM978" i="22"/>
  <c r="AM977" i="22"/>
  <c r="AM972" i="22"/>
  <c r="AM971" i="22"/>
  <c r="AM970" i="22"/>
  <c r="AM969" i="22"/>
  <c r="AM968" i="22"/>
  <c r="AM966" i="22"/>
  <c r="AM965" i="22"/>
  <c r="AM964" i="22"/>
  <c r="AM963" i="22"/>
  <c r="AM962" i="22"/>
  <c r="AM961" i="22"/>
  <c r="AM960" i="22"/>
  <c r="AM959" i="22"/>
  <c r="AM958" i="22"/>
  <c r="AM957" i="22"/>
  <c r="AM956" i="22"/>
  <c r="AM955" i="22"/>
  <c r="AM954" i="22"/>
  <c r="AM953" i="22"/>
  <c r="AM952" i="22"/>
  <c r="AM951" i="22"/>
  <c r="AM950" i="22"/>
  <c r="AM949" i="22"/>
  <c r="AM948" i="22"/>
  <c r="AM947" i="22"/>
  <c r="AM946" i="22"/>
  <c r="AM945" i="22"/>
  <c r="AM944" i="22"/>
  <c r="AM942" i="22"/>
  <c r="AM941" i="22"/>
  <c r="AM940" i="22"/>
  <c r="AM939" i="22"/>
  <c r="AM938" i="22"/>
  <c r="AM937" i="22"/>
  <c r="AM936" i="22"/>
  <c r="AM935" i="22"/>
  <c r="AM934" i="22"/>
  <c r="AM932" i="22"/>
  <c r="AM931" i="22"/>
  <c r="AM930" i="22"/>
  <c r="AM929" i="22"/>
  <c r="AM928" i="22"/>
  <c r="AM927" i="22"/>
  <c r="AM926" i="22"/>
  <c r="AM925" i="22"/>
  <c r="AM924" i="22"/>
  <c r="AM923" i="22"/>
  <c r="AM922" i="22"/>
  <c r="AM921" i="22"/>
  <c r="AM916" i="22"/>
  <c r="AM915" i="22"/>
  <c r="AM914" i="22"/>
  <c r="AM913" i="22"/>
  <c r="AM912" i="22"/>
  <c r="AM911" i="22"/>
  <c r="AM910" i="22"/>
  <c r="AM909" i="22"/>
  <c r="AM908" i="22"/>
  <c r="AM907" i="22"/>
  <c r="AM906" i="22"/>
  <c r="AM905" i="22"/>
  <c r="AM904" i="22"/>
  <c r="AM902" i="22"/>
  <c r="AM901" i="22"/>
  <c r="AM900" i="22"/>
  <c r="AM899" i="22"/>
  <c r="AM898" i="22"/>
  <c r="AM897" i="22"/>
  <c r="AM896" i="22"/>
  <c r="AM895" i="22"/>
  <c r="AM894" i="22"/>
  <c r="AM893" i="22"/>
  <c r="AM892" i="22"/>
  <c r="AM891" i="22"/>
  <c r="AM890" i="22"/>
  <c r="AM889" i="22"/>
  <c r="AM883" i="22"/>
  <c r="AM882" i="22"/>
  <c r="AM881" i="22"/>
  <c r="AM880" i="22"/>
  <c r="AM878" i="22"/>
  <c r="AM877" i="22"/>
  <c r="AM876" i="22"/>
  <c r="AM875" i="22"/>
  <c r="AM874" i="22"/>
  <c r="AM873" i="22"/>
  <c r="AM870" i="22"/>
  <c r="AM869" i="22"/>
  <c r="AM868" i="22"/>
  <c r="AM867" i="22"/>
  <c r="AM866" i="22"/>
  <c r="AM865" i="22"/>
  <c r="AM861" i="22"/>
  <c r="AM860" i="22"/>
  <c r="AM859" i="22"/>
  <c r="AM858" i="22"/>
  <c r="AM857" i="22"/>
  <c r="AM856" i="22"/>
  <c r="AM855" i="22"/>
  <c r="AM854" i="22"/>
  <c r="AM853" i="22"/>
  <c r="AM852" i="22"/>
  <c r="AM851" i="22"/>
  <c r="AM850" i="22"/>
  <c r="AM849" i="22"/>
  <c r="AM848" i="22"/>
  <c r="AM847" i="22"/>
  <c r="AM846" i="22"/>
  <c r="AM845" i="22"/>
  <c r="AM844" i="22"/>
  <c r="AM843" i="22"/>
  <c r="AM842" i="22"/>
  <c r="AM841" i="22"/>
  <c r="AM837" i="22"/>
  <c r="AM835" i="22"/>
  <c r="AM834" i="22"/>
  <c r="AM833" i="22"/>
  <c r="AM830" i="22"/>
  <c r="AM829" i="22"/>
  <c r="AM828" i="22"/>
  <c r="AM827" i="22"/>
  <c r="AM826" i="22"/>
  <c r="AM825" i="22"/>
  <c r="AM824" i="22"/>
  <c r="AM823" i="22"/>
  <c r="AM822" i="22"/>
  <c r="AM821" i="22"/>
  <c r="AM820" i="22"/>
  <c r="AM819" i="22"/>
  <c r="AM818" i="22"/>
  <c r="AM817" i="22"/>
  <c r="AM816" i="22"/>
  <c r="AM815" i="22"/>
  <c r="AM814" i="22"/>
  <c r="AM813" i="22"/>
  <c r="AM812" i="22"/>
  <c r="AM811" i="22"/>
  <c r="AM810" i="22"/>
  <c r="AM809" i="22"/>
  <c r="AM806" i="22"/>
  <c r="AM804" i="22"/>
  <c r="AM803" i="22"/>
  <c r="AM802" i="22"/>
  <c r="AM801" i="22"/>
  <c r="AM800" i="22"/>
  <c r="AM799" i="22"/>
  <c r="AM798" i="22"/>
  <c r="AM797" i="22"/>
  <c r="AM796" i="22"/>
  <c r="AM795" i="22"/>
  <c r="AM794" i="22"/>
  <c r="AM793" i="22"/>
  <c r="AM790" i="22"/>
  <c r="AM788" i="22"/>
  <c r="AM786" i="22"/>
  <c r="AM785" i="22"/>
  <c r="AM784" i="22"/>
  <c r="AM783" i="22"/>
  <c r="AM781" i="22"/>
  <c r="AM780" i="22"/>
  <c r="AM779" i="22"/>
  <c r="AM778" i="22"/>
  <c r="AM777" i="22"/>
  <c r="AM774" i="22"/>
  <c r="AM773" i="22"/>
  <c r="AM772" i="22"/>
  <c r="AM771" i="22"/>
  <c r="AM769" i="22"/>
  <c r="AM762" i="22"/>
  <c r="AM761" i="22"/>
  <c r="AM760" i="22"/>
  <c r="AM759" i="22"/>
  <c r="AM758" i="22"/>
  <c r="AM757" i="22"/>
  <c r="AM756" i="22"/>
  <c r="AM755" i="22"/>
  <c r="AM753" i="22"/>
  <c r="AM746" i="22"/>
  <c r="AM745" i="22"/>
  <c r="AM743" i="22"/>
  <c r="AM742" i="22"/>
  <c r="AM741" i="22"/>
  <c r="AM740" i="22"/>
  <c r="AM739" i="22"/>
  <c r="AM738" i="22"/>
  <c r="AM737" i="22"/>
  <c r="AM730" i="22"/>
  <c r="AM729" i="22"/>
  <c r="AM728" i="22"/>
  <c r="AM727" i="22"/>
  <c r="AM726" i="22"/>
  <c r="AM725" i="22"/>
  <c r="AM724" i="22"/>
  <c r="AM723" i="22"/>
  <c r="AM722" i="22"/>
  <c r="AM721" i="22"/>
  <c r="AM718" i="22"/>
  <c r="AM717" i="22"/>
  <c r="AM716" i="22"/>
  <c r="AM715" i="22"/>
  <c r="AM714" i="22"/>
  <c r="AM713" i="22"/>
  <c r="AM712" i="22"/>
  <c r="AM710" i="22"/>
  <c r="AM708" i="22"/>
  <c r="AM707" i="22"/>
  <c r="AM706" i="22"/>
  <c r="AM705" i="22"/>
  <c r="AM699" i="22"/>
  <c r="AM698" i="22"/>
  <c r="AM697" i="22"/>
  <c r="AM694" i="22"/>
  <c r="AM693" i="22"/>
  <c r="AM692" i="22"/>
  <c r="AM690" i="22"/>
  <c r="AM689" i="22"/>
  <c r="AM684" i="22"/>
  <c r="AM683" i="22"/>
  <c r="AM682" i="22"/>
  <c r="AM681" i="22"/>
  <c r="AM680" i="22"/>
  <c r="AM679" i="22"/>
  <c r="AM677" i="22"/>
  <c r="AM676" i="22"/>
  <c r="AM675" i="22"/>
  <c r="AM674" i="22"/>
  <c r="AM673" i="22"/>
  <c r="AM672" i="22"/>
  <c r="AM671" i="22"/>
  <c r="AM670" i="22"/>
  <c r="AM669" i="22"/>
  <c r="AM668" i="22"/>
  <c r="AM667" i="22"/>
  <c r="AM666" i="22"/>
  <c r="AM665" i="22"/>
  <c r="AM664" i="22"/>
  <c r="AM662" i="22"/>
  <c r="AM661" i="22"/>
  <c r="AM660" i="22"/>
  <c r="AM659" i="22"/>
  <c r="AM658" i="22"/>
  <c r="AM657" i="22"/>
  <c r="AM656" i="22"/>
  <c r="AM655" i="22"/>
  <c r="AM654" i="22"/>
  <c r="AM653" i="22"/>
  <c r="AM652" i="22"/>
  <c r="AM651" i="22"/>
  <c r="AM650" i="22"/>
  <c r="AM649" i="22"/>
  <c r="AM648" i="22"/>
  <c r="AM647" i="22"/>
  <c r="AM646" i="22"/>
  <c r="AM645" i="22"/>
  <c r="AM643" i="22"/>
  <c r="AM642" i="22"/>
  <c r="AM641" i="22"/>
  <c r="AM640" i="22"/>
  <c r="AM639" i="22"/>
  <c r="AM638" i="22"/>
  <c r="AM637" i="22"/>
  <c r="AM636" i="22"/>
  <c r="AM635" i="22"/>
  <c r="AM634" i="22"/>
  <c r="AM633" i="22"/>
  <c r="AM632" i="22"/>
  <c r="AM631" i="22"/>
  <c r="AM630" i="22"/>
  <c r="AM629" i="22"/>
  <c r="AM628" i="22"/>
  <c r="AM627" i="22"/>
  <c r="AM626" i="22"/>
  <c r="AM625" i="22"/>
  <c r="AM623" i="22"/>
  <c r="AM621" i="22"/>
  <c r="AM620" i="22"/>
  <c r="AM619" i="22"/>
  <c r="AM618" i="22"/>
  <c r="AM617" i="22"/>
  <c r="AM616" i="22"/>
  <c r="AM615" i="22"/>
  <c r="AM614" i="22"/>
  <c r="AM613" i="22"/>
  <c r="AM612" i="22"/>
  <c r="AM611" i="22"/>
  <c r="AM610" i="22"/>
  <c r="AM609" i="22"/>
  <c r="AM603" i="22"/>
  <c r="AM602" i="22"/>
  <c r="AM601" i="22"/>
  <c r="AM600" i="22"/>
  <c r="AM599" i="22"/>
  <c r="AM598" i="22"/>
  <c r="AM597" i="22"/>
  <c r="AM596" i="22"/>
  <c r="AM595" i="22"/>
  <c r="AM594" i="22"/>
  <c r="AM593" i="22"/>
  <c r="AM592" i="22"/>
  <c r="AM590" i="22"/>
  <c r="AM589" i="22"/>
  <c r="AM588" i="22"/>
  <c r="AM587" i="22"/>
  <c r="AM586" i="22"/>
  <c r="AM585" i="22"/>
  <c r="AM577" i="22"/>
  <c r="AM576" i="22"/>
  <c r="AM575" i="22"/>
  <c r="AM574" i="22"/>
  <c r="AM573" i="22"/>
  <c r="AM572" i="22"/>
  <c r="AM571" i="22"/>
  <c r="AM570" i="22"/>
  <c r="AM569" i="22"/>
  <c r="AM568" i="22"/>
  <c r="AM567" i="22"/>
  <c r="AM566" i="22"/>
  <c r="AM565" i="22"/>
  <c r="AM564" i="22"/>
  <c r="AM563" i="22"/>
  <c r="AM561" i="22"/>
  <c r="AM560" i="22"/>
  <c r="AM559" i="22"/>
  <c r="AM558" i="22"/>
  <c r="AM557" i="22"/>
  <c r="AM556" i="22"/>
  <c r="AM555" i="22"/>
  <c r="AM554" i="22"/>
  <c r="AM553" i="22"/>
  <c r="AM552" i="22"/>
  <c r="AM551" i="22"/>
  <c r="AM550" i="22"/>
  <c r="AM549" i="22"/>
  <c r="AM548" i="22"/>
  <c r="AM547" i="22"/>
  <c r="AM546" i="22"/>
  <c r="AM545" i="22"/>
  <c r="AM537" i="22"/>
  <c r="AM530" i="22"/>
  <c r="AM529" i="22"/>
  <c r="AM528" i="22"/>
  <c r="AM527" i="22"/>
  <c r="AM525" i="22"/>
  <c r="AM524" i="22"/>
  <c r="AM523" i="22"/>
  <c r="AM522" i="22"/>
  <c r="AM521" i="22"/>
  <c r="AM520" i="22"/>
  <c r="AM519" i="22"/>
  <c r="AM518" i="22"/>
  <c r="AM517" i="22"/>
  <c r="AM516" i="22"/>
  <c r="AM515" i="22"/>
  <c r="AM514" i="22"/>
  <c r="AM513" i="22"/>
  <c r="AM512" i="22"/>
  <c r="AM510" i="22"/>
  <c r="AM509" i="22"/>
  <c r="AM508" i="22"/>
  <c r="AM507" i="22"/>
  <c r="AM506" i="22"/>
  <c r="AM505" i="22"/>
  <c r="AM502" i="22"/>
  <c r="AM501" i="22"/>
  <c r="AM500" i="22"/>
  <c r="AM499" i="22"/>
  <c r="AM498" i="22"/>
  <c r="AM497" i="22"/>
  <c r="AM496" i="22"/>
  <c r="AM495" i="22"/>
  <c r="AM494" i="22"/>
  <c r="AM493" i="22"/>
  <c r="AM492" i="22"/>
  <c r="AM491" i="22"/>
  <c r="AM490" i="22"/>
  <c r="AM489" i="22"/>
  <c r="AM488" i="22"/>
  <c r="AM487" i="22"/>
  <c r="AM486" i="22"/>
  <c r="AM485" i="22"/>
  <c r="AM484" i="22"/>
  <c r="AM483" i="22"/>
  <c r="AM482" i="22"/>
  <c r="AM481" i="22"/>
  <c r="AM480" i="22"/>
  <c r="AM479" i="22"/>
  <c r="AM478" i="22"/>
  <c r="AM477" i="22"/>
  <c r="AM476" i="22"/>
  <c r="AM475" i="22"/>
  <c r="AM474" i="22"/>
  <c r="AM473" i="22"/>
  <c r="AM469" i="22"/>
  <c r="AM468" i="22"/>
  <c r="AM467" i="22"/>
  <c r="AM466" i="22"/>
  <c r="AM465" i="22"/>
  <c r="AM464" i="22"/>
  <c r="AM462" i="22"/>
  <c r="AM461" i="22"/>
  <c r="AM460" i="22"/>
  <c r="AM459" i="22"/>
  <c r="AM458" i="22"/>
  <c r="AM457" i="22"/>
  <c r="AM456" i="22"/>
  <c r="AM455" i="22"/>
  <c r="AM454" i="22"/>
  <c r="AM453" i="22"/>
  <c r="AM452" i="22"/>
  <c r="AM451" i="22"/>
  <c r="AM450" i="22"/>
  <c r="AM449" i="22"/>
  <c r="AM448" i="22"/>
  <c r="AM447" i="22"/>
  <c r="AM446" i="22"/>
  <c r="AM445" i="22"/>
  <c r="AM444" i="22"/>
  <c r="AM443" i="22"/>
  <c r="AM442" i="22"/>
  <c r="AM441" i="22"/>
  <c r="AM440" i="22"/>
  <c r="AM439" i="22"/>
  <c r="AM438" i="22"/>
  <c r="AM437" i="22"/>
  <c r="AM436" i="22"/>
  <c r="AM435" i="22"/>
  <c r="AM434" i="22"/>
  <c r="AM433" i="22"/>
  <c r="AM1522" i="22"/>
  <c r="AM1521" i="22"/>
  <c r="AM1520" i="22"/>
  <c r="AM1519" i="22"/>
  <c r="AM1518" i="22"/>
  <c r="AM1517" i="22"/>
  <c r="AM1516" i="22"/>
  <c r="AM1515" i="22"/>
  <c r="AM426" i="22"/>
  <c r="AM425" i="22"/>
  <c r="AM424" i="22"/>
  <c r="AM423" i="22"/>
  <c r="AM422" i="22"/>
  <c r="AM421" i="22"/>
  <c r="AM420" i="22"/>
  <c r="AM419" i="22"/>
  <c r="AM418" i="22"/>
  <c r="AM417" i="22"/>
  <c r="AM416" i="22"/>
  <c r="AM415" i="22"/>
  <c r="AM414" i="22"/>
  <c r="AM413" i="22"/>
  <c r="AM412" i="22"/>
  <c r="AM411" i="22"/>
  <c r="AM410" i="22"/>
  <c r="AM409" i="22"/>
  <c r="AM403" i="22"/>
  <c r="AM402" i="22"/>
  <c r="AM401" i="22"/>
  <c r="AM400" i="22"/>
  <c r="AM399" i="22"/>
  <c r="AM398" i="22"/>
  <c r="AM396" i="22"/>
  <c r="AM395" i="22"/>
  <c r="AM394" i="22"/>
  <c r="AM393" i="22"/>
  <c r="AM390" i="22"/>
  <c r="AM389" i="22"/>
  <c r="AM388" i="22"/>
  <c r="AM387" i="22"/>
  <c r="AM386" i="22"/>
  <c r="AM385" i="22"/>
  <c r="AM382" i="22"/>
  <c r="AM381" i="22"/>
  <c r="AM380" i="22"/>
  <c r="AM379" i="22"/>
  <c r="AM378" i="22"/>
  <c r="AM377" i="22"/>
  <c r="AM376" i="22"/>
  <c r="AM375" i="22"/>
  <c r="AM374" i="22"/>
  <c r="AM373" i="22"/>
  <c r="AM372" i="22"/>
  <c r="AM371" i="22"/>
  <c r="AM370" i="22"/>
  <c r="AM369" i="22"/>
  <c r="AM366" i="22"/>
  <c r="AM365" i="22"/>
  <c r="AM364" i="22"/>
  <c r="AM363" i="22"/>
  <c r="AM354" i="22"/>
  <c r="AM353" i="22"/>
  <c r="AM352" i="22"/>
  <c r="AM351" i="22"/>
  <c r="AM350" i="22"/>
  <c r="AM349" i="22"/>
  <c r="AM348" i="22"/>
  <c r="AM347" i="22"/>
  <c r="AM346" i="22"/>
  <c r="AM345" i="22"/>
  <c r="AM344" i="22"/>
  <c r="AM343" i="22"/>
  <c r="AM342" i="22"/>
  <c r="AM341" i="22"/>
  <c r="AM340" i="22"/>
  <c r="AM339" i="22"/>
  <c r="AM338" i="22"/>
  <c r="AM337" i="22"/>
  <c r="AM332" i="22"/>
  <c r="AM331" i="22"/>
  <c r="AM330" i="22"/>
  <c r="AM329" i="22"/>
  <c r="AM323" i="22"/>
  <c r="AM322" i="22"/>
  <c r="AM321" i="22"/>
  <c r="AM318" i="22"/>
  <c r="AM317" i="22"/>
  <c r="AM316" i="22"/>
  <c r="AM315" i="22"/>
  <c r="AM314" i="22"/>
  <c r="AM313" i="22"/>
  <c r="AM312" i="22"/>
  <c r="AM311" i="22"/>
  <c r="AM310" i="22"/>
  <c r="AM309" i="22"/>
  <c r="AM308" i="22"/>
  <c r="AM307" i="22"/>
  <c r="AM306" i="22"/>
  <c r="AM305" i="22"/>
  <c r="AM304" i="22"/>
  <c r="AM303" i="22"/>
  <c r="AM302" i="22"/>
  <c r="AM301" i="22"/>
  <c r="AM300" i="22"/>
  <c r="AM299" i="22"/>
  <c r="AM298" i="22"/>
  <c r="AM297" i="22"/>
  <c r="AM296" i="22"/>
  <c r="AM295" i="22"/>
  <c r="AM294" i="22"/>
  <c r="AM293" i="22"/>
  <c r="AM292" i="22"/>
  <c r="AM291" i="22"/>
  <c r="AM290" i="22"/>
  <c r="AM289" i="22"/>
  <c r="AM288" i="22"/>
  <c r="AM287" i="22"/>
  <c r="AM286" i="22"/>
  <c r="AM285" i="22"/>
  <c r="AM284" i="22"/>
  <c r="AM283" i="22"/>
  <c r="AM282" i="22"/>
  <c r="AM274" i="22"/>
  <c r="AM273" i="22"/>
  <c r="AM272" i="22"/>
  <c r="AM271" i="22"/>
  <c r="AM270" i="22"/>
  <c r="AM269" i="22"/>
  <c r="AM268" i="22"/>
  <c r="AM267" i="22"/>
  <c r="AM266" i="22"/>
  <c r="AM265" i="22"/>
  <c r="AM264" i="22"/>
  <c r="AM263" i="22"/>
  <c r="AM262" i="22"/>
  <c r="AM261" i="22"/>
  <c r="AM260" i="22"/>
  <c r="AM259" i="22"/>
  <c r="AM258" i="22"/>
  <c r="AM257" i="22"/>
  <c r="AM256" i="22"/>
  <c r="AM255" i="22"/>
  <c r="AM254" i="22"/>
  <c r="AM253" i="22"/>
  <c r="AM252" i="22"/>
  <c r="AM251" i="22"/>
  <c r="AM250" i="22"/>
  <c r="AM249" i="22"/>
  <c r="AM248" i="22"/>
  <c r="AM247" i="22"/>
  <c r="AM246" i="22"/>
  <c r="AM244" i="22"/>
  <c r="AM243" i="22"/>
  <c r="AM242" i="22"/>
  <c r="AM241" i="22"/>
  <c r="AM240" i="22"/>
  <c r="AM238" i="22"/>
  <c r="AM237" i="22"/>
  <c r="AM236" i="22"/>
  <c r="AM235" i="22"/>
  <c r="AM234" i="22"/>
  <c r="AM233" i="22"/>
  <c r="AM232" i="22"/>
  <c r="AM231" i="22"/>
  <c r="AM230" i="22"/>
  <c r="AM229" i="22"/>
  <c r="AM228" i="22"/>
  <c r="AM227" i="22"/>
  <c r="AM226" i="22"/>
  <c r="AM225" i="22"/>
  <c r="AM224" i="22"/>
  <c r="AM223" i="22"/>
  <c r="AM222" i="22"/>
  <c r="AM221" i="22"/>
  <c r="AM220" i="22"/>
  <c r="AM219" i="22"/>
  <c r="AM218" i="22"/>
  <c r="AM217" i="22"/>
  <c r="AM213" i="22"/>
  <c r="AM212" i="22"/>
  <c r="AM211" i="22"/>
  <c r="AM210" i="22"/>
  <c r="AM209" i="22"/>
  <c r="AM207" i="22"/>
  <c r="AM205" i="22"/>
  <c r="AM203" i="22"/>
  <c r="AM202" i="22"/>
  <c r="AM201" i="22"/>
  <c r="AM199" i="22"/>
  <c r="AM198" i="22"/>
  <c r="AM197" i="22"/>
  <c r="AM196" i="22"/>
  <c r="AM195" i="22"/>
  <c r="AM194" i="22"/>
  <c r="AM193" i="22"/>
  <c r="AM190" i="22"/>
  <c r="AM189" i="22"/>
  <c r="AM188" i="22"/>
  <c r="AM187" i="22"/>
  <c r="AM186" i="22"/>
  <c r="AM185" i="22"/>
  <c r="AM184" i="22"/>
  <c r="AM183" i="22"/>
  <c r="AM182" i="22"/>
  <c r="AM181" i="22"/>
  <c r="AM180" i="22"/>
  <c r="AM179" i="22"/>
  <c r="AM170" i="22"/>
  <c r="AM169" i="22"/>
  <c r="AM168" i="22"/>
  <c r="AM167" i="22"/>
  <c r="AM166" i="22"/>
  <c r="AM165" i="22"/>
  <c r="AM164" i="22"/>
  <c r="AM163" i="22"/>
  <c r="AM162" i="22"/>
  <c r="AM161" i="22"/>
  <c r="AM160" i="22"/>
  <c r="AM159" i="22"/>
  <c r="AM158" i="22"/>
  <c r="AM157" i="22"/>
  <c r="AM156" i="22"/>
  <c r="AM155" i="22"/>
  <c r="AM154" i="22"/>
  <c r="AM153" i="22"/>
  <c r="AM146" i="22"/>
  <c r="AM145" i="22"/>
  <c r="AM144" i="22"/>
  <c r="AM143" i="22"/>
  <c r="AM142" i="22"/>
  <c r="AM141" i="22"/>
  <c r="AM140" i="22"/>
  <c r="AM139" i="22"/>
  <c r="AM138" i="22"/>
  <c r="AM137" i="22"/>
  <c r="AM136" i="22"/>
  <c r="AM135" i="22"/>
  <c r="AM134" i="22"/>
  <c r="AM133" i="22"/>
  <c r="AM132" i="22"/>
  <c r="AM131" i="22"/>
  <c r="AM130" i="22"/>
  <c r="AM129" i="22"/>
  <c r="AM128" i="22"/>
  <c r="AM127" i="22"/>
  <c r="AM126" i="22"/>
  <c r="AM125" i="22"/>
  <c r="AM124" i="22"/>
  <c r="AM123" i="22"/>
  <c r="AM122" i="22"/>
  <c r="AM121" i="22"/>
  <c r="AM119" i="22"/>
  <c r="AM118" i="22"/>
  <c r="AM116" i="22"/>
  <c r="AM115" i="22"/>
  <c r="AM114" i="22"/>
  <c r="AM113" i="22"/>
  <c r="AM112" i="22"/>
  <c r="AM111" i="22"/>
  <c r="AM110" i="22"/>
  <c r="AM109" i="22"/>
  <c r="AM108" i="22"/>
  <c r="AM107" i="22"/>
  <c r="AM106" i="22"/>
  <c r="AM105" i="22"/>
  <c r="AM104" i="22"/>
  <c r="AM102" i="22"/>
  <c r="AM101" i="22"/>
  <c r="AM100" i="22"/>
  <c r="AM99" i="22"/>
  <c r="AM98" i="22"/>
  <c r="AM97" i="22"/>
  <c r="AM90" i="22"/>
  <c r="AM83" i="22"/>
  <c r="AM82" i="22"/>
  <c r="AM81" i="22"/>
  <c r="AM80" i="22"/>
  <c r="AM79" i="22"/>
  <c r="AM78" i="22"/>
  <c r="AM77" i="22"/>
  <c r="AM76" i="22"/>
  <c r="AM75" i="22"/>
  <c r="AM74" i="22"/>
  <c r="AM73" i="22"/>
  <c r="AM66" i="22"/>
  <c r="AM65" i="22"/>
  <c r="AM62" i="22"/>
  <c r="AM61" i="22"/>
  <c r="AM60" i="22"/>
  <c r="AM59" i="22"/>
  <c r="AM58" i="22"/>
  <c r="AM57" i="22"/>
  <c r="AM56" i="22"/>
  <c r="AM55" i="22"/>
  <c r="AM54" i="22"/>
  <c r="AM53" i="22"/>
  <c r="AM52" i="22"/>
  <c r="AM51" i="22"/>
  <c r="AM50" i="22"/>
  <c r="AM49" i="22"/>
  <c r="AM48" i="22"/>
  <c r="AM47" i="22"/>
  <c r="AM46" i="22"/>
  <c r="AM44" i="22"/>
  <c r="AM43" i="22"/>
  <c r="AM42" i="22"/>
  <c r="AM41" i="22"/>
  <c r="AM40" i="22"/>
  <c r="AM39" i="22"/>
  <c r="AM38" i="22"/>
  <c r="AM37" i="22"/>
  <c r="AM36" i="22"/>
  <c r="AM35" i="22"/>
  <c r="AM34" i="22"/>
  <c r="AM33" i="22"/>
  <c r="AM32" i="22"/>
  <c r="AM30" i="22"/>
  <c r="AM29" i="22"/>
  <c r="AM28" i="22"/>
  <c r="AM27" i="22"/>
  <c r="AM26" i="22"/>
  <c r="AM25" i="22"/>
  <c r="AM24" i="22"/>
  <c r="AM22" i="22"/>
  <c r="AM21" i="22"/>
  <c r="AM20" i="22"/>
  <c r="AM19" i="22"/>
  <c r="AM16" i="22"/>
  <c r="AM15" i="22"/>
  <c r="AM11" i="22"/>
  <c r="Q43" i="13"/>
  <c r="O43" i="13"/>
  <c r="P37" i="13"/>
  <c r="N37" i="13"/>
  <c r="N43" i="13" s="1"/>
  <c r="O25" i="1"/>
  <c r="N25" i="1"/>
  <c r="O9" i="1"/>
  <c r="O36" i="1" s="1"/>
  <c r="N9" i="1"/>
  <c r="N36" i="1" s="1"/>
  <c r="M25" i="1"/>
  <c r="L25" i="1"/>
  <c r="M16" i="1"/>
  <c r="L16" i="1"/>
  <c r="M12" i="1"/>
  <c r="M31" i="1"/>
  <c r="L31" i="1"/>
  <c r="M13" i="1"/>
  <c r="M20" i="1"/>
  <c r="L20" i="1"/>
  <c r="L27" i="1"/>
  <c r="M27" i="1"/>
  <c r="M5" i="1"/>
  <c r="L5" i="1"/>
  <c r="L36" i="1" s="1"/>
  <c r="W10" i="15"/>
  <c r="Y10" i="15"/>
  <c r="S10" i="15"/>
  <c r="U10" i="15"/>
  <c r="Q10" i="15"/>
  <c r="M10" i="15"/>
  <c r="I10" i="15"/>
  <c r="E10" i="15"/>
  <c r="V27" i="15"/>
  <c r="W27" i="15"/>
  <c r="U27" i="15"/>
  <c r="N27" i="15"/>
  <c r="O27" i="15"/>
  <c r="M27" i="15"/>
  <c r="F27" i="15"/>
  <c r="G27" i="15"/>
  <c r="I27" i="15" s="1"/>
  <c r="E27" i="15"/>
  <c r="AM204" i="22"/>
  <c r="AM324" i="22"/>
  <c r="AM404" i="22"/>
  <c r="AM700" i="22"/>
  <c r="AM1140" i="22"/>
  <c r="AM206" i="22"/>
  <c r="AM406" i="22"/>
  <c r="AM526" i="22"/>
  <c r="AM1630" i="22"/>
  <c r="AM862" i="22"/>
  <c r="AM1262" i="22"/>
  <c r="AM1430" i="22"/>
  <c r="AM325" i="22"/>
  <c r="AM1204" i="22"/>
  <c r="AM1428" i="22"/>
  <c r="D28" i="13"/>
  <c r="K25" i="1"/>
  <c r="J25" i="1"/>
  <c r="I25" i="1"/>
  <c r="H25" i="1"/>
  <c r="G25" i="1"/>
  <c r="F25" i="1"/>
  <c r="K16" i="2"/>
  <c r="K29" i="2" s="1"/>
  <c r="J16" i="2"/>
  <c r="I16" i="2"/>
  <c r="I29" i="2" s="1"/>
  <c r="H16" i="2"/>
  <c r="G16" i="2"/>
  <c r="F16" i="2"/>
  <c r="E16" i="2"/>
  <c r="D16" i="2"/>
  <c r="Q36" i="1"/>
  <c r="B27" i="1"/>
  <c r="C27" i="1"/>
  <c r="C36" i="1" s="1"/>
  <c r="D27" i="1"/>
  <c r="F27" i="1"/>
  <c r="G27" i="1"/>
  <c r="H27" i="1"/>
  <c r="I27" i="1"/>
  <c r="J27" i="1"/>
  <c r="K27" i="1"/>
  <c r="E13" i="1"/>
  <c r="G7" i="1"/>
  <c r="I7" i="1"/>
  <c r="E22" i="1"/>
  <c r="E36" i="1" s="1"/>
  <c r="G22" i="1"/>
  <c r="E32" i="1"/>
  <c r="G32" i="1"/>
  <c r="H31" i="1"/>
  <c r="I31" i="1"/>
  <c r="J31" i="1"/>
  <c r="K31" i="1"/>
  <c r="H34" i="1"/>
  <c r="I34" i="1"/>
  <c r="J34" i="1"/>
  <c r="K34" i="1" s="1"/>
  <c r="D16" i="1"/>
  <c r="D36" i="1" s="1"/>
  <c r="E16" i="1"/>
  <c r="F16" i="1"/>
  <c r="G16" i="1"/>
  <c r="H16" i="1"/>
  <c r="H36" i="1" s="1"/>
  <c r="I16" i="1"/>
  <c r="J16" i="1"/>
  <c r="K16" i="1"/>
  <c r="K23" i="1"/>
  <c r="H8" i="13"/>
  <c r="F8" i="13"/>
  <c r="D8" i="13"/>
  <c r="B8" i="13"/>
  <c r="H7" i="13"/>
  <c r="F7" i="13"/>
  <c r="D7" i="13"/>
  <c r="B7" i="13"/>
  <c r="B43" i="13" s="1"/>
  <c r="L37" i="13"/>
  <c r="J37" i="13"/>
  <c r="M39" i="13"/>
  <c r="M43" i="13"/>
  <c r="J39" i="13"/>
  <c r="L32" i="13"/>
  <c r="H31" i="13"/>
  <c r="F31" i="13"/>
  <c r="D31" i="13"/>
  <c r="B31" i="13"/>
  <c r="L31" i="13"/>
  <c r="J31" i="13"/>
  <c r="L25" i="13"/>
  <c r="L22" i="13"/>
  <c r="L43" i="13" s="1"/>
  <c r="L16" i="13"/>
  <c r="J16" i="13"/>
  <c r="L12" i="13"/>
  <c r="J12" i="13"/>
  <c r="L11" i="13"/>
  <c r="J11" i="13"/>
  <c r="B29" i="13"/>
  <c r="D29" i="13"/>
  <c r="F29" i="13"/>
  <c r="H29" i="13"/>
  <c r="I29" i="13"/>
  <c r="G43" i="13"/>
  <c r="D23" i="13"/>
  <c r="B37" i="13"/>
  <c r="D37" i="13"/>
  <c r="F37" i="13"/>
  <c r="H37" i="13"/>
  <c r="D32" i="13"/>
  <c r="H32" i="13"/>
  <c r="B33" i="13"/>
  <c r="D33" i="13"/>
  <c r="F33" i="13"/>
  <c r="H33" i="13"/>
  <c r="B26" i="13"/>
  <c r="D26" i="13" s="1"/>
  <c r="D43" i="13" s="1"/>
  <c r="F26" i="13"/>
  <c r="H26" i="13"/>
  <c r="C43" i="13"/>
  <c r="E43" i="13"/>
  <c r="K43" i="13"/>
  <c r="S43" i="13"/>
  <c r="U43" i="13"/>
  <c r="AM539" i="22"/>
  <c r="AM763" i="22"/>
  <c r="AG787" i="22"/>
  <c r="AG1715" i="22" s="1"/>
  <c r="AM1715" i="22" s="1"/>
  <c r="AM531" i="22"/>
  <c r="AM747" i="22"/>
  <c r="AM1059" i="22"/>
  <c r="AM1467" i="22"/>
  <c r="AM691" i="22"/>
  <c r="AM1211" i="22"/>
  <c r="AM836" i="22"/>
  <c r="AM580" i="22"/>
  <c r="AM644" i="22"/>
  <c r="AM1612" i="22"/>
  <c r="AM748" i="22"/>
  <c r="AM1460" i="22"/>
  <c r="AM1060" i="22"/>
  <c r="AM1388" i="22"/>
  <c r="AM604" i="22"/>
  <c r="AM1084" i="22"/>
  <c r="H1477" i="22"/>
  <c r="H1717" i="22" s="1"/>
  <c r="AG45" i="22"/>
  <c r="AM45" i="22" s="1"/>
  <c r="AG117" i="22"/>
  <c r="AM117" i="22"/>
  <c r="AG245" i="22"/>
  <c r="AM245" i="22"/>
  <c r="AG397" i="22"/>
  <c r="AM397" i="22"/>
  <c r="AG605" i="22"/>
  <c r="AG701" i="22"/>
  <c r="AM701" i="22" s="1"/>
  <c r="AG709" i="22"/>
  <c r="AM709" i="22" s="1"/>
  <c r="AG789" i="22"/>
  <c r="AM789" i="22" s="1"/>
  <c r="AG917" i="22"/>
  <c r="AM917" i="22" s="1"/>
  <c r="AG933" i="22"/>
  <c r="AM933" i="22" s="1"/>
  <c r="AG1109" i="22"/>
  <c r="AG1125" i="22"/>
  <c r="AG1133" i="22"/>
  <c r="AM1133" i="22" s="1"/>
  <c r="AG1141" i="22"/>
  <c r="AM1141" i="22" s="1"/>
  <c r="AG1205" i="22"/>
  <c r="AM1205" i="22" s="1"/>
  <c r="AG1229" i="22"/>
  <c r="AM1229" i="22" s="1"/>
  <c r="AG1437" i="22"/>
  <c r="AM1437" i="22" s="1"/>
  <c r="AG1469" i="22"/>
  <c r="AM1469" i="22" s="1"/>
  <c r="AG1629" i="22"/>
  <c r="AM1629" i="22" s="1"/>
  <c r="AG1685" i="22"/>
  <c r="AM1685" i="22" s="1"/>
  <c r="AG1701" i="22"/>
  <c r="AM1701" i="22" s="1"/>
  <c r="AM1061" i="22"/>
  <c r="AM1613" i="22"/>
  <c r="AM581" i="22"/>
  <c r="AM1237" i="22"/>
  <c r="AM429" i="22"/>
  <c r="AM733" i="22"/>
  <c r="AM1461" i="22"/>
  <c r="AM333" i="22"/>
  <c r="AM405" i="22"/>
  <c r="AM685" i="22"/>
  <c r="AM805" i="22"/>
  <c r="AM1086" i="22"/>
  <c r="AM1421" i="22"/>
  <c r="AM13" i="22"/>
  <c r="AM622" i="22"/>
  <c r="AM918" i="22"/>
  <c r="AM1062" i="22"/>
  <c r="AM1190" i="22"/>
  <c r="AM1478" i="22"/>
  <c r="AM1550" i="22"/>
  <c r="H1558" i="22"/>
  <c r="H1718" i="22"/>
  <c r="AG470" i="22"/>
  <c r="AG542" i="22"/>
  <c r="AG1718" i="22" s="1"/>
  <c r="AG582" i="22"/>
  <c r="AM582" i="22"/>
  <c r="AG606" i="22"/>
  <c r="AM606" i="22"/>
  <c r="AG702" i="22"/>
  <c r="AG782" i="22"/>
  <c r="AM782" i="22" s="1"/>
  <c r="AG1014" i="22"/>
  <c r="AG1142" i="22"/>
  <c r="AM1142" i="22" s="1"/>
  <c r="AG1206" i="22"/>
  <c r="AM1206" i="22" s="1"/>
  <c r="AG1230" i="22"/>
  <c r="AM1230" i="22" s="1"/>
  <c r="AG1502" i="22"/>
  <c r="AM1502" i="22" s="1"/>
  <c r="AG1638" i="22"/>
  <c r="AM1638" i="22" s="1"/>
  <c r="AM214" i="22"/>
  <c r="AM278" i="22"/>
  <c r="AM326" i="22"/>
  <c r="AM678" i="22"/>
  <c r="AM1126" i="22"/>
  <c r="AM1238" i="22"/>
  <c r="AM734" i="22"/>
  <c r="AM886" i="22"/>
  <c r="AM1470" i="22"/>
  <c r="AM334" i="22"/>
  <c r="AM686" i="22"/>
  <c r="AM1390" i="22"/>
  <c r="AM14" i="22"/>
  <c r="H95" i="22"/>
  <c r="H1719" i="22" s="1"/>
  <c r="H215" i="22"/>
  <c r="H279" i="22"/>
  <c r="AM279" i="22" s="1"/>
  <c r="H367" i="22"/>
  <c r="AM367" i="22"/>
  <c r="H391" i="22"/>
  <c r="H535" i="22"/>
  <c r="H543" i="22"/>
  <c r="H583" i="22"/>
  <c r="AM583" i="22"/>
  <c r="H607" i="22"/>
  <c r="AM607" i="22"/>
  <c r="H703" i="22"/>
  <c r="H839" i="22"/>
  <c r="AM839" i="22" s="1"/>
  <c r="H1111" i="22"/>
  <c r="AM1111" i="22" s="1"/>
  <c r="H1167" i="22"/>
  <c r="AM1167" i="22" s="1"/>
  <c r="H1191" i="22"/>
  <c r="AM1191" i="22" s="1"/>
  <c r="H1239" i="22"/>
  <c r="H1263" i="22"/>
  <c r="AM1263" i="22" s="1"/>
  <c r="H1327" i="22"/>
  <c r="AM1327" i="22" s="1"/>
  <c r="H1615" i="22"/>
  <c r="AM767" i="22"/>
  <c r="AM887" i="22"/>
  <c r="AM1175" i="22"/>
  <c r="AM1607" i="22"/>
  <c r="AM1647" i="22"/>
  <c r="AM711" i="22"/>
  <c r="AM807" i="22"/>
  <c r="AM967" i="22"/>
  <c r="AM31" i="22"/>
  <c r="AM63" i="22"/>
  <c r="AM103" i="22"/>
  <c r="AM239" i="22"/>
  <c r="AM319" i="22"/>
  <c r="AM383" i="22"/>
  <c r="AM471" i="22"/>
  <c r="AM511" i="22"/>
  <c r="AM591" i="22"/>
  <c r="AM719" i="22"/>
  <c r="AM775" i="22"/>
  <c r="AM791" i="22"/>
  <c r="AM879" i="22"/>
  <c r="AM1039" i="22"/>
  <c r="AM1095" i="22"/>
  <c r="AM1143" i="22"/>
  <c r="AM1255" i="22"/>
  <c r="AM1479" i="22"/>
  <c r="AM1503" i="22"/>
  <c r="AM1559" i="22"/>
  <c r="AM151" i="22"/>
  <c r="AM431" i="22"/>
  <c r="AM871" i="22"/>
  <c r="AM903" i="22"/>
  <c r="AM991" i="22"/>
  <c r="AM1015" i="22"/>
  <c r="AM1463" i="22"/>
  <c r="AM1551" i="22"/>
  <c r="AM503" i="22"/>
  <c r="AM695" i="22"/>
  <c r="AM943" i="22"/>
  <c r="AM1383" i="22"/>
  <c r="AM1415" i="22"/>
  <c r="AM17" i="22"/>
  <c r="H216" i="22"/>
  <c r="H1720" i="22" s="1"/>
  <c r="H320" i="22"/>
  <c r="H368" i="22"/>
  <c r="AM368" i="22" s="1"/>
  <c r="H392" i="22"/>
  <c r="AM392" i="22" s="1"/>
  <c r="H472" i="22"/>
  <c r="AM472" i="22"/>
  <c r="H536" i="22"/>
  <c r="H584" i="22"/>
  <c r="H608" i="22"/>
  <c r="H704" i="22"/>
  <c r="H840" i="22"/>
  <c r="AM840" i="22"/>
  <c r="H1088" i="22"/>
  <c r="AM1088" i="22"/>
  <c r="H1112" i="22"/>
  <c r="H1144" i="22"/>
  <c r="H1168" i="22"/>
  <c r="H1192" i="22"/>
  <c r="H1240" i="22"/>
  <c r="AM1240" i="22" s="1"/>
  <c r="H1360" i="22"/>
  <c r="AM1360" i="22"/>
  <c r="H1376" i="22"/>
  <c r="H1552" i="22"/>
  <c r="AM1552" i="22" s="1"/>
  <c r="H1616" i="22"/>
  <c r="H1640" i="22"/>
  <c r="AM432" i="22"/>
  <c r="AM720" i="22"/>
  <c r="AM920" i="22"/>
  <c r="AM1176" i="22"/>
  <c r="AM1432" i="22"/>
  <c r="AM1608" i="22"/>
  <c r="AM192" i="22"/>
  <c r="AM336" i="22"/>
  <c r="AM624" i="22"/>
  <c r="AM1648" i="22"/>
  <c r="AM200" i="22"/>
  <c r="AM208" i="22"/>
  <c r="AM776" i="22"/>
  <c r="AM832" i="22"/>
  <c r="AM864" i="22"/>
  <c r="AM1200" i="22"/>
  <c r="AM1416" i="22"/>
  <c r="AM1704" i="22"/>
  <c r="AM120" i="22"/>
  <c r="AM384" i="22"/>
  <c r="AM1016" i="22"/>
  <c r="AM1232" i="22"/>
  <c r="AM1672" i="22"/>
  <c r="Y17" i="15"/>
  <c r="U17" i="15"/>
  <c r="Y35" i="15"/>
  <c r="U35" i="15"/>
  <c r="Y14" i="15"/>
  <c r="U14" i="15"/>
  <c r="Y37" i="15"/>
  <c r="U37" i="15"/>
  <c r="W31" i="15"/>
  <c r="Y31" i="15" s="1"/>
  <c r="Y20" i="15"/>
  <c r="U20" i="15"/>
  <c r="Y22" i="15"/>
  <c r="U22" i="15"/>
  <c r="V40" i="15"/>
  <c r="Y40" i="15" s="1"/>
  <c r="W40" i="15"/>
  <c r="R40" i="15"/>
  <c r="R42" i="15" s="1"/>
  <c r="S40" i="15"/>
  <c r="Y39" i="15"/>
  <c r="U39" i="15"/>
  <c r="Y38" i="15"/>
  <c r="V38" i="15"/>
  <c r="W38" i="15" s="1"/>
  <c r="S38" i="15"/>
  <c r="Y32" i="15"/>
  <c r="U32" i="15"/>
  <c r="X28" i="15"/>
  <c r="W28" i="15"/>
  <c r="T28" i="15"/>
  <c r="T42" i="15" s="1"/>
  <c r="S28" i="15"/>
  <c r="U26" i="15"/>
  <c r="Y24" i="15"/>
  <c r="U24" i="15"/>
  <c r="V21" i="15"/>
  <c r="V42" i="15" s="1"/>
  <c r="W21" i="15"/>
  <c r="U21" i="15"/>
  <c r="V18" i="15"/>
  <c r="S18" i="15"/>
  <c r="W18" i="15" s="1"/>
  <c r="W15" i="15"/>
  <c r="Y15" i="15"/>
  <c r="U15" i="15"/>
  <c r="W11" i="15"/>
  <c r="S11" i="15"/>
  <c r="Y8" i="15"/>
  <c r="U8" i="15"/>
  <c r="O8" i="15"/>
  <c r="Q8" i="15" s="1"/>
  <c r="M8" i="15"/>
  <c r="I8" i="15"/>
  <c r="E8" i="15"/>
  <c r="C28" i="15"/>
  <c r="E28" i="15"/>
  <c r="G28" i="15"/>
  <c r="I28" i="15"/>
  <c r="K28" i="15"/>
  <c r="M28" i="15"/>
  <c r="O28" i="15"/>
  <c r="Q28" i="15"/>
  <c r="E33" i="15"/>
  <c r="I33" i="15"/>
  <c r="M33" i="15"/>
  <c r="Q33" i="15"/>
  <c r="E22" i="15"/>
  <c r="I22" i="15"/>
  <c r="M22" i="15"/>
  <c r="Q22" i="15"/>
  <c r="E26" i="15"/>
  <c r="I26" i="15"/>
  <c r="N26" i="15"/>
  <c r="O26" i="15"/>
  <c r="Q26" i="15" s="1"/>
  <c r="Q37" i="15"/>
  <c r="Q15" i="15"/>
  <c r="E9" i="15"/>
  <c r="M9" i="15"/>
  <c r="Q9" i="15"/>
  <c r="U9" i="15"/>
  <c r="Y9" i="15"/>
  <c r="M24" i="15"/>
  <c r="Q24" i="15"/>
  <c r="E11" i="15"/>
  <c r="I11" i="15"/>
  <c r="M11" i="15"/>
  <c r="Q11" i="15"/>
  <c r="E38" i="15"/>
  <c r="I38" i="15"/>
  <c r="M38" i="15"/>
  <c r="Q38" i="15"/>
  <c r="E20" i="15"/>
  <c r="I20" i="15"/>
  <c r="M20" i="15"/>
  <c r="Q20" i="15"/>
  <c r="B21" i="15"/>
  <c r="B42" i="15" s="1"/>
  <c r="C21" i="15"/>
  <c r="E21" i="15" s="1"/>
  <c r="F21" i="15"/>
  <c r="G21" i="15"/>
  <c r="I21" i="15" s="1"/>
  <c r="J21" i="15"/>
  <c r="J42" i="15"/>
  <c r="K21" i="15"/>
  <c r="N21" i="15"/>
  <c r="O21" i="15"/>
  <c r="Q36" i="15"/>
  <c r="E19" i="15"/>
  <c r="I19" i="15"/>
  <c r="M19" i="15"/>
  <c r="Q19" i="15"/>
  <c r="I40" i="15"/>
  <c r="M40" i="15"/>
  <c r="Q40" i="15"/>
  <c r="E16" i="15"/>
  <c r="I16" i="15"/>
  <c r="M16" i="15"/>
  <c r="Q16" i="15"/>
  <c r="E39" i="15"/>
  <c r="I39" i="15"/>
  <c r="M39" i="15"/>
  <c r="Q39" i="15"/>
  <c r="E14" i="15"/>
  <c r="I14" i="15"/>
  <c r="M14" i="15"/>
  <c r="Q14" i="15"/>
  <c r="E30" i="15"/>
  <c r="I30" i="15"/>
  <c r="M30" i="15"/>
  <c r="Q30" i="15"/>
  <c r="E35" i="15"/>
  <c r="I35" i="15"/>
  <c r="M35" i="15"/>
  <c r="Q35" i="15"/>
  <c r="C18" i="15"/>
  <c r="E18" i="15" s="1"/>
  <c r="F18" i="15"/>
  <c r="F42" i="15" s="1"/>
  <c r="K18" i="15"/>
  <c r="M18" i="15"/>
  <c r="N18" i="15"/>
  <c r="E31" i="15"/>
  <c r="I31" i="15"/>
  <c r="M31" i="15"/>
  <c r="Q31" i="15"/>
  <c r="C32" i="15"/>
  <c r="E32" i="15" s="1"/>
  <c r="G32" i="15"/>
  <c r="I32" i="15" s="1"/>
  <c r="K32" i="15"/>
  <c r="M32" i="15" s="1"/>
  <c r="M42" i="15" s="1"/>
  <c r="O32" i="15"/>
  <c r="Q32" i="15" s="1"/>
  <c r="C25" i="15"/>
  <c r="E25" i="15" s="1"/>
  <c r="F25" i="15"/>
  <c r="I25" i="15" s="1"/>
  <c r="K25" i="15"/>
  <c r="M25" i="15"/>
  <c r="N25" i="15"/>
  <c r="E17" i="15"/>
  <c r="I17" i="15"/>
  <c r="M17" i="15"/>
  <c r="Q17" i="15"/>
  <c r="D42" i="15"/>
  <c r="H42" i="15"/>
  <c r="L42" i="15"/>
  <c r="P42" i="15"/>
  <c r="X42" i="15"/>
  <c r="M15" i="2"/>
  <c r="L15" i="2"/>
  <c r="M24" i="2"/>
  <c r="L27" i="2"/>
  <c r="M27" i="2" s="1"/>
  <c r="M16" i="2"/>
  <c r="M21" i="2"/>
  <c r="L24" i="2"/>
  <c r="L16" i="2"/>
  <c r="L21" i="2"/>
  <c r="K24" i="2"/>
  <c r="K17" i="2"/>
  <c r="J27" i="2"/>
  <c r="K27" i="2"/>
  <c r="K21" i="2"/>
  <c r="J24" i="2"/>
  <c r="J29" i="2" s="1"/>
  <c r="J17" i="2"/>
  <c r="I24" i="2"/>
  <c r="I27" i="2"/>
  <c r="I21" i="2"/>
  <c r="H24" i="2"/>
  <c r="H27" i="2"/>
  <c r="H29" i="2" s="1"/>
  <c r="H21" i="2"/>
  <c r="G21" i="2"/>
  <c r="F21" i="2"/>
  <c r="E13" i="2"/>
  <c r="E8" i="2"/>
  <c r="E20" i="2"/>
  <c r="E25" i="2"/>
  <c r="E17" i="2"/>
  <c r="E27" i="2"/>
  <c r="E22" i="2"/>
  <c r="E21" i="2"/>
  <c r="D21" i="2"/>
  <c r="D29" i="2" s="1"/>
  <c r="C29" i="2"/>
  <c r="B29" i="2"/>
  <c r="F36" i="1"/>
  <c r="P36" i="1"/>
  <c r="AM1384" i="22"/>
  <c r="AM18" i="22"/>
  <c r="AM428" i="22"/>
  <c r="L39" i="13"/>
  <c r="R43" i="13"/>
  <c r="T43" i="13"/>
  <c r="I43" i="13"/>
  <c r="N29" i="2"/>
  <c r="G29" i="2"/>
  <c r="F29" i="2"/>
  <c r="L29" i="2"/>
  <c r="P29" i="2"/>
  <c r="E29" i="2"/>
  <c r="Q29" i="2"/>
  <c r="Y21" i="15"/>
  <c r="Q21" i="15"/>
  <c r="M21" i="15"/>
  <c r="U40" i="15"/>
  <c r="O25" i="15"/>
  <c r="Q25" i="15"/>
  <c r="O18" i="15"/>
  <c r="Q18" i="15"/>
  <c r="U18" i="15"/>
  <c r="Y27" i="15"/>
  <c r="C42" i="15"/>
  <c r="N42" i="15"/>
  <c r="Y28" i="15"/>
  <c r="Q27" i="15"/>
  <c r="S42" i="15"/>
  <c r="G25" i="15"/>
  <c r="G18" i="15"/>
  <c r="G42" i="15" s="1"/>
  <c r="Z42" i="15"/>
  <c r="AC42" i="15"/>
  <c r="J43" i="13"/>
  <c r="B36" i="1"/>
  <c r="I36" i="1"/>
  <c r="F43" i="13"/>
  <c r="H43" i="13"/>
  <c r="J36" i="1"/>
  <c r="M36" i="1"/>
  <c r="G36" i="1"/>
  <c r="AM1192" i="22"/>
  <c r="AM320" i="22"/>
  <c r="AM1471" i="22"/>
  <c r="AM1127" i="22"/>
  <c r="AM735" i="22"/>
  <c r="AM327" i="22"/>
  <c r="AM1239" i="22"/>
  <c r="AM975" i="22"/>
  <c r="AM703" i="22"/>
  <c r="AM215" i="22"/>
  <c r="AM1125" i="22"/>
  <c r="AM1611" i="22"/>
  <c r="AM92" i="22"/>
  <c r="AM1560" i="22"/>
  <c r="AM1472" i="22"/>
  <c r="AM1392" i="22"/>
  <c r="AM1328" i="22"/>
  <c r="AM1208" i="22"/>
  <c r="AM1128" i="22"/>
  <c r="AM992" i="22"/>
  <c r="AM808" i="22"/>
  <c r="AM544" i="22"/>
  <c r="AM152" i="22"/>
  <c r="AM88" i="22"/>
  <c r="AM1376" i="22"/>
  <c r="AM1168" i="22"/>
  <c r="AM976" i="22"/>
  <c r="AM584" i="22"/>
  <c r="AM504" i="22"/>
  <c r="AM1639" i="22"/>
  <c r="AM1087" i="22"/>
  <c r="AM751" i="22"/>
  <c r="AM1615" i="22"/>
  <c r="AM391" i="22"/>
  <c r="AM750" i="22"/>
  <c r="AM1198" i="22"/>
  <c r="AM702" i="22"/>
  <c r="AM885" i="22"/>
  <c r="AM749" i="22"/>
  <c r="AM533" i="22"/>
  <c r="AM541" i="22"/>
  <c r="AM1109" i="22"/>
  <c r="AM605" i="22"/>
  <c r="AG1717" i="22"/>
  <c r="AM148" i="22"/>
  <c r="AM1636" i="22"/>
  <c r="AM540" i="22"/>
  <c r="AM1123" i="22"/>
  <c r="AM731" i="22"/>
  <c r="AM1635" i="22"/>
  <c r="AM579" i="22"/>
  <c r="AM1459" i="22"/>
  <c r="AM94" i="22"/>
  <c r="AM1420" i="22"/>
  <c r="W1717" i="22"/>
  <c r="W1719" i="22"/>
  <c r="G1719" i="22"/>
  <c r="AM1424" i="22"/>
  <c r="AM1216" i="22"/>
  <c r="AM1064" i="22"/>
  <c r="AM736" i="22"/>
  <c r="AM408" i="22"/>
  <c r="AM280" i="22"/>
  <c r="AM1640" i="22"/>
  <c r="AM608" i="22"/>
  <c r="AM831" i="22"/>
  <c r="AM687" i="22"/>
  <c r="AM1423" i="22"/>
  <c r="AM542" i="22"/>
  <c r="AM765" i="22"/>
  <c r="AM1637" i="22"/>
  <c r="AM973" i="22"/>
  <c r="AM1212" i="22"/>
  <c r="AM696" i="22"/>
  <c r="O42" i="15"/>
  <c r="AM1464" i="22"/>
  <c r="AM768" i="22"/>
  <c r="AM536" i="22"/>
  <c r="AM1616" i="22"/>
  <c r="AM888" i="22"/>
  <c r="AM1462" i="22"/>
  <c r="AM430" i="22"/>
  <c r="AM532" i="22"/>
  <c r="AM1422" i="22"/>
  <c r="AM12" i="22"/>
  <c r="AM1124" i="22"/>
  <c r="AM764" i="22"/>
  <c r="AM732" i="22"/>
  <c r="E27" i="1"/>
  <c r="AM23" i="22"/>
  <c r="AM85" i="22"/>
  <c r="AM91" i="22"/>
  <c r="AM147" i="22"/>
  <c r="AM149" i="22"/>
  <c r="AM275" i="22"/>
  <c r="AM427" i="22"/>
  <c r="AM787" i="22"/>
  <c r="AM64" i="22"/>
  <c r="AM84" i="22"/>
  <c r="AM150" i="22"/>
  <c r="AM276" i="22"/>
  <c r="AM470" i="22"/>
  <c r="AM990" i="22"/>
  <c r="AM1558" i="22"/>
  <c r="AM86" i="22"/>
  <c r="AK1719" i="22"/>
  <c r="AM1707" i="22"/>
  <c r="AK1715" i="22"/>
  <c r="AM1712" i="22"/>
  <c r="AK1720" i="22"/>
  <c r="AM1708" i="22"/>
  <c r="AK1716" i="22"/>
  <c r="AM1710" i="22"/>
  <c r="AK1718" i="22"/>
  <c r="AM1709" i="22"/>
  <c r="AK1717" i="22"/>
  <c r="AM1714" i="22"/>
  <c r="AK1722" i="22"/>
  <c r="AM1713" i="22"/>
  <c r="AK1721" i="22"/>
  <c r="Q42" i="15" l="1"/>
  <c r="Y18" i="15"/>
  <c r="M29" i="2"/>
  <c r="E42" i="15"/>
  <c r="K36" i="1"/>
  <c r="AM1718" i="22"/>
  <c r="AM1719" i="22"/>
  <c r="AM216" i="22"/>
  <c r="AM1477" i="22"/>
  <c r="AM95" i="22"/>
  <c r="I18" i="15"/>
  <c r="I42" i="15" s="1"/>
  <c r="K42" i="15"/>
  <c r="U28" i="15"/>
  <c r="AM89" i="22"/>
  <c r="V1720" i="22"/>
  <c r="AM1720" i="22" s="1"/>
  <c r="V1716" i="22"/>
  <c r="AM1716" i="22" s="1"/>
  <c r="U25" i="15"/>
  <c r="U42" i="15" s="1"/>
  <c r="V1717" i="22"/>
  <c r="AM1717" i="22" s="1"/>
  <c r="W25" i="15" l="1"/>
  <c r="W42" i="15" l="1"/>
  <c r="Y25" i="15"/>
  <c r="Y42" i="15" s="1"/>
</calcChain>
</file>

<file path=xl/comments1.xml><?xml version="1.0" encoding="utf-8"?>
<comments xmlns="http://schemas.openxmlformats.org/spreadsheetml/2006/main">
  <authors>
    <author>j.pallett</author>
  </authors>
  <commentList>
    <comment ref="K579" authorId="0">
      <text>
        <r>
          <rPr>
            <b/>
            <sz val="14"/>
            <color indexed="81"/>
            <rFont val="Tahoma"/>
            <family val="2"/>
          </rPr>
          <t>j.pallett:</t>
        </r>
        <r>
          <rPr>
            <sz val="14"/>
            <color indexed="81"/>
            <rFont val="Tahoma"/>
            <family val="2"/>
          </rPr>
          <t xml:space="preserve">
2 rounding</t>
        </r>
      </text>
    </comment>
    <comment ref="K748" authorId="0">
      <text>
        <r>
          <rPr>
            <b/>
            <sz val="12"/>
            <color indexed="81"/>
            <rFont val="Tahoma"/>
            <family val="2"/>
          </rPr>
          <t>j.pallett:</t>
        </r>
        <r>
          <rPr>
            <sz val="12"/>
            <color indexed="81"/>
            <rFont val="Tahoma"/>
            <family val="2"/>
          </rPr>
          <t xml:space="preserve">
1 rounding </t>
        </r>
      </text>
    </comment>
  </commentList>
</comments>
</file>

<file path=xl/sharedStrings.xml><?xml version="1.0" encoding="utf-8"?>
<sst xmlns="http://schemas.openxmlformats.org/spreadsheetml/2006/main" count="5560" uniqueCount="786">
  <si>
    <t>The European Union as an entity is a Party to UNFCCC in its own right.</t>
  </si>
  <si>
    <t>Receipts from  States</t>
  </si>
  <si>
    <t>Notes to table 3</t>
  </si>
  <si>
    <t>RB = Regular resources; XB = RSS plus other resources and funds</t>
  </si>
  <si>
    <t>(h) UNWTO</t>
  </si>
  <si>
    <t>Notes to table 4</t>
  </si>
  <si>
    <t>(d)  FAO</t>
  </si>
  <si>
    <t>Contributions are payable in Swiss francs. The rates used are the same as under Table 1.</t>
  </si>
  <si>
    <t>Notes to table 5</t>
  </si>
  <si>
    <t>In accordance with regulation 3.8 of the Financial Regulations of the United Nations, States that are not Members of the United Nations but that participate in certain of its activities shall be called upon to contribute towards the expenses of the Organization.</t>
  </si>
  <si>
    <t>.</t>
  </si>
  <si>
    <t>The exchange rates used are those indicated in Table 1.</t>
  </si>
  <si>
    <t>The exchange rates used are those indicated in notes to Table 1.</t>
  </si>
  <si>
    <t>(d) ICAO</t>
  </si>
  <si>
    <t>The Regular Budget of the ITC, funded jointly and equally by the World Trade Organization (WTO) and the United Nations is approved in Swiss Francs. Each organization's share of the Regular Budget provided by the WTO and the United Nations would be assessed in accordance with the scale of assessments of each organization.</t>
  </si>
  <si>
    <t>Notes to table 6</t>
  </si>
  <si>
    <t>Regular budget only.  Data covering United Nations peacekeeping is to be found in the monthly reports on Status of Contributions (ST/ADM/SER.B) issued by the UN Secretariat.</t>
  </si>
  <si>
    <t>The Holy See is not a Member State of the United Nations.  Its contributions as non-member States are treated as miscellaneous income.</t>
  </si>
  <si>
    <t>(o) UNFCCC</t>
  </si>
  <si>
    <r>
      <t xml:space="preserve">ICAO </t>
    </r>
    <r>
      <rPr>
        <b/>
        <sz val="10"/>
        <color indexed="10"/>
        <rFont val="Times New Roman"/>
        <family val="1"/>
      </rPr>
      <t>(f)</t>
    </r>
  </si>
  <si>
    <t>(n) UNWTO</t>
  </si>
  <si>
    <t>(f) ICAO</t>
  </si>
  <si>
    <r>
      <t xml:space="preserve">UNWTO </t>
    </r>
    <r>
      <rPr>
        <b/>
        <sz val="10"/>
        <color indexed="10"/>
        <rFont val="Times New Roman"/>
        <family val="1"/>
      </rPr>
      <t>(h)</t>
    </r>
  </si>
  <si>
    <t>(f) IFAD</t>
  </si>
  <si>
    <r>
      <t xml:space="preserve">IFAD </t>
    </r>
    <r>
      <rPr>
        <b/>
        <sz val="10.5"/>
        <color indexed="10"/>
        <rFont val="Times New Roman"/>
        <family val="1"/>
      </rPr>
      <t>(j)</t>
    </r>
  </si>
  <si>
    <t>(j)  IFAD</t>
  </si>
  <si>
    <t xml:space="preserve">This table covers all contributions provided by Member States outside regular budgets (for which see table 1).  Extra-budgetary resources include trust funds, technical cooperation, and all other non regular resources.  Extrabudgetary resources should also include the value of contributions in kind when these are recorded as income in organizations' financial statements.  Contributions received in currencies other than United States dollars are translated into dollars at the exchange rate judged most appropriate by the organizations concerned. </t>
  </si>
  <si>
    <t>This table shows the percentage of contribution by each Member State to the assessed budget of each organization. If the percentage assessment varies between the two years of a biennium this is indicated in a separate footnote.
A blank cell opposite the name of a country indicates that this is not a contributor or other entity to the organization under the scale of assessments.</t>
  </si>
  <si>
    <t>Faroe Islands</t>
  </si>
  <si>
    <r>
      <t>Denmark</t>
    </r>
    <r>
      <rPr>
        <b/>
        <sz val="10.5"/>
        <color indexed="10"/>
        <rFont val="Times New Roman"/>
        <family val="1"/>
      </rPr>
      <t xml:space="preserve"> (c)</t>
    </r>
  </si>
  <si>
    <t>(1) Excludes interest and miscellaneous income; (2) Negative amount for 2006 SNV donor represent refunds of bank interests.</t>
  </si>
  <si>
    <t>Regular budget refers only to the budget allocation received by UN-Habitat from the United Nations Secretariat for implementing Section 15 of the work programme (Human Settlements Programme).</t>
  </si>
  <si>
    <t>(d) UN</t>
  </si>
  <si>
    <t>Notes to table 7</t>
  </si>
  <si>
    <r>
      <t xml:space="preserve">Table 8.  Working Capital Funds </t>
    </r>
    <r>
      <rPr>
        <b/>
        <sz val="14"/>
        <color indexed="10"/>
        <rFont val="Times New Roman"/>
        <family val="1"/>
      </rPr>
      <t>(a)</t>
    </r>
  </si>
  <si>
    <t>Notes to table 8</t>
  </si>
  <si>
    <t>Working Capital Funds = Total Assets (minus) Total Liabilities.</t>
  </si>
  <si>
    <t>Working Capital Funds = Total Regular Resource Assets (minus) Total Regular Resource Liabilities.</t>
  </si>
  <si>
    <t>Venezuela (Bolivian republic of)</t>
  </si>
  <si>
    <r>
      <t xml:space="preserve">(in United States dollars) </t>
    </r>
    <r>
      <rPr>
        <b/>
        <sz val="12"/>
        <color indexed="10"/>
        <rFont val="Times New Roman"/>
        <family val="1"/>
      </rPr>
      <t>(b)</t>
    </r>
  </si>
  <si>
    <t>A blank cell opposite the name of a country indicates that it is not a contributor to that organization under the scale of assessments.</t>
  </si>
  <si>
    <t>CTBTO</t>
  </si>
  <si>
    <t>ICGEB</t>
  </si>
  <si>
    <t>CBTO</t>
  </si>
  <si>
    <t>Puerto Rico</t>
  </si>
  <si>
    <t>Cayman Islands</t>
  </si>
  <si>
    <t>Gibraltar</t>
  </si>
  <si>
    <t>The figures used in Table 1 are regular budget figures for assessment purposes only, they do not include other programme funds. These amounts are converted into US dollars using the budget assumption rate quoted above in (b) 2.</t>
  </si>
  <si>
    <r>
      <t xml:space="preserve">IMO </t>
    </r>
    <r>
      <rPr>
        <b/>
        <sz val="11"/>
        <color indexed="10"/>
        <rFont val="Times New Roman"/>
        <family val="1"/>
      </rPr>
      <t>(e)</t>
    </r>
  </si>
  <si>
    <t>(f) IMO</t>
  </si>
  <si>
    <t>(h) IFAD</t>
  </si>
  <si>
    <t>Same rates as under Table 1.</t>
  </si>
  <si>
    <t>Includes $1.9 million, $1.2 million, $1.4 million and 6.6 million as contributions in kind for 2002, 2003, 2004 and 2005 respectively.  Sources of funds: Annual Budget, Supplementary Budgets and Junior Professional Officers.</t>
  </si>
  <si>
    <t>Following the declaration of independence of Montenegro in June 2006, Serbia and Montenegro are shown as independent Member States. Consequently, contributions for 2002-2005 are recorded as from "Serbia and Montenegro", contributions for 2006 and 2007 are usually recorded separately.</t>
  </si>
  <si>
    <r>
      <t xml:space="preserve">UNICEF </t>
    </r>
    <r>
      <rPr>
        <b/>
        <sz val="14"/>
        <color indexed="10"/>
        <rFont val="Times New Roman"/>
        <family val="1"/>
      </rPr>
      <t>(m)</t>
    </r>
  </si>
  <si>
    <t>RB expenditures are those incurred under the Biennial Support Budget which is approved by the Executive Board.  It also includes other expenditures funded from regular resources.  XB includes all expenditures under "Other Resources" (co-financing, JP O Programme and Procurement Services).</t>
  </si>
  <si>
    <t xml:space="preserve">Figures include only UNFPA "Other Resources" plus interest earned on those funds. It does not include UNFPA regular resources. </t>
  </si>
  <si>
    <t>Values as per Table 1</t>
  </si>
  <si>
    <t>IOM</t>
  </si>
  <si>
    <t>Faeroe Islands</t>
  </si>
  <si>
    <t>Democratic People's Republic of Korea</t>
  </si>
  <si>
    <t>UNODC</t>
  </si>
  <si>
    <r>
      <t xml:space="preserve">FAO </t>
    </r>
    <r>
      <rPr>
        <b/>
        <sz val="10"/>
        <color indexed="10"/>
        <rFont val="Times New Roman"/>
        <family val="1"/>
      </rPr>
      <t>(d)</t>
    </r>
  </si>
  <si>
    <r>
      <t xml:space="preserve">Aruba </t>
    </r>
    <r>
      <rPr>
        <b/>
        <sz val="10.5"/>
        <color indexed="10"/>
        <rFont val="Times New Roman"/>
        <family val="1"/>
      </rPr>
      <t>(c)</t>
    </r>
  </si>
  <si>
    <r>
      <t xml:space="preserve">Cayman Islands </t>
    </r>
    <r>
      <rPr>
        <b/>
        <sz val="10.5"/>
        <color indexed="10"/>
        <rFont val="Times New Roman"/>
        <family val="1"/>
      </rPr>
      <t>(c)</t>
    </r>
  </si>
  <si>
    <r>
      <t xml:space="preserve">Hong Kong, China </t>
    </r>
    <r>
      <rPr>
        <b/>
        <sz val="10.5"/>
        <color indexed="10"/>
        <rFont val="Times New Roman"/>
        <family val="1"/>
      </rPr>
      <t>(c)</t>
    </r>
  </si>
  <si>
    <r>
      <t xml:space="preserve">Macao, China </t>
    </r>
    <r>
      <rPr>
        <b/>
        <sz val="10.5"/>
        <color indexed="10"/>
        <rFont val="Times New Roman"/>
        <family val="1"/>
      </rPr>
      <t>(c)</t>
    </r>
  </si>
  <si>
    <r>
      <t xml:space="preserve">Puerto Rico </t>
    </r>
    <r>
      <rPr>
        <b/>
        <sz val="10.5"/>
        <color indexed="10"/>
        <rFont val="Times New Roman"/>
        <family val="1"/>
      </rPr>
      <t>(c)</t>
    </r>
  </si>
  <si>
    <t xml:space="preserve">Republic of </t>
  </si>
  <si>
    <t>Macedonia</t>
  </si>
  <si>
    <t xml:space="preserve">(Bolvarian </t>
  </si>
  <si>
    <t>Republic of)</t>
  </si>
  <si>
    <t xml:space="preserve">Bosnia </t>
  </si>
  <si>
    <t>and Herzogovina</t>
  </si>
  <si>
    <t xml:space="preserve">Central African </t>
  </si>
  <si>
    <t xml:space="preserve"> of the Congo</t>
  </si>
  <si>
    <t>Democratic Republic</t>
  </si>
  <si>
    <t xml:space="preserve">Lao People's </t>
  </si>
  <si>
    <t>Democratic</t>
  </si>
  <si>
    <t xml:space="preserve">Libyan </t>
  </si>
  <si>
    <t xml:space="preserve">Arab Jamahiriya </t>
  </si>
  <si>
    <t xml:space="preserve">Netherlands </t>
  </si>
  <si>
    <t>(in United States dollars)</t>
  </si>
  <si>
    <t>Organization</t>
  </si>
  <si>
    <t>United Nations</t>
  </si>
  <si>
    <t>(b)</t>
  </si>
  <si>
    <t>ILO</t>
  </si>
  <si>
    <t>FAO</t>
  </si>
  <si>
    <t>UNESCO</t>
  </si>
  <si>
    <t>ICAO</t>
  </si>
  <si>
    <t>WHO</t>
  </si>
  <si>
    <t>UPU</t>
  </si>
  <si>
    <t>ITU</t>
  </si>
  <si>
    <t>WMO</t>
  </si>
  <si>
    <t>IMO</t>
  </si>
  <si>
    <t>(a)</t>
  </si>
  <si>
    <t>WIPO</t>
  </si>
  <si>
    <t>TOTAL</t>
  </si>
  <si>
    <t xml:space="preserve">UPU </t>
  </si>
  <si>
    <t>(Footnotes on next page)</t>
  </si>
  <si>
    <t>UNIDO</t>
  </si>
  <si>
    <t>Afghanistan</t>
  </si>
  <si>
    <t>Albania</t>
  </si>
  <si>
    <t>Algeria</t>
  </si>
  <si>
    <t>Andorra</t>
  </si>
  <si>
    <t>Angola</t>
  </si>
  <si>
    <t>Antigua and Barbuda</t>
  </si>
  <si>
    <t>Argentina</t>
  </si>
  <si>
    <t>Armenia</t>
  </si>
  <si>
    <t>Aruba</t>
  </si>
  <si>
    <t>Australia</t>
  </si>
  <si>
    <t>Austria</t>
  </si>
  <si>
    <t>Azerbaijan</t>
  </si>
  <si>
    <t>Bahamas</t>
  </si>
  <si>
    <t>Bahrain</t>
  </si>
  <si>
    <t>Bangladesh</t>
  </si>
  <si>
    <t>Barbados</t>
  </si>
  <si>
    <t>Belarus</t>
  </si>
  <si>
    <t>Belgium</t>
  </si>
  <si>
    <t>Belize</t>
  </si>
  <si>
    <t>Benin</t>
  </si>
  <si>
    <t>Bhutan</t>
  </si>
  <si>
    <t>Bolivia</t>
  </si>
  <si>
    <t>Botswana</t>
  </si>
  <si>
    <t>Brazil</t>
  </si>
  <si>
    <t>British Caribbean Territories</t>
  </si>
  <si>
    <t>Brunei Darussalam</t>
  </si>
  <si>
    <t>Bulgaria</t>
  </si>
  <si>
    <t>Burkina Faso</t>
  </si>
  <si>
    <t>Burundi</t>
  </si>
  <si>
    <t>Cambodia</t>
  </si>
  <si>
    <t>Cameroon</t>
  </si>
  <si>
    <t>Canada</t>
  </si>
  <si>
    <t>Cape Verde</t>
  </si>
  <si>
    <t>Central African Republic</t>
  </si>
  <si>
    <t>Chad</t>
  </si>
  <si>
    <t>Chile</t>
  </si>
  <si>
    <t>China</t>
  </si>
  <si>
    <t>Colombia</t>
  </si>
  <si>
    <t>Comoros</t>
  </si>
  <si>
    <t>Congo</t>
  </si>
  <si>
    <t>Cook Islands</t>
  </si>
  <si>
    <t>Costa Rica</t>
  </si>
  <si>
    <t>Cote d'Ivoire</t>
  </si>
  <si>
    <t>Croatia</t>
  </si>
  <si>
    <t>Cuba</t>
  </si>
  <si>
    <t>Cyprus</t>
  </si>
  <si>
    <t>Czech Republic</t>
  </si>
  <si>
    <t>Denmark</t>
  </si>
  <si>
    <t>Djibouti</t>
  </si>
  <si>
    <t>Dominica</t>
  </si>
  <si>
    <t>Dominican Republic</t>
  </si>
  <si>
    <t>Ecuador</t>
  </si>
  <si>
    <t>Egypt</t>
  </si>
  <si>
    <t>El Salvador</t>
  </si>
  <si>
    <t>Equatorial Guinea</t>
  </si>
  <si>
    <t>Eritrea</t>
  </si>
  <si>
    <t>Estonia</t>
  </si>
  <si>
    <t>Ethiopia</t>
  </si>
  <si>
    <t>Fiji</t>
  </si>
  <si>
    <t>Finland</t>
  </si>
  <si>
    <t>France</t>
  </si>
  <si>
    <t>French Polynesia</t>
  </si>
  <si>
    <t>Gabon</t>
  </si>
  <si>
    <t>Gambia</t>
  </si>
  <si>
    <t>Georgia</t>
  </si>
  <si>
    <t>Germany</t>
  </si>
  <si>
    <t>Ghana</t>
  </si>
  <si>
    <t>Greece</t>
  </si>
  <si>
    <t>Grenada</t>
  </si>
  <si>
    <t>Guatemala</t>
  </si>
  <si>
    <t>Guinea</t>
  </si>
  <si>
    <t>Guinea-Bissau</t>
  </si>
  <si>
    <t>Guyana</t>
  </si>
  <si>
    <t>Haiti</t>
  </si>
  <si>
    <t>Honduras</t>
  </si>
  <si>
    <t>Hong Kong, China</t>
  </si>
  <si>
    <t>Hungary</t>
  </si>
  <si>
    <t>Iceland</t>
  </si>
  <si>
    <t>India</t>
  </si>
  <si>
    <t>Indonesia</t>
  </si>
  <si>
    <t>Iraq</t>
  </si>
  <si>
    <t>Ireland</t>
  </si>
  <si>
    <t>Israel</t>
  </si>
  <si>
    <t>Italy</t>
  </si>
  <si>
    <t>Jamaica</t>
  </si>
  <si>
    <t>Japan</t>
  </si>
  <si>
    <t>Jordan</t>
  </si>
  <si>
    <t>Kazakhstan</t>
  </si>
  <si>
    <t>Kenya</t>
  </si>
  <si>
    <t>Kiribati</t>
  </si>
  <si>
    <t>Kuwait</t>
  </si>
  <si>
    <t>Lao People's Democratic</t>
  </si>
  <si>
    <t>Latvia</t>
  </si>
  <si>
    <t>Lebanon</t>
  </si>
  <si>
    <t>Lesotho</t>
  </si>
  <si>
    <t>Liberia</t>
  </si>
  <si>
    <t>Liechtenstein</t>
  </si>
  <si>
    <t>Lithuania</t>
  </si>
  <si>
    <t>Luxembourg</t>
  </si>
  <si>
    <t>Macao, China</t>
  </si>
  <si>
    <t>Madagascar</t>
  </si>
  <si>
    <t>Malawi</t>
  </si>
  <si>
    <t>Malaysia</t>
  </si>
  <si>
    <t>Maldives</t>
  </si>
  <si>
    <t>Mali</t>
  </si>
  <si>
    <t>Malta</t>
  </si>
  <si>
    <t>Marshall Islands</t>
  </si>
  <si>
    <t>Mauritania</t>
  </si>
  <si>
    <t>Mauritius</t>
  </si>
  <si>
    <t>Mexico</t>
  </si>
  <si>
    <t>Monaco</t>
  </si>
  <si>
    <t>Mongolia</t>
  </si>
  <si>
    <t>Morocco</t>
  </si>
  <si>
    <t>Mozambique</t>
  </si>
  <si>
    <t>Myanmar</t>
  </si>
  <si>
    <t>Namibia</t>
  </si>
  <si>
    <t>Nauru</t>
  </si>
  <si>
    <t>Nepal</t>
  </si>
  <si>
    <t>Netherlands</t>
  </si>
  <si>
    <t>Netherlands Antilles</t>
  </si>
  <si>
    <t>New Caledonia</t>
  </si>
  <si>
    <t>New Zealand</t>
  </si>
  <si>
    <t>Nicaragua</t>
  </si>
  <si>
    <t>Niger</t>
  </si>
  <si>
    <t>Nigeria</t>
  </si>
  <si>
    <t>Niue</t>
  </si>
  <si>
    <t>Norway</t>
  </si>
  <si>
    <t>Oman</t>
  </si>
  <si>
    <t>Pakistan</t>
  </si>
  <si>
    <t>Palau</t>
  </si>
  <si>
    <t>Panama</t>
  </si>
  <si>
    <t>Papua New Guinea</t>
  </si>
  <si>
    <t>Paraguay</t>
  </si>
  <si>
    <t>Peru</t>
  </si>
  <si>
    <t>Philippines</t>
  </si>
  <si>
    <t>Poland</t>
  </si>
  <si>
    <t>Portugal</t>
  </si>
  <si>
    <t>Qatar</t>
  </si>
  <si>
    <t>Republic of Korea</t>
  </si>
  <si>
    <t>Romania</t>
  </si>
  <si>
    <t>Russian Federation</t>
  </si>
  <si>
    <t>Rwanda</t>
  </si>
  <si>
    <t>Saint Kitts and Nevis</t>
  </si>
  <si>
    <t>Saint Lucia</t>
  </si>
  <si>
    <t>Samoa</t>
  </si>
  <si>
    <t>San Marino</t>
  </si>
  <si>
    <t>Sao Tome and Principe</t>
  </si>
  <si>
    <t>Saudi Arabia</t>
  </si>
  <si>
    <t>Senegal</t>
  </si>
  <si>
    <t>Seychelles</t>
  </si>
  <si>
    <t>Sierra Leone</t>
  </si>
  <si>
    <t>Singapore</t>
  </si>
  <si>
    <t>Slovenia</t>
  </si>
  <si>
    <t>Solomon Islands</t>
  </si>
  <si>
    <t>Somalia</t>
  </si>
  <si>
    <t>South Africa</t>
  </si>
  <si>
    <t>Spain</t>
  </si>
  <si>
    <t>Sri Lanka</t>
  </si>
  <si>
    <t>Sudan</t>
  </si>
  <si>
    <t>Suriname</t>
  </si>
  <si>
    <t>Swaziland</t>
  </si>
  <si>
    <t>Sweden</t>
  </si>
  <si>
    <t>Switzerland</t>
  </si>
  <si>
    <t>Syrian Arab Republic</t>
  </si>
  <si>
    <t>Tajikistan</t>
  </si>
  <si>
    <t>Thailand</t>
  </si>
  <si>
    <t>Togo</t>
  </si>
  <si>
    <t>Tokelau</t>
  </si>
  <si>
    <t>Tonga</t>
  </si>
  <si>
    <t>Trinidad and Tobago</t>
  </si>
  <si>
    <t>Tunisia</t>
  </si>
  <si>
    <t>Turkey</t>
  </si>
  <si>
    <t>Turkmenistan</t>
  </si>
  <si>
    <t>Tuvalu</t>
  </si>
  <si>
    <t>Uganda</t>
  </si>
  <si>
    <t>Ukraine</t>
  </si>
  <si>
    <t>United Arab Emirates</t>
  </si>
  <si>
    <t>United States of America</t>
  </si>
  <si>
    <t>Uruguay</t>
  </si>
  <si>
    <t>Uzbekistan</t>
  </si>
  <si>
    <t>Vanuatu</t>
  </si>
  <si>
    <t>Viet Nam</t>
  </si>
  <si>
    <t>Yemen</t>
  </si>
  <si>
    <t>Yugoslavia</t>
  </si>
  <si>
    <t>OLD TOTAL</t>
  </si>
  <si>
    <t>Zambia</t>
  </si>
  <si>
    <t>Zimbabwe</t>
  </si>
  <si>
    <t>(in thousands of United States dollars)</t>
  </si>
  <si>
    <t>Assessments</t>
  </si>
  <si>
    <t>Receipts of current year's assessments</t>
  </si>
  <si>
    <t>Receipts of prior years' assessments</t>
  </si>
  <si>
    <t>United Republic of</t>
  </si>
  <si>
    <t>2002</t>
  </si>
  <si>
    <t>2003</t>
  </si>
  <si>
    <t>(c)</t>
  </si>
  <si>
    <t>UNDP</t>
  </si>
  <si>
    <t>ITC</t>
  </si>
  <si>
    <t>UNU</t>
  </si>
  <si>
    <t>Bosnia and Herzogovina</t>
  </si>
  <si>
    <t>British Virgin Islands</t>
  </si>
  <si>
    <t>Holy See</t>
  </si>
  <si>
    <t>Iran (Islamic Republic of)</t>
  </si>
  <si>
    <t xml:space="preserve">Libyan Arab Jamahiriya </t>
  </si>
  <si>
    <t>Kyrgyzstan</t>
  </si>
  <si>
    <t>Republic of Moldova</t>
  </si>
  <si>
    <t>Slovakia</t>
  </si>
  <si>
    <t>State/Area</t>
  </si>
  <si>
    <t>Democratic Republic of the Congo</t>
  </si>
  <si>
    <t>Micronesia</t>
  </si>
  <si>
    <t>WFP</t>
  </si>
  <si>
    <t>UNHCR</t>
  </si>
  <si>
    <t>IFAD</t>
  </si>
  <si>
    <t>UNRWA</t>
  </si>
  <si>
    <t>UNITAR</t>
  </si>
  <si>
    <t>ICTY</t>
  </si>
  <si>
    <t>UNEP</t>
  </si>
  <si>
    <t>PAHO</t>
  </si>
  <si>
    <t>UNAIDS</t>
  </si>
  <si>
    <t>UNFCCC</t>
  </si>
  <si>
    <t>UNWTO</t>
  </si>
  <si>
    <t>Income</t>
  </si>
  <si>
    <t>In-kind</t>
  </si>
  <si>
    <t>RB</t>
  </si>
  <si>
    <t>XB</t>
  </si>
  <si>
    <t>Total</t>
  </si>
  <si>
    <t>2004</t>
  </si>
  <si>
    <t>2005</t>
  </si>
  <si>
    <t>Democratic Republic of  Timor-Leste</t>
  </si>
  <si>
    <t>Saint Vincent and the Grenadines</t>
  </si>
  <si>
    <t>The Former Yugoslav Republic of Macedonia</t>
  </si>
  <si>
    <t>United Kingdom of Great Britain and Northern Ireland</t>
  </si>
  <si>
    <t>United Kingdom Overseas Territories</t>
  </si>
  <si>
    <t>United Republic of Tanzania</t>
  </si>
  <si>
    <t>Venezuela (Bolivarian Republic of)</t>
  </si>
  <si>
    <t xml:space="preserve">UNIDO </t>
  </si>
  <si>
    <t xml:space="preserve">Democratic People's </t>
  </si>
  <si>
    <t xml:space="preserve">Democratic Republic </t>
  </si>
  <si>
    <t>Republic</t>
  </si>
  <si>
    <t>(Federated States of)</t>
  </si>
  <si>
    <t>and Northern Ireland</t>
  </si>
  <si>
    <t xml:space="preserve">United Kingdom </t>
  </si>
  <si>
    <t xml:space="preserve">Venezuela </t>
  </si>
  <si>
    <t xml:space="preserve">of Great  Britain </t>
  </si>
  <si>
    <t xml:space="preserve">The Former Yugoslav </t>
  </si>
  <si>
    <t>Percentage of current year's contributions collected at</t>
  </si>
  <si>
    <t>30 June</t>
  </si>
  <si>
    <t>30 September</t>
  </si>
  <si>
    <t>the Grenadines</t>
  </si>
  <si>
    <t>Saint Vincent and</t>
  </si>
  <si>
    <t>British Caribbean</t>
  </si>
  <si>
    <t xml:space="preserve"> Territories</t>
  </si>
  <si>
    <t xml:space="preserve"> Republic of Korea</t>
  </si>
  <si>
    <t>Iran</t>
  </si>
  <si>
    <t xml:space="preserve"> (Islamic Republic of)</t>
  </si>
  <si>
    <t>United States of</t>
  </si>
  <si>
    <t xml:space="preserve"> America</t>
  </si>
  <si>
    <t xml:space="preserve"> Tanzania</t>
  </si>
  <si>
    <t>Kosovo</t>
  </si>
  <si>
    <t xml:space="preserve"> </t>
  </si>
  <si>
    <t xml:space="preserve">WIPO </t>
  </si>
  <si>
    <t>2006</t>
  </si>
  <si>
    <t>2007</t>
  </si>
  <si>
    <t>Notes to table 1</t>
  </si>
  <si>
    <t>Provisional.</t>
  </si>
  <si>
    <t>Net of reimbursable expenditure.</t>
  </si>
  <si>
    <t>Regular budgets refer to the use of  regular resources plus additional resources to the biennial support budget approved by the Executive Board.  Thus, they exclude the use of other resources for programmes and trust funds.</t>
  </si>
  <si>
    <t>Figures include only Other Resources Income. Thus, they exclude Regular Resources Income and Trust Funds.</t>
  </si>
  <si>
    <t>Figures include only Other Resources Income from countries, areas and territories.  Thus, they exclude UN System contributions, intergovernmental contributions and non-governmental contributions.</t>
  </si>
  <si>
    <t>(m) UNICEF</t>
  </si>
  <si>
    <t>RB expenditures comprise those funded from regular resources.  XB includes expenditures under other resources and excludes trust funds.</t>
  </si>
  <si>
    <t>Includes Technical Co-operation Projects, AVSEC, IFFAS , USOAP and other Trust Funds.</t>
  </si>
  <si>
    <t>RB = Regular Programme actuals; XB = TC plus other Trust Funds and other resources.</t>
  </si>
  <si>
    <r>
      <t xml:space="preserve">United Nations </t>
    </r>
    <r>
      <rPr>
        <b/>
        <sz val="10.5"/>
        <color indexed="10"/>
        <rFont val="Times New Roman"/>
        <family val="1"/>
      </rPr>
      <t>(d)</t>
    </r>
  </si>
  <si>
    <t>Assessed Contributions from ICGEB's Member States started in 1999</t>
  </si>
  <si>
    <t>Total expenditure relates to operational expenses i.e. excluding grants, HIPC and loan allowances, fair value and ASMC charges. Total expenditures relate to IFAD and all supplementary funds included within the Consolidated Financial Statements.  RB relates to IFAD and includes Italian Government expenditures which are fully reimbursed, and multi-year budgetary expenditures as well as one-time costs, and investment related expenditures.  These expenditures therefore exclude cash flows relating to the Programme of Work loans and grants.</t>
  </si>
  <si>
    <t xml:space="preserve">UNODC's approved regular budget resources come from the United Nations Headquarters, New York, and are therefore not shown separately. </t>
  </si>
  <si>
    <t>(i) UNFCCC</t>
  </si>
  <si>
    <t>Notes to table 2</t>
  </si>
  <si>
    <t>(b) UN</t>
  </si>
  <si>
    <t>(e) IMO</t>
  </si>
  <si>
    <r>
      <t xml:space="preserve">UN Peace-keeping </t>
    </r>
    <r>
      <rPr>
        <b/>
        <sz val="14"/>
        <color indexed="10"/>
        <rFont val="Times New Roman"/>
        <family val="1"/>
      </rPr>
      <t>(b)</t>
    </r>
  </si>
  <si>
    <t>UN Trust Funds</t>
  </si>
  <si>
    <t>Amounts include technical cooperation and other trust funds.</t>
  </si>
  <si>
    <t>XB expenditures amounts correspond to audited financial statements while RB amounts have been extracted from IMIS records. RB amounts have been added to UN-Habitat financial statements as a note only in 2008.</t>
  </si>
  <si>
    <r>
      <t xml:space="preserve">Figures include only ‘UNDP Other resources’ and </t>
    </r>
    <r>
      <rPr>
        <u/>
        <sz val="10"/>
        <color indexed="8"/>
        <rFont val="Times New Roman"/>
        <family val="1"/>
      </rPr>
      <t>not</t>
    </r>
    <r>
      <rPr>
        <sz val="10"/>
        <color indexed="8"/>
        <rFont val="Times New Roman"/>
        <family val="1"/>
      </rPr>
      <t xml:space="preserve"> ‘UNDP regular resources’.</t>
    </r>
  </si>
  <si>
    <t>Notes to table 2A</t>
  </si>
  <si>
    <t>Figures include voluntary contributions to UNFICYP, UNIKOM and other peace-keeping operations.</t>
  </si>
  <si>
    <t>Includes co-financing contributions, third party procurement and JPO programme contributions.</t>
  </si>
  <si>
    <t>PAHO amounts for 2002 and 2003 do not include net refunds to country donors.</t>
  </si>
  <si>
    <t>Negative amounts for some donor countries represent refunds/reprogramming of remaining balance of contributions.</t>
  </si>
  <si>
    <t>Includes technical cooperation trust funds and counterpart contributions.</t>
  </si>
  <si>
    <r>
      <t xml:space="preserve">Table 1. Approved Regular Budgets (1996-2011) </t>
    </r>
    <r>
      <rPr>
        <b/>
        <sz val="17"/>
        <color indexed="10"/>
        <rFont val="Times New Roman"/>
        <family val="1"/>
      </rPr>
      <t>(a)</t>
    </r>
  </si>
  <si>
    <t>Where budgets are denominated in a currency other than the US$, the amounts reported are translated into the dollar at the United Nations operational rate of exchange (UNROE) at the end of each year, except for the 1996 and 1997 figures, which have been translated at the December 1997 rate. Exceptions were made in the following cases, where exchange rates as reported in the financial statements were used:</t>
  </si>
  <si>
    <r>
      <t xml:space="preserve">(1)  </t>
    </r>
    <r>
      <rPr>
        <u/>
        <sz val="10"/>
        <rFont val="Times New Roman"/>
        <family val="1"/>
      </rPr>
      <t>Swiss francs to US$</t>
    </r>
    <r>
      <rPr>
        <sz val="10"/>
        <rFont val="Times New Roman"/>
        <family val="1"/>
      </rPr>
      <t>:</t>
    </r>
  </si>
  <si>
    <t>UNFPA – regular budgets refer to untied voluntary contributions to UNFPA and exclude trust funds, cost sharing contributions or any other extra-budgetary contributions</t>
  </si>
  <si>
    <r>
      <t xml:space="preserve">Table 2. Extra-budgetary resources </t>
    </r>
    <r>
      <rPr>
        <b/>
        <u/>
        <sz val="14"/>
        <rFont val="Times New Roman"/>
        <family val="1"/>
      </rPr>
      <t>from all sources</t>
    </r>
    <r>
      <rPr>
        <b/>
        <sz val="14"/>
        <rFont val="Times New Roman"/>
        <family val="1"/>
      </rPr>
      <t xml:space="preserve"> (funds received 2002-2009, projected receipts 2010-11) </t>
    </r>
    <r>
      <rPr>
        <b/>
        <sz val="14"/>
        <color indexed="10"/>
        <rFont val="Times New Roman"/>
        <family val="1"/>
      </rPr>
      <t>(a)</t>
    </r>
  </si>
  <si>
    <t>2010 (projections)</t>
  </si>
  <si>
    <t>2011 (projections)</t>
  </si>
  <si>
    <t>This table covers all contributions provided by state and non-state donors (including World Bank, European Commission, development banks, private companies, foundations, etc.) outside regular budgets (for which see table 1).  Extra-budgetary resources include trust funds, technical cooperation, and all other non regular resources, including funding received through inter-organization arrangements. Extrabudgetary resources should also separately include the value of contributions in kind when these are separately recorded as income in organizations' financial statements.  Contributions received in currencies other than United States dollars should be translated into dollars at the exchange rate judged most appropriate by the organizations concerned. When available meaningful projections for the biennium 2010-2011 are reported.</t>
  </si>
  <si>
    <r>
      <t xml:space="preserve">UN Peace-Keeping operations </t>
    </r>
    <r>
      <rPr>
        <b/>
        <sz val="11"/>
        <color indexed="10"/>
        <rFont val="Times New Roman"/>
        <family val="1"/>
      </rPr>
      <t>(b)</t>
    </r>
  </si>
  <si>
    <t>Includes annual approved allocation from the Printing Fund towards IMO's Integrated Technical Co-operation Programme which is converted into US$ at the average budgeted rate.</t>
  </si>
  <si>
    <t>2008</t>
  </si>
  <si>
    <t>2009</t>
  </si>
  <si>
    <r>
      <t>Table 2A. Extra-budgetary resources from Member States: funds received (2002-2009)</t>
    </r>
    <r>
      <rPr>
        <b/>
        <sz val="20"/>
        <color indexed="10"/>
        <rFont val="Times New Roman"/>
        <family val="1"/>
      </rPr>
      <t xml:space="preserve"> (a)</t>
    </r>
  </si>
  <si>
    <t>Includes contributions in kind of $ 432 million in 2004 and $ 537 million in 2005</t>
  </si>
  <si>
    <r>
      <t>Table 3. Total Expenditure (2002-2009)</t>
    </r>
    <r>
      <rPr>
        <b/>
        <sz val="14"/>
        <color indexed="10"/>
        <rFont val="Times New Roman"/>
        <family val="1"/>
      </rPr>
      <t xml:space="preserve"> (a)</t>
    </r>
  </si>
  <si>
    <r>
      <t xml:space="preserve">Table 4. Assessed contributions (1996-2011) </t>
    </r>
    <r>
      <rPr>
        <b/>
        <sz val="14"/>
        <color indexed="10"/>
        <rFont val="Times New Roman"/>
        <family val="1"/>
      </rPr>
      <t>(a)</t>
    </r>
  </si>
  <si>
    <t>This table shows the amounts of assessed contributions actually payable by Governments to finance approved regular budgets and any supplementary estimates.  No other financing is reported.  Where organizations have an undistributed reserve, the corresponding amount of contributions is excluded from the figures.  The effects of the operation of provisions concerning tax equalization funds are not taken into account.  Except where stated otherwise, assessments under budgets denominated in currencies other than United States dollars are translated into dollars at the UNROE at the end of each year, except for the 1996 and 1997 figures, which have been translated at the December 1997 rate.  Differences between the amounts shown on this table and the total amounts shown on table 6 relate mainly to amounts actually assessed for tax equalization funds (which are included in table 6) and to contributions assessed on a member State that ceased to exist.  In the case of IAEA, the difference relates to the valuation of Austrian shilling contributions in table 6.</t>
  </si>
  <si>
    <t>Since 2004-2005, assessments are billed in US$ and euros under split assessment arrangements, and therefore the amount in the table is the consolidated amount.</t>
  </si>
  <si>
    <r>
      <t xml:space="preserve">Table 5.  Percentage assessments (2010-2011) </t>
    </r>
    <r>
      <rPr>
        <b/>
        <sz val="16"/>
        <color indexed="10"/>
        <rFont val="Times New Roman"/>
        <family val="1"/>
      </rPr>
      <t>(a)</t>
    </r>
  </si>
  <si>
    <r>
      <t xml:space="preserve">Table 6. Assessments voted and received (2008-2009) </t>
    </r>
    <r>
      <rPr>
        <b/>
        <sz val="20"/>
        <color indexed="10"/>
        <rFont val="Times New Roman"/>
        <family val="1"/>
      </rPr>
      <t>(a)</t>
    </r>
  </si>
  <si>
    <r>
      <t>Assessments</t>
    </r>
    <r>
      <rPr>
        <sz val="10.5"/>
        <color indexed="9"/>
        <rFont val="Times New Roman"/>
        <family val="1"/>
      </rPr>
      <t xml:space="preserve"> 09</t>
    </r>
  </si>
  <si>
    <r>
      <t>Receipts of current year's assessments</t>
    </r>
    <r>
      <rPr>
        <sz val="10.5"/>
        <color indexed="9"/>
        <rFont val="Times New Roman"/>
        <family val="1"/>
      </rPr>
      <t xml:space="preserve"> 09</t>
    </r>
  </si>
  <si>
    <r>
      <t>Receipts of prior years' assessments</t>
    </r>
    <r>
      <rPr>
        <sz val="10.5"/>
        <color indexed="9"/>
        <rFont val="Times New Roman"/>
        <family val="1"/>
      </rPr>
      <t xml:space="preserve"> 09</t>
    </r>
  </si>
  <si>
    <t xml:space="preserve">This table shows assessments voted and received, by Member States, as of 31 December 2008 for year 2008 and as of 31 December 2009 for year 2009. Differences between the amounts shown on this table and the total amounts shown on table 4 relate mainly to amounts actually assessed for tax equalization funds (which are included in this table) and to contributions assessed on a member State that ceased to exist. </t>
  </si>
  <si>
    <r>
      <t xml:space="preserve">Madeira </t>
    </r>
    <r>
      <rPr>
        <b/>
        <sz val="10.5"/>
        <color indexed="10"/>
        <rFont val="Times New Roman"/>
        <family val="1"/>
      </rPr>
      <t>(c)</t>
    </r>
  </si>
  <si>
    <r>
      <t xml:space="preserve">Table 7.  Collection of assessed contributions (2008-2009) </t>
    </r>
    <r>
      <rPr>
        <b/>
        <sz val="14"/>
        <color indexed="10"/>
        <rFont val="Times New Roman"/>
        <family val="1"/>
      </rPr>
      <t>(</t>
    </r>
    <r>
      <rPr>
        <b/>
        <sz val="14"/>
        <color indexed="10"/>
        <rFont val="Times New Roman"/>
        <family val="1"/>
      </rPr>
      <t xml:space="preserve">a)
</t>
    </r>
    <r>
      <rPr>
        <sz val="14"/>
        <rFont val="Times New Roman"/>
        <family val="1"/>
      </rPr>
      <t>(in United States Dollars)</t>
    </r>
  </si>
  <si>
    <t>30 April</t>
  </si>
  <si>
    <t>This table shows the percentage of current year contributions collected at 30 June and 30 September of each year, the percentage of 2010 contributions collected by 30 April 2010 and the total contributions outstanding at 30 September of each year.</t>
  </si>
  <si>
    <t>Translated from Swiss francs into United States dollars at the UNROE.</t>
  </si>
  <si>
    <t>(c) ICAO</t>
  </si>
  <si>
    <r>
      <t xml:space="preserve">Approved Regular Budget 2010-2011 </t>
    </r>
    <r>
      <rPr>
        <b/>
        <sz val="12"/>
        <color indexed="10"/>
        <rFont val="Times New Roman"/>
        <family val="1"/>
      </rPr>
      <t>(b)</t>
    </r>
  </si>
  <si>
    <t>Level of Working Capital Funds as at 31 December 2009</t>
  </si>
  <si>
    <t>Percentage of Working Capital Funds to Approved Regular Budget 2010-2011</t>
  </si>
  <si>
    <t>The organization does not have a working capital fund.</t>
  </si>
  <si>
    <t>Currently, contributions in-kind are not recorded as income in the IAEA's account. Amounts were converted from euros into United States dollars at the prevailing end of year UNROE i.e. for 2008: US$1.4306 and for 2009: US$1.4430. Projected figure for 2010 is an actual income figure as of 31 March 2010, while income projection for 2011 cannot be made at this time.</t>
  </si>
  <si>
    <t>Currently, contributions in-kind are not recorded as income in the IAEA's account. Amounts were converted from euros into United States dollars at the prevailing end of year UNROE i.e. for 2008: US$1.4306 and for 2009: US$1.4430.  Negative amounts represent unspent contributions returned to the Member States at the completion of the project.</t>
  </si>
  <si>
    <t>Contributions are calculated at the following Austrian schilling - US dollar exchange rates (euro-US dollar exchange rates for 2002-2009) under the split appropriation and assessment system introduced in 1986:  1996-2001 – ATS12.70; 2002-2005 – €0.9229; 2006-2010 – €1.00.  The actual contribution of Member States is subject to variation according to operational exchange rates between these two currencies. 2011 data will become available only in September 2010.</t>
  </si>
  <si>
    <t>The rates shown are the scale rates for 2010 as approved by the General Conference in September 2009.</t>
  </si>
  <si>
    <t>The assessment amounts shown are the assessments for the years 2008 and 2009 which were approved by the General Conference in September 2007 and 2008, respectively.  Amounts were converted based on IAEA's accounts with the application of the end of year UNROE for the relevant year i.e. 2008: US$1.4306 and 2009: US$1.4430.</t>
  </si>
  <si>
    <t>The actual contribution of Member States is subject to variation according to operational exchange rates between euros and United States dollars. Amounts were converted from euros into United States dollars at the prevailing end of year UNROE i.e. for 2008: US$1.4306 and for 2009: US$1.4430. Data in April 2010 column represents IAEA's actual data as of 31 March 2010.</t>
  </si>
  <si>
    <t>up</t>
  </si>
  <si>
    <t>down</t>
  </si>
  <si>
    <t>Regular budget refers to the budget allocation to the Environment Fund (only voluntary) of UNEP approved by its Governing Council</t>
  </si>
  <si>
    <t>Includes an estimate for technical cooperation trust funds and counterpart contributions directly supporting UNEP's Programme of Work (POW). Multilateral Environmental Agreements (MEAs) and Conventions not included.</t>
  </si>
  <si>
    <t>Includes technical cooperation trust funds and counterpart contributions directly supporting UNEP's POW. Multilateral Environmental Agreements (MEAs) and Conventions not included.</t>
  </si>
  <si>
    <t>Assessed Contribution refers to the budget allocation to the Environment Fund (only voluntary) of UNEP approved by its Governing Council</t>
  </si>
  <si>
    <t xml:space="preserve">UNEP UN Reg. Budget allocation for 2010-11 is US$ 14.3 mil. Figures provided here represent UNEP's voluntary Environment Fund only. </t>
  </si>
  <si>
    <t>The former Yugoslav Republic of Macedonia</t>
  </si>
  <si>
    <t>UNWTO introduced a single currency budget in euros in 2002-2003, which was converted at the January 2000-September 2001 average rate of exchange of US$ 1 = €1.0976. In : 2004 (€0.737); 2005 (€0.845); 2006(€0.760); 2007 (€0.686); 2008 (€0.699 ); 2009 (€0.693 ).</t>
  </si>
  <si>
    <t>The single currency in euros was introduced in 2002-2003; it was converted at the January 2000 - September 2001 average rate of exchange of US$1 = €1.0976. In : 2004 (€0.737); 2005 (€0.845); 2006 (€0.760); 2007 (€0.686). 2008 (€0.699); 2009 (€0.693); 2010-2011 (€0.693). The current figure is subject to variation according to UNROE between the two currencies at the end of each year. UNWTO assessed contributions include UNWTO Associate Members.</t>
  </si>
  <si>
    <t>The schedules show the percentage assessments for the financial period 2010-2011.</t>
  </si>
  <si>
    <t>Contributions are in euro. The rates of the US$ used are the same as under Table 1. 2008-2009 UNWTO assessments do not include UNWTO Affiliate Members.</t>
  </si>
  <si>
    <t>Translated from euro into US$ at the UNROE for 31 December (2008 - 0.699 / 2009 &amp; 2010 - 0.693). 2008-2010 UNWTO data on collection of assessed contributions does not include UNWTO Affiliate Members.</t>
  </si>
  <si>
    <t>Translated into US dollars at the UNROE for 31 December 2009 (US$1 = €0.693)</t>
  </si>
  <si>
    <r>
      <t xml:space="preserve">(4)  </t>
    </r>
    <r>
      <rPr>
        <u/>
        <sz val="10"/>
        <rFont val="Times New Roman"/>
        <family val="1"/>
      </rPr>
      <t>Euros to the dollar</t>
    </r>
    <r>
      <rPr>
        <sz val="10"/>
        <rFont val="Times New Roman"/>
        <family val="1"/>
      </rPr>
      <t xml:space="preserve"> (UNWTO): 2004 (Euro 0.737); 2005 (Euro 0.845); 2006 (Euro 0.760); 2007 (Euro 0.686); 2008 (Euro 0.699); 2009 (Euro 0.693); 2010-2011 (Euro 0.693).</t>
    </r>
  </si>
  <si>
    <t>UNWTO (Tourism) introduced a single currency budget in Euros in 2002-2003, which was converted at the January 2000 - September 2001 average rate of exchange of US$1 = Euros 1.0976. Operational exchange rates for years 2004 onwards see in the note (b)(4).</t>
  </si>
  <si>
    <t>Amounts  in CHF were converted to US$ based on December 2008 and December 2009 UNROE.</t>
  </si>
  <si>
    <t>United Kingdom  Overseas Territories</t>
  </si>
  <si>
    <t>IFAD receives contributions from Member States under Replenishments, which each cover a 3-year period for its regular Programme of Work.  Contributions recorded in 1996 and 97 reflect 1/3 each of 3rd replenishment regular contributions, those recorded in 1998 - 2000 include 1/3 each of the 4th replenishment, 2001 - 2003 include 1/3 each year of the 5th replenishment, 2004 - 2006 includes 1/3 each of the 6th replenishment, 2007-2009 includes 1/3 of the 7th Replenishment. Figures from 1996 to 2007 include total cash receipts, Promissory Notes and Receivables as at 31 December 2007.  Promissory Notes and Receivables have been translated at the exchange rate prevailing at 31 December 2007.  Cash receipts have been translated using the exchange rate prevailing on date of receipt.  NB. Figures of year 2007-2009 have been adjusted in the CEB survey edition 2010 to reflect the contributions really received in form of cash or Prominssory note.</t>
  </si>
  <si>
    <t xml:space="preserve">See IFAD Note on table 4 for basis of data provided. Receipt of current year assessments relate to cash received for Replenishment 7, converted to US$ at the exchange rate prevailing on the date of receipt.  Receipt of prior year assessments relate to amounts received in 2008 &amp; 2009 relating to previous replenishments, at the exchange rate prevailing on the date of receipt. </t>
  </si>
  <si>
    <t>Cash received to 30 June/September over 1/3 of the 7th replenishment.  Under the regulations governing IFAD's replenishments, member states generally make payments in 3 installments but are permitted to enter into separate encashment and/or payment schedules for their contributions.  It should be noted that member countries may also pay in a unique instalment. As a result the percentages shown here do not necessarily reflect the legal status of contributions. It should also be noted that IFAD fiscal year coincide with the solar year.</t>
  </si>
  <si>
    <t>This table shows the level of working capital fund at the end of biennium 2008-09 and its percentage value in relation to the approved regular budget 2010-2011.</t>
  </si>
  <si>
    <t>Represents the accumulated fund balance as at 31 December 2009 under the the Unified Budget Workplan</t>
  </si>
  <si>
    <t>The portion of contributions payable in French francs/euros under the split-assessment system introduced in 1988 is calculated at the following French franc/euro - US dollar exchange rates: 1996-1999 – FF5.70; 2000-2001 - FF5.70/€0.869; 2002-2003 – €0.869; 2004-2005 – €0.869; 2006-2007 - €0.869; 2008-2009 - €0.869; 2010-2011 - €0.869</t>
  </si>
  <si>
    <t>Member State</t>
  </si>
  <si>
    <t>The level of WCF for 2010-2011 was approved for US$ 30 million in October 2009.</t>
  </si>
  <si>
    <t>Contributions are payable in Swiss francs under the assessment system introduced with effect from 1990.  The rates involved (Swiss francs to the US dollar) are: 1996-1997 - 1.16; 1998-1999; 1.46; 2000-2001 - 1.53; 2002-2003 - 1.77; 2004-2005 - 1.34; 2006-2007 - 1.25; 2008-2009 - 1.23.</t>
  </si>
  <si>
    <r>
      <t xml:space="preserve">(3)  </t>
    </r>
    <r>
      <rPr>
        <u/>
        <sz val="10"/>
        <rFont val="Times New Roman"/>
        <family val="1"/>
      </rPr>
      <t>US$ to Austrian shillings/Euros</t>
    </r>
    <r>
      <rPr>
        <sz val="10"/>
        <rFont val="Times New Roman"/>
        <family val="1"/>
      </rPr>
      <t xml:space="preserve"> (UNIDO). Calculated at the following Austrian shilling - dollar exchange rates under the split-assessment system (US$ and ATS) introduced in 1988 up to 2001 and the single currency in Euros introduced in 2002:  1996 - ATS10.50; 1997 - ATS 12.00; 1998 - ATS 12.40; 1999 - ATS 12.90; 2000 – ATS14.8635; 2001 – ATS15.3642; 2002-2003 Euros 1.123; 2004-2005 – 0.801. Subject to variation according to operational exchange rates between these two currencies.</t>
    </r>
  </si>
  <si>
    <t>RB and XB actual  figures in euros converted to US$ at annual average UNROE applicable for the respective years. 
2006: US$1 = €0.80158; 2007: US$1 = €0.73283; 2008: US$1 = €0.683; 2009: US$1 = €0.720583.</t>
  </si>
  <si>
    <t>Contributions are calculated at the following Austrian shilling (ATS) - US dollar exchange rates under the split-assessment system (US$ and ATS) introduced in 1988 up to 2001 and the single currency in euros introduced in 2002:  1996 - ATS10.50; 1997 - ATS 12.00; 1998 - ATS 12.40; 1999 - ATS 12.90; 2000 – ATS14.8635; 2001 – ATS15.3642; 2002-2003 €1.123; 2004 - 2005 assessments are based on the average UNROE during the respective years. 2005 assessment includes supplementary assessment approved in December 2005 converted at December rate of exchange. 2006-2007:  US$1 = average rate of €0.80158 (2006) and €0.73283 (2007) was applied.  2008-2009: average UN ROE was applied for 2008 (€0.683) and 2009 (€0.720583). Whereas for 2010-2011: January 2010 rate of €0.693 to US$1 was used. The 2010-2011 figures are subject to variation according to operational exchange rates between these two currencies.</t>
  </si>
  <si>
    <t xml:space="preserve">The average annual UNROE has been used to convert the EUR to US$, i.e.0.683 for 2008 and 0.720583 for 2009. </t>
  </si>
  <si>
    <t>Total of all contributions outstanding at 30 September
(regardless of year of account)</t>
  </si>
  <si>
    <t>Assessed contributions outstanding for 2008 and 2009 include unpaid amounts by USA (US$101,125,750) and Yugoslavia (US$3,047,729).</t>
  </si>
  <si>
    <t>Amounts include all earmarked and non-earmarked voluntary contributions received from Donor Countries and Other Organizations, including funding received through inter-organization arrangements.</t>
  </si>
  <si>
    <t>Working Capital is equivalent of UN-Habitat's financial reserve, as per the 2009 Financial Statements note 2 (o).</t>
  </si>
  <si>
    <t xml:space="preserve">The Extrabudgetary figures recorded in the sheet 2A represent the overall income recorded in 2008-2009. In 2008 WHO migrated to an ERP system and therefore the 2008 income figures are not complete as at 31-12-2008.  Therefore the 31-12-2009 figures are representative of the whole biennium.  </t>
  </si>
  <si>
    <r>
      <t xml:space="preserve">Total of all contributions outstanding at </t>
    </r>
    <r>
      <rPr>
        <b/>
        <u/>
        <sz val="10"/>
        <rFont val="Times New Roman"/>
        <family val="1"/>
      </rPr>
      <t>31 December</t>
    </r>
    <r>
      <rPr>
        <sz val="10"/>
        <rFont val="Times New Roman"/>
        <family val="1"/>
      </rPr>
      <t xml:space="preserve"> of corresponding year</t>
    </r>
  </si>
  <si>
    <t>- For WMO: 1996-1997 - 1.16; 1998-1999 - 1.42; 2000 - 1.59; 2001-2002 -1.65; 2004-2005 – 1.30.; 2006 - 1.21; 2007 - 1.12; 2008 - 1.097; 2009 - 1.001; 2010-2011 - 1.001.</t>
  </si>
  <si>
    <t>Converted from CHF to USD using the UNORE rates for Dec 08 and Dec 09</t>
  </si>
  <si>
    <t>(r) WMO</t>
  </si>
  <si>
    <t>Translated from Swiss francs into US$ at the UNROE September 2008 and 2009.</t>
  </si>
  <si>
    <t>RB Expenditure is converted into US dollars using the actual annual average UNROE as follows; 2004 - 1.821, 2005 - 1.825, 2006 - 1.828, 2007 - 2.001, 2008 - 1.801, 2009 - 1.559</t>
  </si>
  <si>
    <t xml:space="preserve">Contributions are payable in UK pounds and converted using the US dollar exchange rate for £1 as follows: 1996-1997 - 1.54; 1998-1999 - 1.61; 2000 - 1.67; 2001-2003 – 1.41; 2004-2005 – 1.67; 2006-2007 - 1.75; 2008-2009 - 1.97; 2010-2011 - 1.65.  </t>
  </si>
  <si>
    <t xml:space="preserve">Percentage relates to 2010 assessment. </t>
  </si>
  <si>
    <t>Contributions in UK pounds are converted into US dollars using annual average UNROE for the relevant year i.e. 
2008: £1.00=US$1.801; 2009: £1.00=US$1.559</t>
  </si>
  <si>
    <t>Translated into US dollars using annual average UNROE for the relevant year i.e. 2008: US$1.801; 2009: US$1.559.</t>
  </si>
  <si>
    <t>Working Capital is converted into US dollars at the average UNROE for 2009 i.e 1.60. The regular budget figures are taken from Table 1 for 2010 and 2011, used for assessment purposes only and converted into US dollars at the budget assumption rate for 2010 - 2011: 1.65</t>
  </si>
  <si>
    <t>Peacekeeping operations-related expenditure is recorded separately from other UN expenditure. Peacekeeping financial periods are as follows: for 2002: 1 July 2001 - 30 June 2002; for 2003: 1 July 2002 - 30 June 2003;  for 2004: 1 July 2003 - 30 June 2004;  for 2005: 1 July 2004 - 30 June 2005;  for 2006: 1 July 2005 - 30 June 2006;  for 2007: 1 July 2006 - 30 June 2007;  for 2008: 1 July 2007 - 30 June 2008;  for 2009: 1 July 2008 - 30 June 2009.  The expenditure under XB represents pledged voluntary contributions in-cash.</t>
  </si>
  <si>
    <r>
      <t xml:space="preserve">Includes Income to all the sources of funds: Annual Budget, Supplementary Budgets and Junior Professional Officers. </t>
    </r>
    <r>
      <rPr>
        <sz val="10"/>
        <rFont val="Times New Roman"/>
        <family val="1"/>
      </rPr>
      <t>Excludes negative currency adjustment.</t>
    </r>
  </si>
  <si>
    <t>The approved level of Working Capital Fund is US$ 50,000,000.</t>
  </si>
  <si>
    <t/>
  </si>
  <si>
    <t xml:space="preserve">Kyoto Protocol entered into force on 16.02.05;  the part of the approved core budget relating to the Kyoto Protocol Interim Allocation was pro-rated for 10.5 months in 2005.  The programme budget for 2006-2007 and for 2008-2009 is apportioned at 63.2 per cent for the Convention and at 36.8 per cent for the Kyoto Protocol.
Per the Headquarters Agreeement the Government of Germany makes a annual fixed voluntary contribution of  Euro 766,938 (formerly DM 1,500,000) to the core budget of UNFCCC, except in 1996 because the secretariat was still located in Geneva at that time.  The contribution is converted into US$ dollars at the UNROE prevailing at the date of deposit.
The UNFCCC core budget for 2010-2011 was approved in Euro. It was converted into US dollars at the budget rate of EUR 1=USD 1.43 </t>
  </si>
  <si>
    <t>The extra-budgetary resources include a fixed amount annually of € 1,789,522 (formerly DM 3,500,000) as agreed under the Headquarters Agreement with the Government of Germany.  This amount is converted into US$ at the UNROE prevailing on the date of deposit.
Amounts include all income received from all sources including interest and miscellaneous income but excludes indicative (assessed) contributions to the core budget. Previously, funding for conferences and other recoverable costs were excluded from the financial statements up to and until 2006; the figures shown have been adjusted to reflect the income under this source of funding.
Total income includes gross benefits accruing under the After Service Health Insurance benefits of USD 115k (2006), $139k (2007), $99k (2008), and $100k in 2009.</t>
  </si>
  <si>
    <t>The extra-budgetary resources include an annual fixed amount of € 1,789,522 as agreed under the Headquarters Agreement with the Government of Germany.  This amount is converted into US dollars at the UN exchange rate prevailing on the date of deposit.
The European Union as an entity is a Party to UNFCCC in its own right.</t>
  </si>
  <si>
    <t>Up to and until end of 2006, income and expenditure for conferences and other recoverable costs were not reflected on the face of the financial statements; the figures shown have been adjusted to reflect the the expenditure on these activities.
Total expenditure includes the increase in the After Service liabilities of US$ 1,877k (2006), US$4,195k (2007), US$3,060k (2008), and US$3,656k (2009).</t>
  </si>
  <si>
    <t>The estimated indicative (assessed) contrubutions for 2011 are at the budget rate of €1 = US$1.43 as the core budget was approved in euro.</t>
  </si>
  <si>
    <t>x</t>
  </si>
  <si>
    <t>The level of working capital reserve is calculated based on the equivalent of one month of the annual budget (8.3%) of the first year of the biennium. The new figure is approved as part of the budget approval process but is only reflected on the financial statements for both the first and second years of the biennium through an adjustment from reserves.</t>
  </si>
  <si>
    <t>Bermuda</t>
  </si>
  <si>
    <t>Contributions received from Hong Kong are included under China.  Volume 1 submitted by UN Secretariat New York</t>
  </si>
  <si>
    <t>PAHO (2011)</t>
  </si>
  <si>
    <t>WTO</t>
  </si>
  <si>
    <t>(s) WTO</t>
  </si>
  <si>
    <t xml:space="preserve">Amounts are indicated as appearing in the total expenditure line of the financial statements. </t>
  </si>
  <si>
    <t>(p) UNU</t>
  </si>
  <si>
    <r>
      <t xml:space="preserve">UNU </t>
    </r>
    <r>
      <rPr>
        <b/>
        <sz val="14"/>
        <color indexed="10"/>
        <rFont val="Times New Roman"/>
        <family val="1"/>
      </rPr>
      <t>(p)</t>
    </r>
  </si>
  <si>
    <t>CTBTO's budget is approved annually, therefore the figure provided for the year 2011 refers to the draft 2011 budget available in June 2010.</t>
  </si>
  <si>
    <t>CTBTO's budget is approved annually; therefore the 2011 contributions figure refers to the draft 2011 budget available in June 2010.</t>
  </si>
  <si>
    <t>CTBTO's budget is approved annually; therefore the figure provided for the year 2011 refers to the draft budget. 2010 and 2011 budget figures are calculated  using average rate of US$1=€0.7821</t>
  </si>
  <si>
    <t>IFAD approves its administrative budget annually, therefore the figure relates to 2010 only.</t>
  </si>
  <si>
    <t>currently not to be included</t>
  </si>
  <si>
    <r>
      <t xml:space="preserve">IAEA's Regular Budget and level of Working Capital Fund are approved </t>
    </r>
    <r>
      <rPr>
        <b/>
        <sz val="10"/>
        <rFont val="Times New Roman"/>
        <family val="1"/>
      </rPr>
      <t xml:space="preserve">annually </t>
    </r>
    <r>
      <rPr>
        <sz val="10"/>
        <rFont val="Times New Roman"/>
        <family val="1"/>
      </rPr>
      <t xml:space="preserve">in euro. The combined RB figure for  2010 and 2011 are estimates (the 2011 Budget Update is subject to approval of the General Conference in September 2010); the euro portions of the RB for 2010 and 2011 were converted into US dollars at the average UNROE as at June 2010 (€1 = US$1.2762). The level of WCF as at 31 December 2009 was converted to US$ using the average UNROE in 2009 (€1=US$1.3893). </t>
    </r>
  </si>
  <si>
    <t>The Extrabudgetary figures recorded in the sheet 2A represent the overall income recorded in 2008-2009. In 2008 WHO migrated to an ERP system and therefore the 2008 income figures are not complete as at 31-12-2008.  Therefore the 31-12-2009 figures are representative of the whole biennium.</t>
  </si>
  <si>
    <r>
      <t xml:space="preserve">(2) </t>
    </r>
    <r>
      <rPr>
        <u/>
        <sz val="10"/>
        <color indexed="8"/>
        <rFont val="Times New Roman"/>
        <family val="1"/>
      </rPr>
      <t>US$ to pounds sterling</t>
    </r>
    <r>
      <rPr>
        <sz val="10"/>
        <rFont val="Times New Roman"/>
        <family val="1"/>
      </rPr>
      <t xml:space="preserve"> (IMO): </t>
    </r>
    <r>
      <rPr>
        <sz val="10"/>
        <color indexed="8"/>
        <rFont val="Times New Roman"/>
        <family val="1"/>
      </rPr>
      <t xml:space="preserve"> 1996-1997 - 1.54; 1998-1999 - 1.61; 2000 - 1.67; 2001-2002 – 1.41; 2004-2005 – 1.67, 2006-2007 - 1.75., 2008-2009 - 1.97; 2010-2011 - 1.65.</t>
    </r>
  </si>
  <si>
    <r>
      <t xml:space="preserve">- For </t>
    </r>
    <r>
      <rPr>
        <sz val="10"/>
        <rFont val="Times New Roman"/>
        <family val="1"/>
      </rPr>
      <t>ITU:</t>
    </r>
    <r>
      <rPr>
        <sz val="10"/>
        <color indexed="8"/>
        <rFont val="Times New Roman"/>
        <family val="1"/>
      </rPr>
      <t xml:space="preserve"> 1996-1997 - 1.16; 1998-1999 - 1.42; 2000 - 1.59; 2001-2002 -1.65; 2004-2005 – 1.30.; 2006-2007 - 1.31 ; 2008-2009 - 1.25; 2010-2011-1.122.</t>
    </r>
  </si>
  <si>
    <t>UNAIDS did not have yearly audited financial reports, yearly amounts for 2002-2003 and 2004-2005 biennia were obtained by dividing by two the figures as per the audited biennial fiancial reports.
USA contribution contains contributions by  USA Government Agencies, such as Centres for Disease Control and Prevention CDC and the National Institute of Health.</t>
  </si>
  <si>
    <t>The rates shown are the scale rates for 2011.  Rates for 2010 are based on the UN triennial scale for 2007-09.</t>
  </si>
  <si>
    <t>Including funding received through inter-organization arrangements. 2002: US$10,543,600; 2003: US$7,744,600; 2004: US$7,544,100; 2005: US$6,429,500; 2006: US$6,916,200; 2007: US$10,364,100; 2008: US$1,847,000; 2009: US$957,700.</t>
  </si>
  <si>
    <t>N.A.</t>
  </si>
  <si>
    <t>Working capital is total current assets minus total current liabilities, including all resources (regular and other).  Regular budget refers to the use of  regular resources plus additional resources to the biennial support budget approved by the Executive Board.  They exclude the use of other resources for programmes. Therefore, the ratio working capital to approved regular budget is not applicable.</t>
  </si>
  <si>
    <t>(c) CTBTO</t>
  </si>
  <si>
    <r>
      <t xml:space="preserve">CTBTO </t>
    </r>
    <r>
      <rPr>
        <b/>
        <sz val="11"/>
        <color indexed="10"/>
        <rFont val="Times New Roman"/>
        <family val="1"/>
      </rPr>
      <t>(c)</t>
    </r>
  </si>
  <si>
    <t xml:space="preserve">Calculated at the following Austrian schilling-US$ exchange rates (Euro-US$ exchange rates for 2002-2009) under the split appropriation and assessment system introduced in 1986:  1996-2001 – ATS 12.70; 2002-2005 – Euro 0.9229; 2006-2009 – Euro 1.00.  Subject to variation according to operational exchange rates between these two currencies. 
From 2006 onwards the amounts are calculated as follows: US$ Portion + EUR portion at average UNROE of the year  = Budget in US$
US$58,688,000  +  €212,112,000 x 1.2495 = US$323,721,944 (2006)
US$57,945,000  +  €222,967,000 x 1.3651 = US$362,317,252 (2007)
US$57,892,894  +  €234,947,488 x 1.4643 = US$401,926,501 (2008)
US$59,268,417  +  €240,056,173 x 1.3893 = US$392,778,458 (2009)
US$59,941,716  +  €255,645,145 x 1.2762 = US$386,196,050 (2010 estimate using average UNROE euro to dollar as at 1 June 2010)
US$62,409,827  +  €266,112,159 x 1.2762 = US$402,022,164 (2011 estimate subject to GC approval, average UNROE as at 1 June 2010)  </t>
  </si>
  <si>
    <t>(d) IAEA</t>
  </si>
  <si>
    <r>
      <t xml:space="preserve">IAEA </t>
    </r>
    <r>
      <rPr>
        <b/>
        <sz val="11"/>
        <color indexed="10"/>
        <rFont val="Times New Roman"/>
        <family val="1"/>
      </rPr>
      <t>(d)</t>
    </r>
  </si>
  <si>
    <r>
      <t xml:space="preserve">IFAD's budget is approved </t>
    </r>
    <r>
      <rPr>
        <sz val="10"/>
        <rFont val="Times New Roman"/>
        <family val="1"/>
      </rPr>
      <t>annually, therefore no figure is provided for 2011.</t>
    </r>
    <r>
      <rPr>
        <sz val="10"/>
        <color indexed="44"/>
        <rFont val="Times New Roman"/>
        <family val="1"/>
      </rPr>
      <t xml:space="preserve"> </t>
    </r>
    <r>
      <rPr>
        <sz val="10"/>
        <color indexed="8"/>
        <rFont val="Times New Roman"/>
        <family val="1"/>
      </rPr>
      <t>A significant part of the underlying expenditures is incurred in Euro.  These amounts are translated at the budget exchange rate set at the beginning of the year.  
Figures provided include just the so called IFAD "support budget", including the administrative, monitoring/evaluation, audit and programme support costs of the organization. The remaining budget of IFAD is embedded in the so called "Programme of Work", containing the resources granted to the organizations implementing projects on the field. This repartition is inherent in the nature of IFAD as financial intermediary organization. For completeness, we report the financial amount of the IFAD "Programme of Work" in US$: 1996: 455,300,000; 1997: 450,000,000; 1998: 459,000,000; 1999: 472,770,000; 2000: 482,200,000; 2001: 393,700,000; 2002: 450,000,000; 2003: 450,000,000; 2004: 462,500,000; 2005: 500,000,000; 2006: 550,000,000; 2007: 605,000,000; 2008: 650,000,000. 2009: 715,000,000 2010: 800,000,000.</t>
    </r>
  </si>
  <si>
    <t>(e) IFAD</t>
  </si>
  <si>
    <r>
      <t>IFAD</t>
    </r>
    <r>
      <rPr>
        <b/>
        <sz val="11"/>
        <color indexed="10"/>
        <rFont val="Times New Roman"/>
        <family val="1"/>
      </rPr>
      <t xml:space="preserve"> (e)</t>
    </r>
  </si>
  <si>
    <r>
      <t xml:space="preserve">IMO </t>
    </r>
    <r>
      <rPr>
        <b/>
        <sz val="11"/>
        <color indexed="10"/>
        <rFont val="Times New Roman"/>
        <family val="1"/>
      </rPr>
      <t>(f)</t>
    </r>
  </si>
  <si>
    <r>
      <t>UNDP</t>
    </r>
    <r>
      <rPr>
        <b/>
        <sz val="11"/>
        <color indexed="10"/>
        <rFont val="Times New Roman"/>
        <family val="1"/>
      </rPr>
      <t xml:space="preserve"> (g)</t>
    </r>
  </si>
  <si>
    <t>(g) UNDP</t>
  </si>
  <si>
    <t>Regular budgets refer to untied voluntary contributions to UNDP and exclude trust funds, cost sharing contributions or any other extra-budgetary contributions.</t>
  </si>
  <si>
    <r>
      <t xml:space="preserve">UNEP </t>
    </r>
    <r>
      <rPr>
        <b/>
        <sz val="11"/>
        <color indexed="10"/>
        <rFont val="Times New Roman"/>
        <family val="1"/>
      </rPr>
      <t>(h)</t>
    </r>
  </si>
  <si>
    <t>(h) UNEP</t>
  </si>
  <si>
    <r>
      <t xml:space="preserve">UNFCCC </t>
    </r>
    <r>
      <rPr>
        <b/>
        <sz val="11"/>
        <color indexed="10"/>
        <rFont val="Times New Roman"/>
        <family val="1"/>
      </rPr>
      <t>(i)</t>
    </r>
  </si>
  <si>
    <t>(j) UNFPA</t>
  </si>
  <si>
    <r>
      <t xml:space="preserve">UNFPA </t>
    </r>
    <r>
      <rPr>
        <b/>
        <sz val="11"/>
        <color indexed="10"/>
        <rFont val="Times New Roman"/>
        <family val="1"/>
      </rPr>
      <t>(j)</t>
    </r>
  </si>
  <si>
    <t>(k) UN-HABITAT</t>
  </si>
  <si>
    <r>
      <t xml:space="preserve">UN-HABITAT </t>
    </r>
    <r>
      <rPr>
        <b/>
        <sz val="11"/>
        <color indexed="10"/>
        <rFont val="Times New Roman"/>
        <family val="1"/>
      </rPr>
      <t>(k)</t>
    </r>
  </si>
  <si>
    <t>(l) UNICEF</t>
  </si>
  <si>
    <r>
      <t xml:space="preserve">UNICEF </t>
    </r>
    <r>
      <rPr>
        <b/>
        <sz val="11"/>
        <color indexed="10"/>
        <rFont val="Times New Roman"/>
        <family val="1"/>
      </rPr>
      <t>(l)</t>
    </r>
  </si>
  <si>
    <t>(m) UNIDO</t>
  </si>
  <si>
    <r>
      <t xml:space="preserve">UNIDO </t>
    </r>
    <r>
      <rPr>
        <b/>
        <sz val="11"/>
        <color indexed="10"/>
        <rFont val="Times New Roman"/>
        <family val="1"/>
      </rPr>
      <t>(m)</t>
    </r>
  </si>
  <si>
    <r>
      <t xml:space="preserve">UNWTO </t>
    </r>
    <r>
      <rPr>
        <b/>
        <sz val="11"/>
        <color indexed="10"/>
        <rFont val="Times New Roman"/>
        <family val="1"/>
      </rPr>
      <t>(n)</t>
    </r>
  </si>
  <si>
    <r>
      <t xml:space="preserve">UN data for 2002-2005 combines XB contributions to trust funds and to peace-keeping operations, excluding contributions for office space etc made under SOFA (Status of Forces Agreements). Peacekeeping-operations-related resources are record separately from other UN XB resources in its own line. XB contributions to PK are relative to financial periods as follows: for 2006: 1 July 2005 - 30 June 2006; for 2007: 1 July 2006 - 30 June 2007; </t>
    </r>
    <r>
      <rPr>
        <sz val="10"/>
        <color indexed="8"/>
        <rFont val="Times New Roman"/>
        <family val="1"/>
      </rPr>
      <t>for 2008: 1 July 2007 - 30 June 2008; for 2009: 1 July 2008 - 30 June 2009.</t>
    </r>
  </si>
  <si>
    <r>
      <t xml:space="preserve">United Nations </t>
    </r>
    <r>
      <rPr>
        <b/>
        <sz val="11"/>
        <color indexed="10"/>
        <rFont val="Times New Roman"/>
        <family val="1"/>
      </rPr>
      <t>(b)</t>
    </r>
  </si>
  <si>
    <t>(c) IAEA</t>
  </si>
  <si>
    <r>
      <t xml:space="preserve">IAEA </t>
    </r>
    <r>
      <rPr>
        <b/>
        <sz val="11"/>
        <color indexed="10"/>
        <rFont val="Times New Roman"/>
        <family val="1"/>
      </rPr>
      <t>(c)</t>
    </r>
  </si>
  <si>
    <r>
      <t xml:space="preserve">ICAO </t>
    </r>
    <r>
      <rPr>
        <b/>
        <sz val="11"/>
        <color indexed="10"/>
        <rFont val="Times New Roman"/>
        <family val="1"/>
      </rPr>
      <t>(d)</t>
    </r>
  </si>
  <si>
    <r>
      <t xml:space="preserve">ITU </t>
    </r>
    <r>
      <rPr>
        <b/>
        <sz val="11"/>
        <color indexed="10"/>
        <rFont val="Times New Roman"/>
        <family val="1"/>
      </rPr>
      <t>(f)</t>
    </r>
  </si>
  <si>
    <t>(f) ITU</t>
  </si>
  <si>
    <r>
      <t xml:space="preserve">UNDP </t>
    </r>
    <r>
      <rPr>
        <b/>
        <sz val="11"/>
        <color indexed="10"/>
        <rFont val="Times New Roman"/>
        <family val="1"/>
      </rPr>
      <t>(g)</t>
    </r>
  </si>
  <si>
    <r>
      <t>UNFPA</t>
    </r>
    <r>
      <rPr>
        <b/>
        <sz val="11"/>
        <color indexed="10"/>
        <rFont val="Times New Roman"/>
        <family val="1"/>
      </rPr>
      <t xml:space="preserve"> (j)</t>
    </r>
  </si>
  <si>
    <r>
      <t xml:space="preserve">UN-Habitat </t>
    </r>
    <r>
      <rPr>
        <b/>
        <sz val="11"/>
        <color indexed="10"/>
        <rFont val="Times New Roman"/>
        <family val="1"/>
      </rPr>
      <t>(k)</t>
    </r>
  </si>
  <si>
    <r>
      <t xml:space="preserve">UNHCR </t>
    </r>
    <r>
      <rPr>
        <b/>
        <sz val="11"/>
        <color indexed="10"/>
        <rFont val="Times New Roman"/>
        <family val="1"/>
      </rPr>
      <t>(l)</t>
    </r>
  </si>
  <si>
    <t>(l) UNHCR</t>
  </si>
  <si>
    <r>
      <t xml:space="preserve">UNICEF </t>
    </r>
    <r>
      <rPr>
        <b/>
        <sz val="11"/>
        <color indexed="10"/>
        <rFont val="Times New Roman"/>
        <family val="1"/>
      </rPr>
      <t>(m)</t>
    </r>
  </si>
  <si>
    <r>
      <t xml:space="preserve">UNIDO </t>
    </r>
    <r>
      <rPr>
        <b/>
        <sz val="11"/>
        <color indexed="10"/>
        <rFont val="Times New Roman"/>
        <family val="1"/>
      </rPr>
      <t>(n)</t>
    </r>
  </si>
  <si>
    <t>(n) UNIDO</t>
  </si>
  <si>
    <r>
      <t xml:space="preserve">WHO </t>
    </r>
    <r>
      <rPr>
        <b/>
        <sz val="11"/>
        <color indexed="10"/>
        <rFont val="Times New Roman"/>
        <family val="1"/>
      </rPr>
      <t>(o)</t>
    </r>
  </si>
  <si>
    <t>(o) WHO</t>
  </si>
  <si>
    <r>
      <t xml:space="preserve">WIPO </t>
    </r>
    <r>
      <rPr>
        <b/>
        <sz val="11"/>
        <color indexed="10"/>
        <rFont val="Times New Roman"/>
        <family val="1"/>
      </rPr>
      <t>(p)</t>
    </r>
  </si>
  <si>
    <t>(p) WIPO</t>
  </si>
  <si>
    <t>Lao People's Democratic Republic</t>
  </si>
  <si>
    <t xml:space="preserve">  </t>
  </si>
  <si>
    <t>Timor-Leste</t>
  </si>
  <si>
    <t>The scale of assessments for 2010 was different from that of 2011; that of 2010 was based on the UN Scale of Assessments approved by the UN General Assembly (UNGA) in December 2005, while the scale for 2011 was based on the UN Scale approved by UNGA in December 2009.</t>
  </si>
  <si>
    <t>Contributions are payable in Swiss francs; converted to US dollars: 2004-2005 – 1.30; 2006-1.21; 2007 - 1.12; 2008 1.12; 2009 1.14; 2010 1.055.</t>
  </si>
  <si>
    <r>
      <t xml:space="preserve">Table 2A. Extra-budgetary resources from Member States: funds received (2002-2009) </t>
    </r>
    <r>
      <rPr>
        <b/>
        <sz val="20"/>
        <color indexed="10"/>
        <rFont val="Times New Roman"/>
        <family val="1"/>
      </rPr>
      <t>(a)</t>
    </r>
  </si>
  <si>
    <r>
      <t xml:space="preserve">IAEA </t>
    </r>
    <r>
      <rPr>
        <b/>
        <sz val="14"/>
        <color indexed="10"/>
        <rFont val="Times New Roman"/>
        <family val="1"/>
      </rPr>
      <t>(c)</t>
    </r>
  </si>
  <si>
    <r>
      <t xml:space="preserve">ICAO </t>
    </r>
    <r>
      <rPr>
        <b/>
        <sz val="14"/>
        <color indexed="10"/>
        <rFont val="Times New Roman"/>
        <family val="1"/>
      </rPr>
      <t>(d)</t>
    </r>
  </si>
  <si>
    <t>(e)  ITC</t>
  </si>
  <si>
    <r>
      <t xml:space="preserve">ITC </t>
    </r>
    <r>
      <rPr>
        <b/>
        <sz val="14"/>
        <color indexed="10"/>
        <rFont val="Times New Roman"/>
        <family val="1"/>
      </rPr>
      <t>(e)</t>
    </r>
  </si>
  <si>
    <t>(f) PAHO</t>
  </si>
  <si>
    <r>
      <t xml:space="preserve">PAHO </t>
    </r>
    <r>
      <rPr>
        <b/>
        <sz val="14"/>
        <color indexed="10"/>
        <rFont val="Times New Roman"/>
        <family val="1"/>
      </rPr>
      <t xml:space="preserve">(f) </t>
    </r>
  </si>
  <si>
    <r>
      <t xml:space="preserve">UNAIDS </t>
    </r>
    <r>
      <rPr>
        <b/>
        <sz val="14"/>
        <color indexed="10"/>
        <rFont val="Times New Roman"/>
        <family val="1"/>
      </rPr>
      <t>(g)</t>
    </r>
  </si>
  <si>
    <t>(g) UNAIDS</t>
  </si>
  <si>
    <r>
      <t xml:space="preserve">UNEP </t>
    </r>
    <r>
      <rPr>
        <b/>
        <sz val="14"/>
        <color indexed="10"/>
        <rFont val="Times New Roman"/>
        <family val="1"/>
      </rPr>
      <t>(h)</t>
    </r>
  </si>
  <si>
    <t xml:space="preserve">(h) UNEP </t>
  </si>
  <si>
    <r>
      <t xml:space="preserve">Montenegro </t>
    </r>
    <r>
      <rPr>
        <b/>
        <sz val="18"/>
        <color indexed="10"/>
        <rFont val="Times New Roman"/>
        <family val="1"/>
      </rPr>
      <t>(i)</t>
    </r>
  </si>
  <si>
    <r>
      <t xml:space="preserve">Serbia </t>
    </r>
    <r>
      <rPr>
        <b/>
        <sz val="18"/>
        <color indexed="10"/>
        <rFont val="Times New Roman"/>
        <family val="1"/>
      </rPr>
      <t>(i)</t>
    </r>
  </si>
  <si>
    <r>
      <t xml:space="preserve">Serbia and Montenegro </t>
    </r>
    <r>
      <rPr>
        <b/>
        <sz val="18"/>
        <color indexed="10"/>
        <rFont val="Times New Roman"/>
        <family val="1"/>
      </rPr>
      <t xml:space="preserve"> (i)</t>
    </r>
  </si>
  <si>
    <t>(i)</t>
  </si>
  <si>
    <t>(j) UNFCCC</t>
  </si>
  <si>
    <r>
      <t>UNFCCC</t>
    </r>
    <r>
      <rPr>
        <b/>
        <sz val="14"/>
        <color indexed="10"/>
        <rFont val="Times New Roman"/>
        <family val="1"/>
      </rPr>
      <t xml:space="preserve"> (j)</t>
    </r>
  </si>
  <si>
    <r>
      <t xml:space="preserve">UNFPA </t>
    </r>
    <r>
      <rPr>
        <b/>
        <sz val="14"/>
        <color indexed="10"/>
        <rFont val="Times New Roman"/>
        <family val="1"/>
      </rPr>
      <t>(k)</t>
    </r>
  </si>
  <si>
    <r>
      <t xml:space="preserve">UN-HABITAT </t>
    </r>
    <r>
      <rPr>
        <b/>
        <sz val="14"/>
        <color indexed="10"/>
        <rFont val="Times New Roman"/>
        <family val="1"/>
      </rPr>
      <t>(l)</t>
    </r>
  </si>
  <si>
    <t>(k) UNFPA</t>
  </si>
  <si>
    <t>(l) UN-HABITAT</t>
  </si>
  <si>
    <r>
      <t xml:space="preserve">UNHCR </t>
    </r>
    <r>
      <rPr>
        <b/>
        <sz val="14"/>
        <color indexed="10"/>
        <rFont val="Times New Roman"/>
        <family val="1"/>
      </rPr>
      <t>(m)</t>
    </r>
  </si>
  <si>
    <t>(m) UNHCR</t>
  </si>
  <si>
    <r>
      <t>UNICEF</t>
    </r>
    <r>
      <rPr>
        <b/>
        <sz val="14"/>
        <color indexed="10"/>
        <rFont val="Times New Roman"/>
        <family val="1"/>
      </rPr>
      <t xml:space="preserve"> (n)</t>
    </r>
  </si>
  <si>
    <t>(n) UNICEF</t>
  </si>
  <si>
    <r>
      <t xml:space="preserve">UNIDO </t>
    </r>
    <r>
      <rPr>
        <b/>
        <sz val="14"/>
        <color indexed="10"/>
        <rFont val="Times New Roman"/>
        <family val="1"/>
      </rPr>
      <t>(o)</t>
    </r>
  </si>
  <si>
    <t>(o) UNIDO</t>
  </si>
  <si>
    <r>
      <t xml:space="preserve">UNODC </t>
    </r>
    <r>
      <rPr>
        <b/>
        <sz val="14"/>
        <color indexed="10"/>
        <rFont val="Times New Roman"/>
        <family val="1"/>
      </rPr>
      <t>(p)</t>
    </r>
  </si>
  <si>
    <t>(p) UNODC</t>
  </si>
  <si>
    <r>
      <t xml:space="preserve">UNWTO </t>
    </r>
    <r>
      <rPr>
        <b/>
        <sz val="14"/>
        <color indexed="10"/>
        <rFont val="Times New Roman"/>
        <family val="1"/>
      </rPr>
      <t>(q)</t>
    </r>
  </si>
  <si>
    <t>(q) UNWTO</t>
  </si>
  <si>
    <r>
      <t>WFP</t>
    </r>
    <r>
      <rPr>
        <b/>
        <sz val="14"/>
        <color indexed="10"/>
        <rFont val="Times New Roman"/>
        <family val="1"/>
      </rPr>
      <t xml:space="preserve"> (r)</t>
    </r>
  </si>
  <si>
    <t>(r) WFP</t>
  </si>
  <si>
    <r>
      <t>WHO</t>
    </r>
    <r>
      <rPr>
        <b/>
        <sz val="14"/>
        <color indexed="10"/>
        <rFont val="Times New Roman"/>
        <family val="1"/>
      </rPr>
      <t xml:space="preserve"> (s)</t>
    </r>
  </si>
  <si>
    <t>(s) WHO</t>
  </si>
  <si>
    <r>
      <t xml:space="preserve">WIPO </t>
    </r>
    <r>
      <rPr>
        <b/>
        <sz val="14"/>
        <color indexed="10"/>
        <rFont val="Times New Roman"/>
        <family val="1"/>
      </rPr>
      <t>(t)</t>
    </r>
  </si>
  <si>
    <t>(t) WIPO</t>
  </si>
  <si>
    <t>This table shows expenditure against regular budget resources (table 1), as well as against extra-budgetary resources (table 2), which include trust funds, technical cooperation, and other non regular resources. Also included is expenditure incurred by the executing or implementing agency on behalf of funding organizations. Expenditure in-kind is indicated separately, as reported in the audited financial statements. 
Amounts are indicated as appearing in the total expenditure line of the financial statements. Any departure from the financial statements is explained in notes.</t>
  </si>
  <si>
    <r>
      <t xml:space="preserve">United Nations - 
</t>
    </r>
    <r>
      <rPr>
        <b/>
        <sz val="12"/>
        <rFont val="Times New Roman"/>
        <family val="1"/>
      </rPr>
      <t>Peacekeeping Operations</t>
    </r>
    <r>
      <rPr>
        <b/>
        <sz val="12"/>
        <color indexed="10"/>
        <rFont val="Times New Roman"/>
        <family val="1"/>
      </rPr>
      <t xml:space="preserve"> </t>
    </r>
    <r>
      <rPr>
        <b/>
        <sz val="14"/>
        <color indexed="10"/>
        <rFont val="Times New Roman"/>
        <family val="1"/>
      </rPr>
      <t>(b)</t>
    </r>
  </si>
  <si>
    <r>
      <t xml:space="preserve">IAEA </t>
    </r>
    <r>
      <rPr>
        <b/>
        <sz val="14"/>
        <color indexed="10"/>
        <rFont val="Times New Roman"/>
        <family val="1"/>
      </rPr>
      <t>(c)</t>
    </r>
  </si>
  <si>
    <t>The expenditure figures represent the amounts as per audited financial statements.
Effective 1 January 2006, the IAEA's functional currency for the Regular Budget is the euro.
The 2006, 2007, 2008 and 2009 figures represent the IAEA's total expenditures expressed in US dollars at the monthly UNROE at the time the expenditures were incurred.
Extrabudgetary figures for 2006, 2007, 2008 and 2009 include the Technical Cooperation Fund</t>
  </si>
  <si>
    <r>
      <t xml:space="preserve">UNFCCC </t>
    </r>
    <r>
      <rPr>
        <b/>
        <sz val="14"/>
        <color indexed="10"/>
        <rFont val="Times New Roman"/>
        <family val="1"/>
      </rPr>
      <t>(j)</t>
    </r>
  </si>
  <si>
    <r>
      <t xml:space="preserve">CTBTO </t>
    </r>
    <r>
      <rPr>
        <b/>
        <sz val="10"/>
        <color indexed="10"/>
        <rFont val="Times New Roman"/>
        <family val="1"/>
      </rPr>
      <t>(c)</t>
    </r>
  </si>
  <si>
    <r>
      <t xml:space="preserve">IAEA </t>
    </r>
    <r>
      <rPr>
        <b/>
        <sz val="10"/>
        <color indexed="10"/>
        <rFont val="Times New Roman"/>
        <family val="1"/>
      </rPr>
      <t>(e)</t>
    </r>
  </si>
  <si>
    <t>(e) IAEA</t>
  </si>
  <si>
    <r>
      <t>ICGEB</t>
    </r>
    <r>
      <rPr>
        <b/>
        <sz val="10"/>
        <color indexed="10"/>
        <rFont val="Times New Roman"/>
        <family val="1"/>
      </rPr>
      <t xml:space="preserve"> (g)</t>
    </r>
  </si>
  <si>
    <t>(g) ICGEB</t>
  </si>
  <si>
    <r>
      <t xml:space="preserve">IFAD </t>
    </r>
    <r>
      <rPr>
        <b/>
        <sz val="10"/>
        <color indexed="10"/>
        <rFont val="Times New Roman"/>
        <family val="1"/>
      </rPr>
      <t>(h)</t>
    </r>
  </si>
  <si>
    <r>
      <t>ILO</t>
    </r>
    <r>
      <rPr>
        <b/>
        <sz val="10"/>
        <color indexed="10"/>
        <rFont val="Times New Roman"/>
        <family val="1"/>
      </rPr>
      <t xml:space="preserve"> (i) </t>
    </r>
  </si>
  <si>
    <r>
      <t xml:space="preserve">IMO </t>
    </r>
    <r>
      <rPr>
        <b/>
        <sz val="10"/>
        <color indexed="10"/>
        <rFont val="Times New Roman"/>
        <family val="1"/>
      </rPr>
      <t>(j)</t>
    </r>
  </si>
  <si>
    <t>(i) ILO</t>
  </si>
  <si>
    <t>(j) IMO</t>
  </si>
  <si>
    <r>
      <t xml:space="preserve">IOM </t>
    </r>
    <r>
      <rPr>
        <b/>
        <sz val="10"/>
        <color indexed="10"/>
        <rFont val="Times New Roman"/>
        <family val="1"/>
      </rPr>
      <t>(k)</t>
    </r>
  </si>
  <si>
    <t xml:space="preserve">(k) IOM, ITU and WIPO </t>
  </si>
  <si>
    <r>
      <t xml:space="preserve">ITU </t>
    </r>
    <r>
      <rPr>
        <b/>
        <sz val="10"/>
        <color indexed="10"/>
        <rFont val="Times New Roman"/>
        <family val="1"/>
      </rPr>
      <t>(k)</t>
    </r>
  </si>
  <si>
    <r>
      <t xml:space="preserve">WIPO </t>
    </r>
    <r>
      <rPr>
        <b/>
        <sz val="10"/>
        <color indexed="10"/>
        <rFont val="Times New Roman"/>
        <family val="1"/>
      </rPr>
      <t>(k)</t>
    </r>
  </si>
  <si>
    <r>
      <t xml:space="preserve">ITC </t>
    </r>
    <r>
      <rPr>
        <b/>
        <sz val="10"/>
        <color indexed="10"/>
        <rFont val="Times New Roman"/>
        <family val="1"/>
      </rPr>
      <t>(l)</t>
    </r>
  </si>
  <si>
    <t>(l) ITC</t>
  </si>
  <si>
    <r>
      <t xml:space="preserve">UNEP </t>
    </r>
    <r>
      <rPr>
        <b/>
        <sz val="10"/>
        <color indexed="10"/>
        <rFont val="Times New Roman"/>
        <family val="1"/>
      </rPr>
      <t>(m)</t>
    </r>
  </si>
  <si>
    <t>(m) UNEP</t>
  </si>
  <si>
    <r>
      <t xml:space="preserve">UNESCO </t>
    </r>
    <r>
      <rPr>
        <b/>
        <sz val="10"/>
        <color indexed="10"/>
        <rFont val="Times New Roman"/>
        <family val="1"/>
      </rPr>
      <t>(n)</t>
    </r>
  </si>
  <si>
    <t>(n) UNESCO</t>
  </si>
  <si>
    <r>
      <t xml:space="preserve">UNFCCC </t>
    </r>
    <r>
      <rPr>
        <b/>
        <sz val="10"/>
        <color indexed="10"/>
        <rFont val="Times New Roman"/>
        <family val="1"/>
      </rPr>
      <t>(o)</t>
    </r>
  </si>
  <si>
    <r>
      <t xml:space="preserve">UNIDO </t>
    </r>
    <r>
      <rPr>
        <b/>
        <sz val="10"/>
        <color indexed="10"/>
        <rFont val="Times New Roman"/>
        <family val="1"/>
      </rPr>
      <t>(p)</t>
    </r>
  </si>
  <si>
    <t>(p) UNIDO</t>
  </si>
  <si>
    <r>
      <t xml:space="preserve">UNWTO </t>
    </r>
    <r>
      <rPr>
        <b/>
        <sz val="10"/>
        <color indexed="10"/>
        <rFont val="Times New Roman"/>
        <family val="1"/>
      </rPr>
      <t>(q)</t>
    </r>
  </si>
  <si>
    <t>(q) UNWTO
(Tourism)</t>
  </si>
  <si>
    <r>
      <t xml:space="preserve">WMO </t>
    </r>
    <r>
      <rPr>
        <b/>
        <sz val="10"/>
        <color indexed="10"/>
        <rFont val="Times New Roman"/>
        <family val="1"/>
      </rPr>
      <t xml:space="preserve"> (r)</t>
    </r>
  </si>
  <si>
    <r>
      <t xml:space="preserve">WTO </t>
    </r>
    <r>
      <rPr>
        <b/>
        <sz val="10"/>
        <color indexed="10"/>
        <rFont val="Times New Roman"/>
        <family val="1"/>
      </rPr>
      <t>(s)</t>
    </r>
  </si>
  <si>
    <t>UPU   (2008)</t>
  </si>
  <si>
    <r>
      <t xml:space="preserve">IAEA </t>
    </r>
    <r>
      <rPr>
        <b/>
        <sz val="10"/>
        <color indexed="10"/>
        <rFont val="Times New Roman"/>
        <family val="1"/>
      </rPr>
      <t>(b)</t>
    </r>
  </si>
  <si>
    <t>(b) IAEA</t>
  </si>
  <si>
    <r>
      <t xml:space="preserve">ICAO </t>
    </r>
    <r>
      <rPr>
        <b/>
        <sz val="10"/>
        <color indexed="10"/>
        <rFont val="Times New Roman"/>
        <family val="1"/>
      </rPr>
      <t>(c)</t>
    </r>
  </si>
  <si>
    <r>
      <t xml:space="preserve">IFAD </t>
    </r>
    <r>
      <rPr>
        <b/>
        <sz val="10"/>
        <color indexed="10"/>
        <rFont val="Times New Roman"/>
        <family val="1"/>
      </rPr>
      <t>(d)</t>
    </r>
  </si>
  <si>
    <t>(d) IFAD</t>
  </si>
  <si>
    <r>
      <t xml:space="preserve">ILO </t>
    </r>
    <r>
      <rPr>
        <b/>
        <sz val="10"/>
        <color indexed="10"/>
        <rFont val="Times New Roman"/>
        <family val="1"/>
      </rPr>
      <t>(e)</t>
    </r>
  </si>
  <si>
    <t>(e) ILO</t>
  </si>
  <si>
    <r>
      <t xml:space="preserve">IMO          </t>
    </r>
    <r>
      <rPr>
        <b/>
        <sz val="10"/>
        <color indexed="10"/>
        <rFont val="Times New Roman"/>
        <family val="1"/>
      </rPr>
      <t>(f)</t>
    </r>
  </si>
  <si>
    <r>
      <t>UNFCCC Convention</t>
    </r>
    <r>
      <rPr>
        <b/>
        <sz val="10"/>
        <color indexed="10"/>
        <rFont val="Times New Roman"/>
        <family val="1"/>
      </rPr>
      <t xml:space="preserve"> (g)</t>
    </r>
  </si>
  <si>
    <r>
      <t>UNFCCC Kyoto Protocol</t>
    </r>
    <r>
      <rPr>
        <b/>
        <sz val="10"/>
        <color indexed="10"/>
        <rFont val="Times New Roman"/>
        <family val="1"/>
      </rPr>
      <t xml:space="preserve"> (g)</t>
    </r>
  </si>
  <si>
    <t>(g) UNFCCC</t>
  </si>
  <si>
    <r>
      <t xml:space="preserve">WMO </t>
    </r>
    <r>
      <rPr>
        <b/>
        <sz val="10"/>
        <color indexed="10"/>
        <rFont val="Times New Roman"/>
        <family val="1"/>
      </rPr>
      <t>(i)</t>
    </r>
  </si>
  <si>
    <t>(i) WMO</t>
  </si>
  <si>
    <r>
      <t xml:space="preserve">Aruba </t>
    </r>
    <r>
      <rPr>
        <b/>
        <sz val="11"/>
        <color indexed="10"/>
        <rFont val="Times New Roman"/>
        <family val="1"/>
      </rPr>
      <t>(j)</t>
    </r>
  </si>
  <si>
    <r>
      <t xml:space="preserve">Cayman Islands </t>
    </r>
    <r>
      <rPr>
        <b/>
        <sz val="11"/>
        <color indexed="10"/>
        <rFont val="Times New Roman"/>
        <family val="1"/>
      </rPr>
      <t>(j)</t>
    </r>
  </si>
  <si>
    <r>
      <t xml:space="preserve">Faroe Islands, Denmark  </t>
    </r>
    <r>
      <rPr>
        <b/>
        <sz val="11"/>
        <color indexed="10"/>
        <rFont val="Times New Roman"/>
        <family val="1"/>
      </rPr>
      <t>(j)</t>
    </r>
  </si>
  <si>
    <r>
      <t xml:space="preserve">Hong Kong, China  </t>
    </r>
    <r>
      <rPr>
        <b/>
        <sz val="11"/>
        <color indexed="10"/>
        <rFont val="Times New Roman"/>
        <family val="1"/>
      </rPr>
      <t>(j)</t>
    </r>
  </si>
  <si>
    <r>
      <t xml:space="preserve">Macao, China </t>
    </r>
    <r>
      <rPr>
        <b/>
        <sz val="11"/>
        <color indexed="10"/>
        <rFont val="Times New Roman"/>
        <family val="1"/>
      </rPr>
      <t>(j)</t>
    </r>
  </si>
  <si>
    <r>
      <t xml:space="preserve">Madeira </t>
    </r>
    <r>
      <rPr>
        <b/>
        <sz val="11"/>
        <color indexed="10"/>
        <rFont val="Times New Roman"/>
        <family val="1"/>
      </rPr>
      <t>(j)</t>
    </r>
  </si>
  <si>
    <r>
      <t>Netherlands Antilles</t>
    </r>
    <r>
      <rPr>
        <b/>
        <sz val="11"/>
        <color indexed="10"/>
        <rFont val="Times New Roman"/>
        <family val="1"/>
      </rPr>
      <t xml:space="preserve"> (j)</t>
    </r>
  </si>
  <si>
    <r>
      <t xml:space="preserve">Puerto Rico </t>
    </r>
    <r>
      <rPr>
        <b/>
        <sz val="11"/>
        <color indexed="10"/>
        <rFont val="Times New Roman"/>
        <family val="1"/>
      </rPr>
      <t>(j)</t>
    </r>
  </si>
  <si>
    <t>(j)</t>
  </si>
  <si>
    <r>
      <t xml:space="preserve">Holy See </t>
    </r>
    <r>
      <rPr>
        <b/>
        <sz val="11"/>
        <color indexed="10"/>
        <rFont val="Times New Roman"/>
        <family val="1"/>
      </rPr>
      <t>(k)</t>
    </r>
  </si>
  <si>
    <t>(k)</t>
  </si>
  <si>
    <r>
      <t xml:space="preserve">European Union </t>
    </r>
    <r>
      <rPr>
        <b/>
        <sz val="11"/>
        <color indexed="10"/>
        <rFont val="Times New Roman"/>
        <family val="1"/>
      </rPr>
      <t>(g)</t>
    </r>
  </si>
  <si>
    <r>
      <t xml:space="preserve">Montenegro </t>
    </r>
    <r>
      <rPr>
        <b/>
        <sz val="11"/>
        <color indexed="10"/>
        <rFont val="Times New Roman"/>
        <family val="1"/>
      </rPr>
      <t>(l)</t>
    </r>
  </si>
  <si>
    <t xml:space="preserve">(l) </t>
  </si>
  <si>
    <r>
      <t xml:space="preserve">Serbia </t>
    </r>
    <r>
      <rPr>
        <b/>
        <sz val="11"/>
        <color indexed="10"/>
        <rFont val="Times New Roman"/>
        <family val="1"/>
      </rPr>
      <t>(l)</t>
    </r>
  </si>
  <si>
    <t>(e) ICTY</t>
  </si>
  <si>
    <r>
      <t xml:space="preserve">ICTY </t>
    </r>
    <r>
      <rPr>
        <b/>
        <sz val="14"/>
        <color indexed="10"/>
        <rFont val="Times New Roman"/>
        <family val="1"/>
      </rPr>
      <t>(e)</t>
    </r>
  </si>
  <si>
    <r>
      <t>IFAD</t>
    </r>
    <r>
      <rPr>
        <b/>
        <sz val="14"/>
        <color indexed="10"/>
        <rFont val="Times New Roman"/>
        <family val="1"/>
      </rPr>
      <t xml:space="preserve"> (f)</t>
    </r>
  </si>
  <si>
    <r>
      <t xml:space="preserve">IMO </t>
    </r>
    <r>
      <rPr>
        <b/>
        <sz val="14"/>
        <color indexed="10"/>
        <rFont val="Times New Roman"/>
        <family val="1"/>
      </rPr>
      <t>(g)</t>
    </r>
  </si>
  <si>
    <r>
      <t xml:space="preserve">ITU </t>
    </r>
    <r>
      <rPr>
        <b/>
        <sz val="14"/>
        <color indexed="10"/>
        <rFont val="Times New Roman"/>
        <family val="1"/>
      </rPr>
      <t>(h)</t>
    </r>
  </si>
  <si>
    <r>
      <t xml:space="preserve">UNDP </t>
    </r>
    <r>
      <rPr>
        <b/>
        <sz val="14"/>
        <color indexed="10"/>
        <rFont val="Times New Roman"/>
        <family val="1"/>
      </rPr>
      <t>(i)</t>
    </r>
  </si>
  <si>
    <r>
      <t xml:space="preserve">UNIDO </t>
    </r>
    <r>
      <rPr>
        <b/>
        <sz val="14"/>
        <color indexed="10"/>
        <rFont val="Times New Roman"/>
        <family val="1"/>
      </rPr>
      <t>(n)</t>
    </r>
  </si>
  <si>
    <r>
      <t xml:space="preserve">UNODC </t>
    </r>
    <r>
      <rPr>
        <b/>
        <sz val="14"/>
        <color indexed="10"/>
        <rFont val="Times New Roman"/>
        <family val="1"/>
      </rPr>
      <t>(o)</t>
    </r>
  </si>
  <si>
    <r>
      <t xml:space="preserve">WIPO </t>
    </r>
    <r>
      <rPr>
        <b/>
        <sz val="14"/>
        <color indexed="10"/>
        <rFont val="Times New Roman"/>
        <family val="1"/>
      </rPr>
      <t>(h)</t>
    </r>
  </si>
  <si>
    <t>(g) IMO</t>
  </si>
  <si>
    <t>(h) ITU, WIPO</t>
  </si>
  <si>
    <t>(i) UNDP</t>
  </si>
  <si>
    <t>(o) UNODC</t>
  </si>
  <si>
    <t>2007-2009 figures are exclusive of the non-budgeted accrued expenses for end-of-service and post-retirement benefits; and prior period adjustments.</t>
  </si>
  <si>
    <r>
      <t xml:space="preserve">Member State </t>
    </r>
    <r>
      <rPr>
        <b/>
        <sz val="10.5"/>
        <color indexed="10"/>
        <rFont val="Times New Roman"/>
        <family val="1"/>
      </rPr>
      <t>(b)</t>
    </r>
  </si>
  <si>
    <r>
      <t xml:space="preserve">Antilles </t>
    </r>
    <r>
      <rPr>
        <b/>
        <sz val="10.5"/>
        <color indexed="10"/>
        <rFont val="Times New Roman"/>
        <family val="1"/>
      </rPr>
      <t>(c)</t>
    </r>
  </si>
  <si>
    <r>
      <t xml:space="preserve">Tokelau </t>
    </r>
    <r>
      <rPr>
        <b/>
        <sz val="10.5"/>
        <color indexed="10"/>
        <rFont val="Times New Roman"/>
        <family val="1"/>
      </rPr>
      <t>(c)</t>
    </r>
  </si>
  <si>
    <r>
      <t>IAEA</t>
    </r>
    <r>
      <rPr>
        <b/>
        <sz val="10.5"/>
        <color indexed="10"/>
        <rFont val="Times New Roman"/>
        <family val="1"/>
      </rPr>
      <t xml:space="preserve"> (e)</t>
    </r>
  </si>
  <si>
    <r>
      <t xml:space="preserve">IMO </t>
    </r>
    <r>
      <rPr>
        <b/>
        <sz val="10.5"/>
        <color indexed="10"/>
        <rFont val="Times New Roman"/>
        <family val="1"/>
      </rPr>
      <t>(f)</t>
    </r>
  </si>
  <si>
    <t>Puerto Rico is an Associate Member of WHO, PAHO and UNWTO (Tourism). 
Hong Kong-China, Macao-China, Netherlands Antilles participate in WMO as Associate Members.  
Aruba, Hong Kong-China, Macao-China, Netherlands Antilles participate in UNWTO as Associate Members. Madeira and the Flemish Community of Belgium are also Associate Members.
Timor-Leste is a Member State of UNESCO. Aruba, British Virgin Islands, Cayman Islands, Macao-China, Netherlands Antilles and Tokelau are Associate Members of UNESCO. Faroe Islands is an Associate Member since 12 October 2009.</t>
  </si>
  <si>
    <r>
      <t xml:space="preserve">UNESCO </t>
    </r>
    <r>
      <rPr>
        <b/>
        <sz val="10.5"/>
        <color indexed="10"/>
        <rFont val="Times New Roman"/>
        <family val="1"/>
      </rPr>
      <t>(c)</t>
    </r>
  </si>
  <si>
    <r>
      <t>European Union</t>
    </r>
    <r>
      <rPr>
        <b/>
        <sz val="10.5"/>
        <color indexed="10"/>
        <rFont val="Times New Roman"/>
        <family val="1"/>
      </rPr>
      <t xml:space="preserve"> (h)</t>
    </r>
  </si>
  <si>
    <t>(n)</t>
  </si>
  <si>
    <t>Serbia</t>
  </si>
  <si>
    <t>Montenegro</t>
  </si>
  <si>
    <t>Contributions are in Swiss francs. The rates of the US dollars used are the same as under Table 1.  Advance payments received as of end 2009 (thousands of CHF) for 2010 and following years: Angola 50, Australia 664, Bahamas 2, Bulgaria 89, Cameroon 42, Costa Rica 3, Czech Republic 133, Ecuador 1, Ghana 3, Honduras 3, Italy 173, Kazakhstan 11, Latvia 11, Morocco 6, Senegal 1, Serbia 22, Suriname 179.</t>
  </si>
  <si>
    <r>
      <t xml:space="preserve">  of Timor-Leste </t>
    </r>
    <r>
      <rPr>
        <b/>
        <sz val="10.5"/>
        <color indexed="10"/>
        <rFont val="Times New Roman"/>
        <family val="1"/>
      </rPr>
      <t>(c)</t>
    </r>
  </si>
  <si>
    <t xml:space="preserve">British Virgin </t>
  </si>
  <si>
    <r>
      <t xml:space="preserve">Islands </t>
    </r>
    <r>
      <rPr>
        <b/>
        <sz val="10.5"/>
        <color indexed="10"/>
        <rFont val="Times New Roman"/>
        <family val="1"/>
      </rPr>
      <t>(c)</t>
    </r>
  </si>
  <si>
    <r>
      <t xml:space="preserve">IAEA </t>
    </r>
    <r>
      <rPr>
        <b/>
        <sz val="12"/>
        <color indexed="10"/>
        <rFont val="Times New Roman"/>
        <family val="1"/>
      </rPr>
      <t>(b)</t>
    </r>
  </si>
  <si>
    <t>(h)</t>
  </si>
  <si>
    <r>
      <t xml:space="preserve">CTBTO </t>
    </r>
    <r>
      <rPr>
        <b/>
        <sz val="12"/>
        <color indexed="10"/>
        <rFont val="Times New Roman"/>
        <family val="1"/>
      </rPr>
      <t>(c)</t>
    </r>
  </si>
  <si>
    <r>
      <t xml:space="preserve">IAEA </t>
    </r>
    <r>
      <rPr>
        <b/>
        <sz val="12"/>
        <color indexed="10"/>
        <rFont val="Times New Roman"/>
        <family val="1"/>
      </rPr>
      <t>(d)</t>
    </r>
  </si>
  <si>
    <t>UNICEF</t>
  </si>
  <si>
    <t>UNFPA</t>
  </si>
  <si>
    <t>IAEA</t>
  </si>
  <si>
    <t>TOTAL EXTRABUDGETARY CONTRIBUTIONS FROM NON-STATE DONORS
(CATEGORIES A+B+C+D)</t>
  </si>
  <si>
    <t>UN Habitat</t>
  </si>
  <si>
    <t>Notes to table 2B</t>
  </si>
  <si>
    <t>This table shows detailed information regarding extra-budgetary contributions received by UN system organizations from non-state donors. Requested data is broken down in four categories:</t>
  </si>
  <si>
    <t>A) European Commission</t>
  </si>
  <si>
    <t xml:space="preserve">In the previous editions of this survey data shown in table 2B was presented in table 2A, section B. </t>
  </si>
  <si>
    <t xml:space="preserve">CATEGORY A:
Total extrabudgetary contributions from European Commission </t>
  </si>
  <si>
    <t>CATEGORY B:
Total extrabudgetary contributions from the 5 major non-state donors: UN system organizations, World Bank, IMF and Development Banks</t>
  </si>
  <si>
    <t>CATEGORY C:
Total extrabudgetary contributions from the 5 major non-state donors: other International Organizations, NGOs, foundations, private companies, etc.</t>
  </si>
  <si>
    <t xml:space="preserve">CATEGORY D:
Total extrabudgetary contributions from all non-state donors other than the EC or the 5 major donors in categories B and C </t>
  </si>
  <si>
    <r>
      <t xml:space="preserve">Table 2B. Extra-budgetary contributions received from non-state donors: funds received (2002-2009) </t>
    </r>
    <r>
      <rPr>
        <b/>
        <sz val="20"/>
        <color indexed="10"/>
        <rFont val="Times New Roman"/>
        <family val="1"/>
      </rPr>
      <t>a)</t>
    </r>
  </si>
  <si>
    <r>
      <t xml:space="preserve">Table 2B. Extra-budgetary contributions received from non-state donors: funds received (2002-2009) </t>
    </r>
    <r>
      <rPr>
        <b/>
        <sz val="20"/>
        <color indexed="10"/>
        <rFont val="Times New Roman"/>
        <family val="1"/>
      </rPr>
      <t>a)</t>
    </r>
  </si>
  <si>
    <t>B) 5 major non-state donors: UN system organizations, World Bank, IMF and Development Banks</t>
  </si>
  <si>
    <t>C) 5 major non-state donors: other International Organizations, NGOs, foundations, private companies, etc.</t>
  </si>
  <si>
    <t>D) Total contributions from all other non-state donors (i.e. donors other than the EC or the top 5 donors in CATEGORIES B and C above)</t>
  </si>
  <si>
    <t>The sum of these four categories (A+B+C+D) gives the total of  extrabudgetary resources received from non-state donors.</t>
  </si>
  <si>
    <t>- For WIPO: 1996 - 1.29; 1997 - 1.42; 1998 - 1.41; 1999 - 1.59; 2000 - 1.76; 2001 - 1.68; 2002 - 1.49; 2003 - 1.30; 2004 - 1.14; 2005 - 1.31; 2006 - 1.21; 2007 - 1.12; 2008 - 1.046; 2009-2011 - 1.03.</t>
  </si>
  <si>
    <t>- For WTO: 1996 - 1.29; 1997 - 1.42; 1998 - 1.41; 1999 - 1.59; 2000 - 1.76; 2001 - 1.68; 2002 - 1.49; 2003 - 1.30; 2004 - 1.14; 2005 - 1.31; 2006 - 1.21; 2007 -2009 -1.12; 2010-2011 - 1.15.</t>
  </si>
  <si>
    <t>2011 assessed contribution shows anticipated assessed contribution from members for 2011, this amount is subject to change as finally approved in December 2010. In addition, an early payment scheme provides Members with reduction in assessed contributions. These reductions are not included in the amounts provided in the table.</t>
  </si>
  <si>
    <t>Difference between the amounts assessed in table 4 and table 6 are to new Members assessements a prompt payment incentive scheme.</t>
  </si>
  <si>
    <t>- For ITC:  1998 - 1.41; 1999 - 1.59; 2000 - 1.76; 2001 - 1.68; 2002 - 1.575; 2003 - 1.359; 2004-1.25; 2005 – 1.231; 2006 - 1.258; 2007 - 1.203; 2008-2009 - 1.092; 2010-2011 - 1.20.</t>
  </si>
  <si>
    <t>* ITC</t>
  </si>
  <si>
    <r>
      <t>Taipei, Chinese</t>
    </r>
    <r>
      <rPr>
        <b/>
        <sz val="11"/>
        <color indexed="10"/>
        <rFont val="Times New Roman"/>
        <family val="1"/>
      </rPr>
      <t xml:space="preserve"> (m)</t>
    </r>
  </si>
  <si>
    <t>(m)</t>
  </si>
  <si>
    <t>Following the declaration of independence of Montenegro in June 2006, Serbia and Montenegro are shown as independent Member States.</t>
  </si>
  <si>
    <t xml:space="preserve">This table shows the amounts of the estimated expenditure actually approved under regular budgets plus any approved supplementary estimates, net of staff assessment.  No adjustments are made in the figures.  In this context, the term "regular resources" is broadly interpreted as "regular resources" regardless of a corresponding "assessment" in the legal sense. Where the estimates approved make provision for undistributed reserve, the amount is excluded from the figures, so that the comparisons relate to effective working budgets.  Estimated expenditure for the support of extrabudgetary activities is included where and to the extent that it is integrated into the regular budget.  Estimated budgetary reimbursements to accounts drawn upon to finance expenditure under the budget or supplementary authorizations are reported in the period of reimbursement.  Figures for biennial budgets are divided into two equal annual amounts (unless specified by year); supplementary estimates are reported according to the years to which they relate.  </t>
  </si>
  <si>
    <t>- For UPU: 1996-1997 - 1.16; 1998-1999 - 1.42; 2000 - 1.60; 2002-2003 – 1.68 (UN rate for December 2001; 2004-2005 – 1.30; 2006-2007– 1.21; 2008 - 1.14.</t>
  </si>
  <si>
    <t>- For IOM : 2006-2009 - 1.22.</t>
  </si>
  <si>
    <r>
      <t xml:space="preserve">(5)  </t>
    </r>
    <r>
      <rPr>
        <u/>
        <sz val="10"/>
        <rFont val="Times New Roman"/>
        <family val="1"/>
      </rPr>
      <t>Canadian dollar to US$</t>
    </r>
    <r>
      <rPr>
        <sz val="10"/>
        <rFont val="Times New Roman"/>
        <family val="1"/>
      </rPr>
      <t xml:space="preserve"> (ICAO): 2008-2009 – 1.15.</t>
    </r>
  </si>
  <si>
    <t>This is WTO terminology for the territory referred to by the UN as Taiwan Province of China.  Please also refer to the official announcement by WTO: http://www.wto.org/english/news_e/pres01_e/pr253_e.htm.</t>
  </si>
  <si>
    <t>Puerto Rico is an Associate Member of WHO, PAHO and UNWTO (Tourism). Hong Kong-China, Macao-China, Netherlands Antilles participate in WMO as Associate Members. Aruba, Hong Kong-China, Macao-China, Netherlands Antilles participate in UNWTO as Associate Members. Madeira and the Flemish Community of Belgium are also Associate Members. Cayman Islands, Aruba, Macao-China, Netherlands Antilles, British Virgin Islands, Tokelau, Faroe Islands are Associate Members of UNESCO.  Faroe Islands, Hong Kong and Macao are the Associate Members of IMO.</t>
  </si>
  <si>
    <t>UNFCCC's core budget is apportioned at 63.2% under the Convention and 36.8% under the Kyoto Protocol.  For countries, which have become members during the year 2010, the scale of assessment has been pro-rated according to date of entry into force.  The number of the member parties to the Kyoto Protocol is expected to rise further during the biennium.
The European Union as an entity is a Party to UNFCCC in its own right.</t>
  </si>
  <si>
    <r>
      <t xml:space="preserve">UNFCCC       Kyoto Protocol </t>
    </r>
    <r>
      <rPr>
        <b/>
        <sz val="10.5"/>
        <color indexed="10"/>
        <rFont val="Times New Roman"/>
        <family val="1"/>
      </rPr>
      <t>(g)</t>
    </r>
  </si>
  <si>
    <r>
      <t>UNFCCC  Convention</t>
    </r>
    <r>
      <rPr>
        <b/>
        <sz val="10.5"/>
        <color indexed="10"/>
        <rFont val="Times New Roman"/>
        <family val="1"/>
      </rPr>
      <t xml:space="preserve"> (g)</t>
    </r>
  </si>
  <si>
    <t>(h) UNIDO</t>
  </si>
  <si>
    <t>(i) UNWTO</t>
  </si>
  <si>
    <t>(j) WIPO</t>
  </si>
  <si>
    <t>(k) WMO</t>
  </si>
  <si>
    <t>(l) WTO</t>
  </si>
  <si>
    <r>
      <t xml:space="preserve">UNIDO </t>
    </r>
    <r>
      <rPr>
        <b/>
        <sz val="10.5"/>
        <color indexed="10"/>
        <rFont val="Times New Roman"/>
        <family val="1"/>
      </rPr>
      <t>(h)</t>
    </r>
  </si>
  <si>
    <r>
      <t xml:space="preserve">UNWTO </t>
    </r>
    <r>
      <rPr>
        <b/>
        <sz val="10.5"/>
        <color indexed="10"/>
        <rFont val="Times New Roman"/>
        <family val="1"/>
      </rPr>
      <t>(i)</t>
    </r>
  </si>
  <si>
    <r>
      <t xml:space="preserve">WIPO </t>
    </r>
    <r>
      <rPr>
        <b/>
        <sz val="10.5"/>
        <color indexed="10"/>
        <rFont val="Times New Roman"/>
        <family val="1"/>
      </rPr>
      <t>(j)</t>
    </r>
  </si>
  <si>
    <r>
      <t xml:space="preserve">WMO </t>
    </r>
    <r>
      <rPr>
        <b/>
        <sz val="10.5"/>
        <color indexed="10"/>
        <rFont val="Times New Roman"/>
        <family val="1"/>
      </rPr>
      <t>(k)</t>
    </r>
  </si>
  <si>
    <r>
      <t xml:space="preserve">WTO </t>
    </r>
    <r>
      <rPr>
        <b/>
        <sz val="10.5"/>
        <color indexed="10"/>
        <rFont val="Times New Roman"/>
        <family val="1"/>
      </rPr>
      <t>(l)</t>
    </r>
  </si>
  <si>
    <r>
      <t xml:space="preserve">Holy See </t>
    </r>
    <r>
      <rPr>
        <b/>
        <sz val="10.5"/>
        <color indexed="10"/>
        <rFont val="Times New Roman"/>
        <family val="1"/>
      </rPr>
      <t>(m)</t>
    </r>
    <r>
      <rPr>
        <b/>
        <sz val="10.5"/>
        <rFont val="Times New Roman"/>
        <family val="1"/>
      </rPr>
      <t xml:space="preserve"> </t>
    </r>
  </si>
  <si>
    <r>
      <t>Taipei, Chinese</t>
    </r>
    <r>
      <rPr>
        <b/>
        <sz val="10.5"/>
        <color indexed="10"/>
        <rFont val="Times New Roman"/>
        <family val="1"/>
      </rPr>
      <t xml:space="preserve"> (n)</t>
    </r>
  </si>
  <si>
    <r>
      <t xml:space="preserve">IFAD </t>
    </r>
    <r>
      <rPr>
        <b/>
        <sz val="12"/>
        <color indexed="10"/>
        <rFont val="Times New Roman"/>
        <family val="1"/>
      </rPr>
      <t>(c)</t>
    </r>
  </si>
  <si>
    <t>(c) IFAD</t>
  </si>
  <si>
    <r>
      <t>UNWTO</t>
    </r>
    <r>
      <rPr>
        <b/>
        <sz val="12"/>
        <color indexed="10"/>
        <rFont val="Times New Roman"/>
        <family val="1"/>
      </rPr>
      <t xml:space="preserve"> (d)</t>
    </r>
  </si>
  <si>
    <t>(d) UNWTO</t>
  </si>
  <si>
    <r>
      <t>WHO</t>
    </r>
    <r>
      <rPr>
        <b/>
        <sz val="12"/>
        <color indexed="10"/>
        <rFont val="Times New Roman"/>
        <family val="1"/>
      </rPr>
      <t xml:space="preserve"> (e)</t>
    </r>
  </si>
  <si>
    <r>
      <t xml:space="preserve">(e) </t>
    </r>
    <r>
      <rPr>
        <sz val="10"/>
        <rFont val="Times New Roman"/>
        <family val="1"/>
      </rPr>
      <t>WHO</t>
    </r>
  </si>
  <si>
    <t>(e)</t>
  </si>
  <si>
    <t>(f) ILO</t>
  </si>
  <si>
    <t>(f)</t>
  </si>
  <si>
    <t>(g)</t>
  </si>
  <si>
    <t>(i) WIPO</t>
  </si>
  <si>
    <t>(j) WMO</t>
  </si>
  <si>
    <t>Contributions in kind are not included as income in ICAO's financial statements and are  reported in the Notes to the Organization's  Financial Statements. Reliable projections of extrabudgetary resources for 2010 and 2011 could not be made.</t>
  </si>
  <si>
    <t xml:space="preserve">Assessments are required in both CAD and USD.  Rate use to convert CAD to USD is 1.034.   </t>
  </si>
  <si>
    <t xml:space="preserve">Percentage relates to 2010 assessments. </t>
  </si>
  <si>
    <r>
      <t xml:space="preserve">ICAO </t>
    </r>
    <r>
      <rPr>
        <b/>
        <sz val="12"/>
        <color indexed="10"/>
        <rFont val="Times New Roman"/>
        <family val="1"/>
      </rPr>
      <t>(e)</t>
    </r>
  </si>
  <si>
    <t>(e) ICAO</t>
  </si>
  <si>
    <t xml:space="preserve">Figures are for 2010. Working Capital Fund balance is fixed by the ICAO Assembly at US$ 6 million  </t>
  </si>
  <si>
    <t>(h) ITU</t>
  </si>
  <si>
    <t>(i) UNAIDS</t>
  </si>
  <si>
    <t>(j) UNDP</t>
  </si>
  <si>
    <t>(k) UNEP</t>
  </si>
  <si>
    <t>(l) UNESCO</t>
  </si>
  <si>
    <t>(m) UNFCCC</t>
  </si>
  <si>
    <t>(n) UNFPA</t>
  </si>
  <si>
    <t>(o) UN-HABITAT</t>
  </si>
  <si>
    <t>(p) UNHCR</t>
  </si>
  <si>
    <t>(q) UNICEF</t>
  </si>
  <si>
    <t>(r) UNWTO</t>
  </si>
  <si>
    <r>
      <t xml:space="preserve">IFAD </t>
    </r>
    <r>
      <rPr>
        <b/>
        <sz val="12"/>
        <color indexed="10"/>
        <rFont val="Times New Roman"/>
        <family val="1"/>
      </rPr>
      <t>(f)</t>
    </r>
  </si>
  <si>
    <r>
      <t xml:space="preserve">IMO </t>
    </r>
    <r>
      <rPr>
        <b/>
        <sz val="12"/>
        <color indexed="10"/>
        <rFont val="Times New Roman"/>
        <family val="1"/>
      </rPr>
      <t>(g)</t>
    </r>
  </si>
  <si>
    <r>
      <t>ITU</t>
    </r>
    <r>
      <rPr>
        <b/>
        <sz val="12"/>
        <color indexed="10"/>
        <rFont val="Times New Roman"/>
        <family val="1"/>
      </rPr>
      <t xml:space="preserve"> (h)</t>
    </r>
  </si>
  <si>
    <r>
      <t xml:space="preserve">UNAIDS </t>
    </r>
    <r>
      <rPr>
        <b/>
        <sz val="12"/>
        <color indexed="10"/>
        <rFont val="Times New Roman"/>
        <family val="1"/>
      </rPr>
      <t>(i)</t>
    </r>
  </si>
  <si>
    <r>
      <t xml:space="preserve">UNDP </t>
    </r>
    <r>
      <rPr>
        <b/>
        <sz val="12"/>
        <color indexed="10"/>
        <rFont val="Times New Roman"/>
        <family val="1"/>
      </rPr>
      <t>(j)</t>
    </r>
  </si>
  <si>
    <r>
      <t xml:space="preserve">UNEP </t>
    </r>
    <r>
      <rPr>
        <b/>
        <sz val="12"/>
        <color indexed="10"/>
        <rFont val="Times New Roman"/>
        <family val="1"/>
      </rPr>
      <t>(k)</t>
    </r>
  </si>
  <si>
    <r>
      <t xml:space="preserve">UNESCO </t>
    </r>
    <r>
      <rPr>
        <b/>
        <sz val="12"/>
        <color indexed="10"/>
        <rFont val="Times New Roman"/>
        <family val="1"/>
      </rPr>
      <t>(l)</t>
    </r>
  </si>
  <si>
    <r>
      <t xml:space="preserve">UNFCCC </t>
    </r>
    <r>
      <rPr>
        <b/>
        <sz val="12"/>
        <color indexed="10"/>
        <rFont val="Times New Roman"/>
        <family val="1"/>
      </rPr>
      <t>(m)</t>
    </r>
  </si>
  <si>
    <r>
      <t xml:space="preserve">UNFPA </t>
    </r>
    <r>
      <rPr>
        <b/>
        <sz val="12"/>
        <color indexed="10"/>
        <rFont val="Times New Roman"/>
        <family val="1"/>
      </rPr>
      <t>(n)</t>
    </r>
  </si>
  <si>
    <r>
      <t xml:space="preserve">UN-HABITAT </t>
    </r>
    <r>
      <rPr>
        <b/>
        <sz val="12"/>
        <color indexed="10"/>
        <rFont val="Times New Roman"/>
        <family val="1"/>
      </rPr>
      <t>(o)</t>
    </r>
  </si>
  <si>
    <r>
      <t xml:space="preserve">UNHCR </t>
    </r>
    <r>
      <rPr>
        <b/>
        <sz val="12"/>
        <color indexed="10"/>
        <rFont val="Times New Roman"/>
        <family val="1"/>
      </rPr>
      <t>(p)</t>
    </r>
  </si>
  <si>
    <r>
      <t xml:space="preserve">UNICEF </t>
    </r>
    <r>
      <rPr>
        <b/>
        <sz val="12"/>
        <color indexed="10"/>
        <rFont val="Times New Roman"/>
        <family val="1"/>
      </rPr>
      <t>(q)</t>
    </r>
  </si>
  <si>
    <r>
      <t xml:space="preserve">UNWTO </t>
    </r>
    <r>
      <rPr>
        <b/>
        <sz val="12"/>
        <color indexed="10"/>
        <rFont val="Times New Roman"/>
        <family val="1"/>
      </rPr>
      <t>(r)</t>
    </r>
  </si>
  <si>
    <t>Turks and Caicos</t>
  </si>
  <si>
    <t>Palestine</t>
  </si>
  <si>
    <t xml:space="preserve">(u) </t>
  </si>
  <si>
    <r>
      <t xml:space="preserve">Taipei, Chinese </t>
    </r>
    <r>
      <rPr>
        <b/>
        <sz val="18"/>
        <color indexed="10"/>
        <rFont val="Times New Roman"/>
        <family val="1"/>
      </rPr>
      <t>(u)</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</si>
</sst>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 #,##0.00_-;_-* &quot;-&quot;??_-;_-@_-"/>
    <numFmt numFmtId="164" formatCode="_-&quot;€&quot;\ * #,##0.00_-;\-&quot;€&quot;\ * #,##0.00_-;_-&quot;€&quot;\ * &quot;-&quot;??_-;_-@_-"/>
    <numFmt numFmtId="165" formatCode="_(* #,##0_);_(* \(#,##0\);_(* &quot;-&quot;_);_(@_)"/>
    <numFmt numFmtId="166" formatCode="_(* #,##0.00_);_(* \(#,##0.00\);_(* &quot;-&quot;??_);_(@_)"/>
    <numFmt numFmtId="167" formatCode="0.00000"/>
    <numFmt numFmtId="168" formatCode="#,##0.00000_);\(#,##0.00000\)"/>
    <numFmt numFmtId="169" formatCode="#,###,"/>
    <numFmt numFmtId="170" formatCode="[$€-2]\ #,##0;[Red]\-[$€-2]\ #,##0"/>
    <numFmt numFmtId="171" formatCode="_(* #,##0_);_(* \(#,##0\);_(* &quot;-&quot;??_);_(@_)"/>
    <numFmt numFmtId="172" formatCode="#,##0.000_);\(#,##0.000\)"/>
    <numFmt numFmtId="173" formatCode="#,###.000,"/>
    <numFmt numFmtId="174" formatCode="_(* #,##0.00000_);_(* \(#,##0.00000\);_(* &quot;-&quot;??_);_(@_)"/>
    <numFmt numFmtId="175" formatCode="0.000"/>
    <numFmt numFmtId="176" formatCode="0.0"/>
    <numFmt numFmtId="177" formatCode="0.0%"/>
    <numFmt numFmtId="178" formatCode="#,##0.000"/>
    <numFmt numFmtId="179" formatCode="_-* #,##0.00_-;\-* #,##0.00_-;_-* &quot;-&quot;???_-;_-@_-"/>
  </numFmts>
  <fonts count="66" x14ac:knownFonts="1">
    <font>
      <sz val="10"/>
      <name val="Arial"/>
    </font>
    <font>
      <sz val="10"/>
      <name val="Arial"/>
      <family val="2"/>
    </font>
    <font>
      <sz val="12"/>
      <name val="Times New Roman"/>
      <family val="1"/>
    </font>
    <font>
      <b/>
      <sz val="18"/>
      <name val="Times New Roman"/>
      <family val="1"/>
    </font>
    <font>
      <b/>
      <sz val="12"/>
      <name val="Times New Roman"/>
      <family val="1"/>
    </font>
    <font>
      <b/>
      <sz val="16"/>
      <name val="Times New Roman"/>
      <family val="1"/>
    </font>
    <font>
      <sz val="10"/>
      <name val="Arial"/>
      <family val="2"/>
    </font>
    <font>
      <sz val="11"/>
      <name val="Times New Roman"/>
      <family val="1"/>
    </font>
    <font>
      <sz val="10"/>
      <name val="Times New Roman"/>
      <family val="1"/>
    </font>
    <font>
      <b/>
      <sz val="10"/>
      <name val="Times New Roman"/>
      <family val="1"/>
    </font>
    <font>
      <b/>
      <sz val="12"/>
      <color indexed="10"/>
      <name val="Times New Roman"/>
      <family val="1"/>
    </font>
    <font>
      <sz val="10"/>
      <name val="Arial"/>
      <family val="2"/>
    </font>
    <font>
      <sz val="10"/>
      <color indexed="10"/>
      <name val="Times New Roman"/>
      <family val="1"/>
    </font>
    <font>
      <sz val="12"/>
      <color indexed="10"/>
      <name val="Times New Roman"/>
      <family val="1"/>
    </font>
    <font>
      <sz val="20"/>
      <name val="Times New Roman"/>
      <family val="1"/>
    </font>
    <font>
      <b/>
      <sz val="14"/>
      <name val="Times New Roman"/>
      <family val="1"/>
    </font>
    <font>
      <b/>
      <sz val="11"/>
      <name val="Times New Roman"/>
      <family val="1"/>
    </font>
    <font>
      <b/>
      <sz val="10"/>
      <color indexed="10"/>
      <name val="Times New Roman"/>
      <family val="1"/>
    </font>
    <font>
      <b/>
      <sz val="11"/>
      <color indexed="10"/>
      <name val="Times New Roman"/>
      <family val="1"/>
    </font>
    <font>
      <b/>
      <sz val="14"/>
      <color indexed="10"/>
      <name val="Times New Roman"/>
      <family val="1"/>
    </font>
    <font>
      <sz val="14"/>
      <name val="Times New Roman"/>
      <family val="1"/>
    </font>
    <font>
      <b/>
      <sz val="20"/>
      <name val="Times New Roman"/>
      <family val="1"/>
    </font>
    <font>
      <sz val="13"/>
      <name val="Times New Roman"/>
      <family val="1"/>
    </font>
    <font>
      <sz val="10.5"/>
      <name val="Times New Roman"/>
      <family val="1"/>
    </font>
    <font>
      <b/>
      <sz val="10.5"/>
      <name val="Times New Roman"/>
      <family val="1"/>
    </font>
    <font>
      <sz val="10"/>
      <name val="Arial"/>
      <family val="2"/>
    </font>
    <font>
      <sz val="10.5"/>
      <name val="Arial"/>
      <family val="2"/>
    </font>
    <font>
      <b/>
      <sz val="10.5"/>
      <color indexed="10"/>
      <name val="Times New Roman"/>
      <family val="1"/>
    </font>
    <font>
      <b/>
      <sz val="10.5"/>
      <name val="Arial"/>
      <family val="2"/>
    </font>
    <font>
      <sz val="10.5"/>
      <color indexed="9"/>
      <name val="Times New Roman"/>
      <family val="1"/>
    </font>
    <font>
      <b/>
      <sz val="17"/>
      <name val="Times New Roman"/>
      <family val="1"/>
    </font>
    <font>
      <b/>
      <sz val="17"/>
      <color indexed="10"/>
      <name val="Times New Roman"/>
      <family val="1"/>
    </font>
    <font>
      <sz val="14"/>
      <color indexed="12"/>
      <name val="Times New Roman"/>
      <family val="1"/>
    </font>
    <font>
      <sz val="10.5"/>
      <color indexed="12"/>
      <name val="Times New Roman"/>
      <family val="1"/>
    </font>
    <font>
      <sz val="8"/>
      <name val="Times New Roman"/>
      <family val="1"/>
    </font>
    <font>
      <b/>
      <sz val="8"/>
      <name val="Times New Roman"/>
      <family val="1"/>
    </font>
    <font>
      <b/>
      <u/>
      <sz val="10"/>
      <name val="Times New Roman"/>
      <family val="1"/>
    </font>
    <font>
      <sz val="10"/>
      <color indexed="8"/>
      <name val="Times New Roman"/>
      <family val="1"/>
    </font>
    <font>
      <u/>
      <sz val="10"/>
      <color indexed="8"/>
      <name val="Times New Roman"/>
      <family val="1"/>
    </font>
    <font>
      <u/>
      <sz val="10"/>
      <name val="Times New Roman"/>
      <family val="1"/>
    </font>
    <font>
      <b/>
      <u/>
      <sz val="10"/>
      <color indexed="8"/>
      <name val="Times New Roman"/>
      <family val="1"/>
    </font>
    <font>
      <sz val="11"/>
      <color indexed="8"/>
      <name val="Calibri"/>
      <family val="2"/>
    </font>
    <font>
      <b/>
      <sz val="20"/>
      <color indexed="10"/>
      <name val="Times New Roman"/>
      <family val="1"/>
    </font>
    <font>
      <b/>
      <sz val="16"/>
      <color indexed="10"/>
      <name val="Times New Roman"/>
      <family val="1"/>
    </font>
    <font>
      <b/>
      <u/>
      <sz val="14"/>
      <name val="Times New Roman"/>
      <family val="1"/>
    </font>
    <font>
      <sz val="12"/>
      <color indexed="8"/>
      <name val="Times New Roman"/>
      <family val="1"/>
    </font>
    <font>
      <b/>
      <sz val="18"/>
      <color indexed="10"/>
      <name val="Times New Roman"/>
      <family val="1"/>
    </font>
    <font>
      <sz val="14"/>
      <name val="Arial"/>
      <family val="2"/>
    </font>
    <font>
      <sz val="10"/>
      <name val="Arial"/>
      <family val="2"/>
    </font>
    <font>
      <b/>
      <sz val="14"/>
      <color indexed="10"/>
      <name val="Times New Roman"/>
      <family val="1"/>
    </font>
    <font>
      <b/>
      <sz val="11"/>
      <color indexed="10"/>
      <name val="Times New Roman"/>
      <family val="1"/>
    </font>
    <font>
      <b/>
      <sz val="10"/>
      <color indexed="10"/>
      <name val="Times New Roman"/>
      <family val="1"/>
    </font>
    <font>
      <b/>
      <sz val="12"/>
      <color indexed="10"/>
      <name val="Times New Roman"/>
      <family val="1"/>
    </font>
    <font>
      <b/>
      <sz val="10.5"/>
      <color indexed="10"/>
      <name val="Times New Roman"/>
      <family val="1"/>
    </font>
    <font>
      <sz val="10"/>
      <color indexed="44"/>
      <name val="Times New Roman"/>
      <family val="1"/>
    </font>
    <font>
      <b/>
      <sz val="14"/>
      <color indexed="81"/>
      <name val="Tahoma"/>
      <family val="2"/>
    </font>
    <font>
      <sz val="14"/>
      <color indexed="81"/>
      <name val="Tahoma"/>
      <family val="2"/>
    </font>
    <font>
      <b/>
      <sz val="12"/>
      <color indexed="81"/>
      <name val="Tahoma"/>
      <family val="2"/>
    </font>
    <font>
      <sz val="12"/>
      <color indexed="81"/>
      <name val="Tahoma"/>
      <family val="2"/>
    </font>
    <font>
      <b/>
      <sz val="20"/>
      <color indexed="10"/>
      <name val="Times New Roman"/>
      <family val="1"/>
    </font>
    <font>
      <sz val="12"/>
      <name val="Arial"/>
      <family val="2"/>
    </font>
    <font>
      <b/>
      <sz val="18"/>
      <color indexed="10"/>
      <name val="Times New Roman"/>
      <family val="1"/>
    </font>
    <font>
      <sz val="11"/>
      <color theme="1"/>
      <name val="Calibri"/>
      <family val="2"/>
      <scheme val="minor"/>
    </font>
    <font>
      <sz val="10"/>
      <color rgb="FFFF0000"/>
      <name val="Arial"/>
      <family val="2"/>
    </font>
    <font>
      <sz val="10"/>
      <color rgb="FFFF0000"/>
      <name val="Times New Roman"/>
      <family val="1"/>
    </font>
    <font>
      <b/>
      <sz val="14"/>
      <color theme="4" tint="-0.249977111117893"/>
      <name val="Times New Roman"/>
      <family val="1"/>
    </font>
  </fonts>
  <fills count="13">
    <fill>
      <patternFill patternType="none"/>
    </fill>
    <fill>
      <patternFill patternType="gray125"/>
    </fill>
    <fill>
      <patternFill patternType="solid">
        <fgColor indexed="42"/>
        <bgColor indexed="64"/>
      </patternFill>
    </fill>
    <fill>
      <patternFill patternType="solid">
        <fgColor indexed="46"/>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CC99"/>
        <bgColor indexed="64"/>
      </patternFill>
    </fill>
    <fill>
      <patternFill patternType="solid">
        <fgColor theme="0" tint="-4.9989318521683403E-2"/>
        <bgColor indexed="64"/>
      </patternFill>
    </fill>
  </fills>
  <borders count="157">
    <border>
      <left/>
      <right/>
      <top/>
      <bottom/>
      <diagonal/>
    </border>
    <border>
      <left/>
      <right/>
      <top/>
      <bottom style="double">
        <color indexed="8"/>
      </bottom>
      <diagonal/>
    </border>
    <border>
      <left/>
      <right style="double">
        <color indexed="8"/>
      </right>
      <top/>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style="thin">
        <color indexed="64"/>
      </left>
      <right/>
      <top/>
      <bottom/>
      <diagonal/>
    </border>
    <border>
      <left/>
      <right/>
      <top/>
      <bottom style="thin">
        <color indexed="8"/>
      </bottom>
      <diagonal/>
    </border>
    <border>
      <left style="thin">
        <color indexed="64"/>
      </left>
      <right style="thin">
        <color indexed="64"/>
      </right>
      <top/>
      <bottom style="thin">
        <color indexed="8"/>
      </bottom>
      <diagonal/>
    </border>
    <border>
      <left style="thin">
        <color indexed="64"/>
      </left>
      <right/>
      <top style="thin">
        <color indexed="8"/>
      </top>
      <bottom/>
      <diagonal/>
    </border>
    <border>
      <left style="thin">
        <color indexed="64"/>
      </left>
      <right/>
      <top/>
      <bottom style="double">
        <color indexed="64"/>
      </bottom>
      <diagonal/>
    </border>
    <border>
      <left/>
      <right/>
      <top/>
      <bottom style="double">
        <color indexed="64"/>
      </bottom>
      <diagonal/>
    </border>
    <border>
      <left style="double">
        <color indexed="64"/>
      </left>
      <right/>
      <top style="double">
        <color indexed="64"/>
      </top>
      <bottom/>
      <diagonal/>
    </border>
    <border>
      <left/>
      <right style="thin">
        <color indexed="8"/>
      </right>
      <top style="double">
        <color indexed="64"/>
      </top>
      <bottom/>
      <diagonal/>
    </border>
    <border>
      <left style="double">
        <color indexed="64"/>
      </left>
      <right/>
      <top/>
      <bottom/>
      <diagonal/>
    </border>
    <border>
      <left/>
      <right style="thin">
        <color indexed="8"/>
      </right>
      <top/>
      <bottom/>
      <diagonal/>
    </border>
    <border>
      <left style="double">
        <color indexed="64"/>
      </left>
      <right/>
      <top/>
      <bottom style="thin">
        <color indexed="8"/>
      </bottom>
      <diagonal/>
    </border>
    <border>
      <left/>
      <right style="thin">
        <color indexed="8"/>
      </right>
      <top/>
      <bottom style="thin">
        <color indexed="8"/>
      </bottom>
      <diagonal/>
    </border>
    <border>
      <left style="double">
        <color indexed="64"/>
      </left>
      <right/>
      <top/>
      <bottom style="double">
        <color indexed="64"/>
      </bottom>
      <diagonal/>
    </border>
    <border>
      <left/>
      <right/>
      <top style="double">
        <color indexed="64"/>
      </top>
      <bottom/>
      <diagonal/>
    </border>
    <border>
      <left style="double">
        <color indexed="64"/>
      </left>
      <right/>
      <top style="double">
        <color indexed="8"/>
      </top>
      <bottom/>
      <diagonal/>
    </border>
    <border>
      <left/>
      <right/>
      <top style="double">
        <color indexed="8"/>
      </top>
      <bottom/>
      <diagonal/>
    </border>
    <border>
      <left/>
      <right style="double">
        <color indexed="8"/>
      </right>
      <top style="double">
        <color indexed="8"/>
      </top>
      <bottom/>
      <diagonal/>
    </border>
    <border>
      <left style="medium">
        <color indexed="64"/>
      </left>
      <right/>
      <top style="thin">
        <color indexed="64"/>
      </top>
      <bottom style="thin">
        <color indexed="64"/>
      </bottom>
      <diagonal/>
    </border>
    <border>
      <left/>
      <right style="thin">
        <color indexed="8"/>
      </right>
      <top style="thin">
        <color indexed="8"/>
      </top>
      <bottom/>
      <diagonal/>
    </border>
    <border>
      <left/>
      <right style="thin">
        <color indexed="8"/>
      </right>
      <top/>
      <bottom style="double">
        <color indexed="8"/>
      </bottom>
      <diagonal/>
    </border>
    <border>
      <left style="thin">
        <color indexed="64"/>
      </left>
      <right style="thin">
        <color indexed="64"/>
      </right>
      <top/>
      <bottom style="double">
        <color indexed="64"/>
      </bottom>
      <diagonal/>
    </border>
    <border>
      <left/>
      <right/>
      <top style="thin">
        <color indexed="8"/>
      </top>
      <bottom/>
      <diagonal/>
    </border>
    <border>
      <left/>
      <right style="thin">
        <color indexed="64"/>
      </right>
      <top style="double">
        <color indexed="8"/>
      </top>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8"/>
      </bottom>
      <diagonal/>
    </border>
    <border>
      <left/>
      <right style="thin">
        <color indexed="64"/>
      </right>
      <top/>
      <bottom style="thin">
        <color indexed="8"/>
      </bottom>
      <diagonal/>
    </border>
    <border>
      <left/>
      <right style="thin">
        <color indexed="64"/>
      </right>
      <top/>
      <bottom/>
      <diagonal/>
    </border>
    <border>
      <left/>
      <right style="thin">
        <color indexed="64"/>
      </right>
      <top style="thin">
        <color indexed="8"/>
      </top>
      <bottom/>
      <diagonal/>
    </border>
    <border>
      <left style="thin">
        <color indexed="64"/>
      </left>
      <right/>
      <top style="double">
        <color indexed="64"/>
      </top>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medium">
        <color indexed="64"/>
      </top>
      <bottom/>
      <diagonal/>
    </border>
    <border>
      <left style="thin">
        <color indexed="64"/>
      </left>
      <right/>
      <top/>
      <bottom style="medium">
        <color indexed="64"/>
      </bottom>
      <diagonal/>
    </border>
    <border>
      <left style="double">
        <color indexed="0"/>
      </left>
      <right/>
      <top/>
      <bottom/>
      <diagonal/>
    </border>
    <border>
      <left/>
      <right style="double">
        <color indexed="64"/>
      </right>
      <top/>
      <bottom/>
      <diagonal/>
    </border>
    <border>
      <left/>
      <right/>
      <top style="double">
        <color indexed="8"/>
      </top>
      <bottom style="double">
        <color indexed="8"/>
      </bottom>
      <diagonal/>
    </border>
    <border>
      <left style="double">
        <color indexed="64"/>
      </left>
      <right/>
      <top style="double">
        <color indexed="8"/>
      </top>
      <bottom style="double">
        <color indexed="8"/>
      </bottom>
      <diagonal/>
    </border>
    <border>
      <left/>
      <right style="double">
        <color indexed="8"/>
      </right>
      <top style="double">
        <color indexed="8"/>
      </top>
      <bottom style="double">
        <color indexed="8"/>
      </bottom>
      <diagonal/>
    </border>
    <border>
      <left style="double">
        <color indexed="8"/>
      </left>
      <right/>
      <top style="double">
        <color indexed="8"/>
      </top>
      <bottom style="double">
        <color indexed="8"/>
      </bottom>
      <diagonal/>
    </border>
    <border>
      <left style="double">
        <color indexed="8"/>
      </left>
      <right/>
      <top/>
      <bottom/>
      <diagonal/>
    </border>
    <border>
      <left/>
      <right style="thin">
        <color indexed="8"/>
      </right>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style="double">
        <color indexed="64"/>
      </left>
      <right style="thin">
        <color indexed="64"/>
      </right>
      <top/>
      <bottom style="thin">
        <color indexed="64"/>
      </bottom>
      <diagonal/>
    </border>
    <border>
      <left style="thin">
        <color indexed="64"/>
      </left>
      <right/>
      <top style="double">
        <color indexed="8"/>
      </top>
      <bottom/>
      <diagonal/>
    </border>
    <border>
      <left style="double">
        <color indexed="64"/>
      </left>
      <right/>
      <top style="double">
        <color indexed="64"/>
      </top>
      <bottom style="double">
        <color indexed="0"/>
      </bottom>
      <diagonal/>
    </border>
    <border>
      <left/>
      <right style="double">
        <color indexed="64"/>
      </right>
      <top style="double">
        <color indexed="64"/>
      </top>
      <bottom style="double">
        <color indexed="0"/>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double">
        <color indexed="64"/>
      </right>
      <top/>
      <bottom style="medium">
        <color indexed="64"/>
      </bottom>
      <diagonal/>
    </border>
    <border>
      <left/>
      <right style="thin">
        <color indexed="64"/>
      </right>
      <top style="double">
        <color indexed="64"/>
      </top>
      <bottom style="double">
        <color indexed="64"/>
      </bottom>
      <diagonal/>
    </border>
    <border>
      <left style="double">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8"/>
      </left>
      <right/>
      <top/>
      <bottom style="double">
        <color indexed="8"/>
      </bottom>
      <diagonal/>
    </border>
    <border>
      <left/>
      <right style="double">
        <color indexed="8"/>
      </right>
      <top/>
      <bottom style="double">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thin">
        <color indexed="64"/>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double">
        <color indexed="64"/>
      </left>
      <right style="thin">
        <color indexed="8"/>
      </right>
      <top style="double">
        <color indexed="64"/>
      </top>
      <bottom/>
      <diagonal/>
    </border>
    <border>
      <left style="double">
        <color indexed="64"/>
      </left>
      <right style="thin">
        <color indexed="8"/>
      </right>
      <top/>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double">
        <color indexed="64"/>
      </top>
      <bottom/>
      <diagonal/>
    </border>
    <border>
      <left style="double">
        <color indexed="64"/>
      </left>
      <right style="double">
        <color indexed="64"/>
      </right>
      <top style="double">
        <color indexed="64"/>
      </top>
      <bottom/>
      <diagonal/>
    </border>
    <border>
      <left style="thin">
        <color indexed="64"/>
      </left>
      <right style="double">
        <color indexed="64"/>
      </right>
      <top/>
      <bottom/>
      <diagonal/>
    </border>
    <border>
      <left style="double">
        <color indexed="64"/>
      </left>
      <right style="double">
        <color indexed="64"/>
      </right>
      <top/>
      <bottom/>
      <diagonal/>
    </border>
    <border>
      <left style="double">
        <color indexed="8"/>
      </left>
      <right style="thin">
        <color indexed="8"/>
      </right>
      <top style="double">
        <color indexed="8"/>
      </top>
      <bottom style="double">
        <color indexed="8"/>
      </bottom>
      <diagonal/>
    </border>
    <border>
      <left style="thin">
        <color indexed="8"/>
      </left>
      <right style="thin">
        <color indexed="8"/>
      </right>
      <top style="double">
        <color indexed="8"/>
      </top>
      <bottom style="double">
        <color indexed="8"/>
      </bottom>
      <diagonal/>
    </border>
    <border>
      <left style="thin">
        <color indexed="8"/>
      </left>
      <right style="double">
        <color indexed="8"/>
      </right>
      <top style="double">
        <color indexed="8"/>
      </top>
      <bottom style="double">
        <color indexed="8"/>
      </bottom>
      <diagonal/>
    </border>
    <border>
      <left style="double">
        <color indexed="8"/>
      </left>
      <right style="thin">
        <color indexed="8"/>
      </right>
      <top style="double">
        <color indexed="8"/>
      </top>
      <bottom/>
      <diagonal/>
    </border>
    <border>
      <left style="thin">
        <color indexed="8"/>
      </left>
      <right style="thin">
        <color indexed="8"/>
      </right>
      <top style="double">
        <color indexed="8"/>
      </top>
      <bottom/>
      <diagonal/>
    </border>
    <border>
      <left style="thin">
        <color indexed="8"/>
      </left>
      <right style="double">
        <color indexed="8"/>
      </right>
      <top style="double">
        <color indexed="8"/>
      </top>
      <bottom/>
      <diagonal/>
    </border>
    <border>
      <left style="double">
        <color indexed="8"/>
      </left>
      <right style="thin">
        <color indexed="8"/>
      </right>
      <top/>
      <bottom/>
      <diagonal/>
    </border>
    <border>
      <left style="thin">
        <color indexed="8"/>
      </left>
      <right style="thin">
        <color indexed="8"/>
      </right>
      <top/>
      <bottom/>
      <diagonal/>
    </border>
    <border>
      <left style="thin">
        <color indexed="8"/>
      </left>
      <right style="double">
        <color indexed="8"/>
      </right>
      <top/>
      <bottom/>
      <diagonal/>
    </border>
    <border>
      <left/>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right style="double">
        <color indexed="64"/>
      </right>
      <top style="double">
        <color indexed="64"/>
      </top>
      <bottom/>
      <diagonal/>
    </border>
    <border>
      <left style="double">
        <color indexed="64"/>
      </left>
      <right/>
      <top/>
      <bottom style="double">
        <color indexed="8"/>
      </bottom>
      <diagonal/>
    </border>
    <border>
      <left/>
      <right style="double">
        <color indexed="64"/>
      </right>
      <top/>
      <bottom style="double">
        <color indexed="8"/>
      </bottom>
      <diagonal/>
    </border>
    <border>
      <left/>
      <right/>
      <top style="double">
        <color indexed="8"/>
      </top>
      <bottom style="thin">
        <color indexed="64"/>
      </bottom>
      <diagonal/>
    </border>
    <border>
      <left style="double">
        <color indexed="8"/>
      </left>
      <right style="double">
        <color indexed="64"/>
      </right>
      <top style="double">
        <color indexed="8"/>
      </top>
      <bottom style="thin">
        <color indexed="64"/>
      </bottom>
      <diagonal/>
    </border>
    <border>
      <left style="double">
        <color indexed="8"/>
      </left>
      <right style="double">
        <color indexed="64"/>
      </right>
      <top/>
      <bottom/>
      <diagonal/>
    </border>
    <border>
      <left style="double">
        <color indexed="8"/>
      </left>
      <right style="double">
        <color indexed="64"/>
      </right>
      <top style="thin">
        <color indexed="64"/>
      </top>
      <bottom/>
      <diagonal/>
    </border>
    <border>
      <left style="double">
        <color indexed="8"/>
      </left>
      <right style="double">
        <color indexed="64"/>
      </right>
      <top/>
      <bottom style="thin">
        <color indexed="64"/>
      </bottom>
      <diagonal/>
    </border>
    <border>
      <left style="double">
        <color indexed="8"/>
      </left>
      <right style="double">
        <color indexed="64"/>
      </right>
      <top style="thin">
        <color indexed="8"/>
      </top>
      <bottom/>
      <diagonal/>
    </border>
    <border>
      <left style="double">
        <color indexed="8"/>
      </left>
      <right style="double">
        <color indexed="64"/>
      </right>
      <top style="thick">
        <color indexed="64"/>
      </top>
      <bottom/>
      <diagonal/>
    </border>
    <border>
      <left style="double">
        <color indexed="8"/>
      </left>
      <right style="double">
        <color indexed="64"/>
      </right>
      <top/>
      <bottom style="double">
        <color indexed="64"/>
      </bottom>
      <diagonal/>
    </border>
    <border>
      <left/>
      <right/>
      <top style="double">
        <color indexed="64"/>
      </top>
      <bottom style="double">
        <color indexed="0"/>
      </bottom>
      <diagonal/>
    </border>
    <border>
      <left style="thin">
        <color indexed="64"/>
      </left>
      <right style="double">
        <color indexed="64"/>
      </right>
      <top/>
      <bottom style="double">
        <color indexed="64"/>
      </bottom>
      <diagonal/>
    </border>
    <border>
      <left style="double">
        <color indexed="64"/>
      </left>
      <right style="double">
        <color indexed="64"/>
      </right>
      <top/>
      <bottom style="double">
        <color indexed="64"/>
      </bottom>
      <diagonal/>
    </border>
    <border>
      <left/>
      <right style="thin">
        <color indexed="64"/>
      </right>
      <top style="double">
        <color indexed="64"/>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bottom style="thin">
        <color indexed="64"/>
      </bottom>
      <diagonal/>
    </border>
    <border>
      <left style="double">
        <color indexed="64"/>
      </left>
      <right style="double">
        <color indexed="64"/>
      </right>
      <top/>
      <bottom style="thin">
        <color indexed="8"/>
      </bottom>
      <diagonal/>
    </border>
    <border>
      <left/>
      <right style="thin">
        <color indexed="64"/>
      </right>
      <top/>
      <bottom style="double">
        <color indexed="8"/>
      </bottom>
      <diagonal/>
    </border>
    <border>
      <left/>
      <right style="thin">
        <color indexed="64"/>
      </right>
      <top style="double">
        <color indexed="8"/>
      </top>
      <bottom style="thin">
        <color indexed="64"/>
      </bottom>
      <diagonal/>
    </border>
    <border>
      <left style="double">
        <color indexed="8"/>
      </left>
      <right/>
      <top/>
      <bottom style="thin">
        <color indexed="8"/>
      </bottom>
      <diagonal/>
    </border>
    <border>
      <left/>
      <right style="double">
        <color indexed="8"/>
      </right>
      <top/>
      <bottom style="thin">
        <color indexed="8"/>
      </bottom>
      <diagonal/>
    </border>
    <border>
      <left style="double">
        <color indexed="8"/>
      </left>
      <right/>
      <top/>
      <bottom style="double">
        <color indexed="64"/>
      </bottom>
      <diagonal/>
    </border>
    <border>
      <left/>
      <right style="double">
        <color indexed="8"/>
      </right>
      <top/>
      <bottom style="double">
        <color indexed="64"/>
      </bottom>
      <diagonal/>
    </border>
    <border>
      <left style="double">
        <color indexed="8"/>
      </left>
      <right/>
      <top style="double">
        <color indexed="64"/>
      </top>
      <bottom/>
      <diagonal/>
    </border>
    <border>
      <left style="thin">
        <color indexed="64"/>
      </left>
      <right style="double">
        <color indexed="8"/>
      </right>
      <top style="double">
        <color indexed="64"/>
      </top>
      <bottom/>
      <diagonal/>
    </border>
    <border>
      <left style="thin">
        <color indexed="64"/>
      </left>
      <right style="double">
        <color indexed="8"/>
      </right>
      <top/>
      <bottom/>
      <diagonal/>
    </border>
    <border>
      <left style="thin">
        <color indexed="64"/>
      </left>
      <right style="double">
        <color indexed="8"/>
      </right>
      <top/>
      <bottom style="thin">
        <color indexed="64"/>
      </bottom>
      <diagonal/>
    </border>
    <border>
      <left style="thin">
        <color indexed="64"/>
      </left>
      <right style="double">
        <color indexed="8"/>
      </right>
      <top/>
      <bottom style="double">
        <color indexed="64"/>
      </bottom>
      <diagonal/>
    </border>
    <border>
      <left/>
      <right style="thin">
        <color indexed="64"/>
      </right>
      <top style="double">
        <color indexed="8"/>
      </top>
      <bottom style="double">
        <color indexed="8"/>
      </bottom>
      <diagonal/>
    </border>
    <border>
      <left style="thin">
        <color indexed="64"/>
      </left>
      <right style="thin">
        <color indexed="64"/>
      </right>
      <top style="double">
        <color indexed="8"/>
      </top>
      <bottom style="double">
        <color indexed="8"/>
      </bottom>
      <diagonal/>
    </border>
    <border>
      <left style="thin">
        <color indexed="64"/>
      </left>
      <right style="double">
        <color indexed="8"/>
      </right>
      <top style="double">
        <color indexed="8"/>
      </top>
      <bottom style="double">
        <color indexed="8"/>
      </bottom>
      <diagonal/>
    </border>
    <border>
      <left style="double">
        <color indexed="8"/>
      </left>
      <right/>
      <top style="double">
        <color indexed="8"/>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style="medium">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ck">
        <color indexed="64"/>
      </bottom>
      <diagonal/>
    </border>
    <border>
      <left style="double">
        <color indexed="64"/>
      </left>
      <right style="thin">
        <color indexed="64"/>
      </right>
      <top style="thick">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8"/>
      </left>
      <right style="thin">
        <color indexed="8"/>
      </right>
      <top style="double">
        <color indexed="64"/>
      </top>
      <bottom/>
      <diagonal/>
    </border>
    <border>
      <left style="thin">
        <color indexed="8"/>
      </left>
      <right/>
      <top/>
      <bottom style="double">
        <color indexed="64"/>
      </bottom>
      <diagonal/>
    </border>
    <border>
      <left style="thin">
        <color indexed="8"/>
      </left>
      <right/>
      <top style="double">
        <color indexed="64"/>
      </top>
      <bottom/>
      <diagonal/>
    </border>
    <border>
      <left style="thin">
        <color indexed="8"/>
      </left>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s>
  <cellStyleXfs count="21">
    <xf numFmtId="0" fontId="0" fillId="0" borderId="0" applyBorder="0" applyProtection="0">
      <alignment vertical="center"/>
    </xf>
    <xf numFmtId="166" fontId="1" fillId="0" borderId="0" applyFont="0" applyFill="0" applyBorder="0" applyAlignment="0" applyProtection="0"/>
    <xf numFmtId="43" fontId="41" fillId="0" borderId="0" applyFont="0" applyFill="0" applyBorder="0" applyAlignment="0" applyProtection="0"/>
    <xf numFmtId="165" fontId="1" fillId="0" borderId="0" applyFont="0" applyFill="0" applyBorder="0" applyAlignment="0" applyProtection="0"/>
    <xf numFmtId="43" fontId="41" fillId="0" borderId="0" applyFont="0" applyFill="0" applyBorder="0" applyAlignment="0" applyProtection="0"/>
    <xf numFmtId="164" fontId="41" fillId="0" borderId="0" applyFont="0" applyFill="0" applyBorder="0" applyAlignment="0" applyProtection="0"/>
    <xf numFmtId="0" fontId="6" fillId="0" borderId="0" applyBorder="0" applyProtection="0">
      <alignment vertical="center"/>
    </xf>
    <xf numFmtId="0" fontId="62" fillId="0" borderId="0"/>
    <xf numFmtId="0" fontId="1" fillId="0" borderId="0"/>
    <xf numFmtId="0" fontId="1" fillId="0" borderId="0"/>
    <xf numFmtId="0" fontId="1" fillId="0" borderId="0" applyBorder="0" applyProtection="0">
      <alignment vertical="center"/>
    </xf>
    <xf numFmtId="0" fontId="1" fillId="0" borderId="0" applyBorder="0" applyProtection="0">
      <alignment vertical="center"/>
    </xf>
    <xf numFmtId="0" fontId="1" fillId="0" borderId="0" applyBorder="0" applyProtection="0">
      <alignment vertical="center"/>
    </xf>
    <xf numFmtId="0" fontId="1" fillId="0" borderId="0" applyBorder="0" applyProtection="0">
      <alignment vertical="center"/>
    </xf>
    <xf numFmtId="0" fontId="1" fillId="0" borderId="0" applyBorder="0" applyProtection="0">
      <alignment vertical="center"/>
    </xf>
    <xf numFmtId="0" fontId="1" fillId="0" borderId="0" applyBorder="0" applyProtection="0">
      <alignment vertical="center"/>
    </xf>
    <xf numFmtId="0" fontId="1" fillId="0" borderId="0"/>
    <xf numFmtId="0" fontId="1" fillId="0" borderId="0" applyBorder="0" applyProtection="0">
      <alignment vertical="center"/>
    </xf>
    <xf numFmtId="0" fontId="1" fillId="0" borderId="0" applyBorder="0" applyProtection="0">
      <alignment vertical="center"/>
    </xf>
    <xf numFmtId="9" fontId="1" fillId="0" borderId="0" applyFont="0" applyFill="0" applyBorder="0" applyAlignment="0" applyProtection="0"/>
    <xf numFmtId="9" fontId="6" fillId="0" borderId="0" applyFont="0" applyFill="0" applyBorder="0" applyAlignment="0" applyProtection="0"/>
  </cellStyleXfs>
  <cellXfs count="755">
    <xf numFmtId="0" fontId="0" fillId="0" borderId="0" xfId="0">
      <alignment vertical="center"/>
    </xf>
    <xf numFmtId="3" fontId="2" fillId="0" borderId="0" xfId="8" applyNumberFormat="1" applyFont="1"/>
    <xf numFmtId="3" fontId="4" fillId="0" borderId="1" xfId="8" applyNumberFormat="1" applyFont="1" applyBorder="1"/>
    <xf numFmtId="0" fontId="8" fillId="0" borderId="0" xfId="0" applyFont="1">
      <alignment vertical="center"/>
    </xf>
    <xf numFmtId="0" fontId="11" fillId="0" borderId="0" xfId="0" applyFont="1">
      <alignment vertical="center"/>
    </xf>
    <xf numFmtId="173" fontId="2" fillId="0" borderId="0" xfId="0" applyNumberFormat="1" applyFont="1" applyBorder="1" applyAlignment="1" applyProtection="1">
      <alignment vertical="center"/>
    </xf>
    <xf numFmtId="3" fontId="2" fillId="0" borderId="2" xfId="0" applyNumberFormat="1" applyFont="1" applyBorder="1" applyAlignment="1" applyProtection="1">
      <alignment vertical="center"/>
    </xf>
    <xf numFmtId="3" fontId="2" fillId="2" borderId="3" xfId="0" applyNumberFormat="1" applyFont="1" applyFill="1" applyBorder="1" applyAlignment="1" applyProtection="1">
      <alignment vertical="center"/>
    </xf>
    <xf numFmtId="3" fontId="2" fillId="2" borderId="4" xfId="0" applyNumberFormat="1" applyFont="1" applyFill="1" applyBorder="1" applyAlignment="1" applyProtection="1">
      <alignment vertical="center"/>
    </xf>
    <xf numFmtId="3" fontId="2" fillId="2" borderId="5" xfId="0" applyNumberFormat="1" applyFont="1" applyFill="1" applyBorder="1" applyAlignment="1" applyProtection="1">
      <alignment vertical="center"/>
    </xf>
    <xf numFmtId="3" fontId="2" fillId="2" borderId="0" xfId="0" applyNumberFormat="1" applyFont="1" applyFill="1" applyBorder="1" applyAlignment="1" applyProtection="1">
      <alignment vertical="center"/>
    </xf>
    <xf numFmtId="3" fontId="2" fillId="2" borderId="6" xfId="0" applyNumberFormat="1" applyFont="1" applyFill="1" applyBorder="1" applyAlignment="1" applyProtection="1">
      <alignment vertical="center"/>
    </xf>
    <xf numFmtId="3" fontId="2" fillId="2" borderId="7" xfId="0" applyNumberFormat="1" applyFont="1" applyFill="1" applyBorder="1" applyAlignment="1" applyProtection="1">
      <alignment vertical="center"/>
    </xf>
    <xf numFmtId="3" fontId="2" fillId="2" borderId="8" xfId="0" applyNumberFormat="1" applyFont="1" applyFill="1" applyBorder="1" applyAlignment="1" applyProtection="1">
      <alignment vertical="center"/>
    </xf>
    <xf numFmtId="3" fontId="2" fillId="2" borderId="9" xfId="0" applyNumberFormat="1" applyFont="1" applyFill="1" applyBorder="1" applyAlignment="1" applyProtection="1">
      <alignment vertical="center"/>
    </xf>
    <xf numFmtId="0" fontId="8" fillId="0" borderId="0" xfId="0" applyFont="1" applyBorder="1">
      <alignment vertical="center"/>
    </xf>
    <xf numFmtId="3" fontId="4" fillId="0" borderId="0" xfId="0" applyNumberFormat="1" applyFont="1" applyFill="1" applyBorder="1" applyAlignment="1"/>
    <xf numFmtId="3" fontId="8" fillId="0" borderId="0" xfId="0" applyNumberFormat="1" applyFont="1">
      <alignment vertical="center"/>
    </xf>
    <xf numFmtId="0" fontId="16" fillId="0" borderId="0" xfId="0" applyFont="1">
      <alignment vertical="center"/>
    </xf>
    <xf numFmtId="0" fontId="8" fillId="0" borderId="0" xfId="0" applyFont="1" applyFill="1">
      <alignment vertical="center"/>
    </xf>
    <xf numFmtId="3" fontId="7" fillId="0" borderId="0" xfId="0" applyNumberFormat="1" applyFont="1" applyFill="1" applyBorder="1" applyAlignment="1"/>
    <xf numFmtId="0" fontId="7" fillId="0" borderId="0" xfId="0" applyFont="1">
      <alignment vertical="center"/>
    </xf>
    <xf numFmtId="0" fontId="4" fillId="0" borderId="0" xfId="0" applyNumberFormat="1" applyFont="1" applyFill="1" applyBorder="1" applyAlignment="1"/>
    <xf numFmtId="0" fontId="7" fillId="0" borderId="0" xfId="0" applyFont="1" applyBorder="1">
      <alignment vertical="center"/>
    </xf>
    <xf numFmtId="0" fontId="16" fillId="0" borderId="0" xfId="0" applyNumberFormat="1" applyFont="1" applyFill="1" applyBorder="1" applyAlignment="1"/>
    <xf numFmtId="3" fontId="20" fillId="0" borderId="0" xfId="8" applyNumberFormat="1" applyFont="1" applyBorder="1" applyAlignment="1">
      <alignment horizontal="centerContinuous" vertical="center"/>
    </xf>
    <xf numFmtId="3" fontId="20" fillId="0" borderId="0" xfId="8" applyNumberFormat="1" applyFont="1" applyAlignment="1">
      <alignment horizontal="centerContinuous" vertical="center"/>
    </xf>
    <xf numFmtId="3" fontId="8" fillId="0" borderId="0" xfId="8" applyNumberFormat="1" applyFont="1" applyBorder="1"/>
    <xf numFmtId="3" fontId="2" fillId="0" borderId="0" xfId="8" applyNumberFormat="1" applyFont="1" applyAlignment="1">
      <alignment horizontal="center"/>
    </xf>
    <xf numFmtId="3" fontId="8" fillId="3" borderId="0" xfId="8" applyNumberFormat="1" applyFont="1" applyFill="1"/>
    <xf numFmtId="3" fontId="20" fillId="3" borderId="0" xfId="8" applyNumberFormat="1" applyFont="1" applyFill="1" applyAlignment="1">
      <alignment horizontal="centerContinuous" vertical="center"/>
    </xf>
    <xf numFmtId="3" fontId="8" fillId="0" borderId="0" xfId="8" applyNumberFormat="1" applyFont="1"/>
    <xf numFmtId="0" fontId="8" fillId="0" borderId="2" xfId="0" applyFont="1" applyFill="1" applyBorder="1" applyAlignment="1" applyProtection="1">
      <alignment horizontal="center"/>
    </xf>
    <xf numFmtId="0" fontId="9" fillId="0" borderId="0" xfId="0" applyFont="1" applyAlignment="1" applyProtection="1">
      <alignment horizontal="centerContinuous"/>
    </xf>
    <xf numFmtId="0" fontId="9" fillId="0" borderId="0" xfId="0" applyFont="1" applyProtection="1">
      <alignment vertical="center"/>
    </xf>
    <xf numFmtId="167" fontId="11" fillId="0" borderId="0" xfId="0" applyNumberFormat="1" applyFont="1">
      <alignment vertical="center"/>
    </xf>
    <xf numFmtId="2" fontId="25" fillId="0" borderId="0" xfId="0" applyNumberFormat="1" applyFont="1">
      <alignment vertical="center"/>
    </xf>
    <xf numFmtId="0" fontId="25" fillId="0" borderId="0" xfId="0" applyFont="1">
      <alignment vertical="center"/>
    </xf>
    <xf numFmtId="3" fontId="26" fillId="0" borderId="0" xfId="0" applyNumberFormat="1" applyFont="1" applyAlignment="1">
      <alignment vertical="center"/>
    </xf>
    <xf numFmtId="0" fontId="24" fillId="0" borderId="0" xfId="0" applyNumberFormat="1" applyFont="1" applyAlignment="1">
      <alignment vertical="center"/>
    </xf>
    <xf numFmtId="3" fontId="24" fillId="0" borderId="0" xfId="0" applyNumberFormat="1" applyFont="1" applyAlignment="1">
      <alignment vertical="center"/>
    </xf>
    <xf numFmtId="3" fontId="28" fillId="0" borderId="0" xfId="0" applyNumberFormat="1" applyFont="1" applyAlignment="1">
      <alignment vertical="center"/>
    </xf>
    <xf numFmtId="0" fontId="23" fillId="0" borderId="0" xfId="0" applyNumberFormat="1" applyFont="1" applyBorder="1" applyAlignment="1" applyProtection="1">
      <alignment vertical="center"/>
    </xf>
    <xf numFmtId="0" fontId="29" fillId="0" borderId="0" xfId="0" applyNumberFormat="1" applyFont="1" applyBorder="1" applyAlignment="1" applyProtection="1">
      <alignment vertical="center"/>
    </xf>
    <xf numFmtId="0" fontId="29" fillId="0" borderId="6" xfId="0" applyNumberFormat="1" applyFont="1" applyBorder="1" applyAlignment="1" applyProtection="1">
      <alignment vertical="center"/>
    </xf>
    <xf numFmtId="0" fontId="29" fillId="0" borderId="10" xfId="0" applyNumberFormat="1" applyFont="1" applyBorder="1" applyAlignment="1" applyProtection="1">
      <alignment vertical="center"/>
    </xf>
    <xf numFmtId="3" fontId="23" fillId="2" borderId="11" xfId="0" applyNumberFormat="1" applyFont="1" applyFill="1" applyBorder="1" applyAlignment="1" applyProtection="1">
      <alignment vertical="center"/>
    </xf>
    <xf numFmtId="3" fontId="23" fillId="2" borderId="12" xfId="0" applyNumberFormat="1" applyFont="1" applyFill="1" applyBorder="1" applyAlignment="1" applyProtection="1">
      <alignment vertical="center"/>
    </xf>
    <xf numFmtId="3" fontId="23" fillId="2" borderId="13" xfId="0" applyNumberFormat="1" applyFont="1" applyFill="1" applyBorder="1" applyAlignment="1" applyProtection="1">
      <alignment vertical="center"/>
    </xf>
    <xf numFmtId="3" fontId="23" fillId="2" borderId="14" xfId="0" applyNumberFormat="1" applyFont="1" applyFill="1" applyBorder="1" applyAlignment="1" applyProtection="1">
      <alignment vertical="center"/>
    </xf>
    <xf numFmtId="3" fontId="23" fillId="2" borderId="0" xfId="0" applyNumberFormat="1" applyFont="1" applyFill="1" applyBorder="1" applyAlignment="1" applyProtection="1">
      <alignment vertical="center"/>
    </xf>
    <xf numFmtId="3" fontId="23" fillId="2" borderId="15" xfId="0" applyNumberFormat="1" applyFont="1" applyFill="1" applyBorder="1" applyAlignment="1" applyProtection="1">
      <alignment vertical="center"/>
    </xf>
    <xf numFmtId="3" fontId="23" fillId="2" borderId="16" xfId="0" applyNumberFormat="1" applyFont="1" applyFill="1" applyBorder="1" applyAlignment="1" applyProtection="1">
      <alignment vertical="center"/>
    </xf>
    <xf numFmtId="3" fontId="23" fillId="2" borderId="17" xfId="0" applyNumberFormat="1" applyFont="1" applyFill="1" applyBorder="1" applyAlignment="1" applyProtection="1">
      <alignment vertical="center"/>
    </xf>
    <xf numFmtId="3" fontId="23" fillId="2" borderId="10" xfId="0" applyNumberFormat="1" applyFont="1" applyFill="1" applyBorder="1" applyAlignment="1" applyProtection="1">
      <alignment vertical="center"/>
    </xf>
    <xf numFmtId="3" fontId="28" fillId="0" borderId="0" xfId="0" applyNumberFormat="1" applyFont="1" applyBorder="1" applyAlignment="1">
      <alignment vertical="center"/>
    </xf>
    <xf numFmtId="166" fontId="4" fillId="0" borderId="0" xfId="1" applyFont="1" applyFill="1" applyBorder="1" applyAlignment="1">
      <alignment horizontal="left"/>
    </xf>
    <xf numFmtId="166" fontId="4" fillId="0" borderId="0" xfId="1" applyFont="1" applyFill="1" applyBorder="1" applyAlignment="1"/>
    <xf numFmtId="0" fontId="4" fillId="0" borderId="18" xfId="0" applyNumberFormat="1" applyFont="1" applyFill="1" applyBorder="1" applyAlignment="1"/>
    <xf numFmtId="0" fontId="8" fillId="0" borderId="18" xfId="0" applyFont="1" applyBorder="1">
      <alignment vertical="center"/>
    </xf>
    <xf numFmtId="170" fontId="8" fillId="0" borderId="0" xfId="0" applyNumberFormat="1" applyFont="1">
      <alignment vertical="center"/>
    </xf>
    <xf numFmtId="0" fontId="22" fillId="0" borderId="0" xfId="0" applyFont="1">
      <alignment vertical="center"/>
    </xf>
    <xf numFmtId="3" fontId="14" fillId="0" borderId="0" xfId="8" applyNumberFormat="1" applyFont="1" applyAlignment="1">
      <alignment vertical="center"/>
    </xf>
    <xf numFmtId="3" fontId="20" fillId="0" borderId="0" xfId="8" applyNumberFormat="1" applyFont="1" applyAlignment="1">
      <alignment vertical="center"/>
    </xf>
    <xf numFmtId="3" fontId="14" fillId="3" borderId="0" xfId="8" applyNumberFormat="1" applyFont="1" applyFill="1" applyAlignment="1">
      <alignment vertical="center"/>
    </xf>
    <xf numFmtId="0" fontId="20" fillId="0" borderId="0" xfId="0" applyFont="1">
      <alignment vertical="center"/>
    </xf>
    <xf numFmtId="3" fontId="20" fillId="0" borderId="19" xfId="8" applyNumberFormat="1" applyFont="1" applyBorder="1"/>
    <xf numFmtId="3" fontId="15" fillId="0" borderId="20" xfId="8" applyNumberFormat="1" applyFont="1" applyBorder="1"/>
    <xf numFmtId="3" fontId="15" fillId="0" borderId="21" xfId="8" applyNumberFormat="1" applyFont="1" applyBorder="1"/>
    <xf numFmtId="3" fontId="16" fillId="0" borderId="22" xfId="0" applyNumberFormat="1" applyFont="1" applyBorder="1">
      <alignment vertical="center"/>
    </xf>
    <xf numFmtId="0" fontId="15" fillId="0" borderId="0" xfId="0" applyNumberFormat="1" applyFont="1" applyFill="1" applyBorder="1" applyAlignment="1"/>
    <xf numFmtId="0" fontId="34" fillId="0" borderId="0" xfId="0" applyFont="1">
      <alignment vertical="center"/>
    </xf>
    <xf numFmtId="0" fontId="34" fillId="0" borderId="0" xfId="0" applyFont="1" applyBorder="1">
      <alignment vertical="center"/>
    </xf>
    <xf numFmtId="0" fontId="20" fillId="0" borderId="0" xfId="0" applyFont="1" applyBorder="1" applyAlignment="1">
      <alignment vertical="center"/>
    </xf>
    <xf numFmtId="0" fontId="2" fillId="0" borderId="0" xfId="0" applyFont="1" applyBorder="1" applyAlignment="1">
      <alignment vertical="center"/>
    </xf>
    <xf numFmtId="3" fontId="23" fillId="2" borderId="14" xfId="0" quotePrefix="1" applyNumberFormat="1" applyFont="1" applyFill="1" applyBorder="1" applyAlignment="1" applyProtection="1">
      <alignment vertical="center"/>
    </xf>
    <xf numFmtId="3" fontId="23" fillId="2" borderId="23" xfId="0" quotePrefix="1" applyNumberFormat="1" applyFont="1" applyFill="1" applyBorder="1" applyAlignment="1" applyProtection="1">
      <alignment vertical="center"/>
    </xf>
    <xf numFmtId="3" fontId="23" fillId="2" borderId="24" xfId="0" applyNumberFormat="1" applyFont="1" applyFill="1" applyBorder="1" applyAlignment="1" applyProtection="1">
      <alignment vertical="center"/>
    </xf>
    <xf numFmtId="0" fontId="8" fillId="0" borderId="0" xfId="6" applyFont="1">
      <alignment vertical="center"/>
    </xf>
    <xf numFmtId="0" fontId="6" fillId="0" borderId="0" xfId="6">
      <alignment vertical="center"/>
    </xf>
    <xf numFmtId="0" fontId="37" fillId="0" borderId="0" xfId="6" quotePrefix="1" applyFont="1" applyFill="1" applyAlignment="1">
      <alignment horizontal="left" vertical="center" wrapText="1" readingOrder="1"/>
    </xf>
    <xf numFmtId="0" fontId="8" fillId="0" borderId="0" xfId="6" applyFont="1" applyFill="1" applyAlignment="1">
      <alignment horizontal="left" vertical="center" wrapText="1" readingOrder="1"/>
    </xf>
    <xf numFmtId="0" fontId="8" fillId="0" borderId="0" xfId="6" quotePrefix="1" applyFont="1" applyFill="1" applyAlignment="1">
      <alignment horizontal="left" vertical="center" wrapText="1" readingOrder="1"/>
    </xf>
    <xf numFmtId="0" fontId="36" fillId="0" borderId="0" xfId="6" applyFont="1" applyAlignment="1">
      <alignment horizontal="center" vertical="center"/>
    </xf>
    <xf numFmtId="0" fontId="8" fillId="0" borderId="0" xfId="6" applyFont="1" applyAlignment="1">
      <alignment vertical="top"/>
    </xf>
    <xf numFmtId="0" fontId="12" fillId="0" borderId="0" xfId="6" applyFont="1">
      <alignment vertical="center"/>
    </xf>
    <xf numFmtId="0" fontId="9" fillId="0" borderId="0" xfId="0" applyFont="1" applyBorder="1" applyAlignment="1">
      <alignment horizontal="center" vertical="center" wrapText="1"/>
    </xf>
    <xf numFmtId="168" fontId="33" fillId="0" borderId="0" xfId="0" applyNumberFormat="1" applyFont="1" applyBorder="1" applyAlignment="1">
      <alignment horizontal="right"/>
    </xf>
    <xf numFmtId="3" fontId="2" fillId="2" borderId="18" xfId="0" applyNumberFormat="1" applyFont="1" applyFill="1" applyBorder="1" applyAlignment="1" applyProtection="1">
      <alignment vertical="center"/>
    </xf>
    <xf numFmtId="3" fontId="2" fillId="2" borderId="25" xfId="0" applyNumberFormat="1" applyFont="1" applyFill="1" applyBorder="1" applyAlignment="1" applyProtection="1">
      <alignment vertical="center"/>
    </xf>
    <xf numFmtId="3" fontId="28" fillId="0" borderId="0" xfId="18" applyNumberFormat="1" applyFont="1" applyAlignment="1">
      <alignment vertical="center"/>
    </xf>
    <xf numFmtId="3" fontId="2" fillId="2" borderId="18" xfId="18" applyNumberFormat="1" applyFont="1" applyFill="1" applyBorder="1" applyAlignment="1" applyProtection="1">
      <alignment vertical="center"/>
    </xf>
    <xf numFmtId="3" fontId="2" fillId="2" borderId="0" xfId="18" applyNumberFormat="1" applyFont="1" applyFill="1" applyBorder="1" applyAlignment="1" applyProtection="1">
      <alignment vertical="center"/>
    </xf>
    <xf numFmtId="3" fontId="2" fillId="2" borderId="6" xfId="18" applyNumberFormat="1" applyFont="1" applyFill="1" applyBorder="1" applyAlignment="1" applyProtection="1">
      <alignment vertical="center"/>
    </xf>
    <xf numFmtId="3" fontId="2" fillId="2" borderId="8" xfId="18" applyNumberFormat="1" applyFont="1" applyFill="1" applyBorder="1" applyAlignment="1" applyProtection="1">
      <alignment vertical="center"/>
    </xf>
    <xf numFmtId="3" fontId="2" fillId="2" borderId="5" xfId="18" applyNumberFormat="1" applyFont="1" applyFill="1" applyBorder="1" applyAlignment="1" applyProtection="1">
      <alignment vertical="center"/>
    </xf>
    <xf numFmtId="3" fontId="2" fillId="2" borderId="9" xfId="18" applyNumberFormat="1" applyFont="1" applyFill="1" applyBorder="1" applyAlignment="1" applyProtection="1">
      <alignment vertical="center"/>
    </xf>
    <xf numFmtId="3" fontId="28" fillId="0" borderId="0" xfId="0" applyNumberFormat="1" applyFont="1" applyFill="1" applyAlignment="1">
      <alignment vertical="center"/>
    </xf>
    <xf numFmtId="167" fontId="1" fillId="0" borderId="0" xfId="0" applyNumberFormat="1" applyFont="1" applyFill="1">
      <alignment vertical="center"/>
    </xf>
    <xf numFmtId="167" fontId="7" fillId="0" borderId="0" xfId="0" applyNumberFormat="1" applyFont="1">
      <alignment vertical="center"/>
    </xf>
    <xf numFmtId="3" fontId="2" fillId="0" borderId="0" xfId="0" applyNumberFormat="1" applyFont="1" applyFill="1" applyBorder="1" applyAlignment="1" applyProtection="1">
      <alignment vertical="center"/>
    </xf>
    <xf numFmtId="3" fontId="2" fillId="0" borderId="0" xfId="18" applyNumberFormat="1" applyFont="1" applyFill="1" applyBorder="1" applyAlignment="1" applyProtection="1">
      <alignment vertical="center"/>
    </xf>
    <xf numFmtId="171" fontId="2" fillId="0" borderId="0" xfId="1" applyNumberFormat="1" applyFont="1" applyFill="1" applyBorder="1" applyAlignment="1" applyProtection="1">
      <alignment vertical="center"/>
    </xf>
    <xf numFmtId="3" fontId="2" fillId="0" borderId="6" xfId="0" applyNumberFormat="1" applyFont="1" applyFill="1" applyBorder="1" applyAlignment="1" applyProtection="1">
      <alignment vertical="center"/>
    </xf>
    <xf numFmtId="3" fontId="2" fillId="0" borderId="6" xfId="18" applyNumberFormat="1" applyFont="1" applyFill="1" applyBorder="1" applyAlignment="1" applyProtection="1">
      <alignment vertical="center"/>
    </xf>
    <xf numFmtId="3" fontId="2" fillId="0" borderId="10" xfId="0" applyNumberFormat="1" applyFont="1" applyFill="1" applyBorder="1" applyAlignment="1" applyProtection="1">
      <alignment vertical="center"/>
    </xf>
    <xf numFmtId="3" fontId="2" fillId="0" borderId="10" xfId="18" applyNumberFormat="1" applyFont="1" applyFill="1" applyBorder="1" applyAlignment="1" applyProtection="1">
      <alignment vertical="center"/>
    </xf>
    <xf numFmtId="3" fontId="45" fillId="0" borderId="0" xfId="0" applyNumberFormat="1" applyFont="1" applyFill="1" applyBorder="1" applyAlignment="1" applyProtection="1">
      <alignment vertical="center"/>
    </xf>
    <xf numFmtId="3" fontId="45" fillId="0" borderId="6" xfId="0" applyNumberFormat="1" applyFont="1" applyFill="1" applyBorder="1" applyAlignment="1" applyProtection="1">
      <alignment vertical="center"/>
    </xf>
    <xf numFmtId="3" fontId="32" fillId="0" borderId="6" xfId="0" applyNumberFormat="1" applyFont="1" applyBorder="1" applyAlignment="1">
      <alignment horizontal="right" vertical="center"/>
    </xf>
    <xf numFmtId="3" fontId="32" fillId="2" borderId="0" xfId="0" applyNumberFormat="1" applyFont="1" applyFill="1" applyBorder="1" applyAlignment="1">
      <alignment horizontal="right" vertical="center"/>
    </xf>
    <xf numFmtId="3" fontId="32" fillId="4" borderId="26" xfId="0" applyNumberFormat="1" applyFont="1" applyFill="1" applyBorder="1" applyAlignment="1">
      <alignment horizontal="right" vertical="center"/>
    </xf>
    <xf numFmtId="3" fontId="32" fillId="4" borderId="6" xfId="0" applyNumberFormat="1" applyFont="1" applyFill="1" applyBorder="1" applyAlignment="1">
      <alignment horizontal="right" vertical="center"/>
    </xf>
    <xf numFmtId="3" fontId="32" fillId="2" borderId="6" xfId="0" applyNumberFormat="1" applyFont="1" applyFill="1" applyBorder="1" applyAlignment="1">
      <alignment horizontal="right" vertical="center"/>
    </xf>
    <xf numFmtId="3" fontId="20" fillId="0" borderId="27" xfId="8" applyNumberFormat="1" applyFont="1" applyBorder="1"/>
    <xf numFmtId="3" fontId="15" fillId="4" borderId="28" xfId="0" quotePrefix="1" applyNumberFormat="1" applyFont="1" applyFill="1" applyBorder="1" applyAlignment="1">
      <alignment horizontal="center"/>
    </xf>
    <xf numFmtId="3" fontId="15" fillId="0" borderId="7" xfId="0" quotePrefix="1" applyNumberFormat="1" applyFont="1" applyBorder="1" applyAlignment="1">
      <alignment horizontal="center"/>
    </xf>
    <xf numFmtId="3" fontId="15" fillId="2" borderId="4" xfId="0" quotePrefix="1" applyNumberFormat="1" applyFont="1" applyFill="1" applyBorder="1" applyAlignment="1">
      <alignment horizontal="center"/>
    </xf>
    <xf numFmtId="3" fontId="15" fillId="2" borderId="7" xfId="0" quotePrefix="1" applyNumberFormat="1" applyFont="1" applyFill="1" applyBorder="1" applyAlignment="1">
      <alignment horizontal="center"/>
    </xf>
    <xf numFmtId="3" fontId="22" fillId="0" borderId="29" xfId="8" applyNumberFormat="1" applyFont="1" applyBorder="1"/>
    <xf numFmtId="3" fontId="8" fillId="0" borderId="29" xfId="8" applyNumberFormat="1" applyFont="1" applyBorder="1"/>
    <xf numFmtId="171" fontId="22" fillId="0" borderId="29" xfId="1" applyNumberFormat="1" applyFont="1" applyBorder="1"/>
    <xf numFmtId="3" fontId="32" fillId="0" borderId="0" xfId="0" applyNumberFormat="1" applyFont="1" applyBorder="1" applyAlignment="1">
      <alignment horizontal="right" vertical="center"/>
    </xf>
    <xf numFmtId="3" fontId="32" fillId="0" borderId="6" xfId="15" applyNumberFormat="1" applyFont="1" applyBorder="1" applyAlignment="1">
      <alignment horizontal="right" vertical="center"/>
    </xf>
    <xf numFmtId="3" fontId="32" fillId="2" borderId="0" xfId="15" applyNumberFormat="1" applyFont="1" applyFill="1" applyBorder="1" applyAlignment="1">
      <alignment horizontal="right" vertical="center"/>
    </xf>
    <xf numFmtId="3" fontId="32" fillId="4" borderId="26" xfId="15" applyNumberFormat="1" applyFont="1" applyFill="1" applyBorder="1" applyAlignment="1">
      <alignment horizontal="right" vertical="center"/>
    </xf>
    <xf numFmtId="3" fontId="32" fillId="4" borderId="6" xfId="15" applyNumberFormat="1" applyFont="1" applyFill="1" applyBorder="1" applyAlignment="1">
      <alignment horizontal="right" vertical="center"/>
    </xf>
    <xf numFmtId="3" fontId="32" fillId="2" borderId="30" xfId="0" applyNumberFormat="1" applyFont="1" applyFill="1" applyBorder="1" applyAlignment="1">
      <alignment horizontal="right" vertical="center"/>
    </xf>
    <xf numFmtId="0" fontId="7" fillId="0" borderId="18" xfId="0" applyFont="1" applyBorder="1">
      <alignment vertical="center"/>
    </xf>
    <xf numFmtId="3" fontId="7" fillId="0" borderId="0" xfId="0" applyNumberFormat="1" applyFont="1" applyFill="1" applyBorder="1" applyAlignment="1">
      <alignment horizontal="right"/>
    </xf>
    <xf numFmtId="3" fontId="23" fillId="0" borderId="0" xfId="0" applyNumberFormat="1" applyFont="1" applyFill="1" applyBorder="1" applyAlignment="1" applyProtection="1">
      <alignment vertical="center"/>
    </xf>
    <xf numFmtId="3" fontId="26" fillId="0" borderId="0" xfId="0" applyNumberFormat="1" applyFont="1" applyFill="1" applyAlignment="1">
      <alignment vertical="center"/>
    </xf>
    <xf numFmtId="3" fontId="15" fillId="0" borderId="3" xfId="0" quotePrefix="1" applyNumberFormat="1" applyFont="1" applyBorder="1" applyAlignment="1">
      <alignment horizontal="center"/>
    </xf>
    <xf numFmtId="3" fontId="32" fillId="0" borderId="18" xfId="0" applyNumberFormat="1" applyFont="1" applyBorder="1" applyAlignment="1">
      <alignment horizontal="right" vertical="center"/>
    </xf>
    <xf numFmtId="3" fontId="32" fillId="4" borderId="30" xfId="0" applyNumberFormat="1" applyFont="1" applyFill="1" applyBorder="1" applyAlignment="1">
      <alignment horizontal="right" vertical="center"/>
    </xf>
    <xf numFmtId="3" fontId="32" fillId="0" borderId="31" xfId="0" applyNumberFormat="1" applyFont="1" applyBorder="1" applyAlignment="1">
      <alignment horizontal="right" vertical="center"/>
    </xf>
    <xf numFmtId="3" fontId="32" fillId="0" borderId="29" xfId="0" applyNumberFormat="1" applyFont="1" applyBorder="1" applyAlignment="1">
      <alignment horizontal="right" vertical="center"/>
    </xf>
    <xf numFmtId="3" fontId="32" fillId="0" borderId="32" xfId="0" applyNumberFormat="1" applyFont="1" applyBorder="1" applyAlignment="1">
      <alignment horizontal="right" vertical="center"/>
    </xf>
    <xf numFmtId="3" fontId="32" fillId="0" borderId="33" xfId="0" applyNumberFormat="1" applyFont="1" applyBorder="1" applyAlignment="1">
      <alignment horizontal="right" vertical="center"/>
    </xf>
    <xf numFmtId="3" fontId="32" fillId="0" borderId="34" xfId="0" applyNumberFormat="1" applyFont="1" applyBorder="1" applyAlignment="1">
      <alignment horizontal="right" vertical="center"/>
    </xf>
    <xf numFmtId="3" fontId="32" fillId="2" borderId="5" xfId="0" applyNumberFormat="1" applyFont="1" applyFill="1" applyBorder="1" applyAlignment="1">
      <alignment horizontal="right" vertical="center"/>
    </xf>
    <xf numFmtId="3" fontId="32" fillId="2" borderId="35" xfId="0" applyNumberFormat="1" applyFont="1" applyFill="1" applyBorder="1" applyAlignment="1">
      <alignment horizontal="right" vertical="center"/>
    </xf>
    <xf numFmtId="3" fontId="32" fillId="4" borderId="8" xfId="0" applyNumberFormat="1" applyFont="1" applyFill="1" applyBorder="1" applyAlignment="1">
      <alignment horizontal="right" vertical="center"/>
    </xf>
    <xf numFmtId="3" fontId="32" fillId="4" borderId="36" xfId="0" applyNumberFormat="1" applyFont="1" applyFill="1" applyBorder="1" applyAlignment="1">
      <alignment horizontal="right" vertical="center"/>
    </xf>
    <xf numFmtId="3" fontId="32" fillId="4" borderId="33" xfId="0" applyNumberFormat="1" applyFont="1" applyFill="1" applyBorder="1" applyAlignment="1">
      <alignment horizontal="right" vertical="center"/>
    </xf>
    <xf numFmtId="3" fontId="32" fillId="4" borderId="34" xfId="0" applyNumberFormat="1" applyFont="1" applyFill="1" applyBorder="1" applyAlignment="1">
      <alignment horizontal="right" vertical="center"/>
    </xf>
    <xf numFmtId="3" fontId="32" fillId="2" borderId="33" xfId="0" applyNumberFormat="1" applyFont="1" applyFill="1" applyBorder="1" applyAlignment="1">
      <alignment horizontal="right" vertical="center"/>
    </xf>
    <xf numFmtId="3" fontId="32" fillId="0" borderId="37" xfId="0" applyNumberFormat="1" applyFont="1" applyBorder="1" applyAlignment="1">
      <alignment horizontal="right" vertical="center"/>
    </xf>
    <xf numFmtId="3" fontId="23" fillId="0" borderId="38" xfId="0" applyNumberFormat="1" applyFont="1" applyBorder="1" applyAlignment="1" applyProtection="1">
      <alignment vertical="center"/>
    </xf>
    <xf numFmtId="3" fontId="23" fillId="0" borderId="35" xfId="0" applyNumberFormat="1" applyFont="1" applyBorder="1" applyAlignment="1" applyProtection="1">
      <alignment vertical="center"/>
    </xf>
    <xf numFmtId="3" fontId="23" fillId="0" borderId="39" xfId="0" applyNumberFormat="1" applyFont="1" applyBorder="1" applyAlignment="1" applyProtection="1">
      <alignment vertical="center"/>
    </xf>
    <xf numFmtId="3" fontId="23" fillId="0" borderId="40" xfId="0" applyNumberFormat="1" applyFont="1" applyBorder="1" applyAlignment="1" applyProtection="1">
      <alignment vertical="center"/>
    </xf>
    <xf numFmtId="3" fontId="20" fillId="0" borderId="0" xfId="8" applyNumberFormat="1" applyFont="1"/>
    <xf numFmtId="3" fontId="26" fillId="0" borderId="0" xfId="0" applyNumberFormat="1" applyFont="1" applyFill="1" applyBorder="1" applyAlignment="1">
      <alignment vertical="center"/>
    </xf>
    <xf numFmtId="3" fontId="24" fillId="2" borderId="14" xfId="0" applyNumberFormat="1" applyFont="1" applyFill="1" applyBorder="1" applyAlignment="1" applyProtection="1">
      <alignment vertical="center"/>
    </xf>
    <xf numFmtId="3" fontId="24" fillId="2" borderId="23" xfId="0" quotePrefix="1" applyNumberFormat="1" applyFont="1" applyFill="1" applyBorder="1" applyAlignment="1" applyProtection="1">
      <alignment vertical="center"/>
    </xf>
    <xf numFmtId="3" fontId="24" fillId="2" borderId="0" xfId="0" applyNumberFormat="1" applyFont="1" applyFill="1" applyBorder="1" applyAlignment="1" applyProtection="1">
      <alignment vertical="center"/>
    </xf>
    <xf numFmtId="3" fontId="24" fillId="2" borderId="10" xfId="0" applyNumberFormat="1" applyFont="1" applyFill="1" applyBorder="1" applyAlignment="1" applyProtection="1">
      <alignment vertical="center"/>
    </xf>
    <xf numFmtId="0" fontId="12" fillId="0" borderId="0" xfId="0" applyFont="1">
      <alignment vertical="center"/>
    </xf>
    <xf numFmtId="0" fontId="16" fillId="0" borderId="10" xfId="0" applyNumberFormat="1" applyFont="1" applyFill="1" applyBorder="1" applyAlignment="1"/>
    <xf numFmtId="0" fontId="7" fillId="0" borderId="10" xfId="0" applyFont="1" applyBorder="1">
      <alignment vertical="center"/>
    </xf>
    <xf numFmtId="0" fontId="8" fillId="0" borderId="10" xfId="0" applyFont="1" applyBorder="1">
      <alignment vertical="center"/>
    </xf>
    <xf numFmtId="0" fontId="16" fillId="0" borderId="18" xfId="0" applyNumberFormat="1" applyFont="1" applyFill="1" applyBorder="1" applyAlignment="1"/>
    <xf numFmtId="0" fontId="8" fillId="0" borderId="0" xfId="6" applyNumberFormat="1" applyFont="1" applyFill="1" applyAlignment="1">
      <alignment horizontal="left" vertical="top" wrapText="1" readingOrder="1"/>
    </xf>
    <xf numFmtId="0" fontId="6" fillId="0" borderId="0" xfId="6" applyFill="1" applyAlignment="1">
      <alignment vertical="top" wrapText="1" readingOrder="1"/>
    </xf>
    <xf numFmtId="0" fontId="8" fillId="0" borderId="0" xfId="6" applyFont="1" applyFill="1" applyAlignment="1">
      <alignment horizontal="left" vertical="top" wrapText="1" readingOrder="1"/>
    </xf>
    <xf numFmtId="0" fontId="6" fillId="0" borderId="0" xfId="6" applyFill="1" applyAlignment="1">
      <alignment vertical="top"/>
    </xf>
    <xf numFmtId="0" fontId="6" fillId="0" borderId="0" xfId="6" applyAlignment="1">
      <alignment vertical="top"/>
    </xf>
    <xf numFmtId="0" fontId="16" fillId="0" borderId="13" xfId="0" applyNumberFormat="1" applyFont="1" applyFill="1" applyBorder="1" applyAlignment="1"/>
    <xf numFmtId="3" fontId="16" fillId="0" borderId="41" xfId="0" applyNumberFormat="1" applyFont="1" applyFill="1" applyBorder="1" applyAlignment="1"/>
    <xf numFmtId="3" fontId="21" fillId="0" borderId="0" xfId="8" applyNumberFormat="1" applyFont="1" applyAlignment="1">
      <alignment vertical="center"/>
    </xf>
    <xf numFmtId="3" fontId="15" fillId="0" borderId="0" xfId="8" applyNumberFormat="1" applyFont="1" applyAlignment="1">
      <alignment vertical="center"/>
    </xf>
    <xf numFmtId="3" fontId="21" fillId="3" borderId="0" xfId="8" applyNumberFormat="1" applyFont="1" applyFill="1" applyAlignment="1">
      <alignment vertical="center"/>
    </xf>
    <xf numFmtId="3" fontId="32" fillId="8" borderId="0" xfId="0" applyNumberFormat="1" applyFont="1" applyFill="1" applyBorder="1" applyAlignment="1">
      <alignment horizontal="right" vertical="center"/>
    </xf>
    <xf numFmtId="3" fontId="32" fillId="8" borderId="0" xfId="15" applyNumberFormat="1" applyFont="1" applyFill="1" applyBorder="1" applyAlignment="1">
      <alignment horizontal="right" vertical="center"/>
    </xf>
    <xf numFmtId="3" fontId="15" fillId="2" borderId="42" xfId="0" quotePrefix="1" applyNumberFormat="1" applyFont="1" applyFill="1" applyBorder="1" applyAlignment="1">
      <alignment horizontal="center"/>
    </xf>
    <xf numFmtId="3" fontId="32" fillId="2" borderId="43" xfId="0" applyNumberFormat="1" applyFont="1" applyFill="1" applyBorder="1" applyAlignment="1">
      <alignment horizontal="right" vertical="center"/>
    </xf>
    <xf numFmtId="3" fontId="32" fillId="2" borderId="39" xfId="0" applyNumberFormat="1" applyFont="1" applyFill="1" applyBorder="1" applyAlignment="1">
      <alignment horizontal="right" vertical="center"/>
    </xf>
    <xf numFmtId="3" fontId="32" fillId="2" borderId="30" xfId="15" applyNumberFormat="1" applyFont="1" applyFill="1" applyBorder="1" applyAlignment="1">
      <alignment horizontal="right" vertical="center"/>
    </xf>
    <xf numFmtId="3" fontId="15" fillId="0" borderId="28" xfId="0" quotePrefix="1" applyNumberFormat="1" applyFont="1" applyBorder="1" applyAlignment="1">
      <alignment horizontal="center"/>
    </xf>
    <xf numFmtId="3" fontId="15" fillId="8" borderId="4" xfId="0" quotePrefix="1" applyNumberFormat="1" applyFont="1" applyFill="1" applyBorder="1" applyAlignment="1">
      <alignment horizontal="center"/>
    </xf>
    <xf numFmtId="3" fontId="15" fillId="4" borderId="42" xfId="0" quotePrefix="1" applyNumberFormat="1" applyFont="1" applyFill="1" applyBorder="1" applyAlignment="1">
      <alignment horizontal="center"/>
    </xf>
    <xf numFmtId="0" fontId="15" fillId="0" borderId="0" xfId="0" applyNumberFormat="1" applyFont="1" applyFill="1" applyBorder="1" applyAlignment="1">
      <alignment horizontal="centerContinuous" vertical="center"/>
    </xf>
    <xf numFmtId="0" fontId="20" fillId="0" borderId="0" xfId="0" applyNumberFormat="1" applyFont="1" applyFill="1" applyBorder="1" applyAlignment="1">
      <alignment horizontal="centerContinuous" wrapText="1"/>
    </xf>
    <xf numFmtId="3" fontId="16" fillId="0" borderId="44" xfId="0" applyNumberFormat="1" applyFont="1" applyFill="1" applyBorder="1" applyAlignment="1">
      <alignment horizontal="right" vertical="center"/>
    </xf>
    <xf numFmtId="3" fontId="16" fillId="0" borderId="44" xfId="0" applyNumberFormat="1" applyFont="1" applyBorder="1" applyAlignment="1">
      <alignment horizontal="right" vertical="center"/>
    </xf>
    <xf numFmtId="3" fontId="16" fillId="0" borderId="45" xfId="0" applyNumberFormat="1" applyFont="1" applyBorder="1" applyAlignment="1">
      <alignment horizontal="right" vertical="center"/>
    </xf>
    <xf numFmtId="3" fontId="16" fillId="0" borderId="46" xfId="0" applyNumberFormat="1" applyFont="1" applyBorder="1" applyAlignment="1">
      <alignment horizontal="right" vertical="center"/>
    </xf>
    <xf numFmtId="3" fontId="15" fillId="0" borderId="47" xfId="0" applyNumberFormat="1" applyFont="1" applyBorder="1" applyAlignment="1">
      <alignment horizontal="left" vertical="center"/>
    </xf>
    <xf numFmtId="3" fontId="16" fillId="0" borderId="46" xfId="0" applyNumberFormat="1" applyFont="1" applyFill="1" applyBorder="1" applyAlignment="1">
      <alignment horizontal="right" vertical="center"/>
    </xf>
    <xf numFmtId="3" fontId="16" fillId="0" borderId="45" xfId="0" applyNumberFormat="1" applyFont="1" applyFill="1" applyBorder="1" applyAlignment="1">
      <alignment horizontal="right" vertical="center"/>
    </xf>
    <xf numFmtId="0" fontId="15" fillId="0" borderId="48" xfId="0" applyFont="1" applyFill="1" applyBorder="1" applyAlignment="1">
      <alignment horizontal="center" vertical="center" wrapText="1"/>
    </xf>
    <xf numFmtId="0" fontId="20" fillId="0" borderId="49" xfId="0" applyFont="1" applyFill="1" applyBorder="1" applyAlignment="1">
      <alignment vertical="center" wrapText="1"/>
    </xf>
    <xf numFmtId="0" fontId="15" fillId="0" borderId="50" xfId="0" applyNumberFormat="1" applyFont="1" applyFill="1" applyBorder="1" applyAlignment="1">
      <alignment horizontal="left"/>
    </xf>
    <xf numFmtId="0" fontId="15" fillId="0" borderId="50" xfId="0" applyNumberFormat="1" applyFont="1" applyFill="1" applyBorder="1" applyAlignment="1"/>
    <xf numFmtId="3" fontId="7" fillId="0" borderId="51" xfId="0" applyNumberFormat="1" applyFont="1" applyFill="1" applyBorder="1" applyAlignment="1">
      <alignment horizontal="right"/>
    </xf>
    <xf numFmtId="3" fontId="7" fillId="0" borderId="13" xfId="0" applyNumberFormat="1" applyFont="1" applyFill="1" applyBorder="1" applyAlignment="1">
      <alignment horizontal="right"/>
    </xf>
    <xf numFmtId="3" fontId="7" fillId="0" borderId="13" xfId="1" applyNumberFormat="1" applyFont="1" applyFill="1" applyBorder="1" applyAlignment="1">
      <alignment horizontal="right"/>
    </xf>
    <xf numFmtId="3" fontId="7" fillId="0" borderId="0" xfId="1" applyNumberFormat="1" applyFont="1" applyFill="1" applyBorder="1" applyAlignment="1">
      <alignment horizontal="right"/>
    </xf>
    <xf numFmtId="3" fontId="7" fillId="0" borderId="51" xfId="1" applyNumberFormat="1" applyFont="1" applyFill="1" applyBorder="1" applyAlignment="1">
      <alignment horizontal="right"/>
    </xf>
    <xf numFmtId="0" fontId="37" fillId="0" borderId="0" xfId="6" applyFont="1" applyFill="1" applyAlignment="1">
      <alignment horizontal="left" vertical="top" wrapText="1"/>
    </xf>
    <xf numFmtId="0" fontId="37" fillId="0" borderId="0" xfId="6" applyFont="1" applyFill="1" applyAlignment="1">
      <alignment vertical="top"/>
    </xf>
    <xf numFmtId="0" fontId="15" fillId="0" borderId="0" xfId="0" applyFont="1" applyAlignment="1" applyProtection="1">
      <alignment horizontal="centerContinuous" vertical="center" wrapText="1"/>
    </xf>
    <xf numFmtId="0" fontId="20" fillId="0" borderId="0" xfId="0" applyFont="1" applyAlignment="1">
      <alignment horizontal="centerContinuous" vertical="center" wrapText="1"/>
    </xf>
    <xf numFmtId="0" fontId="0" fillId="0" borderId="0" xfId="0" applyAlignment="1">
      <alignment horizontal="centerContinuous" vertical="center" wrapText="1"/>
    </xf>
    <xf numFmtId="0" fontId="2" fillId="0" borderId="0" xfId="0" applyFont="1" applyAlignment="1" applyProtection="1">
      <alignment horizontal="centerContinuous" vertical="center" wrapText="1"/>
    </xf>
    <xf numFmtId="0" fontId="2" fillId="0" borderId="0" xfId="0" applyFont="1" applyAlignment="1">
      <alignment horizontal="centerContinuous" vertical="center" wrapText="1"/>
    </xf>
    <xf numFmtId="0" fontId="48" fillId="0" borderId="0" xfId="0" applyFont="1" applyAlignment="1">
      <alignment horizontal="centerContinuous" vertical="center" wrapText="1"/>
    </xf>
    <xf numFmtId="37" fontId="9" fillId="0" borderId="52" xfId="0" applyNumberFormat="1" applyFont="1" applyBorder="1" applyAlignment="1" applyProtection="1">
      <alignment horizontal="right" vertical="center"/>
    </xf>
    <xf numFmtId="37" fontId="9" fillId="0" borderId="52" xfId="0" applyNumberFormat="1" applyFont="1" applyFill="1" applyBorder="1" applyProtection="1">
      <alignment vertical="center"/>
    </xf>
    <xf numFmtId="37" fontId="9" fillId="0" borderId="53" xfId="0" applyNumberFormat="1" applyFont="1" applyFill="1" applyBorder="1" applyProtection="1">
      <alignment vertical="center"/>
    </xf>
    <xf numFmtId="37" fontId="9" fillId="0" borderId="54" xfId="0" applyNumberFormat="1" applyFont="1" applyBorder="1" applyProtection="1">
      <alignment vertical="center"/>
    </xf>
    <xf numFmtId="0" fontId="9" fillId="0" borderId="55" xfId="0" applyFont="1" applyBorder="1" applyAlignment="1" applyProtection="1">
      <alignment horizontal="center" vertical="center"/>
    </xf>
    <xf numFmtId="0" fontId="9" fillId="0" borderId="52" xfId="0" applyFont="1" applyBorder="1" applyAlignment="1" applyProtection="1">
      <alignment horizontal="center" vertical="center"/>
    </xf>
    <xf numFmtId="0" fontId="9" fillId="0" borderId="54" xfId="0" applyFont="1" applyBorder="1" applyAlignment="1" applyProtection="1">
      <alignment horizontal="center" vertical="center"/>
    </xf>
    <xf numFmtId="37" fontId="8" fillId="0" borderId="0" xfId="0" applyNumberFormat="1" applyFont="1" applyFill="1" applyBorder="1" applyAlignment="1" applyProtection="1"/>
    <xf numFmtId="0" fontId="9" fillId="0" borderId="56" xfId="0" applyNumberFormat="1" applyFont="1" applyFill="1" applyBorder="1" applyAlignment="1">
      <alignment horizontal="left"/>
    </xf>
    <xf numFmtId="0" fontId="9" fillId="0" borderId="55" xfId="0" applyFont="1" applyBorder="1" applyAlignment="1" applyProtection="1">
      <alignment horizontal="left" vertical="center"/>
    </xf>
    <xf numFmtId="37" fontId="8" fillId="0" borderId="0" xfId="0" applyNumberFormat="1" applyFont="1" applyFill="1" applyBorder="1" applyAlignment="1" applyProtection="1">
      <alignment horizontal="right"/>
    </xf>
    <xf numFmtId="37" fontId="9" fillId="0" borderId="52" xfId="0" applyNumberFormat="1" applyFont="1" applyFill="1" applyBorder="1" applyAlignment="1" applyProtection="1">
      <alignment horizontal="right" vertical="center"/>
    </xf>
    <xf numFmtId="0" fontId="8" fillId="0" borderId="0" xfId="6" applyFont="1" applyAlignment="1">
      <alignment horizontal="left" vertical="top"/>
    </xf>
    <xf numFmtId="3" fontId="21" fillId="0" borderId="0" xfId="0" applyNumberFormat="1" applyFont="1" applyBorder="1" applyAlignment="1">
      <alignment horizontal="centerContinuous" vertical="center"/>
    </xf>
    <xf numFmtId="3" fontId="24" fillId="2" borderId="57" xfId="0" applyNumberFormat="1" applyFont="1" applyFill="1" applyBorder="1" applyAlignment="1" applyProtection="1">
      <alignment vertical="center"/>
    </xf>
    <xf numFmtId="3" fontId="24" fillId="2" borderId="6" xfId="0" applyNumberFormat="1" applyFont="1" applyFill="1" applyBorder="1" applyAlignment="1" applyProtection="1">
      <alignment vertical="center"/>
    </xf>
    <xf numFmtId="3" fontId="4" fillId="2" borderId="58" xfId="18" applyNumberFormat="1" applyFont="1" applyFill="1" applyBorder="1" applyAlignment="1" applyProtection="1">
      <alignment vertical="center"/>
    </xf>
    <xf numFmtId="3" fontId="4" fillId="2" borderId="3" xfId="18" applyNumberFormat="1" applyFont="1" applyFill="1" applyBorder="1" applyAlignment="1" applyProtection="1">
      <alignment vertical="center"/>
    </xf>
    <xf numFmtId="3" fontId="4" fillId="2" borderId="59" xfId="18" applyNumberFormat="1" applyFont="1" applyFill="1" applyBorder="1" applyAlignment="1" applyProtection="1">
      <alignment vertical="center"/>
    </xf>
    <xf numFmtId="3" fontId="4" fillId="2" borderId="4" xfId="18" applyNumberFormat="1" applyFont="1" applyFill="1" applyBorder="1" applyAlignment="1" applyProtection="1">
      <alignment vertical="center"/>
    </xf>
    <xf numFmtId="3" fontId="4" fillId="2" borderId="60" xfId="18" applyNumberFormat="1" applyFont="1" applyFill="1" applyBorder="1" applyAlignment="1" applyProtection="1">
      <alignment vertical="center"/>
    </xf>
    <xf numFmtId="3" fontId="4" fillId="2" borderId="25" xfId="18" applyNumberFormat="1" applyFont="1" applyFill="1" applyBorder="1" applyAlignment="1" applyProtection="1">
      <alignment vertical="center"/>
    </xf>
    <xf numFmtId="3" fontId="4" fillId="2" borderId="61" xfId="18" applyNumberFormat="1" applyFont="1" applyFill="1" applyBorder="1" applyAlignment="1" applyProtection="1">
      <alignment vertical="center"/>
    </xf>
    <xf numFmtId="3" fontId="4" fillId="2" borderId="42" xfId="18" applyNumberFormat="1" applyFont="1" applyFill="1" applyBorder="1" applyAlignment="1" applyProtection="1">
      <alignment vertical="center"/>
    </xf>
    <xf numFmtId="0" fontId="8" fillId="0" borderId="0" xfId="0" applyFont="1" applyAlignment="1">
      <alignment horizontal="left" vertical="top"/>
    </xf>
    <xf numFmtId="0" fontId="8" fillId="0" borderId="0" xfId="0" applyFont="1" applyFill="1" applyAlignment="1">
      <alignment horizontal="left" vertical="top"/>
    </xf>
    <xf numFmtId="0" fontId="8" fillId="0" borderId="0" xfId="0" applyFont="1" applyAlignment="1">
      <alignment horizontal="center" vertical="center"/>
    </xf>
    <xf numFmtId="0" fontId="4" fillId="0" borderId="13" xfId="0" applyNumberFormat="1" applyFont="1" applyFill="1" applyBorder="1" applyAlignment="1"/>
    <xf numFmtId="0" fontId="37" fillId="0" borderId="0" xfId="6" applyFont="1" applyFill="1" applyAlignment="1">
      <alignment horizontal="left" vertical="top"/>
    </xf>
    <xf numFmtId="0" fontId="4" fillId="0" borderId="56" xfId="0" applyNumberFormat="1" applyFont="1" applyFill="1" applyBorder="1" applyAlignment="1"/>
    <xf numFmtId="0" fontId="30" fillId="0" borderId="0" xfId="0" applyNumberFormat="1" applyFont="1" applyFill="1" applyBorder="1" applyAlignment="1">
      <alignment horizontal="centerContinuous"/>
    </xf>
    <xf numFmtId="0" fontId="2" fillId="0" borderId="0" xfId="0" applyNumberFormat="1" applyFont="1" applyFill="1" applyBorder="1" applyAlignment="1">
      <alignment horizontal="centerContinuous"/>
    </xf>
    <xf numFmtId="167" fontId="1" fillId="0" borderId="0" xfId="0" applyNumberFormat="1" applyFont="1">
      <alignment vertical="center"/>
    </xf>
    <xf numFmtId="0" fontId="8" fillId="9" borderId="0" xfId="0" applyFont="1" applyFill="1" applyAlignment="1">
      <alignment horizontal="left" vertical="top" wrapText="1"/>
    </xf>
    <xf numFmtId="3" fontId="28" fillId="10" borderId="0" xfId="0" applyNumberFormat="1" applyFont="1" applyFill="1" applyAlignment="1">
      <alignment vertical="center"/>
    </xf>
    <xf numFmtId="3" fontId="32" fillId="5" borderId="35" xfId="0" applyNumberFormat="1" applyFont="1" applyFill="1" applyBorder="1" applyAlignment="1">
      <alignment horizontal="right" vertical="center"/>
    </xf>
    <xf numFmtId="166" fontId="1" fillId="0" borderId="0" xfId="1" applyFont="1" applyFill="1" applyAlignment="1">
      <alignment vertical="center"/>
    </xf>
    <xf numFmtId="3" fontId="13" fillId="0" borderId="10" xfId="0" applyNumberFormat="1" applyFont="1" applyFill="1" applyBorder="1" applyAlignment="1" applyProtection="1">
      <alignment vertical="center"/>
    </xf>
    <xf numFmtId="0" fontId="0" fillId="11" borderId="0" xfId="0" applyFill="1">
      <alignment vertical="center"/>
    </xf>
    <xf numFmtId="0" fontId="8" fillId="11" borderId="0" xfId="0" applyFont="1" applyFill="1" applyAlignment="1">
      <alignment horizontal="left" vertical="top" wrapText="1"/>
    </xf>
    <xf numFmtId="3" fontId="21" fillId="0" borderId="0" xfId="9" applyNumberFormat="1" applyFont="1" applyAlignment="1">
      <alignment vertical="center"/>
    </xf>
    <xf numFmtId="3" fontId="15" fillId="0" borderId="0" xfId="9" applyNumberFormat="1" applyFont="1" applyAlignment="1">
      <alignment vertical="center"/>
    </xf>
    <xf numFmtId="3" fontId="2" fillId="0" borderId="0" xfId="9" applyNumberFormat="1" applyFont="1" applyAlignment="1">
      <alignment horizontal="center"/>
    </xf>
    <xf numFmtId="3" fontId="21" fillId="3" borderId="0" xfId="9" applyNumberFormat="1" applyFont="1" applyFill="1" applyAlignment="1">
      <alignment vertical="center"/>
    </xf>
    <xf numFmtId="3" fontId="2" fillId="0" borderId="0" xfId="9" applyNumberFormat="1" applyFont="1"/>
    <xf numFmtId="3" fontId="15" fillId="0" borderId="20" xfId="9" applyNumberFormat="1" applyFont="1" applyBorder="1"/>
    <xf numFmtId="3" fontId="32" fillId="0" borderId="29" xfId="11" applyNumberFormat="1" applyFont="1" applyBorder="1" applyAlignment="1">
      <alignment horizontal="right" vertical="center"/>
    </xf>
    <xf numFmtId="3" fontId="22" fillId="0" borderId="29" xfId="9" applyNumberFormat="1" applyFont="1" applyBorder="1"/>
    <xf numFmtId="3" fontId="20" fillId="0" borderId="0" xfId="9" applyNumberFormat="1" applyFont="1"/>
    <xf numFmtId="3" fontId="8" fillId="0" borderId="0" xfId="9" applyNumberFormat="1" applyFont="1"/>
    <xf numFmtId="0" fontId="1" fillId="0" borderId="0" xfId="6" applyFont="1">
      <alignment vertical="center"/>
    </xf>
    <xf numFmtId="3" fontId="2" fillId="5" borderId="6" xfId="0" applyNumberFormat="1" applyFont="1" applyFill="1" applyBorder="1" applyAlignment="1" applyProtection="1">
      <alignment vertical="center"/>
    </xf>
    <xf numFmtId="3" fontId="2" fillId="5" borderId="10" xfId="0" applyNumberFormat="1" applyFont="1" applyFill="1" applyBorder="1" applyAlignment="1" applyProtection="1">
      <alignment vertical="center"/>
    </xf>
    <xf numFmtId="3" fontId="2" fillId="5" borderId="0" xfId="0" applyNumberFormat="1" applyFont="1" applyFill="1" applyBorder="1" applyAlignment="1" applyProtection="1">
      <alignment vertical="center"/>
    </xf>
    <xf numFmtId="3" fontId="32" fillId="0" borderId="29" xfId="13" applyNumberFormat="1" applyFont="1" applyBorder="1" applyAlignment="1">
      <alignment horizontal="right" vertical="center"/>
    </xf>
    <xf numFmtId="3" fontId="32" fillId="0" borderId="6" xfId="13" applyNumberFormat="1" applyFont="1" applyBorder="1" applyAlignment="1">
      <alignment horizontal="right" vertical="center"/>
    </xf>
    <xf numFmtId="3" fontId="32" fillId="2" borderId="0" xfId="13" applyNumberFormat="1" applyFont="1" applyFill="1" applyBorder="1" applyAlignment="1">
      <alignment horizontal="right" vertical="center"/>
    </xf>
    <xf numFmtId="3" fontId="32" fillId="2" borderId="30" xfId="13" applyNumberFormat="1" applyFont="1" applyFill="1" applyBorder="1" applyAlignment="1">
      <alignment horizontal="right" vertical="center"/>
    </xf>
    <xf numFmtId="3" fontId="32" fillId="8" borderId="0" xfId="13" applyNumberFormat="1" applyFont="1" applyFill="1" applyBorder="1" applyAlignment="1">
      <alignment horizontal="right" vertical="center"/>
    </xf>
    <xf numFmtId="3" fontId="32" fillId="4" borderId="26" xfId="13" applyNumberFormat="1" applyFont="1" applyFill="1" applyBorder="1" applyAlignment="1">
      <alignment horizontal="right" vertical="center"/>
    </xf>
    <xf numFmtId="3" fontId="32" fillId="4" borderId="6" xfId="13" applyNumberFormat="1" applyFont="1" applyFill="1" applyBorder="1" applyAlignment="1">
      <alignment horizontal="right" vertical="center"/>
    </xf>
    <xf numFmtId="172" fontId="1" fillId="0" borderId="0" xfId="18" applyNumberFormat="1" applyFont="1">
      <alignment vertical="center"/>
    </xf>
    <xf numFmtId="171" fontId="21" fillId="0" borderId="0" xfId="1" applyNumberFormat="1" applyFont="1" applyBorder="1" applyAlignment="1">
      <alignment horizontal="centerContinuous" vertical="center"/>
    </xf>
    <xf numFmtId="171" fontId="2" fillId="0" borderId="0" xfId="0" applyNumberFormat="1" applyFont="1" applyFill="1" applyBorder="1" applyAlignment="1" applyProtection="1">
      <alignment vertical="center"/>
    </xf>
    <xf numFmtId="171" fontId="2" fillId="0" borderId="6" xfId="0" applyNumberFormat="1" applyFont="1" applyFill="1" applyBorder="1" applyAlignment="1" applyProtection="1">
      <alignment vertical="center"/>
    </xf>
    <xf numFmtId="171" fontId="2" fillId="0" borderId="10" xfId="0" applyNumberFormat="1" applyFont="1" applyFill="1" applyBorder="1" applyAlignment="1" applyProtection="1">
      <alignment vertical="center"/>
    </xf>
    <xf numFmtId="171" fontId="23" fillId="0" borderId="10" xfId="0" applyNumberFormat="1" applyFont="1" applyFill="1" applyBorder="1" applyAlignment="1" applyProtection="1">
      <alignment vertical="center"/>
    </xf>
    <xf numFmtId="171" fontId="4" fillId="2" borderId="3" xfId="18" applyNumberFormat="1" applyFont="1" applyFill="1" applyBorder="1" applyAlignment="1" applyProtection="1">
      <alignment vertical="center"/>
    </xf>
    <xf numFmtId="171" fontId="4" fillId="2" borderId="4" xfId="18" applyNumberFormat="1" applyFont="1" applyFill="1" applyBorder="1" applyAlignment="1" applyProtection="1">
      <alignment vertical="center"/>
    </xf>
    <xf numFmtId="171" fontId="4" fillId="2" borderId="42" xfId="18" applyNumberFormat="1" applyFont="1" applyFill="1" applyBorder="1" applyAlignment="1" applyProtection="1">
      <alignment vertical="center"/>
    </xf>
    <xf numFmtId="171" fontId="4" fillId="2" borderId="4" xfId="1" applyNumberFormat="1" applyFont="1" applyFill="1" applyBorder="1" applyAlignment="1" applyProtection="1">
      <alignment vertical="center"/>
    </xf>
    <xf numFmtId="171" fontId="4" fillId="2" borderId="25" xfId="18" applyNumberFormat="1" applyFont="1" applyFill="1" applyBorder="1" applyAlignment="1" applyProtection="1">
      <alignment vertical="center"/>
    </xf>
    <xf numFmtId="171" fontId="2" fillId="2" borderId="18" xfId="0" applyNumberFormat="1" applyFont="1" applyFill="1" applyBorder="1" applyAlignment="1" applyProtection="1">
      <alignment vertical="center"/>
    </xf>
    <xf numFmtId="171" fontId="2" fillId="2" borderId="6" xfId="0" applyNumberFormat="1" applyFont="1" applyFill="1" applyBorder="1" applyAlignment="1" applyProtection="1">
      <alignment vertical="center"/>
    </xf>
    <xf numFmtId="171" fontId="2" fillId="2" borderId="9" xfId="0" applyNumberFormat="1" applyFont="1" applyFill="1" applyBorder="1" applyAlignment="1" applyProtection="1">
      <alignment vertical="center"/>
    </xf>
    <xf numFmtId="171" fontId="28" fillId="0" borderId="0" xfId="0" applyNumberFormat="1" applyFont="1" applyAlignment="1">
      <alignment vertical="center"/>
    </xf>
    <xf numFmtId="178" fontId="32" fillId="6" borderId="0" xfId="0" applyNumberFormat="1" applyFont="1" applyFill="1" applyBorder="1" applyAlignment="1">
      <alignment horizontal="right" vertical="center"/>
    </xf>
    <xf numFmtId="178" fontId="32" fillId="6" borderId="6" xfId="0" applyNumberFormat="1" applyFont="1" applyFill="1" applyBorder="1" applyAlignment="1">
      <alignment horizontal="right" vertical="center"/>
    </xf>
    <xf numFmtId="178" fontId="32" fillId="6" borderId="30" xfId="0" applyNumberFormat="1" applyFont="1" applyFill="1" applyBorder="1" applyAlignment="1">
      <alignment horizontal="right" vertical="center"/>
    </xf>
    <xf numFmtId="178" fontId="32" fillId="6" borderId="26" xfId="0" applyNumberFormat="1" applyFont="1" applyFill="1" applyBorder="1" applyAlignment="1">
      <alignment horizontal="right" vertical="center"/>
    </xf>
    <xf numFmtId="178" fontId="32" fillId="6" borderId="18" xfId="0" applyNumberFormat="1" applyFont="1" applyFill="1" applyBorder="1" applyAlignment="1">
      <alignment horizontal="right" vertical="center"/>
    </xf>
    <xf numFmtId="178" fontId="22" fillId="0" borderId="0" xfId="0" applyNumberFormat="1" applyFont="1">
      <alignment vertical="center"/>
    </xf>
    <xf numFmtId="174" fontId="1" fillId="0" borderId="0" xfId="1" applyNumberFormat="1" applyFont="1" applyAlignment="1">
      <alignment vertical="center"/>
    </xf>
    <xf numFmtId="179" fontId="21" fillId="0" borderId="0" xfId="0" applyNumberFormat="1" applyFont="1" applyBorder="1" applyAlignment="1">
      <alignment horizontal="centerContinuous" vertical="center"/>
    </xf>
    <xf numFmtId="179" fontId="2" fillId="0" borderId="0" xfId="1" applyNumberFormat="1" applyFont="1" applyFill="1" applyBorder="1" applyAlignment="1" applyProtection="1">
      <alignment vertical="center"/>
    </xf>
    <xf numFmtId="179" fontId="2" fillId="2" borderId="18" xfId="1" applyNumberFormat="1" applyFont="1" applyFill="1" applyBorder="1" applyAlignment="1" applyProtection="1">
      <alignment vertical="center"/>
    </xf>
    <xf numFmtId="179" fontId="2" fillId="2" borderId="0" xfId="1" applyNumberFormat="1" applyFont="1" applyFill="1" applyBorder="1" applyAlignment="1" applyProtection="1">
      <alignment vertical="center"/>
    </xf>
    <xf numFmtId="179" fontId="2" fillId="2" borderId="6" xfId="1" applyNumberFormat="1" applyFont="1" applyFill="1" applyBorder="1" applyAlignment="1" applyProtection="1">
      <alignment vertical="center"/>
    </xf>
    <xf numFmtId="179" fontId="2" fillId="2" borderId="8" xfId="1" applyNumberFormat="1" applyFont="1" applyFill="1" applyBorder="1" applyAlignment="1" applyProtection="1">
      <alignment vertical="center"/>
    </xf>
    <xf numFmtId="179" fontId="2" fillId="2" borderId="5" xfId="1" applyNumberFormat="1" applyFont="1" applyFill="1" applyBorder="1" applyAlignment="1" applyProtection="1">
      <alignment vertical="center"/>
    </xf>
    <xf numFmtId="179" fontId="2" fillId="2" borderId="9" xfId="1" applyNumberFormat="1" applyFont="1" applyFill="1" applyBorder="1" applyAlignment="1" applyProtection="1">
      <alignment vertical="center"/>
    </xf>
    <xf numFmtId="179" fontId="28" fillId="0" borderId="0" xfId="1" applyNumberFormat="1" applyFont="1" applyAlignment="1">
      <alignment vertical="center"/>
    </xf>
    <xf numFmtId="3" fontId="32" fillId="5" borderId="5" xfId="0" applyNumberFormat="1" applyFont="1" applyFill="1" applyBorder="1" applyAlignment="1">
      <alignment horizontal="right" vertical="center"/>
    </xf>
    <xf numFmtId="0" fontId="1" fillId="0" borderId="0" xfId="6" applyFont="1" applyAlignment="1">
      <alignment vertical="top"/>
    </xf>
    <xf numFmtId="3" fontId="15" fillId="0" borderId="62" xfId="8" applyNumberFormat="1" applyFont="1" applyBorder="1" applyAlignment="1"/>
    <xf numFmtId="3" fontId="2" fillId="0" borderId="0" xfId="17" applyNumberFormat="1" applyFont="1" applyFill="1" applyBorder="1" applyAlignment="1" applyProtection="1">
      <alignment vertical="center"/>
    </xf>
    <xf numFmtId="3" fontId="2" fillId="0" borderId="6" xfId="17" applyNumberFormat="1" applyFont="1" applyFill="1" applyBorder="1" applyAlignment="1" applyProtection="1">
      <alignment vertical="center"/>
    </xf>
    <xf numFmtId="3" fontId="2" fillId="0" borderId="10" xfId="17" applyNumberFormat="1" applyFont="1" applyFill="1" applyBorder="1" applyAlignment="1" applyProtection="1">
      <alignment vertical="center"/>
    </xf>
    <xf numFmtId="3" fontId="23" fillId="2" borderId="18" xfId="0" applyNumberFormat="1" applyFont="1" applyFill="1" applyBorder="1" applyAlignment="1" applyProtection="1">
      <alignment vertical="center"/>
    </xf>
    <xf numFmtId="3" fontId="23" fillId="2" borderId="6" xfId="0" applyNumberFormat="1" applyFont="1" applyFill="1" applyBorder="1" applyAlignment="1" applyProtection="1">
      <alignment vertical="center"/>
    </xf>
    <xf numFmtId="0" fontId="37" fillId="0" borderId="0" xfId="6" applyFont="1" applyAlignment="1">
      <alignment vertical="top" wrapText="1"/>
    </xf>
    <xf numFmtId="4" fontId="2" fillId="0" borderId="0" xfId="0" applyNumberFormat="1" applyFont="1" applyFill="1" applyBorder="1" applyAlignment="1" applyProtection="1">
      <alignment vertical="center"/>
    </xf>
    <xf numFmtId="3" fontId="0" fillId="0" borderId="0" xfId="0" applyNumberFormat="1">
      <alignment vertical="center"/>
    </xf>
    <xf numFmtId="3" fontId="32" fillId="0" borderId="29" xfId="12" applyNumberFormat="1" applyFont="1" applyBorder="1" applyAlignment="1">
      <alignment horizontal="right" vertical="center"/>
    </xf>
    <xf numFmtId="3" fontId="32" fillId="0" borderId="6" xfId="12" applyNumberFormat="1" applyFont="1" applyBorder="1" applyAlignment="1">
      <alignment horizontal="right" vertical="center"/>
    </xf>
    <xf numFmtId="3" fontId="32" fillId="2" borderId="0" xfId="12" applyNumberFormat="1" applyFont="1" applyFill="1" applyBorder="1" applyAlignment="1">
      <alignment horizontal="right" vertical="center"/>
    </xf>
    <xf numFmtId="3" fontId="32" fillId="2" borderId="30" xfId="12" applyNumberFormat="1" applyFont="1" applyFill="1" applyBorder="1" applyAlignment="1">
      <alignment horizontal="right" vertical="center"/>
    </xf>
    <xf numFmtId="3" fontId="32" fillId="5" borderId="0" xfId="12" applyNumberFormat="1" applyFont="1" applyFill="1" applyBorder="1" applyAlignment="1">
      <alignment horizontal="right" vertical="center"/>
    </xf>
    <xf numFmtId="3" fontId="32" fillId="4" borderId="26" xfId="12" applyNumberFormat="1" applyFont="1" applyFill="1" applyBorder="1" applyAlignment="1">
      <alignment horizontal="right" vertical="center"/>
    </xf>
    <xf numFmtId="3" fontId="32" fillId="4" borderId="6" xfId="12" applyNumberFormat="1" applyFont="1" applyFill="1" applyBorder="1" applyAlignment="1">
      <alignment horizontal="right" vertical="center"/>
    </xf>
    <xf numFmtId="0" fontId="63" fillId="0" borderId="0" xfId="0" applyFont="1">
      <alignment vertical="center"/>
    </xf>
    <xf numFmtId="0" fontId="8" fillId="0" borderId="0" xfId="6" applyFont="1" applyAlignment="1">
      <alignment vertical="center" wrapText="1"/>
    </xf>
    <xf numFmtId="3" fontId="8" fillId="0" borderId="0" xfId="0" applyNumberFormat="1" applyFont="1" applyFill="1">
      <alignment vertical="center"/>
    </xf>
    <xf numFmtId="3" fontId="16" fillId="0" borderId="17" xfId="0" applyNumberFormat="1" applyFont="1" applyFill="1" applyBorder="1" applyAlignment="1"/>
    <xf numFmtId="3" fontId="7" fillId="0" borderId="5" xfId="0" applyNumberFormat="1" applyFont="1" applyFill="1" applyBorder="1" applyAlignment="1"/>
    <xf numFmtId="3" fontId="7" fillId="0" borderId="35" xfId="0" applyNumberFormat="1" applyFont="1" applyFill="1" applyBorder="1" applyAlignment="1"/>
    <xf numFmtId="4" fontId="7" fillId="0" borderId="5" xfId="0" applyNumberFormat="1" applyFont="1" applyFill="1" applyBorder="1" applyAlignment="1"/>
    <xf numFmtId="49" fontId="7" fillId="0" borderId="35" xfId="0" applyNumberFormat="1" applyFont="1" applyFill="1" applyBorder="1" applyAlignment="1"/>
    <xf numFmtId="3" fontId="32" fillId="0" borderId="29" xfId="15" applyNumberFormat="1" applyFont="1" applyBorder="1" applyAlignment="1">
      <alignment horizontal="right" vertical="center"/>
    </xf>
    <xf numFmtId="3" fontId="32" fillId="8" borderId="35" xfId="0" applyNumberFormat="1" applyFont="1" applyFill="1" applyBorder="1" applyAlignment="1">
      <alignment horizontal="right" vertical="center"/>
    </xf>
    <xf numFmtId="3" fontId="32" fillId="0" borderId="0" xfId="10" applyNumberFormat="1" applyFont="1" applyBorder="1" applyAlignment="1">
      <alignment horizontal="right" vertical="center"/>
    </xf>
    <xf numFmtId="3" fontId="22" fillId="0" borderId="0" xfId="8" applyNumberFormat="1" applyFont="1"/>
    <xf numFmtId="3" fontId="15" fillId="0" borderId="27" xfId="8" applyNumberFormat="1" applyFont="1" applyBorder="1"/>
    <xf numFmtId="3" fontId="32" fillId="2" borderId="34" xfId="0" applyNumberFormat="1" applyFont="1" applyFill="1" applyBorder="1" applyAlignment="1">
      <alignment horizontal="right" vertical="center"/>
    </xf>
    <xf numFmtId="3" fontId="32" fillId="4" borderId="39" xfId="0" applyNumberFormat="1" applyFont="1" applyFill="1" applyBorder="1" applyAlignment="1">
      <alignment horizontal="right" vertical="center"/>
    </xf>
    <xf numFmtId="0" fontId="36" fillId="0" borderId="0" xfId="6" applyFont="1" applyAlignment="1">
      <alignment horizontal="left" vertical="top"/>
    </xf>
    <xf numFmtId="2" fontId="1" fillId="0" borderId="0" xfId="0" applyNumberFormat="1" applyFont="1" applyFill="1">
      <alignment vertical="center"/>
    </xf>
    <xf numFmtId="171" fontId="2" fillId="2" borderId="0" xfId="0" applyNumberFormat="1" applyFont="1" applyFill="1" applyBorder="1" applyAlignment="1" applyProtection="1">
      <alignment vertical="center"/>
    </xf>
    <xf numFmtId="171" fontId="2" fillId="2" borderId="8" xfId="0" applyNumberFormat="1" applyFont="1" applyFill="1" applyBorder="1" applyAlignment="1" applyProtection="1">
      <alignment vertical="center"/>
    </xf>
    <xf numFmtId="171" fontId="2" fillId="2" borderId="5" xfId="0" applyNumberFormat="1" applyFont="1" applyFill="1" applyBorder="1" applyAlignment="1" applyProtection="1">
      <alignment vertical="center"/>
    </xf>
    <xf numFmtId="0" fontId="36" fillId="0" borderId="0" xfId="6" applyFont="1" applyAlignment="1">
      <alignment horizontal="left" vertical="center"/>
    </xf>
    <xf numFmtId="0" fontId="16" fillId="0" borderId="63" xfId="0" applyNumberFormat="1" applyFont="1" applyFill="1" applyBorder="1" applyAlignment="1">
      <alignment horizontal="centerContinuous"/>
    </xf>
    <xf numFmtId="0" fontId="16" fillId="0" borderId="64" xfId="0" applyNumberFormat="1" applyFont="1" applyFill="1" applyBorder="1" applyAlignment="1">
      <alignment horizontal="centerContinuous"/>
    </xf>
    <xf numFmtId="3" fontId="7" fillId="0" borderId="13" xfId="0" applyNumberFormat="1" applyFont="1" applyFill="1" applyBorder="1" applyAlignment="1"/>
    <xf numFmtId="3" fontId="7" fillId="0" borderId="51" xfId="0" applyNumberFormat="1" applyFont="1" applyFill="1" applyBorder="1" applyAlignment="1"/>
    <xf numFmtId="3" fontId="7" fillId="0" borderId="10" xfId="0" applyNumberFormat="1" applyFont="1" applyFill="1" applyBorder="1" applyAlignment="1"/>
    <xf numFmtId="3" fontId="7" fillId="0" borderId="17" xfId="0" applyNumberFormat="1" applyFont="1" applyFill="1" applyBorder="1" applyAlignment="1"/>
    <xf numFmtId="3" fontId="7" fillId="0" borderId="41" xfId="0" applyNumberFormat="1" applyFont="1" applyFill="1" applyBorder="1" applyAlignment="1"/>
    <xf numFmtId="3" fontId="7" fillId="12" borderId="0" xfId="0" applyNumberFormat="1" applyFont="1" applyFill="1" applyBorder="1" applyAlignment="1"/>
    <xf numFmtId="3" fontId="7" fillId="12" borderId="13" xfId="0" applyNumberFormat="1" applyFont="1" applyFill="1" applyBorder="1" applyAlignment="1"/>
    <xf numFmtId="3" fontId="7" fillId="12" borderId="51" xfId="0" applyNumberFormat="1" applyFont="1" applyFill="1" applyBorder="1" applyAlignment="1"/>
    <xf numFmtId="0" fontId="36" fillId="0" borderId="0" xfId="6" applyFont="1" applyFill="1" applyAlignment="1">
      <alignment horizontal="center" vertical="center" wrapText="1" readingOrder="1"/>
    </xf>
    <xf numFmtId="0" fontId="8" fillId="0" borderId="0" xfId="6" applyFont="1" applyFill="1">
      <alignment vertical="center"/>
    </xf>
    <xf numFmtId="0" fontId="6" fillId="0" borderId="0" xfId="6" applyFill="1">
      <alignment vertical="center"/>
    </xf>
    <xf numFmtId="0" fontId="8" fillId="0" borderId="0" xfId="6" applyFont="1" applyFill="1" applyAlignment="1">
      <alignment vertical="top" wrapText="1" readingOrder="1"/>
    </xf>
    <xf numFmtId="0" fontId="37" fillId="0" borderId="0" xfId="6" quotePrefix="1" applyFont="1" applyFill="1" applyAlignment="1">
      <alignment horizontal="left" vertical="top" readingOrder="1"/>
    </xf>
    <xf numFmtId="0" fontId="37" fillId="0" borderId="0" xfId="6" applyFont="1" applyFill="1" applyAlignment="1">
      <alignment horizontal="left" vertical="center" wrapText="1" readingOrder="1"/>
    </xf>
    <xf numFmtId="0" fontId="6" fillId="0" borderId="0" xfId="6" applyFill="1" applyAlignment="1">
      <alignment vertical="center" wrapText="1" readingOrder="1"/>
    </xf>
    <xf numFmtId="0" fontId="8" fillId="0" borderId="0" xfId="6" applyFont="1" applyFill="1" applyAlignment="1">
      <alignment vertical="top" wrapText="1"/>
    </xf>
    <xf numFmtId="0" fontId="37" fillId="0" borderId="0" xfId="6" applyFont="1" applyFill="1" applyAlignment="1">
      <alignment vertical="top" wrapText="1" readingOrder="1"/>
    </xf>
    <xf numFmtId="0" fontId="37" fillId="0" borderId="0" xfId="6" applyFont="1" applyFill="1" applyAlignment="1">
      <alignment horizontal="left" vertical="top" wrapText="1" readingOrder="1"/>
    </xf>
    <xf numFmtId="0" fontId="8" fillId="0" borderId="0" xfId="6" applyFont="1" applyFill="1" applyAlignment="1">
      <alignment horizontal="left" vertical="top" wrapText="1"/>
    </xf>
    <xf numFmtId="0" fontId="37" fillId="0" borderId="0" xfId="6" applyFont="1" applyFill="1" applyAlignment="1">
      <alignment vertical="top" wrapText="1"/>
    </xf>
    <xf numFmtId="0" fontId="7" fillId="0" borderId="0" xfId="0" applyFont="1" applyFill="1">
      <alignment vertical="center"/>
    </xf>
    <xf numFmtId="0" fontId="16" fillId="0" borderId="0" xfId="0" applyFont="1" applyFill="1" applyAlignment="1">
      <alignment horizontal="center" vertical="center"/>
    </xf>
    <xf numFmtId="0" fontId="15" fillId="0" borderId="0" xfId="0" applyFont="1" applyFill="1" applyAlignment="1">
      <alignment horizontal="center" vertical="center"/>
    </xf>
    <xf numFmtId="3" fontId="7" fillId="0" borderId="0" xfId="0" applyNumberFormat="1" applyFont="1" applyFill="1">
      <alignment vertical="center"/>
    </xf>
    <xf numFmtId="0" fontId="18" fillId="0" borderId="0" xfId="0" applyFont="1" applyFill="1">
      <alignment vertical="center"/>
    </xf>
    <xf numFmtId="0" fontId="17" fillId="0" borderId="0" xfId="0" applyFont="1" applyFill="1">
      <alignment vertical="center"/>
    </xf>
    <xf numFmtId="3" fontId="16" fillId="0" borderId="0" xfId="0" applyNumberFormat="1" applyFont="1" applyFill="1">
      <alignment vertical="center"/>
    </xf>
    <xf numFmtId="0" fontId="9" fillId="0" borderId="0" xfId="0" applyFont="1" applyFill="1">
      <alignment vertical="center"/>
    </xf>
    <xf numFmtId="0" fontId="16" fillId="0" borderId="13" xfId="0" applyNumberFormat="1" applyFont="1" applyFill="1" applyBorder="1" applyAlignment="1">
      <alignment horizontal="left"/>
    </xf>
    <xf numFmtId="0" fontId="0" fillId="0" borderId="35" xfId="0" applyFill="1" applyBorder="1" applyAlignment="1"/>
    <xf numFmtId="3" fontId="8" fillId="0" borderId="35" xfId="0" applyNumberFormat="1" applyFont="1" applyFill="1" applyBorder="1" applyAlignment="1">
      <alignment horizontal="right"/>
    </xf>
    <xf numFmtId="3" fontId="7" fillId="0" borderId="5" xfId="1" applyNumberFormat="1" applyFont="1" applyFill="1" applyBorder="1" applyAlignment="1"/>
    <xf numFmtId="3" fontId="7" fillId="0" borderId="35" xfId="1" applyNumberFormat="1" applyFont="1" applyFill="1" applyBorder="1" applyAlignment="1"/>
    <xf numFmtId="0" fontId="16" fillId="0" borderId="13" xfId="14" applyNumberFormat="1" applyFont="1" applyFill="1" applyBorder="1" applyAlignment="1"/>
    <xf numFmtId="0" fontId="16" fillId="0" borderId="13" xfId="16" applyNumberFormat="1" applyFont="1" applyFill="1" applyBorder="1" applyAlignment="1"/>
    <xf numFmtId="3" fontId="7" fillId="0" borderId="5" xfId="16" applyNumberFormat="1" applyFont="1" applyFill="1" applyBorder="1" applyAlignment="1"/>
    <xf numFmtId="3" fontId="7" fillId="0" borderId="35" xfId="16" applyNumberFormat="1" applyFont="1" applyFill="1" applyBorder="1" applyAlignment="1"/>
    <xf numFmtId="0" fontId="7" fillId="0" borderId="35" xfId="0" applyFont="1" applyFill="1" applyBorder="1" applyAlignment="1"/>
    <xf numFmtId="0" fontId="16" fillId="0" borderId="65" xfId="0" applyFont="1" applyFill="1" applyBorder="1" applyAlignment="1">
      <alignment horizontal="center" vertical="center"/>
    </xf>
    <xf numFmtId="0" fontId="16" fillId="0" borderId="66" xfId="0" applyFont="1" applyFill="1" applyBorder="1" applyAlignment="1">
      <alignment horizontal="center" vertical="center"/>
    </xf>
    <xf numFmtId="0" fontId="16" fillId="0" borderId="67" xfId="0" applyFont="1" applyFill="1" applyBorder="1" applyAlignment="1">
      <alignment horizontal="center" vertical="center"/>
    </xf>
    <xf numFmtId="0" fontId="16" fillId="12" borderId="13" xfId="0" applyNumberFormat="1" applyFont="1" applyFill="1" applyBorder="1" applyAlignment="1">
      <alignment horizontal="left"/>
    </xf>
    <xf numFmtId="3" fontId="7" fillId="12" borderId="5" xfId="0" applyNumberFormat="1" applyFont="1" applyFill="1" applyBorder="1" applyAlignment="1"/>
    <xf numFmtId="3" fontId="7" fillId="12" borderId="35" xfId="0" applyNumberFormat="1" applyFont="1" applyFill="1" applyBorder="1" applyAlignment="1"/>
    <xf numFmtId="0" fontId="16" fillId="0" borderId="46" xfId="0" applyNumberFormat="1" applyFont="1" applyFill="1" applyBorder="1" applyAlignment="1"/>
    <xf numFmtId="3" fontId="16" fillId="0" borderId="47" xfId="0" applyNumberFormat="1" applyFont="1" applyBorder="1" applyAlignment="1"/>
    <xf numFmtId="3" fontId="16" fillId="0" borderId="68" xfId="0" applyNumberFormat="1" applyFont="1" applyBorder="1" applyAlignment="1"/>
    <xf numFmtId="3" fontId="16" fillId="0" borderId="44" xfId="0" applyNumberFormat="1" applyFont="1" applyBorder="1" applyAlignment="1"/>
    <xf numFmtId="3" fontId="16" fillId="0" borderId="45" xfId="0" applyNumberFormat="1" applyFont="1" applyBorder="1" applyAlignment="1"/>
    <xf numFmtId="0" fontId="36" fillId="0" borderId="0" xfId="6" applyFont="1" applyFill="1" applyAlignment="1">
      <alignment horizontal="center" vertical="center"/>
    </xf>
    <xf numFmtId="0" fontId="8" fillId="0" borderId="0" xfId="6" applyFont="1" applyFill="1" applyAlignment="1">
      <alignment vertical="top"/>
    </xf>
    <xf numFmtId="0" fontId="8" fillId="0" borderId="0" xfId="6" applyNumberFormat="1" applyFont="1" applyFill="1" applyAlignment="1">
      <alignment horizontal="left" vertical="top" wrapText="1"/>
    </xf>
    <xf numFmtId="0" fontId="37" fillId="0" borderId="0" xfId="6" applyFont="1" applyFill="1" applyAlignment="1">
      <alignment horizontal="justify" vertical="top"/>
    </xf>
    <xf numFmtId="0" fontId="37" fillId="0" borderId="0" xfId="6" applyFont="1" applyFill="1" applyAlignment="1">
      <alignment horizontal="justify" vertical="top" wrapText="1"/>
    </xf>
    <xf numFmtId="0" fontId="8" fillId="0" borderId="0" xfId="6" applyFont="1" applyFill="1" applyAlignment="1">
      <alignment horizontal="justify" vertical="top"/>
    </xf>
    <xf numFmtId="3" fontId="15" fillId="0" borderId="13" xfId="8" applyNumberFormat="1" applyFont="1" applyFill="1" applyBorder="1"/>
    <xf numFmtId="3" fontId="15" fillId="0" borderId="35" xfId="8" applyNumberFormat="1" applyFont="1" applyFill="1" applyBorder="1"/>
    <xf numFmtId="3" fontId="15" fillId="0" borderId="0" xfId="8" applyNumberFormat="1" applyFont="1" applyFill="1"/>
    <xf numFmtId="3" fontId="15" fillId="0" borderId="0" xfId="8" applyNumberFormat="1" applyFont="1" applyFill="1" applyBorder="1"/>
    <xf numFmtId="3" fontId="15" fillId="0" borderId="0" xfId="9" applyNumberFormat="1" applyFont="1" applyFill="1"/>
    <xf numFmtId="3" fontId="15" fillId="0" borderId="0" xfId="8" applyNumberFormat="1" applyFont="1" applyFill="1" applyBorder="1" applyAlignment="1">
      <alignment horizontal="center"/>
    </xf>
    <xf numFmtId="3" fontId="15" fillId="0" borderId="2" xfId="8" applyNumberFormat="1" applyFont="1" applyFill="1" applyBorder="1"/>
    <xf numFmtId="3" fontId="15" fillId="0" borderId="0" xfId="8" applyNumberFormat="1" applyFont="1" applyFill="1" applyAlignment="1">
      <alignment horizontal="center"/>
    </xf>
    <xf numFmtId="0" fontId="20" fillId="0" borderId="0" xfId="0" applyFont="1" applyFill="1">
      <alignment vertical="center"/>
    </xf>
    <xf numFmtId="3" fontId="15" fillId="0" borderId="69" xfId="8" applyNumberFormat="1" applyFont="1" applyFill="1" applyBorder="1" applyAlignment="1">
      <alignment horizontal="center" vertical="center"/>
    </xf>
    <xf numFmtId="3" fontId="15" fillId="0" borderId="70" xfId="8" applyNumberFormat="1" applyFont="1" applyFill="1" applyBorder="1" applyAlignment="1">
      <alignment horizontal="center" vertical="center"/>
    </xf>
    <xf numFmtId="3" fontId="15" fillId="0" borderId="71" xfId="8" applyNumberFormat="1" applyFont="1" applyFill="1" applyBorder="1" applyAlignment="1">
      <alignment horizontal="center" vertical="center" wrapText="1"/>
    </xf>
    <xf numFmtId="3" fontId="15" fillId="0" borderId="72" xfId="8" applyNumberFormat="1" applyFont="1" applyFill="1" applyBorder="1" applyAlignment="1">
      <alignment horizontal="center" vertical="center" wrapText="1"/>
    </xf>
    <xf numFmtId="3" fontId="15" fillId="0" borderId="72" xfId="8" applyNumberFormat="1" applyFont="1" applyFill="1" applyBorder="1" applyAlignment="1">
      <alignment horizontal="center" vertical="center"/>
    </xf>
    <xf numFmtId="3" fontId="15" fillId="0" borderId="72" xfId="9" applyNumberFormat="1" applyFont="1" applyFill="1" applyBorder="1" applyAlignment="1">
      <alignment horizontal="center" vertical="center"/>
    </xf>
    <xf numFmtId="3" fontId="15" fillId="0" borderId="70" xfId="8" applyNumberFormat="1" applyFont="1" applyFill="1" applyBorder="1" applyAlignment="1">
      <alignment horizontal="center" vertical="center" wrapText="1"/>
    </xf>
    <xf numFmtId="3" fontId="15" fillId="0" borderId="13" xfId="8" applyNumberFormat="1" applyFont="1" applyFill="1" applyBorder="1" applyAlignment="1">
      <alignment horizontal="center"/>
    </xf>
    <xf numFmtId="3" fontId="15" fillId="0" borderId="39" xfId="8" applyNumberFormat="1" applyFont="1" applyFill="1" applyBorder="1"/>
    <xf numFmtId="3" fontId="15" fillId="0" borderId="30" xfId="8" applyNumberFormat="1" applyFont="1" applyFill="1" applyBorder="1" applyAlignment="1">
      <alignment horizontal="centerContinuous"/>
    </xf>
    <xf numFmtId="3" fontId="15" fillId="0" borderId="30" xfId="9" applyNumberFormat="1" applyFont="1" applyFill="1" applyBorder="1" applyAlignment="1">
      <alignment horizontal="centerContinuous"/>
    </xf>
    <xf numFmtId="3" fontId="15" fillId="0" borderId="39" xfId="8" applyNumberFormat="1" applyFont="1" applyFill="1" applyBorder="1" applyAlignment="1">
      <alignment horizontal="centerContinuous"/>
    </xf>
    <xf numFmtId="0" fontId="22" fillId="0" borderId="0" xfId="0" applyFont="1" applyFill="1">
      <alignment vertical="center"/>
    </xf>
    <xf numFmtId="0" fontId="8" fillId="0" borderId="0" xfId="6" applyFont="1" applyFill="1" applyAlignment="1">
      <alignment horizontal="justify" vertical="top" wrapText="1"/>
    </xf>
    <xf numFmtId="3" fontId="32" fillId="0" borderId="0" xfId="0" applyNumberFormat="1" applyFont="1" applyFill="1" applyBorder="1" applyAlignment="1">
      <alignment horizontal="right" vertical="center"/>
    </xf>
    <xf numFmtId="0" fontId="34" fillId="0" borderId="0" xfId="0" applyFont="1" applyFill="1">
      <alignment vertical="center"/>
    </xf>
    <xf numFmtId="0" fontId="35" fillId="0" borderId="0" xfId="0" applyFont="1" applyFill="1" applyAlignment="1">
      <alignment horizontal="center" vertical="center"/>
    </xf>
    <xf numFmtId="0" fontId="4" fillId="0" borderId="73" xfId="0" applyFont="1" applyFill="1" applyBorder="1" applyAlignment="1">
      <alignment horizontal="center" vertical="center"/>
    </xf>
    <xf numFmtId="0" fontId="4" fillId="0" borderId="74"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76" xfId="0" applyFont="1" applyFill="1" applyBorder="1" applyAlignment="1">
      <alignment horizontal="center" vertical="center"/>
    </xf>
    <xf numFmtId="0" fontId="4" fillId="0" borderId="77" xfId="0" applyFont="1" applyFill="1" applyBorder="1" applyAlignment="1">
      <alignment horizontal="center" vertical="center"/>
    </xf>
    <xf numFmtId="0" fontId="15" fillId="12" borderId="50" xfId="0" applyNumberFormat="1" applyFont="1" applyFill="1" applyBorder="1" applyAlignment="1">
      <alignment horizontal="left" wrapText="1"/>
    </xf>
    <xf numFmtId="3" fontId="7" fillId="12" borderId="13" xfId="0" applyNumberFormat="1" applyFont="1" applyFill="1" applyBorder="1" applyAlignment="1">
      <alignment horizontal="right"/>
    </xf>
    <xf numFmtId="3" fontId="7" fillId="12" borderId="0" xfId="0" applyNumberFormat="1" applyFont="1" applyFill="1" applyBorder="1" applyAlignment="1">
      <alignment horizontal="right"/>
    </xf>
    <xf numFmtId="3" fontId="7" fillId="12" borderId="51" xfId="0" applyNumberFormat="1" applyFont="1" applyFill="1" applyBorder="1" applyAlignment="1">
      <alignment horizontal="right"/>
    </xf>
    <xf numFmtId="0" fontId="37" fillId="0" borderId="0" xfId="6" applyFont="1" applyFill="1" applyBorder="1" applyAlignment="1">
      <alignment horizontal="left" vertical="top" wrapText="1"/>
    </xf>
    <xf numFmtId="0" fontId="8" fillId="0" borderId="0" xfId="0" applyFont="1" applyFill="1" applyAlignment="1">
      <alignment vertical="center"/>
    </xf>
    <xf numFmtId="0" fontId="8" fillId="0" borderId="0" xfId="0" applyFont="1" applyFill="1" applyAlignment="1"/>
    <xf numFmtId="0" fontId="9" fillId="0" borderId="56" xfId="0" applyFont="1" applyFill="1" applyBorder="1" applyAlignment="1" applyProtection="1">
      <alignment horizontal="left"/>
    </xf>
    <xf numFmtId="37" fontId="8" fillId="0" borderId="56" xfId="0" applyNumberFormat="1" applyFont="1" applyFill="1" applyBorder="1" applyAlignment="1" applyProtection="1"/>
    <xf numFmtId="0" fontId="17" fillId="0" borderId="2" xfId="0" applyFont="1" applyFill="1" applyBorder="1" applyAlignment="1" applyProtection="1">
      <alignment horizontal="center"/>
    </xf>
    <xf numFmtId="0" fontId="8" fillId="0" borderId="2" xfId="0" applyFont="1" applyFill="1" applyBorder="1" applyAlignment="1" applyProtection="1"/>
    <xf numFmtId="0" fontId="9" fillId="0" borderId="2" xfId="0" applyFont="1" applyFill="1" applyBorder="1" applyAlignment="1" applyProtection="1">
      <alignment horizontal="center"/>
    </xf>
    <xf numFmtId="3" fontId="8" fillId="0" borderId="0" xfId="0" applyNumberFormat="1" applyFont="1" applyFill="1" applyBorder="1" applyAlignment="1">
      <alignment horizontal="right"/>
    </xf>
    <xf numFmtId="37" fontId="8" fillId="0" borderId="78" xfId="0" applyNumberFormat="1" applyFont="1" applyFill="1" applyBorder="1" applyAlignment="1" applyProtection="1"/>
    <xf numFmtId="37" fontId="8" fillId="0" borderId="1" xfId="0" applyNumberFormat="1" applyFont="1" applyFill="1" applyBorder="1" applyAlignment="1" applyProtection="1"/>
    <xf numFmtId="0" fontId="8" fillId="0" borderId="79" xfId="0" applyFont="1" applyFill="1" applyBorder="1" applyAlignment="1" applyProtection="1">
      <alignment horizontal="center"/>
    </xf>
    <xf numFmtId="0" fontId="9" fillId="12" borderId="56" xfId="0" applyNumberFormat="1" applyFont="1" applyFill="1" applyBorder="1" applyAlignment="1">
      <alignment horizontal="left"/>
    </xf>
    <xf numFmtId="37" fontId="8" fillId="12" borderId="0" xfId="0" applyNumberFormat="1" applyFont="1" applyFill="1" applyBorder="1" applyAlignment="1" applyProtection="1"/>
    <xf numFmtId="37" fontId="8" fillId="12" borderId="0" xfId="0" applyNumberFormat="1" applyFont="1" applyFill="1" applyBorder="1" applyAlignment="1" applyProtection="1">
      <alignment horizontal="right"/>
    </xf>
    <xf numFmtId="37" fontId="8" fillId="12" borderId="56" xfId="0" applyNumberFormat="1" applyFont="1" applyFill="1" applyBorder="1" applyAlignment="1" applyProtection="1"/>
    <xf numFmtId="0" fontId="8" fillId="12" borderId="2" xfId="0" applyFont="1" applyFill="1" applyBorder="1" applyAlignment="1" applyProtection="1">
      <alignment horizontal="center"/>
    </xf>
    <xf numFmtId="0" fontId="8" fillId="12" borderId="0" xfId="0" applyFont="1" applyFill="1" applyAlignment="1"/>
    <xf numFmtId="0" fontId="40" fillId="0" borderId="0" xfId="6" applyFont="1" applyFill="1" applyAlignment="1">
      <alignment horizontal="center" vertical="center"/>
    </xf>
    <xf numFmtId="0" fontId="37" fillId="0" borderId="0" xfId="6" applyFont="1" applyFill="1">
      <alignment vertical="center"/>
    </xf>
    <xf numFmtId="175" fontId="33" fillId="0" borderId="71" xfId="0" applyNumberFormat="1" applyFont="1" applyFill="1" applyBorder="1" applyAlignment="1">
      <alignment horizontal="right"/>
    </xf>
    <xf numFmtId="175" fontId="33" fillId="0" borderId="80" xfId="0" applyNumberFormat="1" applyFont="1" applyFill="1" applyBorder="1" applyAlignment="1">
      <alignment horizontal="right"/>
    </xf>
    <xf numFmtId="175" fontId="33" fillId="0" borderId="80" xfId="1" applyNumberFormat="1" applyFont="1" applyFill="1" applyBorder="1" applyAlignment="1">
      <alignment horizontal="right"/>
    </xf>
    <xf numFmtId="175" fontId="33" fillId="0" borderId="71" xfId="18" applyNumberFormat="1" applyFont="1" applyFill="1" applyBorder="1" applyAlignment="1">
      <alignment horizontal="right"/>
    </xf>
    <xf numFmtId="175" fontId="33" fillId="0" borderId="71" xfId="1" applyNumberFormat="1" applyFont="1" applyFill="1" applyBorder="1" applyAlignment="1">
      <alignment horizontal="right"/>
    </xf>
    <xf numFmtId="3" fontId="16" fillId="12" borderId="22" xfId="0" applyNumberFormat="1" applyFont="1" applyFill="1" applyBorder="1">
      <alignment vertical="center"/>
    </xf>
    <xf numFmtId="175" fontId="33" fillId="12" borderId="71" xfId="18" applyNumberFormat="1" applyFont="1" applyFill="1" applyBorder="1" applyAlignment="1">
      <alignment horizontal="right"/>
    </xf>
    <xf numFmtId="175" fontId="33" fillId="12" borderId="71" xfId="0" applyNumberFormat="1" applyFont="1" applyFill="1" applyBorder="1" applyAlignment="1">
      <alignment horizontal="right"/>
    </xf>
    <xf numFmtId="175" fontId="33" fillId="12" borderId="80" xfId="0" applyNumberFormat="1" applyFont="1" applyFill="1" applyBorder="1" applyAlignment="1">
      <alignment horizontal="right"/>
    </xf>
    <xf numFmtId="175" fontId="33" fillId="12" borderId="80" xfId="1" applyNumberFormat="1" applyFont="1" applyFill="1" applyBorder="1" applyAlignment="1">
      <alignment horizontal="right"/>
    </xf>
    <xf numFmtId="175" fontId="33" fillId="12" borderId="71" xfId="1" applyNumberFormat="1" applyFont="1" applyFill="1" applyBorder="1" applyAlignment="1">
      <alignment horizontal="right"/>
    </xf>
    <xf numFmtId="3" fontId="16" fillId="0" borderId="81" xfId="0" applyNumberFormat="1" applyFont="1" applyBorder="1">
      <alignment vertical="center"/>
    </xf>
    <xf numFmtId="175" fontId="33" fillId="0" borderId="43" xfId="0" applyNumberFormat="1" applyFont="1" applyFill="1" applyBorder="1" applyAlignment="1">
      <alignment horizontal="right"/>
    </xf>
    <xf numFmtId="175" fontId="33" fillId="0" borderId="82" xfId="0" applyNumberFormat="1" applyFont="1" applyFill="1" applyBorder="1" applyAlignment="1">
      <alignment horizontal="right"/>
    </xf>
    <xf numFmtId="175" fontId="33" fillId="0" borderId="83" xfId="18" applyNumberFormat="1" applyFont="1" applyFill="1" applyBorder="1" applyAlignment="1">
      <alignment horizontal="right"/>
    </xf>
    <xf numFmtId="175" fontId="33" fillId="0" borderId="42" xfId="0" applyNumberFormat="1" applyFont="1" applyFill="1" applyBorder="1" applyAlignment="1">
      <alignment horizontal="right"/>
    </xf>
    <xf numFmtId="175" fontId="33" fillId="0" borderId="42" xfId="1" applyNumberFormat="1" applyFont="1" applyFill="1" applyBorder="1" applyAlignment="1">
      <alignment horizontal="right"/>
    </xf>
    <xf numFmtId="175" fontId="33" fillId="0" borderId="82" xfId="1" applyNumberFormat="1" applyFont="1" applyFill="1" applyBorder="1" applyAlignment="1">
      <alignment horizontal="right"/>
    </xf>
    <xf numFmtId="175" fontId="33" fillId="0" borderId="83" xfId="0" applyNumberFormat="1" applyFont="1" applyFill="1" applyBorder="1" applyAlignment="1">
      <alignment horizontal="right"/>
    </xf>
    <xf numFmtId="0" fontId="9" fillId="0" borderId="84" xfId="0" applyFont="1" applyFill="1" applyBorder="1">
      <alignment vertical="center"/>
    </xf>
    <xf numFmtId="0" fontId="9" fillId="0" borderId="85" xfId="0" applyFont="1" applyFill="1" applyBorder="1" applyAlignment="1">
      <alignment horizontal="center" vertical="center" wrapText="1"/>
    </xf>
    <xf numFmtId="0" fontId="9" fillId="0" borderId="86" xfId="0" applyFont="1" applyFill="1" applyBorder="1" applyAlignment="1">
      <alignment horizontal="center" vertical="center" wrapText="1"/>
    </xf>
    <xf numFmtId="172" fontId="9" fillId="0" borderId="86" xfId="18" applyNumberFormat="1" applyFont="1" applyFill="1" applyBorder="1" applyAlignment="1">
      <alignment horizontal="center" vertical="center" wrapText="1"/>
    </xf>
    <xf numFmtId="174" fontId="9" fillId="0" borderId="86" xfId="1" applyNumberFormat="1" applyFont="1" applyFill="1" applyBorder="1" applyAlignment="1">
      <alignment horizontal="center" vertical="center" wrapText="1"/>
    </xf>
    <xf numFmtId="0" fontId="9" fillId="0" borderId="87" xfId="0" applyFont="1" applyFill="1" applyBorder="1" applyAlignment="1">
      <alignment horizontal="center" vertical="center" wrapText="1"/>
    </xf>
    <xf numFmtId="3" fontId="26" fillId="0" borderId="0" xfId="0" applyNumberFormat="1" applyFont="1" applyFill="1" applyAlignment="1">
      <alignment vertical="center" wrapText="1"/>
    </xf>
    <xf numFmtId="3" fontId="2" fillId="0" borderId="18" xfId="0" applyNumberFormat="1" applyFont="1" applyFill="1" applyBorder="1" applyAlignment="1" applyProtection="1">
      <alignment vertical="center"/>
    </xf>
    <xf numFmtId="179" fontId="2" fillId="0" borderId="8" xfId="1" applyNumberFormat="1" applyFont="1" applyFill="1" applyBorder="1" applyAlignment="1" applyProtection="1">
      <alignment vertical="center"/>
    </xf>
    <xf numFmtId="179" fontId="2" fillId="0" borderId="5" xfId="1" applyNumberFormat="1" applyFont="1" applyFill="1" applyBorder="1" applyAlignment="1" applyProtection="1">
      <alignment vertical="center"/>
    </xf>
    <xf numFmtId="179" fontId="2" fillId="0" borderId="9" xfId="1" applyNumberFormat="1" applyFont="1" applyFill="1" applyBorder="1" applyAlignment="1" applyProtection="1">
      <alignment vertical="center"/>
    </xf>
    <xf numFmtId="3" fontId="2" fillId="0" borderId="8" xfId="0" applyNumberFormat="1" applyFont="1" applyFill="1" applyBorder="1" applyAlignment="1" applyProtection="1">
      <alignment vertical="center"/>
    </xf>
    <xf numFmtId="3" fontId="2" fillId="0" borderId="5" xfId="0" applyNumberFormat="1" applyFont="1" applyFill="1" applyBorder="1" applyAlignment="1" applyProtection="1">
      <alignment vertical="center"/>
    </xf>
    <xf numFmtId="3" fontId="2" fillId="0" borderId="9" xfId="0" applyNumberFormat="1" applyFont="1" applyFill="1" applyBorder="1" applyAlignment="1" applyProtection="1">
      <alignment vertical="center"/>
    </xf>
    <xf numFmtId="179" fontId="28" fillId="0" borderId="0" xfId="1" applyNumberFormat="1" applyFont="1" applyFill="1" applyAlignment="1">
      <alignment vertical="center"/>
    </xf>
    <xf numFmtId="0" fontId="36" fillId="0" borderId="0" xfId="0" applyFont="1" applyFill="1" applyAlignment="1">
      <alignment horizontal="left" vertical="center"/>
    </xf>
    <xf numFmtId="0" fontId="8" fillId="0" borderId="0" xfId="0" applyFont="1" applyFill="1" applyAlignment="1">
      <alignment horizontal="left" vertical="top" wrapText="1"/>
    </xf>
    <xf numFmtId="0" fontId="8" fillId="0" borderId="0" xfId="0" applyNumberFormat="1" applyFont="1" applyFill="1" applyAlignment="1">
      <alignment horizontal="left" vertical="top" wrapText="1"/>
    </xf>
    <xf numFmtId="0" fontId="8" fillId="0" borderId="0" xfId="0" applyFont="1" applyFill="1" applyAlignment="1">
      <alignment vertical="top" wrapText="1"/>
    </xf>
    <xf numFmtId="0" fontId="15" fillId="0" borderId="0" xfId="0" applyFont="1" applyFill="1" applyAlignment="1">
      <alignment horizontal="centerContinuous" wrapText="1"/>
    </xf>
    <xf numFmtId="0" fontId="15" fillId="0" borderId="0" xfId="0" applyFont="1" applyFill="1" applyAlignment="1">
      <alignment horizontal="centerContinuous"/>
    </xf>
    <xf numFmtId="0" fontId="4" fillId="0" borderId="0" xfId="0" applyFont="1" applyFill="1">
      <alignment vertical="center"/>
    </xf>
    <xf numFmtId="0" fontId="2" fillId="0" borderId="0" xfId="0" applyFont="1" applyFill="1" applyAlignment="1">
      <alignment horizontal="center" vertical="center"/>
    </xf>
    <xf numFmtId="0" fontId="4" fillId="0" borderId="88" xfId="0" applyFont="1" applyFill="1" applyBorder="1">
      <alignment vertical="center"/>
    </xf>
    <xf numFmtId="0" fontId="4" fillId="0" borderId="89" xfId="0" applyFont="1" applyFill="1" applyBorder="1">
      <alignment vertical="center"/>
    </xf>
    <xf numFmtId="0" fontId="4" fillId="0" borderId="13" xfId="0" applyFont="1" applyFill="1" applyBorder="1" applyAlignment="1">
      <alignment horizontal="centerContinuous"/>
    </xf>
    <xf numFmtId="16" fontId="4" fillId="0" borderId="80" xfId="0" quotePrefix="1" applyNumberFormat="1" applyFont="1" applyFill="1" applyBorder="1" applyAlignment="1">
      <alignment horizontal="center" vertical="center"/>
    </xf>
    <xf numFmtId="0" fontId="4" fillId="0" borderId="17" xfId="0" applyFont="1" applyFill="1" applyBorder="1">
      <alignment vertical="center"/>
    </xf>
    <xf numFmtId="0" fontId="4" fillId="0" borderId="90" xfId="0" applyFont="1" applyFill="1" applyBorder="1" applyAlignment="1">
      <alignment horizontal="center" vertical="center"/>
    </xf>
    <xf numFmtId="0" fontId="4" fillId="0" borderId="90" xfId="0" applyFont="1" applyFill="1" applyBorder="1" applyAlignment="1">
      <alignment horizontal="center" vertical="center" wrapText="1"/>
    </xf>
    <xf numFmtId="0" fontId="4" fillId="0" borderId="13" xfId="0" applyNumberFormat="1" applyFont="1" applyFill="1" applyBorder="1" applyAlignment="1">
      <alignment horizontal="left"/>
    </xf>
    <xf numFmtId="0" fontId="8" fillId="0" borderId="58" xfId="0" applyFont="1" applyFill="1" applyBorder="1">
      <alignment vertical="center"/>
    </xf>
    <xf numFmtId="0" fontId="8" fillId="0" borderId="3" xfId="0" applyFont="1" applyFill="1" applyBorder="1">
      <alignment vertical="center"/>
    </xf>
    <xf numFmtId="176" fontId="8" fillId="0" borderId="3" xfId="0" applyNumberFormat="1" applyFont="1" applyFill="1" applyBorder="1">
      <alignment vertical="center"/>
    </xf>
    <xf numFmtId="0" fontId="8" fillId="0" borderId="91" xfId="0" applyFont="1" applyFill="1" applyBorder="1">
      <alignment vertical="center"/>
    </xf>
    <xf numFmtId="0" fontId="8" fillId="0" borderId="92" xfId="0" applyFont="1" applyFill="1" applyBorder="1">
      <alignment vertical="center"/>
    </xf>
    <xf numFmtId="171" fontId="8" fillId="0" borderId="58" xfId="1" applyNumberFormat="1" applyFont="1" applyFill="1" applyBorder="1" applyAlignment="1">
      <alignment vertical="center"/>
    </xf>
    <xf numFmtId="171" fontId="8" fillId="0" borderId="3" xfId="1" applyNumberFormat="1" applyFont="1" applyFill="1" applyBorder="1" applyAlignment="1">
      <alignment vertical="center"/>
    </xf>
    <xf numFmtId="0" fontId="8" fillId="0" borderId="91" xfId="0" applyFont="1" applyFill="1" applyBorder="1" applyAlignment="1">
      <alignment horizontal="center" vertical="center"/>
    </xf>
    <xf numFmtId="176" fontId="8" fillId="0" borderId="4" xfId="0" applyNumberFormat="1" applyFont="1" applyFill="1" applyBorder="1">
      <alignment vertical="center"/>
    </xf>
    <xf numFmtId="176" fontId="8" fillId="0" borderId="93" xfId="0" applyNumberFormat="1" applyFont="1" applyFill="1" applyBorder="1">
      <alignment vertical="center"/>
    </xf>
    <xf numFmtId="0" fontId="8" fillId="0" borderId="94" xfId="0" applyFont="1" applyFill="1" applyBorder="1">
      <alignment vertical="center"/>
    </xf>
    <xf numFmtId="171" fontId="8" fillId="0" borderId="59" xfId="1" applyNumberFormat="1" applyFont="1" applyFill="1" applyBorder="1" applyAlignment="1">
      <alignment vertical="center"/>
    </xf>
    <xf numFmtId="171" fontId="8" fillId="0" borderId="4" xfId="1" applyNumberFormat="1" applyFont="1" applyFill="1" applyBorder="1" applyAlignment="1">
      <alignment vertical="center"/>
    </xf>
    <xf numFmtId="0" fontId="64" fillId="0" borderId="93" xfId="0" applyFont="1" applyFill="1" applyBorder="1" applyAlignment="1">
      <alignment horizontal="center" vertical="center"/>
    </xf>
    <xf numFmtId="176" fontId="8" fillId="0" borderId="59" xfId="1" applyNumberFormat="1" applyFont="1" applyFill="1" applyBorder="1" applyAlignment="1">
      <alignment vertical="center"/>
    </xf>
    <xf numFmtId="0" fontId="4" fillId="12" borderId="13" xfId="0" applyNumberFormat="1" applyFont="1" applyFill="1" applyBorder="1" applyAlignment="1"/>
    <xf numFmtId="176" fontId="8" fillId="12" borderId="59" xfId="0" applyNumberFormat="1" applyFont="1" applyFill="1" applyBorder="1">
      <alignment vertical="center"/>
    </xf>
    <xf numFmtId="176" fontId="8" fillId="12" borderId="4" xfId="0" applyNumberFormat="1" applyFont="1" applyFill="1" applyBorder="1">
      <alignment vertical="center"/>
    </xf>
    <xf numFmtId="176" fontId="8" fillId="12" borderId="93" xfId="0" applyNumberFormat="1" applyFont="1" applyFill="1" applyBorder="1">
      <alignment vertical="center"/>
    </xf>
    <xf numFmtId="0" fontId="8" fillId="12" borderId="94" xfId="0" applyFont="1" applyFill="1" applyBorder="1">
      <alignment vertical="center"/>
    </xf>
    <xf numFmtId="171" fontId="8" fillId="12" borderId="59" xfId="1" applyNumberFormat="1" applyFont="1" applyFill="1" applyBorder="1" applyAlignment="1">
      <alignment vertical="center"/>
    </xf>
    <xf numFmtId="171" fontId="8" fillId="12" borderId="4" xfId="1" applyNumberFormat="1" applyFont="1" applyFill="1" applyBorder="1" applyAlignment="1">
      <alignment vertical="center"/>
    </xf>
    <xf numFmtId="0" fontId="64" fillId="12" borderId="93" xfId="0" applyFont="1" applyFill="1" applyBorder="1" applyAlignment="1">
      <alignment horizontal="center" vertical="center"/>
    </xf>
    <xf numFmtId="0" fontId="36" fillId="0" borderId="0" xfId="6" applyFont="1" applyFill="1" applyAlignment="1">
      <alignment horizontal="left" vertical="center"/>
    </xf>
    <xf numFmtId="0" fontId="8" fillId="0" borderId="0" xfId="6" applyFont="1" applyFill="1" applyAlignment="1">
      <alignment horizontal="left" vertical="top"/>
    </xf>
    <xf numFmtId="0" fontId="15" fillId="0" borderId="0" xfId="0" applyFont="1" applyFill="1" applyAlignment="1">
      <alignment horizontal="centerContinuous" vertical="center" wrapText="1"/>
    </xf>
    <xf numFmtId="0" fontId="8" fillId="0" borderId="0" xfId="0" applyFont="1" applyFill="1" applyAlignment="1">
      <alignment horizontal="centerContinuous" vertical="center" wrapText="1"/>
    </xf>
    <xf numFmtId="0" fontId="2" fillId="0" borderId="0" xfId="0" applyFont="1" applyFill="1" applyAlignment="1">
      <alignment horizontal="centerContinuous" vertical="center" wrapText="1"/>
    </xf>
    <xf numFmtId="0" fontId="4" fillId="0" borderId="95" xfId="0" applyFont="1" applyFill="1" applyBorder="1">
      <alignment vertical="center"/>
    </xf>
    <xf numFmtId="0" fontId="4" fillId="0" borderId="96" xfId="0" applyFont="1" applyFill="1" applyBorder="1" applyAlignment="1">
      <alignment horizontal="center" vertical="center" wrapText="1"/>
    </xf>
    <xf numFmtId="0" fontId="4" fillId="0" borderId="97" xfId="0" applyFont="1" applyFill="1" applyBorder="1" applyAlignment="1">
      <alignment horizontal="center" vertical="center" wrapText="1"/>
    </xf>
    <xf numFmtId="0" fontId="4" fillId="0" borderId="56" xfId="0" applyNumberFormat="1" applyFont="1" applyFill="1" applyBorder="1" applyAlignment="1">
      <alignment horizontal="left"/>
    </xf>
    <xf numFmtId="3" fontId="2" fillId="0" borderId="98" xfId="0" applyNumberFormat="1" applyFont="1" applyFill="1" applyBorder="1">
      <alignment vertical="center"/>
    </xf>
    <xf numFmtId="3" fontId="2" fillId="0" borderId="99" xfId="0" applyNumberFormat="1" applyFont="1" applyFill="1" applyBorder="1">
      <alignment vertical="center"/>
    </xf>
    <xf numFmtId="10" fontId="2" fillId="0" borderId="100" xfId="19" applyNumberFormat="1" applyFont="1" applyFill="1" applyBorder="1" applyAlignment="1">
      <alignment vertical="center"/>
    </xf>
    <xf numFmtId="3" fontId="2" fillId="0" borderId="101" xfId="0" applyNumberFormat="1" applyFont="1" applyFill="1" applyBorder="1">
      <alignment vertical="center"/>
    </xf>
    <xf numFmtId="3" fontId="2" fillId="0" borderId="102" xfId="0" applyNumberFormat="1" applyFont="1" applyFill="1" applyBorder="1">
      <alignment vertical="center"/>
    </xf>
    <xf numFmtId="177" fontId="2" fillId="0" borderId="103" xfId="20" applyNumberFormat="1" applyFont="1" applyFill="1" applyBorder="1" applyAlignment="1">
      <alignment vertical="center"/>
    </xf>
    <xf numFmtId="0" fontId="4" fillId="12" borderId="56" xfId="0" applyNumberFormat="1" applyFont="1" applyFill="1" applyBorder="1" applyAlignment="1"/>
    <xf numFmtId="3" fontId="2" fillId="12" borderId="101" xfId="0" applyNumberFormat="1" applyFont="1" applyFill="1" applyBorder="1">
      <alignment vertical="center"/>
    </xf>
    <xf numFmtId="3" fontId="2" fillId="12" borderId="102" xfId="0" applyNumberFormat="1" applyFont="1" applyFill="1" applyBorder="1">
      <alignment vertical="center"/>
    </xf>
    <xf numFmtId="177" fontId="2" fillId="12" borderId="103" xfId="19" applyNumberFormat="1" applyFont="1" applyFill="1" applyBorder="1" applyAlignment="1">
      <alignment vertical="center"/>
    </xf>
    <xf numFmtId="0" fontId="8" fillId="0" borderId="0" xfId="6" applyFont="1" applyFill="1" applyBorder="1" applyAlignment="1">
      <alignment horizontal="left" vertical="top"/>
    </xf>
    <xf numFmtId="3" fontId="15" fillId="0" borderId="1" xfId="8" applyNumberFormat="1" applyFont="1" applyBorder="1" applyAlignment="1">
      <alignment horizontal="center"/>
    </xf>
    <xf numFmtId="3" fontId="15" fillId="0" borderId="1" xfId="8" applyNumberFormat="1" applyFont="1" applyBorder="1"/>
    <xf numFmtId="3" fontId="2" fillId="0" borderId="0" xfId="8" applyNumberFormat="1" applyFont="1" applyBorder="1" applyAlignment="1">
      <alignment horizontal="centerContinuous" vertical="center"/>
    </xf>
    <xf numFmtId="3" fontId="4" fillId="0" borderId="0" xfId="8" applyNumberFormat="1" applyFont="1" applyBorder="1"/>
    <xf numFmtId="0" fontId="60" fillId="0" borderId="0" xfId="0" applyFont="1">
      <alignment vertical="center"/>
    </xf>
    <xf numFmtId="3" fontId="15" fillId="0" borderId="6" xfId="0" quotePrefix="1" applyNumberFormat="1" applyFont="1" applyFill="1" applyBorder="1" applyAlignment="1">
      <alignment horizontal="center"/>
    </xf>
    <xf numFmtId="3" fontId="32" fillId="0" borderId="6" xfId="0" applyNumberFormat="1" applyFont="1" applyFill="1" applyBorder="1">
      <alignment vertical="center"/>
    </xf>
    <xf numFmtId="3" fontId="15" fillId="0" borderId="0" xfId="0" quotePrefix="1" applyNumberFormat="1" applyFont="1" applyFill="1" applyBorder="1" applyAlignment="1">
      <alignment horizontal="center"/>
    </xf>
    <xf numFmtId="3" fontId="32" fillId="0" borderId="0" xfId="0" applyNumberFormat="1" applyFont="1" applyFill="1" applyBorder="1">
      <alignment vertical="center"/>
    </xf>
    <xf numFmtId="3" fontId="32" fillId="0" borderId="26" xfId="0" applyNumberFormat="1" applyFont="1" applyFill="1" applyBorder="1">
      <alignment vertical="center"/>
    </xf>
    <xf numFmtId="3" fontId="32" fillId="0" borderId="104" xfId="0" applyNumberFormat="1" applyFont="1" applyFill="1" applyBorder="1">
      <alignment vertical="center"/>
    </xf>
    <xf numFmtId="3" fontId="15" fillId="0" borderId="1" xfId="8" applyNumberFormat="1" applyFont="1" applyBorder="1" applyAlignment="1">
      <alignment horizontal="center" wrapText="1"/>
    </xf>
    <xf numFmtId="3" fontId="15" fillId="0" borderId="105" xfId="0" quotePrefix="1" applyNumberFormat="1" applyFont="1" applyFill="1" applyBorder="1" applyAlignment="1">
      <alignment horizontal="center"/>
    </xf>
    <xf numFmtId="3" fontId="21" fillId="0" borderId="0" xfId="8" applyNumberFormat="1" applyFont="1" applyAlignment="1">
      <alignment horizontal="centerContinuous" vertical="center"/>
    </xf>
    <xf numFmtId="3" fontId="15" fillId="0" borderId="0" xfId="8" applyNumberFormat="1" applyFont="1" applyAlignment="1">
      <alignment horizontal="centerContinuous" vertical="center"/>
    </xf>
    <xf numFmtId="3" fontId="15" fillId="12" borderId="31" xfId="0" quotePrefix="1" applyNumberFormat="1" applyFont="1" applyFill="1" applyBorder="1" applyAlignment="1">
      <alignment horizontal="center"/>
    </xf>
    <xf numFmtId="3" fontId="32" fillId="12" borderId="29" xfId="0" applyNumberFormat="1" applyFont="1" applyFill="1" applyBorder="1">
      <alignment vertical="center"/>
    </xf>
    <xf numFmtId="3" fontId="15" fillId="12" borderId="43" xfId="0" quotePrefix="1" applyNumberFormat="1" applyFont="1" applyFill="1" applyBorder="1" applyAlignment="1">
      <alignment horizontal="center"/>
    </xf>
    <xf numFmtId="3" fontId="32" fillId="12" borderId="30" xfId="0" applyNumberFormat="1" applyFont="1" applyFill="1" applyBorder="1">
      <alignment vertical="center"/>
    </xf>
    <xf numFmtId="3" fontId="32" fillId="0" borderId="32" xfId="0" applyNumberFormat="1" applyFont="1" applyFill="1" applyBorder="1">
      <alignment vertical="center"/>
    </xf>
    <xf numFmtId="3" fontId="32" fillId="0" borderId="34" xfId="0" applyNumberFormat="1" applyFont="1" applyFill="1" applyBorder="1">
      <alignment vertical="center"/>
    </xf>
    <xf numFmtId="3" fontId="32" fillId="12" borderId="32" xfId="0" applyNumberFormat="1" applyFont="1" applyFill="1" applyBorder="1">
      <alignment vertical="center"/>
    </xf>
    <xf numFmtId="3" fontId="32" fillId="12" borderId="39" xfId="0" applyNumberFormat="1" applyFont="1" applyFill="1" applyBorder="1">
      <alignment vertical="center"/>
    </xf>
    <xf numFmtId="3" fontId="32" fillId="0" borderId="35" xfId="0" applyNumberFormat="1" applyFont="1" applyFill="1" applyBorder="1">
      <alignment vertical="center"/>
    </xf>
    <xf numFmtId="3" fontId="32" fillId="0" borderId="106" xfId="0" applyNumberFormat="1" applyFont="1" applyFill="1" applyBorder="1">
      <alignment vertical="center"/>
    </xf>
    <xf numFmtId="0" fontId="8" fillId="0" borderId="0" xfId="0" applyFont="1" applyAlignment="1">
      <alignment horizontal="centerContinuous" vertical="center"/>
    </xf>
    <xf numFmtId="3" fontId="14" fillId="0" borderId="0" xfId="8" applyNumberFormat="1" applyFont="1" applyAlignment="1">
      <alignment horizontal="centerContinuous" vertical="center"/>
    </xf>
    <xf numFmtId="0" fontId="8" fillId="0" borderId="107" xfId="0" applyFont="1" applyBorder="1">
      <alignment vertical="center"/>
    </xf>
    <xf numFmtId="0" fontId="37" fillId="0" borderId="0" xfId="0" applyFont="1" applyAlignment="1">
      <alignment vertical="center" wrapText="1"/>
    </xf>
    <xf numFmtId="0" fontId="37" fillId="0" borderId="0" xfId="6" applyFont="1" applyAlignment="1">
      <alignment horizontal="justify" vertical="center"/>
    </xf>
    <xf numFmtId="0" fontId="37" fillId="0" borderId="0" xfId="0" applyFont="1" applyBorder="1" applyAlignment="1">
      <alignment vertical="center" wrapText="1"/>
    </xf>
    <xf numFmtId="0" fontId="37" fillId="0" borderId="0" xfId="6" applyFont="1">
      <alignment vertical="center"/>
    </xf>
    <xf numFmtId="0" fontId="37" fillId="0" borderId="0" xfId="6" applyFont="1" applyAlignment="1">
      <alignment horizontal="left" vertical="center" wrapText="1"/>
    </xf>
    <xf numFmtId="0" fontId="37" fillId="0" borderId="0" xfId="6" applyFont="1" applyAlignment="1">
      <alignment vertical="top"/>
    </xf>
    <xf numFmtId="0" fontId="8" fillId="0" borderId="0" xfId="6" applyFont="1" applyAlignment="1">
      <alignment horizontal="justify" vertical="center"/>
    </xf>
    <xf numFmtId="0" fontId="8" fillId="0" borderId="0" xfId="6" applyFont="1" applyAlignment="1">
      <alignment horizontal="left" vertical="center" wrapText="1"/>
    </xf>
    <xf numFmtId="0" fontId="12" fillId="0" borderId="0" xfId="6" applyFont="1" applyAlignment="1">
      <alignment horizontal="justify" vertical="center"/>
    </xf>
    <xf numFmtId="0" fontId="8" fillId="0" borderId="0" xfId="0" applyFont="1" applyAlignment="1">
      <alignment vertical="top" wrapText="1"/>
    </xf>
    <xf numFmtId="0" fontId="37" fillId="0" borderId="0" xfId="0" applyFont="1" applyBorder="1" applyAlignment="1">
      <alignment vertical="top" wrapText="1"/>
    </xf>
    <xf numFmtId="3" fontId="2" fillId="0" borderId="11" xfId="8" applyNumberFormat="1" applyFont="1" applyBorder="1"/>
    <xf numFmtId="3" fontId="20" fillId="0" borderId="18" xfId="8" applyNumberFormat="1" applyFont="1" applyBorder="1"/>
    <xf numFmtId="3" fontId="15" fillId="0" borderId="18" xfId="8" applyNumberFormat="1" applyFont="1" applyBorder="1"/>
    <xf numFmtId="3" fontId="4" fillId="0" borderId="108" xfId="8" applyNumberFormat="1" applyFont="1" applyBorder="1" applyAlignment="1">
      <alignment horizontal="center"/>
    </xf>
    <xf numFmtId="3" fontId="15" fillId="0" borderId="109" xfId="8" applyNumberFormat="1" applyFont="1" applyBorder="1" applyAlignment="1">
      <alignment horizontal="centerContinuous"/>
    </xf>
    <xf numFmtId="3" fontId="4" fillId="0" borderId="13" xfId="8" applyNumberFormat="1" applyFont="1" applyBorder="1" applyAlignment="1">
      <alignment horizontal="center"/>
    </xf>
    <xf numFmtId="3" fontId="15" fillId="0" borderId="110" xfId="8" applyNumberFormat="1" applyFont="1" applyBorder="1"/>
    <xf numFmtId="3" fontId="15" fillId="0" borderId="110" xfId="8" applyNumberFormat="1" applyFont="1" applyBorder="1" applyAlignment="1">
      <alignment horizontal="centerContinuous"/>
    </xf>
    <xf numFmtId="3" fontId="15" fillId="0" borderId="111" xfId="8" applyNumberFormat="1" applyFont="1" applyBorder="1" applyAlignment="1">
      <alignment horizontal="centerContinuous"/>
    </xf>
    <xf numFmtId="3" fontId="32" fillId="0" borderId="112" xfId="0" applyNumberFormat="1" applyFont="1" applyFill="1" applyBorder="1">
      <alignment vertical="center"/>
    </xf>
    <xf numFmtId="3" fontId="32" fillId="12" borderId="113" xfId="0" applyNumberFormat="1" applyFont="1" applyFill="1" applyBorder="1">
      <alignment vertical="center"/>
    </xf>
    <xf numFmtId="3" fontId="32" fillId="12" borderId="114" xfId="0" applyNumberFormat="1" applyFont="1" applyFill="1" applyBorder="1">
      <alignment vertical="center"/>
    </xf>
    <xf numFmtId="3" fontId="32" fillId="0" borderId="115" xfId="0" applyNumberFormat="1" applyFont="1" applyFill="1" applyBorder="1">
      <alignment vertical="center"/>
    </xf>
    <xf numFmtId="3" fontId="32" fillId="0" borderId="116" xfId="0" applyNumberFormat="1" applyFont="1" applyFill="1" applyBorder="1">
      <alignment vertical="center"/>
    </xf>
    <xf numFmtId="3" fontId="15" fillId="12" borderId="9" xfId="0" quotePrefix="1" applyNumberFormat="1" applyFont="1" applyFill="1" applyBorder="1" applyAlignment="1">
      <alignment horizontal="center"/>
    </xf>
    <xf numFmtId="3" fontId="32" fillId="12" borderId="10" xfId="0" applyNumberFormat="1" applyFont="1" applyFill="1" applyBorder="1">
      <alignment vertical="center"/>
    </xf>
    <xf numFmtId="3" fontId="32" fillId="12" borderId="40" xfId="0" applyNumberFormat="1" applyFont="1" applyFill="1" applyBorder="1">
      <alignment vertical="center"/>
    </xf>
    <xf numFmtId="3" fontId="32" fillId="12" borderId="117" xfId="0" applyNumberFormat="1" applyFont="1" applyFill="1" applyBorder="1">
      <alignment vertical="center"/>
    </xf>
    <xf numFmtId="0" fontId="8" fillId="0" borderId="0" xfId="6" applyFont="1" applyAlignment="1">
      <alignment vertical="top" wrapText="1"/>
    </xf>
    <xf numFmtId="0" fontId="8" fillId="0" borderId="0" xfId="6" applyFont="1" applyAlignment="1">
      <alignment horizontal="left" vertical="top" wrapText="1"/>
    </xf>
    <xf numFmtId="0" fontId="16" fillId="0" borderId="63" xfId="0" applyNumberFormat="1" applyFont="1" applyFill="1" applyBorder="1" applyAlignment="1"/>
    <xf numFmtId="0" fontId="16" fillId="0" borderId="118" xfId="0" applyNumberFormat="1" applyFont="1" applyFill="1" applyBorder="1" applyAlignment="1">
      <alignment horizontal="centerContinuous"/>
    </xf>
    <xf numFmtId="0" fontId="16" fillId="12" borderId="13" xfId="0" applyNumberFormat="1" applyFont="1" applyFill="1" applyBorder="1" applyAlignment="1"/>
    <xf numFmtId="0" fontId="16" fillId="0" borderId="17" xfId="0" applyNumberFormat="1" applyFont="1" applyFill="1" applyBorder="1" applyAlignment="1"/>
    <xf numFmtId="3" fontId="16" fillId="0" borderId="10" xfId="0" applyNumberFormat="1" applyFont="1" applyFill="1" applyBorder="1" applyAlignment="1"/>
    <xf numFmtId="0" fontId="15" fillId="0" borderId="0" xfId="0" applyNumberFormat="1" applyFont="1" applyFill="1" applyBorder="1" applyAlignment="1">
      <alignment horizontal="centerContinuous"/>
    </xf>
    <xf numFmtId="0" fontId="4" fillId="0" borderId="0" xfId="0" applyNumberFormat="1" applyFont="1" applyFill="1" applyBorder="1" applyAlignment="1">
      <alignment horizontal="centerContinuous"/>
    </xf>
    <xf numFmtId="0" fontId="5" fillId="0" borderId="0" xfId="0" applyFont="1" applyFill="1" applyAlignment="1">
      <alignment horizontal="centerContinuous" vertical="top" wrapText="1"/>
    </xf>
    <xf numFmtId="0" fontId="0" fillId="0" borderId="0" xfId="0" applyFill="1" applyBorder="1" applyAlignment="1">
      <alignment horizontal="centerContinuous" vertical="top" wrapText="1"/>
    </xf>
    <xf numFmtId="0" fontId="0" fillId="0" borderId="0" xfId="0" applyFill="1" applyAlignment="1">
      <alignment horizontal="centerContinuous" vertical="top" wrapText="1"/>
    </xf>
    <xf numFmtId="0" fontId="5" fillId="0" borderId="0" xfId="0" applyFont="1" applyAlignment="1">
      <alignment horizontal="center" vertical="top"/>
    </xf>
    <xf numFmtId="0" fontId="11" fillId="0" borderId="0" xfId="0" applyFont="1" applyAlignment="1">
      <alignment vertical="top"/>
    </xf>
    <xf numFmtId="3" fontId="15" fillId="0" borderId="0" xfId="0" applyNumberFormat="1" applyFont="1" applyFill="1" applyBorder="1" applyAlignment="1">
      <alignment horizontal="centerContinuous" vertical="top" wrapText="1"/>
    </xf>
    <xf numFmtId="0" fontId="47" fillId="0" borderId="0" xfId="0" applyFont="1" applyFill="1" applyAlignment="1">
      <alignment horizontal="centerContinuous" vertical="top" wrapText="1"/>
    </xf>
    <xf numFmtId="179" fontId="47" fillId="0" borderId="0" xfId="0" applyNumberFormat="1" applyFont="1" applyFill="1" applyAlignment="1">
      <alignment horizontal="centerContinuous" vertical="top" wrapText="1"/>
    </xf>
    <xf numFmtId="3" fontId="47" fillId="0" borderId="0" xfId="0" applyNumberFormat="1" applyFont="1" applyFill="1" applyAlignment="1">
      <alignment horizontal="centerContinuous" vertical="top" wrapText="1"/>
    </xf>
    <xf numFmtId="171" fontId="47" fillId="0" borderId="0" xfId="0" applyNumberFormat="1" applyFont="1" applyFill="1" applyAlignment="1">
      <alignment horizontal="centerContinuous" vertical="top" wrapText="1"/>
    </xf>
    <xf numFmtId="0" fontId="47" fillId="0" borderId="0" xfId="0" applyFont="1" applyFill="1" applyAlignment="1">
      <alignment horizontal="centerContinuous" vertical="center" wrapText="1"/>
    </xf>
    <xf numFmtId="0" fontId="4" fillId="12" borderId="17" xfId="0" applyNumberFormat="1" applyFont="1" applyFill="1" applyBorder="1" applyAlignment="1"/>
    <xf numFmtId="176" fontId="8" fillId="12" borderId="60" xfId="0" applyNumberFormat="1" applyFont="1" applyFill="1" applyBorder="1">
      <alignment vertical="center"/>
    </xf>
    <xf numFmtId="176" fontId="8" fillId="12" borderId="25" xfId="0" applyNumberFormat="1" applyFont="1" applyFill="1" applyBorder="1">
      <alignment vertical="center"/>
    </xf>
    <xf numFmtId="176" fontId="8" fillId="12" borderId="119" xfId="0" applyNumberFormat="1" applyFont="1" applyFill="1" applyBorder="1">
      <alignment vertical="center"/>
    </xf>
    <xf numFmtId="0" fontId="8" fillId="12" borderId="120" xfId="0" applyFont="1" applyFill="1" applyBorder="1">
      <alignment vertical="center"/>
    </xf>
    <xf numFmtId="171" fontId="8" fillId="12" borderId="60" xfId="1" applyNumberFormat="1" applyFont="1" applyFill="1" applyBorder="1" applyAlignment="1">
      <alignment vertical="center"/>
    </xf>
    <xf numFmtId="171" fontId="8" fillId="12" borderId="25" xfId="1" applyNumberFormat="1" applyFont="1" applyFill="1" applyBorder="1" applyAlignment="1">
      <alignment vertical="center"/>
    </xf>
    <xf numFmtId="0" fontId="64" fillId="12" borderId="119" xfId="0" applyFont="1" applyFill="1" applyBorder="1" applyAlignment="1">
      <alignment horizontal="center" vertical="center"/>
    </xf>
    <xf numFmtId="177" fontId="2" fillId="0" borderId="103" xfId="20" applyNumberFormat="1" applyFont="1" applyFill="1" applyBorder="1" applyAlignment="1">
      <alignment horizontal="right" vertical="center"/>
    </xf>
    <xf numFmtId="3" fontId="15" fillId="0" borderId="71" xfId="8" applyNumberFormat="1" applyFont="1" applyFill="1" applyBorder="1" applyAlignment="1">
      <alignment horizontal="center" vertical="center"/>
    </xf>
    <xf numFmtId="3" fontId="15" fillId="0" borderId="43" xfId="8" applyNumberFormat="1" applyFont="1" applyFill="1" applyBorder="1" applyAlignment="1">
      <alignment horizontal="centerContinuous"/>
    </xf>
    <xf numFmtId="3" fontId="32" fillId="0" borderId="5" xfId="0" applyNumberFormat="1" applyFont="1" applyBorder="1" applyAlignment="1">
      <alignment horizontal="right" vertical="center"/>
    </xf>
    <xf numFmtId="3" fontId="32" fillId="0" borderId="121" xfId="0" applyNumberFormat="1" applyFont="1" applyBorder="1" applyAlignment="1">
      <alignment horizontal="right" vertical="center"/>
    </xf>
    <xf numFmtId="3" fontId="32" fillId="8" borderId="5" xfId="0" applyNumberFormat="1" applyFont="1" applyFill="1" applyBorder="1" applyAlignment="1">
      <alignment horizontal="right" vertical="center"/>
    </xf>
    <xf numFmtId="3" fontId="32" fillId="4" borderId="43" xfId="0" applyNumberFormat="1" applyFont="1" applyFill="1" applyBorder="1" applyAlignment="1">
      <alignment horizontal="right" vertical="center"/>
    </xf>
    <xf numFmtId="3" fontId="22" fillId="0" borderId="0" xfId="8" applyNumberFormat="1" applyFont="1" applyBorder="1"/>
    <xf numFmtId="3" fontId="15" fillId="0" borderId="122" xfId="8" applyNumberFormat="1" applyFont="1" applyFill="1" applyBorder="1" applyAlignment="1">
      <alignment horizontal="center" vertical="center"/>
    </xf>
    <xf numFmtId="3" fontId="15" fillId="0" borderId="123" xfId="8" applyNumberFormat="1" applyFont="1" applyFill="1" applyBorder="1" applyAlignment="1">
      <alignment horizontal="centerContinuous"/>
    </xf>
    <xf numFmtId="3" fontId="20" fillId="0" borderId="94" xfId="0" applyNumberFormat="1" applyFont="1" applyBorder="1" applyAlignment="1">
      <alignment horizontal="right" vertical="center"/>
    </xf>
    <xf numFmtId="3" fontId="20" fillId="0" borderId="124" xfId="0" applyNumberFormat="1" applyFont="1" applyBorder="1" applyAlignment="1">
      <alignment horizontal="right" vertical="center"/>
    </xf>
    <xf numFmtId="3" fontId="20" fillId="2" borderId="94" xfId="0" applyNumberFormat="1" applyFont="1" applyFill="1" applyBorder="1" applyAlignment="1">
      <alignment horizontal="right" vertical="center"/>
    </xf>
    <xf numFmtId="3" fontId="20" fillId="2" borderId="123" xfId="0" applyNumberFormat="1" applyFont="1" applyFill="1" applyBorder="1" applyAlignment="1">
      <alignment horizontal="right" vertical="center"/>
    </xf>
    <xf numFmtId="3" fontId="20" fillId="8" borderId="94" xfId="0" applyNumberFormat="1" applyFont="1" applyFill="1" applyBorder="1" applyAlignment="1">
      <alignment horizontal="right" vertical="center"/>
    </xf>
    <xf numFmtId="3" fontId="20" fillId="8" borderId="123" xfId="0" applyNumberFormat="1" applyFont="1" applyFill="1" applyBorder="1" applyAlignment="1">
      <alignment horizontal="right" vertical="center"/>
    </xf>
    <xf numFmtId="3" fontId="20" fillId="4" borderId="94" xfId="0" applyNumberFormat="1" applyFont="1" applyFill="1" applyBorder="1" applyAlignment="1">
      <alignment horizontal="right" vertical="center"/>
    </xf>
    <xf numFmtId="3" fontId="20" fillId="4" borderId="124" xfId="0" applyNumberFormat="1" applyFont="1" applyFill="1" applyBorder="1" applyAlignment="1">
      <alignment horizontal="right" vertical="center"/>
    </xf>
    <xf numFmtId="3" fontId="65" fillId="0" borderId="92" xfId="0" applyNumberFormat="1" applyFont="1" applyBorder="1" applyAlignment="1">
      <alignment horizontal="right" vertical="center"/>
    </xf>
    <xf numFmtId="3" fontId="65" fillId="0" borderId="124" xfId="0" applyNumberFormat="1" applyFont="1" applyBorder="1" applyAlignment="1">
      <alignment horizontal="right" vertical="center"/>
    </xf>
    <xf numFmtId="3" fontId="65" fillId="2" borderId="94" xfId="0" applyNumberFormat="1" applyFont="1" applyFill="1" applyBorder="1" applyAlignment="1">
      <alignment horizontal="right" vertical="center"/>
    </xf>
    <xf numFmtId="3" fontId="65" fillId="2" borderId="124" xfId="0" applyNumberFormat="1" applyFont="1" applyFill="1" applyBorder="1" applyAlignment="1">
      <alignment horizontal="right" vertical="center"/>
    </xf>
    <xf numFmtId="3" fontId="65" fillId="8" borderId="94" xfId="0" applyNumberFormat="1" applyFont="1" applyFill="1" applyBorder="1" applyAlignment="1">
      <alignment horizontal="right" vertical="center"/>
    </xf>
    <xf numFmtId="3" fontId="65" fillId="8" borderId="123" xfId="0" applyNumberFormat="1" applyFont="1" applyFill="1" applyBorder="1" applyAlignment="1">
      <alignment horizontal="right" vertical="center"/>
    </xf>
    <xf numFmtId="3" fontId="65" fillId="4" borderId="94" xfId="0" applyNumberFormat="1" applyFont="1" applyFill="1" applyBorder="1" applyAlignment="1">
      <alignment horizontal="right" vertical="center"/>
    </xf>
    <xf numFmtId="3" fontId="65" fillId="4" borderId="120" xfId="0" applyNumberFormat="1" applyFont="1" applyFill="1" applyBorder="1" applyAlignment="1">
      <alignment horizontal="right" vertical="center"/>
    </xf>
    <xf numFmtId="3" fontId="32" fillId="0" borderId="31" xfId="0" applyNumberFormat="1" applyFont="1" applyFill="1" applyBorder="1">
      <alignment vertical="center"/>
    </xf>
    <xf numFmtId="3" fontId="32" fillId="0" borderId="5" xfId="0" applyNumberFormat="1" applyFont="1" applyFill="1" applyBorder="1">
      <alignment vertical="center"/>
    </xf>
    <xf numFmtId="3" fontId="32" fillId="12" borderId="31" xfId="0" applyNumberFormat="1" applyFont="1" applyFill="1" applyBorder="1">
      <alignment vertical="center"/>
    </xf>
    <xf numFmtId="3" fontId="32" fillId="12" borderId="43" xfId="0" applyNumberFormat="1" applyFont="1" applyFill="1" applyBorder="1">
      <alignment vertical="center"/>
    </xf>
    <xf numFmtId="3" fontId="32" fillId="0" borderId="33" xfId="0" applyNumberFormat="1" applyFont="1" applyFill="1" applyBorder="1">
      <alignment vertical="center"/>
    </xf>
    <xf numFmtId="3" fontId="32" fillId="0" borderId="105" xfId="0" applyNumberFormat="1" applyFont="1" applyFill="1" applyBorder="1">
      <alignment vertical="center"/>
    </xf>
    <xf numFmtId="3" fontId="32" fillId="12" borderId="9" xfId="0" applyNumberFormat="1" applyFont="1" applyFill="1" applyBorder="1">
      <alignment vertical="center"/>
    </xf>
    <xf numFmtId="3" fontId="15" fillId="0" borderId="121" xfId="8" applyNumberFormat="1" applyFont="1" applyBorder="1"/>
    <xf numFmtId="3" fontId="15" fillId="0" borderId="125" xfId="8" applyNumberFormat="1" applyFont="1" applyBorder="1" applyAlignment="1">
      <alignment horizontal="center"/>
    </xf>
    <xf numFmtId="3" fontId="15" fillId="0" borderId="126" xfId="8" applyNumberFormat="1" applyFont="1" applyBorder="1" applyAlignment="1">
      <alignment horizontal="centerContinuous"/>
    </xf>
    <xf numFmtId="3" fontId="24" fillId="0" borderId="56" xfId="0" applyNumberFormat="1" applyFont="1" applyBorder="1" applyAlignment="1" applyProtection="1">
      <alignment vertical="center"/>
    </xf>
    <xf numFmtId="3" fontId="2" fillId="0" borderId="2" xfId="0" applyNumberFormat="1" applyFont="1" applyFill="1" applyBorder="1" applyAlignment="1" applyProtection="1">
      <alignment vertical="center"/>
    </xf>
    <xf numFmtId="3" fontId="24" fillId="0" borderId="127" xfId="0" applyNumberFormat="1" applyFont="1" applyBorder="1" applyAlignment="1" applyProtection="1">
      <alignment vertical="center"/>
    </xf>
    <xf numFmtId="3" fontId="2" fillId="0" borderId="128" xfId="0" applyNumberFormat="1" applyFont="1" applyFill="1" applyBorder="1" applyAlignment="1" applyProtection="1">
      <alignment vertical="center"/>
    </xf>
    <xf numFmtId="3" fontId="24" fillId="0" borderId="129" xfId="0" applyNumberFormat="1" applyFont="1" applyBorder="1" applyAlignment="1" applyProtection="1">
      <alignment vertical="center"/>
    </xf>
    <xf numFmtId="3" fontId="2" fillId="0" borderId="130" xfId="0" applyNumberFormat="1" applyFont="1" applyFill="1" applyBorder="1" applyAlignment="1" applyProtection="1">
      <alignment vertical="center"/>
    </xf>
    <xf numFmtId="3" fontId="24" fillId="0" borderId="131" xfId="0" applyNumberFormat="1" applyFont="1" applyBorder="1" applyAlignment="1" applyProtection="1">
      <alignment vertical="center"/>
    </xf>
    <xf numFmtId="3" fontId="28" fillId="0" borderId="0" xfId="18" applyNumberFormat="1" applyFont="1" applyBorder="1" applyAlignment="1">
      <alignment vertical="center"/>
    </xf>
    <xf numFmtId="3" fontId="24" fillId="2" borderId="12" xfId="0" quotePrefix="1" applyNumberFormat="1" applyFont="1" applyFill="1" applyBorder="1" applyAlignment="1" applyProtection="1">
      <alignment vertical="center"/>
    </xf>
    <xf numFmtId="3" fontId="24" fillId="2" borderId="18" xfId="0" applyNumberFormat="1" applyFont="1" applyFill="1" applyBorder="1" applyAlignment="1" applyProtection="1">
      <alignment vertical="center"/>
    </xf>
    <xf numFmtId="3" fontId="4" fillId="2" borderId="132" xfId="18" applyNumberFormat="1" applyFont="1" applyFill="1" applyBorder="1" applyAlignment="1" applyProtection="1">
      <alignment vertical="center"/>
    </xf>
    <xf numFmtId="3" fontId="24" fillId="2" borderId="56" xfId="0" applyNumberFormat="1" applyFont="1" applyFill="1" applyBorder="1" applyAlignment="1" applyProtection="1">
      <alignment vertical="center"/>
    </xf>
    <xf numFmtId="3" fontId="4" fillId="2" borderId="133" xfId="18" applyNumberFormat="1" applyFont="1" applyFill="1" applyBorder="1" applyAlignment="1" applyProtection="1">
      <alignment vertical="center"/>
    </xf>
    <xf numFmtId="3" fontId="24" fillId="2" borderId="127" xfId="0" applyNumberFormat="1" applyFont="1" applyFill="1" applyBorder="1" applyAlignment="1" applyProtection="1">
      <alignment vertical="center"/>
    </xf>
    <xf numFmtId="3" fontId="4" fillId="2" borderId="134" xfId="18" applyNumberFormat="1" applyFont="1" applyFill="1" applyBorder="1" applyAlignment="1" applyProtection="1">
      <alignment vertical="center"/>
    </xf>
    <xf numFmtId="3" fontId="24" fillId="2" borderId="129" xfId="0" applyNumberFormat="1" applyFont="1" applyFill="1" applyBorder="1" applyAlignment="1" applyProtection="1">
      <alignment vertical="center"/>
    </xf>
    <xf numFmtId="3" fontId="4" fillId="2" borderId="135" xfId="18" applyNumberFormat="1" applyFont="1" applyFill="1" applyBorder="1" applyAlignment="1" applyProtection="1">
      <alignment vertical="center"/>
    </xf>
    <xf numFmtId="3" fontId="24" fillId="0" borderId="55" xfId="0" applyNumberFormat="1" applyFont="1" applyFill="1" applyBorder="1" applyAlignment="1">
      <alignment horizontal="center" vertical="center" wrapText="1"/>
    </xf>
    <xf numFmtId="0" fontId="23" fillId="0" borderId="52" xfId="0" applyNumberFormat="1" applyFont="1" applyFill="1" applyBorder="1" applyAlignment="1">
      <alignment vertical="center" wrapText="1"/>
    </xf>
    <xf numFmtId="3" fontId="23" fillId="0" borderId="136" xfId="0" applyNumberFormat="1" applyFont="1" applyFill="1" applyBorder="1" applyAlignment="1">
      <alignment vertical="center" wrapText="1"/>
    </xf>
    <xf numFmtId="3" fontId="24" fillId="0" borderId="137" xfId="0" applyNumberFormat="1" applyFont="1" applyFill="1" applyBorder="1" applyAlignment="1">
      <alignment horizontal="center" vertical="center" wrapText="1"/>
    </xf>
    <xf numFmtId="3" fontId="24" fillId="0" borderId="137" xfId="18" applyNumberFormat="1" applyFont="1" applyFill="1" applyBorder="1" applyAlignment="1">
      <alignment horizontal="center" vertical="center" wrapText="1"/>
    </xf>
    <xf numFmtId="169" fontId="24" fillId="0" borderId="137" xfId="0" applyNumberFormat="1" applyFont="1" applyFill="1" applyBorder="1" applyAlignment="1">
      <alignment horizontal="center" vertical="center" wrapText="1"/>
    </xf>
    <xf numFmtId="3" fontId="24" fillId="0" borderId="138" xfId="0" applyNumberFormat="1" applyFont="1" applyFill="1" applyBorder="1" applyAlignment="1">
      <alignment horizontal="center" vertical="center" wrapText="1"/>
    </xf>
    <xf numFmtId="3" fontId="24" fillId="0" borderId="139" xfId="0" applyNumberFormat="1" applyFont="1" applyBorder="1" applyAlignment="1" applyProtection="1">
      <alignment vertical="center"/>
    </xf>
    <xf numFmtId="0" fontId="23" fillId="0" borderId="20" xfId="0" applyNumberFormat="1" applyFont="1" applyBorder="1" applyAlignment="1" applyProtection="1">
      <alignment vertical="center"/>
    </xf>
    <xf numFmtId="3" fontId="23" fillId="0" borderId="27" xfId="0" applyNumberFormat="1" applyFont="1" applyBorder="1" applyAlignment="1" applyProtection="1">
      <alignment vertical="center"/>
    </xf>
    <xf numFmtId="3" fontId="2" fillId="0" borderId="20" xfId="17" applyNumberFormat="1" applyFont="1" applyFill="1" applyBorder="1" applyAlignment="1" applyProtection="1">
      <alignment vertical="center"/>
    </xf>
    <xf numFmtId="3" fontId="2" fillId="0" borderId="20" xfId="0" applyNumberFormat="1" applyFont="1" applyFill="1" applyBorder="1" applyAlignment="1" applyProtection="1">
      <alignment vertical="center"/>
    </xf>
    <xf numFmtId="3" fontId="2" fillId="0" borderId="20" xfId="18" applyNumberFormat="1" applyFont="1" applyFill="1" applyBorder="1" applyAlignment="1" applyProtection="1">
      <alignment vertical="center"/>
    </xf>
    <xf numFmtId="171" fontId="2" fillId="0" borderId="20" xfId="0" applyNumberFormat="1" applyFont="1" applyFill="1" applyBorder="1" applyAlignment="1" applyProtection="1">
      <alignment vertical="center"/>
    </xf>
    <xf numFmtId="3" fontId="2" fillId="0" borderId="21" xfId="0" applyNumberFormat="1" applyFont="1" applyFill="1" applyBorder="1" applyAlignment="1" applyProtection="1">
      <alignment vertical="center"/>
    </xf>
    <xf numFmtId="3" fontId="24" fillId="2" borderId="131" xfId="0" quotePrefix="1" applyNumberFormat="1" applyFont="1" applyFill="1" applyBorder="1" applyAlignment="1" applyProtection="1">
      <alignment vertical="center"/>
    </xf>
    <xf numFmtId="0" fontId="16" fillId="0" borderId="140" xfId="0" applyFont="1" applyFill="1" applyBorder="1" applyAlignment="1">
      <alignment horizontal="center" vertical="center" wrapText="1"/>
    </xf>
    <xf numFmtId="0" fontId="7" fillId="0" borderId="141" xfId="0" applyFont="1" applyFill="1" applyBorder="1" applyAlignment="1">
      <alignment horizontal="center" vertical="center" wrapText="1"/>
    </xf>
    <xf numFmtId="0" fontId="16" fillId="0" borderId="142" xfId="0" applyFont="1" applyFill="1" applyBorder="1" applyAlignment="1">
      <alignment horizontal="center" vertical="center" wrapText="1"/>
    </xf>
    <xf numFmtId="0" fontId="7" fillId="0" borderId="143"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7" fillId="0" borderId="144" xfId="0" applyFont="1" applyFill="1" applyBorder="1" applyAlignment="1">
      <alignment vertical="center" wrapText="1"/>
    </xf>
    <xf numFmtId="0" fontId="16" fillId="0" borderId="141" xfId="0" applyFont="1" applyFill="1" applyBorder="1" applyAlignment="1">
      <alignment horizontal="center" vertical="center" wrapText="1"/>
    </xf>
    <xf numFmtId="3" fontId="3" fillId="0" borderId="145" xfId="0" applyNumberFormat="1" applyFont="1" applyBorder="1" applyAlignment="1">
      <alignment horizontal="left" vertical="center"/>
    </xf>
    <xf numFmtId="3" fontId="3" fillId="0" borderId="59" xfId="0" applyNumberFormat="1" applyFont="1" applyBorder="1" applyAlignment="1">
      <alignment horizontal="left" vertical="center"/>
    </xf>
    <xf numFmtId="3" fontId="3" fillId="0" borderId="61" xfId="0" applyNumberFormat="1" applyFont="1" applyBorder="1" applyAlignment="1">
      <alignment horizontal="left" vertical="center"/>
    </xf>
    <xf numFmtId="3" fontId="3" fillId="7" borderId="58" xfId="0" applyNumberFormat="1" applyFont="1" applyFill="1" applyBorder="1" applyAlignment="1">
      <alignment horizontal="left" vertical="center" wrapText="1"/>
    </xf>
    <xf numFmtId="3" fontId="3" fillId="7" borderId="59" xfId="0" applyNumberFormat="1" applyFont="1" applyFill="1" applyBorder="1" applyAlignment="1">
      <alignment horizontal="left" vertical="center" wrapText="1"/>
    </xf>
    <xf numFmtId="0" fontId="0" fillId="7" borderId="59" xfId="0" applyFill="1" applyBorder="1" applyAlignment="1">
      <alignment horizontal="left" vertical="center" wrapText="1"/>
    </xf>
    <xf numFmtId="0" fontId="0" fillId="7" borderId="61" xfId="0" applyFill="1" applyBorder="1" applyAlignment="1">
      <alignment horizontal="left" vertical="center" wrapText="1"/>
    </xf>
    <xf numFmtId="3" fontId="3" fillId="0" borderId="145" xfId="0" applyNumberFormat="1" applyFont="1" applyBorder="1" applyAlignment="1">
      <alignment horizontal="left" vertical="center" wrapText="1"/>
    </xf>
    <xf numFmtId="3" fontId="3" fillId="0" borderId="59" xfId="0" applyNumberFormat="1" applyFont="1" applyBorder="1" applyAlignment="1">
      <alignment horizontal="left" vertical="center" wrapText="1"/>
    </xf>
    <xf numFmtId="3" fontId="3" fillId="0" borderId="61" xfId="0" applyNumberFormat="1" applyFont="1" applyBorder="1" applyAlignment="1">
      <alignment horizontal="left" vertical="center" wrapText="1"/>
    </xf>
    <xf numFmtId="0" fontId="0" fillId="0" borderId="59" xfId="0" applyBorder="1">
      <alignment vertical="center"/>
    </xf>
    <xf numFmtId="0" fontId="0" fillId="0" borderId="61" xfId="0" applyBorder="1">
      <alignment vertical="center"/>
    </xf>
    <xf numFmtId="0" fontId="36" fillId="0" borderId="0" xfId="6" applyFont="1" applyFill="1" applyAlignment="1">
      <alignment horizontal="left" vertical="center" wrapText="1"/>
    </xf>
    <xf numFmtId="0" fontId="8" fillId="0" borderId="0" xfId="6" applyFont="1" applyFill="1" applyAlignment="1">
      <alignment horizontal="left" vertical="center" wrapText="1"/>
    </xf>
    <xf numFmtId="3" fontId="4" fillId="0" borderId="145" xfId="0" applyNumberFormat="1" applyFont="1" applyBorder="1" applyAlignment="1">
      <alignment horizontal="left" vertical="center" wrapText="1"/>
    </xf>
    <xf numFmtId="3" fontId="4" fillId="0" borderId="59" xfId="0" applyNumberFormat="1" applyFont="1" applyBorder="1" applyAlignment="1">
      <alignment horizontal="left" vertical="center" wrapText="1"/>
    </xf>
    <xf numFmtId="3" fontId="4" fillId="0" borderId="146" xfId="0" applyNumberFormat="1" applyFont="1" applyBorder="1" applyAlignment="1">
      <alignment horizontal="left" vertical="center" wrapText="1"/>
    </xf>
    <xf numFmtId="3" fontId="4" fillId="0" borderId="147" xfId="0" applyNumberFormat="1" applyFont="1" applyBorder="1" applyAlignment="1">
      <alignment horizontal="left" vertical="center" wrapText="1"/>
    </xf>
    <xf numFmtId="3" fontId="4" fillId="0" borderId="60" xfId="0" applyNumberFormat="1" applyFont="1" applyBorder="1" applyAlignment="1">
      <alignment horizontal="left" vertical="center" wrapText="1"/>
    </xf>
    <xf numFmtId="3" fontId="15" fillId="0" borderId="18" xfId="8" applyNumberFormat="1" applyFont="1" applyBorder="1" applyAlignment="1">
      <alignment horizontal="center"/>
    </xf>
    <xf numFmtId="3" fontId="4" fillId="0" borderId="61" xfId="0" applyNumberFormat="1" applyFont="1" applyBorder="1" applyAlignment="1">
      <alignment horizontal="left" vertical="center" wrapText="1"/>
    </xf>
    <xf numFmtId="0" fontId="4" fillId="0" borderId="148" xfId="0" applyFont="1" applyFill="1" applyBorder="1" applyAlignment="1">
      <alignment horizontal="center" vertical="center" wrapText="1"/>
    </xf>
    <xf numFmtId="0" fontId="4" fillId="0" borderId="149" xfId="0" applyFont="1" applyFill="1" applyBorder="1" applyAlignment="1">
      <alignment horizontal="center" vertical="center" wrapText="1"/>
    </xf>
    <xf numFmtId="0" fontId="4" fillId="0" borderId="150" xfId="0" applyFont="1" applyFill="1" applyBorder="1" applyAlignment="1">
      <alignment horizontal="center" vertical="center" wrapText="1"/>
    </xf>
    <xf numFmtId="3" fontId="24" fillId="0" borderId="131" xfId="0" applyNumberFormat="1" applyFont="1" applyBorder="1" applyAlignment="1" applyProtection="1">
      <alignment vertical="top"/>
    </xf>
    <xf numFmtId="3" fontId="24" fillId="0" borderId="56" xfId="0" applyNumberFormat="1" applyFont="1" applyBorder="1" applyAlignment="1" applyProtection="1">
      <alignment vertical="top"/>
    </xf>
    <xf numFmtId="3" fontId="24" fillId="0" borderId="131" xfId="0" applyNumberFormat="1" applyFont="1" applyBorder="1" applyAlignment="1" applyProtection="1">
      <alignment horizontal="left" vertical="top"/>
    </xf>
    <xf numFmtId="0" fontId="28" fillId="0" borderId="56" xfId="0" applyFont="1" applyBorder="1" applyAlignment="1">
      <alignment horizontal="left" vertical="top"/>
    </xf>
    <xf numFmtId="3" fontId="24" fillId="0" borderId="131" xfId="0" applyNumberFormat="1" applyFont="1" applyBorder="1" applyAlignment="1" applyProtection="1">
      <alignment vertical="center"/>
    </xf>
    <xf numFmtId="3" fontId="24" fillId="0" borderId="56" xfId="0" applyNumberFormat="1" applyFont="1" applyBorder="1" applyAlignment="1" applyProtection="1">
      <alignment vertical="center"/>
    </xf>
    <xf numFmtId="16" fontId="4" fillId="0" borderId="71" xfId="0" quotePrefix="1" applyNumberFormat="1" applyFont="1" applyFill="1" applyBorder="1" applyAlignment="1">
      <alignment horizontal="center" vertical="center" wrapText="1"/>
    </xf>
    <xf numFmtId="16" fontId="4" fillId="0" borderId="72" xfId="0" quotePrefix="1" applyNumberFormat="1" applyFont="1" applyFill="1" applyBorder="1" applyAlignment="1">
      <alignment horizontal="center" vertical="center" wrapText="1"/>
    </xf>
    <xf numFmtId="0" fontId="4" fillId="0" borderId="151" xfId="0" applyFont="1" applyFill="1" applyBorder="1" applyAlignment="1">
      <alignment horizontal="center" vertical="center" wrapText="1"/>
    </xf>
    <xf numFmtId="0" fontId="4" fillId="0" borderId="102" xfId="0" applyFont="1" applyFill="1" applyBorder="1" applyAlignment="1">
      <alignment horizontal="center" vertical="center" wrapText="1"/>
    </xf>
    <xf numFmtId="0" fontId="4" fillId="0" borderId="152" xfId="0" applyFont="1" applyFill="1" applyBorder="1" applyAlignment="1">
      <alignment horizontal="center" vertical="center" wrapText="1"/>
    </xf>
    <xf numFmtId="16" fontId="4" fillId="0" borderId="80" xfId="0" quotePrefix="1" applyNumberFormat="1" applyFont="1" applyFill="1" applyBorder="1" applyAlignment="1">
      <alignment horizontal="center" vertical="center" wrapText="1"/>
    </xf>
    <xf numFmtId="0" fontId="8" fillId="0" borderId="80" xfId="0" applyFont="1" applyFill="1" applyBorder="1" applyAlignment="1">
      <alignment horizontal="center" vertical="center" wrapText="1"/>
    </xf>
    <xf numFmtId="0" fontId="4" fillId="0" borderId="153"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154"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4" fillId="0" borderId="107" xfId="0" applyFont="1" applyFill="1" applyBorder="1" applyAlignment="1">
      <alignment horizontal="center" vertical="center" wrapText="1"/>
    </xf>
    <xf numFmtId="0" fontId="4" fillId="0" borderId="154"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155" xfId="0" applyFont="1" applyFill="1" applyBorder="1" applyAlignment="1">
      <alignment horizontal="center" vertical="center" wrapText="1"/>
    </xf>
    <xf numFmtId="0" fontId="4" fillId="0" borderId="156" xfId="0" applyFont="1" applyFill="1" applyBorder="1" applyAlignment="1">
      <alignment horizontal="center" vertical="center" wrapText="1"/>
    </xf>
  </cellXfs>
  <cellStyles count="21">
    <cellStyle name="Comma" xfId="1" builtinId="3"/>
    <cellStyle name="Comma 2" xfId="2"/>
    <cellStyle name="Comma 3" xfId="3"/>
    <cellStyle name="Comma 4" xfId="4"/>
    <cellStyle name="Currency 2" xfId="5"/>
    <cellStyle name="Normal" xfId="0" builtinId="0"/>
    <cellStyle name="Normal 2" xfId="6"/>
    <cellStyle name="Normal 3" xfId="7"/>
    <cellStyle name="Normal_A-59-315 BUdgetary&amp;Financial situation UNsystem 1-8 data" xfId="8"/>
    <cellStyle name="Normal_A-59-315 BUdgetary&amp;Financial situation UNsystem 1-8 data 2" xfId="9"/>
    <cellStyle name="Normal_Book1" xfId="10"/>
    <cellStyle name="Normal_Book1 2" xfId="11"/>
    <cellStyle name="Normal_BUDFIN - CEB Financial Statistics 2008 - Tables 2,2A,3" xfId="12"/>
    <cellStyle name="Normal_BUDFIN - CEB Financial Statistics 2008 - Tables 2,2A,3 2" xfId="13"/>
    <cellStyle name="Normal_Budgetary  Financial situation UN system NEW" xfId="14"/>
    <cellStyle name="Normal_Sheet4" xfId="15"/>
    <cellStyle name="Normal_Table 2 and 2A (2)" xfId="16"/>
    <cellStyle name="Normal_Table6" xfId="17"/>
    <cellStyle name="Normal_TREASURY - CEB Financial Statistics 2008 - Tables 1,4,5,6,7,8" xfId="18"/>
    <cellStyle name="Percent" xfId="19" builtinId="5"/>
    <cellStyle name="Percent 2" xfId="2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5"/>
  <sheetViews>
    <sheetView tabSelected="1" zoomScale="66" zoomScaleNormal="66" workbookViewId="0">
      <pane xSplit="1" ySplit="4" topLeftCell="B5" activePane="bottomRight" state="frozen"/>
      <selection pane="topRight" activeCell="B1" sqref="B1"/>
      <selection pane="bottomLeft" activeCell="A6" sqref="A6"/>
      <selection pane="bottomRight" activeCell="H10" sqref="H10"/>
    </sheetView>
  </sheetViews>
  <sheetFormatPr defaultColWidth="17.140625" defaultRowHeight="12.75" x14ac:dyDescent="0.2"/>
  <cols>
    <col min="1" max="1" width="18.85546875" style="3" bestFit="1" customWidth="1"/>
    <col min="2" max="2" width="16.5703125" style="3" bestFit="1" customWidth="1"/>
    <col min="3" max="3" width="16.140625" style="3" bestFit="1" customWidth="1"/>
    <col min="4" max="8" width="16.5703125" style="3" bestFit="1" customWidth="1"/>
    <col min="9" max="9" width="15.28515625" style="3" bestFit="1" customWidth="1"/>
    <col min="10" max="10" width="16.140625" style="3" bestFit="1" customWidth="1"/>
    <col min="11" max="11" width="17" style="3" bestFit="1" customWidth="1"/>
    <col min="12" max="12" width="16.5703125" style="3" bestFit="1" customWidth="1"/>
    <col min="13" max="13" width="16.140625" style="3" bestFit="1" customWidth="1"/>
    <col min="14" max="16" width="16.5703125" style="3" bestFit="1" customWidth="1"/>
    <col min="17" max="17" width="15.7109375" style="3" bestFit="1" customWidth="1"/>
    <col min="18" max="16384" width="17.140625" style="19"/>
  </cols>
  <sheetData>
    <row r="1" spans="1:17" ht="20.25" customHeight="1" x14ac:dyDescent="0.3">
      <c r="A1" s="238" t="s">
        <v>392</v>
      </c>
      <c r="B1" s="238"/>
      <c r="C1" s="238"/>
      <c r="D1" s="238"/>
      <c r="E1" s="238"/>
      <c r="F1" s="238"/>
      <c r="G1" s="238"/>
      <c r="H1" s="238"/>
      <c r="I1" s="238"/>
      <c r="J1" s="238"/>
      <c r="K1" s="238"/>
      <c r="L1" s="238"/>
      <c r="M1" s="238"/>
      <c r="N1" s="238"/>
      <c r="O1" s="238"/>
      <c r="P1" s="238"/>
      <c r="Q1" s="238"/>
    </row>
    <row r="2" spans="1:17" ht="15" customHeight="1" x14ac:dyDescent="0.25">
      <c r="A2" s="239" t="s">
        <v>39</v>
      </c>
      <c r="B2" s="239"/>
      <c r="C2" s="239"/>
      <c r="D2" s="239"/>
      <c r="E2" s="239"/>
      <c r="F2" s="239"/>
      <c r="G2" s="239"/>
      <c r="H2" s="239"/>
      <c r="I2" s="239"/>
      <c r="J2" s="239"/>
      <c r="K2" s="239"/>
      <c r="L2" s="239"/>
      <c r="M2" s="239"/>
      <c r="N2" s="239"/>
      <c r="O2" s="239"/>
      <c r="P2" s="239"/>
      <c r="Q2" s="239"/>
    </row>
    <row r="3" spans="1:17" ht="12.75" customHeight="1" thickBot="1" x14ac:dyDescent="0.25">
      <c r="A3" s="159"/>
      <c r="B3" s="160"/>
      <c r="C3" s="160"/>
      <c r="D3" s="160"/>
      <c r="E3" s="160"/>
      <c r="F3" s="160"/>
      <c r="G3" s="160"/>
      <c r="H3" s="160"/>
      <c r="I3" s="160"/>
      <c r="J3" s="160"/>
      <c r="K3" s="160"/>
      <c r="L3" s="161"/>
      <c r="M3" s="161"/>
      <c r="N3" s="161"/>
      <c r="O3" s="161"/>
      <c r="P3" s="161"/>
      <c r="Q3" s="161"/>
    </row>
    <row r="4" spans="1:17" ht="24.95" customHeight="1" thickTop="1" thickBot="1" x14ac:dyDescent="0.25">
      <c r="A4" s="603" t="s">
        <v>83</v>
      </c>
      <c r="B4" s="604">
        <v>1996</v>
      </c>
      <c r="C4" s="604">
        <v>1997</v>
      </c>
      <c r="D4" s="604">
        <v>1998</v>
      </c>
      <c r="E4" s="604">
        <v>1999</v>
      </c>
      <c r="F4" s="604">
        <v>2000</v>
      </c>
      <c r="G4" s="604">
        <v>2001</v>
      </c>
      <c r="H4" s="604">
        <v>2002</v>
      </c>
      <c r="I4" s="604">
        <v>2003</v>
      </c>
      <c r="J4" s="604">
        <v>2004</v>
      </c>
      <c r="K4" s="604">
        <v>2005</v>
      </c>
      <c r="L4" s="604">
        <v>2006</v>
      </c>
      <c r="M4" s="604">
        <v>2007</v>
      </c>
      <c r="N4" s="339">
        <v>2008</v>
      </c>
      <c r="O4" s="340">
        <v>2009</v>
      </c>
      <c r="P4" s="339">
        <v>2010</v>
      </c>
      <c r="Q4" s="340">
        <v>2011</v>
      </c>
    </row>
    <row r="5" spans="1:17" ht="24.95" customHeight="1" thickTop="1" x14ac:dyDescent="0.25">
      <c r="A5" s="369" t="s">
        <v>84</v>
      </c>
      <c r="B5" s="20">
        <v>1171592550</v>
      </c>
      <c r="C5" s="20">
        <v>1171592550</v>
      </c>
      <c r="D5" s="20">
        <v>1088194150</v>
      </c>
      <c r="E5" s="20">
        <v>1088194150</v>
      </c>
      <c r="F5" s="20">
        <v>1112671250</v>
      </c>
      <c r="G5" s="20">
        <v>1112671250</v>
      </c>
      <c r="H5" s="20">
        <v>1289424050</v>
      </c>
      <c r="I5" s="20">
        <v>1289424050</v>
      </c>
      <c r="J5" s="20">
        <v>1613096200</v>
      </c>
      <c r="K5" s="20">
        <v>1613096200</v>
      </c>
      <c r="L5" s="20">
        <f>(4193772400-436062000)/2</f>
        <v>1878855200</v>
      </c>
      <c r="M5" s="20">
        <f>(4193772400-436062000)/2</f>
        <v>1878855200</v>
      </c>
      <c r="N5" s="341">
        <f>(4799914500-486850100)/2</f>
        <v>2156532200</v>
      </c>
      <c r="O5" s="342">
        <f>(4799914500-486850100)/2</f>
        <v>2156532200</v>
      </c>
      <c r="P5" s="341">
        <f>(5156029100-517021500)/2</f>
        <v>2319503800</v>
      </c>
      <c r="Q5" s="342">
        <f>(5156029100-517021500)/2</f>
        <v>2319503800</v>
      </c>
    </row>
    <row r="6" spans="1:17" ht="24.95" customHeight="1" x14ac:dyDescent="0.25">
      <c r="A6" s="605" t="s">
        <v>513</v>
      </c>
      <c r="B6" s="346">
        <v>173600</v>
      </c>
      <c r="C6" s="346">
        <v>27928327</v>
      </c>
      <c r="D6" s="346">
        <v>58439522</v>
      </c>
      <c r="E6" s="346">
        <v>74741146</v>
      </c>
      <c r="F6" s="346">
        <v>79949100</v>
      </c>
      <c r="G6" s="346">
        <v>83499500</v>
      </c>
      <c r="H6" s="346">
        <v>85091100</v>
      </c>
      <c r="I6" s="346">
        <v>88581700</v>
      </c>
      <c r="J6" s="346">
        <v>94548700</v>
      </c>
      <c r="K6" s="346">
        <v>103722956</v>
      </c>
      <c r="L6" s="346">
        <v>106622493</v>
      </c>
      <c r="M6" s="346">
        <v>114876661</v>
      </c>
      <c r="N6" s="347">
        <v>123687292</v>
      </c>
      <c r="O6" s="348">
        <v>120017344</v>
      </c>
      <c r="P6" s="347">
        <v>116817194</v>
      </c>
      <c r="Q6" s="348">
        <v>119586940</v>
      </c>
    </row>
    <row r="7" spans="1:17" ht="24.95" customHeight="1" x14ac:dyDescent="0.25">
      <c r="A7" s="168" t="s">
        <v>87</v>
      </c>
      <c r="B7" s="20">
        <v>325000000</v>
      </c>
      <c r="C7" s="20">
        <v>325000000</v>
      </c>
      <c r="D7" s="20">
        <v>325000000</v>
      </c>
      <c r="E7" s="20">
        <v>325000000</v>
      </c>
      <c r="F7" s="20">
        <v>325000000</v>
      </c>
      <c r="G7" s="20">
        <f>+D7</f>
        <v>325000000</v>
      </c>
      <c r="H7" s="20">
        <v>325879000</v>
      </c>
      <c r="I7" s="20">
        <f>+H7</f>
        <v>325879000</v>
      </c>
      <c r="J7" s="20">
        <v>374550000</v>
      </c>
      <c r="K7" s="20">
        <v>374550000</v>
      </c>
      <c r="L7" s="20">
        <v>382850000</v>
      </c>
      <c r="M7" s="20">
        <v>382850000</v>
      </c>
      <c r="N7" s="341">
        <v>464920000</v>
      </c>
      <c r="O7" s="342">
        <v>464920000</v>
      </c>
      <c r="P7" s="341">
        <v>500263000</v>
      </c>
      <c r="Q7" s="342">
        <v>500263000</v>
      </c>
    </row>
    <row r="8" spans="1:17" ht="24.95" customHeight="1" x14ac:dyDescent="0.25">
      <c r="A8" s="605" t="s">
        <v>516</v>
      </c>
      <c r="B8" s="346">
        <v>219017000</v>
      </c>
      <c r="C8" s="346">
        <v>221992000</v>
      </c>
      <c r="D8" s="346">
        <v>221370000</v>
      </c>
      <c r="E8" s="346">
        <v>227245000</v>
      </c>
      <c r="F8" s="346">
        <v>226327000</v>
      </c>
      <c r="G8" s="346">
        <v>229984000</v>
      </c>
      <c r="H8" s="346">
        <v>243260000</v>
      </c>
      <c r="I8" s="346">
        <v>248875000</v>
      </c>
      <c r="J8" s="346">
        <v>273359000</v>
      </c>
      <c r="K8" s="346">
        <v>284083031</v>
      </c>
      <c r="L8" s="346">
        <v>323721944</v>
      </c>
      <c r="M8" s="346">
        <v>362317251.69999999</v>
      </c>
      <c r="N8" s="347">
        <v>401926501</v>
      </c>
      <c r="O8" s="348">
        <v>392778458</v>
      </c>
      <c r="P8" s="347">
        <v>386196050</v>
      </c>
      <c r="Q8" s="348">
        <v>402022164</v>
      </c>
    </row>
    <row r="9" spans="1:17" ht="24.95" customHeight="1" x14ac:dyDescent="0.25">
      <c r="A9" s="168" t="s">
        <v>89</v>
      </c>
      <c r="B9" s="20">
        <v>50340000</v>
      </c>
      <c r="C9" s="20">
        <v>52191000</v>
      </c>
      <c r="D9" s="20">
        <v>54596000</v>
      </c>
      <c r="E9" s="20">
        <v>52578000</v>
      </c>
      <c r="F9" s="20">
        <v>53765000</v>
      </c>
      <c r="G9" s="20">
        <v>55174000</v>
      </c>
      <c r="H9" s="20">
        <v>56743000</v>
      </c>
      <c r="I9" s="20">
        <v>57584000</v>
      </c>
      <c r="J9" s="20">
        <v>60456000</v>
      </c>
      <c r="K9" s="20">
        <v>64669000</v>
      </c>
      <c r="L9" s="20">
        <v>65820000</v>
      </c>
      <c r="M9" s="20">
        <v>66511000</v>
      </c>
      <c r="N9" s="341">
        <f>79951000/1.15</f>
        <v>69522608.695652172</v>
      </c>
      <c r="O9" s="342">
        <f>80085000/1.15</f>
        <v>69639130.434782609</v>
      </c>
      <c r="P9" s="341">
        <v>74353913</v>
      </c>
      <c r="Q9" s="342">
        <v>80361468</v>
      </c>
    </row>
    <row r="10" spans="1:17" ht="24.95" customHeight="1" x14ac:dyDescent="0.25">
      <c r="A10" s="605" t="s">
        <v>42</v>
      </c>
      <c r="B10" s="346"/>
      <c r="C10" s="346">
        <v>13201670</v>
      </c>
      <c r="D10" s="346">
        <v>14232716</v>
      </c>
      <c r="E10" s="346">
        <v>13464000</v>
      </c>
      <c r="F10" s="346">
        <v>12222600</v>
      </c>
      <c r="G10" s="346">
        <v>12361950</v>
      </c>
      <c r="H10" s="346">
        <v>12348300</v>
      </c>
      <c r="I10" s="346">
        <v>14717900</v>
      </c>
      <c r="J10" s="346">
        <v>16669500</v>
      </c>
      <c r="K10" s="346">
        <v>17822210.25</v>
      </c>
      <c r="L10" s="346">
        <v>20883061.800000001</v>
      </c>
      <c r="M10" s="346">
        <v>23059356.300000001</v>
      </c>
      <c r="N10" s="347">
        <v>24027269.100000001</v>
      </c>
      <c r="O10" s="348">
        <v>25632806.399999999</v>
      </c>
      <c r="P10" s="347"/>
      <c r="Q10" s="348"/>
    </row>
    <row r="11" spans="1:17" ht="24.95" customHeight="1" x14ac:dyDescent="0.25">
      <c r="A11" s="168" t="s">
        <v>315</v>
      </c>
      <c r="B11" s="20">
        <v>35430000</v>
      </c>
      <c r="C11" s="20">
        <v>48587000</v>
      </c>
      <c r="D11" s="20">
        <f>171752000/2</f>
        <v>85876000</v>
      </c>
      <c r="E11" s="20">
        <f>171752000/2</f>
        <v>85876000</v>
      </c>
      <c r="F11" s="20">
        <f>214637000/2</f>
        <v>107318500</v>
      </c>
      <c r="G11" s="20">
        <f>214637000/2</f>
        <v>107318500</v>
      </c>
      <c r="H11" s="20">
        <f>288322000/2</f>
        <v>144161000</v>
      </c>
      <c r="I11" s="20">
        <f>288322000/2</f>
        <v>144161000</v>
      </c>
      <c r="J11" s="20">
        <f>308305000/2</f>
        <v>154152500</v>
      </c>
      <c r="K11" s="20">
        <f>308305000/2</f>
        <v>154152500</v>
      </c>
      <c r="L11" s="20">
        <f>348979000/2</f>
        <v>174489500</v>
      </c>
      <c r="M11" s="20">
        <f>348979000/2</f>
        <v>174489500</v>
      </c>
      <c r="N11" s="341">
        <f>388888000/2</f>
        <v>194444000</v>
      </c>
      <c r="O11" s="342">
        <f>388888000/2</f>
        <v>194444000</v>
      </c>
      <c r="P11" s="341">
        <f>290286000/2</f>
        <v>145143000</v>
      </c>
      <c r="Q11" s="342">
        <f>290286000/2</f>
        <v>145143000</v>
      </c>
    </row>
    <row r="12" spans="1:17" ht="24.95" customHeight="1" x14ac:dyDescent="0.25">
      <c r="A12" s="605" t="s">
        <v>519</v>
      </c>
      <c r="B12" s="346">
        <v>48417000</v>
      </c>
      <c r="C12" s="346">
        <v>51285000</v>
      </c>
      <c r="D12" s="346">
        <v>51812000</v>
      </c>
      <c r="E12" s="346">
        <v>53573000</v>
      </c>
      <c r="F12" s="346">
        <v>53868000</v>
      </c>
      <c r="G12" s="346">
        <v>53300000</v>
      </c>
      <c r="H12" s="346">
        <v>55262000</v>
      </c>
      <c r="I12" s="346">
        <v>59196000</v>
      </c>
      <c r="J12" s="346">
        <v>70238000</v>
      </c>
      <c r="K12" s="346">
        <v>78036000</v>
      </c>
      <c r="L12" s="346">
        <v>83260000</v>
      </c>
      <c r="M12" s="346">
        <f>67491000+33876000-15100000+5687000</f>
        <v>91954000</v>
      </c>
      <c r="N12" s="347">
        <v>120150000</v>
      </c>
      <c r="O12" s="348">
        <v>121760000</v>
      </c>
      <c r="P12" s="347">
        <v>138260000</v>
      </c>
      <c r="Q12" s="348"/>
    </row>
    <row r="13" spans="1:17" ht="24.95" customHeight="1" x14ac:dyDescent="0.25">
      <c r="A13" s="168" t="s">
        <v>86</v>
      </c>
      <c r="B13" s="20">
        <v>289750000</v>
      </c>
      <c r="C13" s="20">
        <v>289750000</v>
      </c>
      <c r="D13" s="20">
        <v>240525000</v>
      </c>
      <c r="E13" s="20">
        <f>D13</f>
        <v>240525000</v>
      </c>
      <c r="F13" s="20">
        <v>233735000</v>
      </c>
      <c r="G13" s="20">
        <v>233735000</v>
      </c>
      <c r="H13" s="20">
        <v>217020000</v>
      </c>
      <c r="I13" s="20">
        <v>217020000</v>
      </c>
      <c r="J13" s="20">
        <v>264795000</v>
      </c>
      <c r="K13" s="20">
        <v>264795000</v>
      </c>
      <c r="L13" s="20">
        <v>297155000</v>
      </c>
      <c r="M13" s="20">
        <f>+L13</f>
        <v>297155000</v>
      </c>
      <c r="N13" s="341">
        <v>320865000</v>
      </c>
      <c r="O13" s="342">
        <v>320865000</v>
      </c>
      <c r="P13" s="341">
        <v>363360000</v>
      </c>
      <c r="Q13" s="342">
        <v>363360000</v>
      </c>
    </row>
    <row r="14" spans="1:17" ht="24.95" customHeight="1" x14ac:dyDescent="0.25">
      <c r="A14" s="605" t="s">
        <v>520</v>
      </c>
      <c r="B14" s="346">
        <v>30261111</v>
      </c>
      <c r="C14" s="346">
        <v>31123957</v>
      </c>
      <c r="D14" s="346">
        <v>28893221</v>
      </c>
      <c r="E14" s="346">
        <v>30052421</v>
      </c>
      <c r="F14" s="346">
        <v>30234849</v>
      </c>
      <c r="G14" s="346">
        <v>30907525</v>
      </c>
      <c r="H14" s="346">
        <v>27498525</v>
      </c>
      <c r="I14" s="346">
        <v>30508875</v>
      </c>
      <c r="J14" s="346">
        <v>37592368</v>
      </c>
      <c r="K14" s="346">
        <v>39553115</v>
      </c>
      <c r="L14" s="346">
        <v>42522025</v>
      </c>
      <c r="M14" s="346">
        <v>44506000</v>
      </c>
      <c r="N14" s="347">
        <v>52794621</v>
      </c>
      <c r="O14" s="348">
        <v>54903900</v>
      </c>
      <c r="P14" s="347">
        <v>49979990</v>
      </c>
      <c r="Q14" s="348">
        <v>50919500</v>
      </c>
    </row>
    <row r="15" spans="1:17" ht="24.95" customHeight="1" x14ac:dyDescent="0.25">
      <c r="A15" s="168" t="s">
        <v>58</v>
      </c>
      <c r="B15" s="20">
        <v>29362068</v>
      </c>
      <c r="C15" s="20">
        <v>25229630</v>
      </c>
      <c r="D15" s="20">
        <v>23328767</v>
      </c>
      <c r="E15" s="20">
        <v>24861314</v>
      </c>
      <c r="F15" s="20">
        <v>21287500</v>
      </c>
      <c r="G15" s="20">
        <v>21806707</v>
      </c>
      <c r="H15" s="20">
        <v>21287500</v>
      </c>
      <c r="I15" s="20">
        <v>26383453</v>
      </c>
      <c r="J15" s="20">
        <v>29695200</v>
      </c>
      <c r="K15" s="20">
        <v>32848672</v>
      </c>
      <c r="L15" s="20">
        <v>30425409.836065575</v>
      </c>
      <c r="M15" s="20">
        <v>31184426.229508199</v>
      </c>
      <c r="N15" s="341">
        <v>31184426.229508199</v>
      </c>
      <c r="O15" s="342">
        <v>32275881.147540983</v>
      </c>
      <c r="P15" s="341"/>
      <c r="Q15" s="342"/>
    </row>
    <row r="16" spans="1:17" ht="24.95" customHeight="1" x14ac:dyDescent="0.25">
      <c r="A16" s="605" t="s">
        <v>297</v>
      </c>
      <c r="B16" s="346"/>
      <c r="C16" s="346"/>
      <c r="D16" s="346">
        <f>ROUNDUP(28717800/1.41, -5)</f>
        <v>20400000</v>
      </c>
      <c r="E16" s="346">
        <f>ROUNDUP(28820400/1.59, -5)</f>
        <v>18200000</v>
      </c>
      <c r="F16" s="346">
        <f>ROUNDUP(29516000/1.76, -5)</f>
        <v>16800000</v>
      </c>
      <c r="G16" s="346">
        <f>ROUNDUP(29928000/1.68, -5)</f>
        <v>17900000</v>
      </c>
      <c r="H16" s="346">
        <f>ROUNDUP(30632700/1.39, -5)</f>
        <v>22100000</v>
      </c>
      <c r="I16" s="346">
        <f>ROUNDUP(30738000/1.25, -5)</f>
        <v>24600000</v>
      </c>
      <c r="J16" s="346">
        <f>ROUNDUP(32014300/1.13, -5)</f>
        <v>28400000</v>
      </c>
      <c r="K16" s="346">
        <f>ROUNDUP(34113300/1.31, -5)</f>
        <v>26100000</v>
      </c>
      <c r="L16" s="346">
        <f>ROUNDUP(34602500/1.27, -5)</f>
        <v>27300000</v>
      </c>
      <c r="M16" s="346">
        <f>ROUNDUP(33766900/1.27, -5)</f>
        <v>26600000</v>
      </c>
      <c r="N16" s="347">
        <v>31093000</v>
      </c>
      <c r="O16" s="348">
        <v>31093000</v>
      </c>
      <c r="P16" s="347">
        <v>30834000</v>
      </c>
      <c r="Q16" s="348">
        <v>30834000</v>
      </c>
    </row>
    <row r="17" spans="1:17" ht="24.95" customHeight="1" x14ac:dyDescent="0.25">
      <c r="A17" s="168" t="s">
        <v>92</v>
      </c>
      <c r="B17" s="20">
        <v>142740090</v>
      </c>
      <c r="C17" s="20">
        <v>142740090</v>
      </c>
      <c r="D17" s="20">
        <v>142725860</v>
      </c>
      <c r="E17" s="20">
        <v>142725860</v>
      </c>
      <c r="F17" s="20">
        <v>104597800</v>
      </c>
      <c r="G17" s="20">
        <v>104597800</v>
      </c>
      <c r="H17" s="129">
        <v>103520525</v>
      </c>
      <c r="I17" s="129">
        <v>103520525</v>
      </c>
      <c r="J17" s="20">
        <v>126489230</v>
      </c>
      <c r="K17" s="20">
        <v>126489230</v>
      </c>
      <c r="L17" s="20">
        <v>129555345</v>
      </c>
      <c r="M17" s="20">
        <v>129555345</v>
      </c>
      <c r="N17" s="341">
        <v>129041200</v>
      </c>
      <c r="O17" s="342">
        <v>129041200</v>
      </c>
      <c r="P17" s="341">
        <v>150865419</v>
      </c>
      <c r="Q17" s="342">
        <v>145604278</v>
      </c>
    </row>
    <row r="18" spans="1:17" ht="24.95" customHeight="1" x14ac:dyDescent="0.25">
      <c r="A18" s="605" t="s">
        <v>317</v>
      </c>
      <c r="B18" s="346">
        <v>84289000</v>
      </c>
      <c r="C18" s="346">
        <v>84289000</v>
      </c>
      <c r="D18" s="346">
        <v>84289000</v>
      </c>
      <c r="E18" s="346">
        <v>84289000</v>
      </c>
      <c r="F18" s="346">
        <v>88568000</v>
      </c>
      <c r="G18" s="346">
        <v>88568000</v>
      </c>
      <c r="H18" s="346">
        <v>93400000</v>
      </c>
      <c r="I18" s="346">
        <v>93400000</v>
      </c>
      <c r="J18" s="346">
        <v>93400000</v>
      </c>
      <c r="K18" s="346">
        <v>93400000</v>
      </c>
      <c r="L18" s="346">
        <v>93900000</v>
      </c>
      <c r="M18" s="346">
        <v>93900000</v>
      </c>
      <c r="N18" s="347">
        <v>98783000</v>
      </c>
      <c r="O18" s="348">
        <v>98783000</v>
      </c>
      <c r="P18" s="347">
        <f>206400000/2</f>
        <v>103200000</v>
      </c>
      <c r="Q18" s="348">
        <f>206400000/2</f>
        <v>103200000</v>
      </c>
    </row>
    <row r="19" spans="1:17" ht="24.95" customHeight="1" x14ac:dyDescent="0.25">
      <c r="A19" s="168" t="s">
        <v>318</v>
      </c>
      <c r="B19" s="20">
        <v>60000000</v>
      </c>
      <c r="C19" s="20">
        <v>60000000</v>
      </c>
      <c r="D19" s="20">
        <v>60000000</v>
      </c>
      <c r="E19" s="20">
        <v>60000000</v>
      </c>
      <c r="F19" s="20">
        <v>70000000</v>
      </c>
      <c r="G19" s="20">
        <v>70000000</v>
      </c>
      <c r="H19" s="20">
        <v>95000000</v>
      </c>
      <c r="I19" s="20">
        <v>95000000</v>
      </c>
      <c r="J19" s="20">
        <v>135250000</v>
      </c>
      <c r="K19" s="20">
        <v>135250000</v>
      </c>
      <c r="L19" s="20">
        <v>203350000</v>
      </c>
      <c r="M19" s="20">
        <v>203350000</v>
      </c>
      <c r="N19" s="341">
        <v>242410000</v>
      </c>
      <c r="O19" s="342">
        <v>242410000</v>
      </c>
      <c r="P19" s="341">
        <f>484820000/2</f>
        <v>242410000</v>
      </c>
      <c r="Q19" s="342">
        <f>484820000/2</f>
        <v>242410000</v>
      </c>
    </row>
    <row r="20" spans="1:17" ht="24.95" customHeight="1" x14ac:dyDescent="0.25">
      <c r="A20" s="605" t="s">
        <v>521</v>
      </c>
      <c r="B20" s="346">
        <v>847952000</v>
      </c>
      <c r="C20" s="346">
        <v>766609000</v>
      </c>
      <c r="D20" s="346">
        <v>757229000</v>
      </c>
      <c r="E20" s="346">
        <v>694355000</v>
      </c>
      <c r="F20" s="346">
        <v>645230000</v>
      </c>
      <c r="G20" s="346">
        <v>660720000</v>
      </c>
      <c r="H20" s="346">
        <v>670353000</v>
      </c>
      <c r="I20" s="346">
        <v>769883000</v>
      </c>
      <c r="J20" s="346">
        <v>842148000</v>
      </c>
      <c r="K20" s="346">
        <v>925147000</v>
      </c>
      <c r="L20" s="346">
        <f>1905000000/2</f>
        <v>952500000</v>
      </c>
      <c r="M20" s="346">
        <f>1905000000/2</f>
        <v>952500000</v>
      </c>
      <c r="N20" s="347">
        <v>1097126968</v>
      </c>
      <c r="O20" s="348">
        <v>1014809497</v>
      </c>
      <c r="P20" s="347">
        <v>1100000000</v>
      </c>
      <c r="Q20" s="348">
        <v>1250000000</v>
      </c>
    </row>
    <row r="21" spans="1:17" ht="24.95" customHeight="1" x14ac:dyDescent="0.25">
      <c r="A21" s="168" t="s">
        <v>524</v>
      </c>
      <c r="B21" s="20">
        <v>48680700</v>
      </c>
      <c r="C21" s="20">
        <v>48680700</v>
      </c>
      <c r="D21" s="20">
        <v>52916600</v>
      </c>
      <c r="E21" s="20">
        <v>52916600</v>
      </c>
      <c r="F21" s="20">
        <v>59617150</v>
      </c>
      <c r="G21" s="20">
        <v>59617150</v>
      </c>
      <c r="H21" s="20">
        <v>59938000</v>
      </c>
      <c r="I21" s="20">
        <v>59938000</v>
      </c>
      <c r="J21" s="20">
        <v>65000000</v>
      </c>
      <c r="K21" s="20">
        <v>65000000</v>
      </c>
      <c r="L21" s="20">
        <v>72000000</v>
      </c>
      <c r="M21" s="20">
        <v>72000000</v>
      </c>
      <c r="N21" s="341">
        <v>76000000</v>
      </c>
      <c r="O21" s="342">
        <v>76000000</v>
      </c>
      <c r="P21" s="341">
        <v>87500000</v>
      </c>
      <c r="Q21" s="342">
        <v>87500000</v>
      </c>
    </row>
    <row r="22" spans="1:17" ht="24.95" customHeight="1" x14ac:dyDescent="0.25">
      <c r="A22" s="605" t="s">
        <v>88</v>
      </c>
      <c r="B22" s="346">
        <v>259222500</v>
      </c>
      <c r="C22" s="346">
        <v>259222500</v>
      </c>
      <c r="D22" s="346">
        <v>272183625</v>
      </c>
      <c r="E22" s="346">
        <f>D22</f>
        <v>272183625</v>
      </c>
      <c r="F22" s="346">
        <v>272183625</v>
      </c>
      <c r="G22" s="346">
        <f>+D22</f>
        <v>272183625</v>
      </c>
      <c r="H22" s="346">
        <v>272183625</v>
      </c>
      <c r="I22" s="346">
        <v>272183625</v>
      </c>
      <c r="J22" s="346">
        <v>305000000</v>
      </c>
      <c r="K22" s="346">
        <v>305000000</v>
      </c>
      <c r="L22" s="346">
        <v>305000000</v>
      </c>
      <c r="M22" s="346">
        <v>305000000</v>
      </c>
      <c r="N22" s="347">
        <v>315500000</v>
      </c>
      <c r="O22" s="348">
        <v>315500000</v>
      </c>
      <c r="P22" s="347">
        <v>326500000</v>
      </c>
      <c r="Q22" s="348">
        <v>326500000</v>
      </c>
    </row>
    <row r="23" spans="1:17" ht="24.95" customHeight="1" x14ac:dyDescent="0.25">
      <c r="A23" s="168" t="s">
        <v>526</v>
      </c>
      <c r="B23" s="20">
        <v>8505500</v>
      </c>
      <c r="C23" s="20">
        <v>7824800</v>
      </c>
      <c r="D23" s="20">
        <v>9727100</v>
      </c>
      <c r="E23" s="20">
        <v>11618600</v>
      </c>
      <c r="F23" s="20">
        <v>12548000</v>
      </c>
      <c r="G23" s="20">
        <v>12738000</v>
      </c>
      <c r="H23" s="20">
        <v>16065200</v>
      </c>
      <c r="I23" s="20">
        <v>16771900</v>
      </c>
      <c r="J23" s="20">
        <v>17495346</v>
      </c>
      <c r="K23" s="20">
        <f>17311980+4773819</f>
        <v>22085799</v>
      </c>
      <c r="L23" s="20">
        <v>26873070</v>
      </c>
      <c r="M23" s="20">
        <v>26628513</v>
      </c>
      <c r="N23" s="341">
        <v>27032460</v>
      </c>
      <c r="O23" s="342">
        <v>26999124</v>
      </c>
      <c r="P23" s="341">
        <v>31928720</v>
      </c>
      <c r="Q23" s="342">
        <v>31277422</v>
      </c>
    </row>
    <row r="24" spans="1:17" ht="24.95" customHeight="1" x14ac:dyDescent="0.25">
      <c r="A24" s="605" t="s">
        <v>528</v>
      </c>
      <c r="B24" s="346">
        <v>325000000</v>
      </c>
      <c r="C24" s="346">
        <v>285000000</v>
      </c>
      <c r="D24" s="346">
        <v>275000000</v>
      </c>
      <c r="E24" s="346">
        <v>249900000</v>
      </c>
      <c r="F24" s="346">
        <v>260700000</v>
      </c>
      <c r="G24" s="346">
        <v>268671000</v>
      </c>
      <c r="H24" s="346">
        <v>260112000</v>
      </c>
      <c r="I24" s="346">
        <v>292281000</v>
      </c>
      <c r="J24" s="346">
        <v>327698000</v>
      </c>
      <c r="K24" s="346">
        <v>365848000</v>
      </c>
      <c r="L24" s="346">
        <v>389322000</v>
      </c>
      <c r="M24" s="346">
        <v>457131000</v>
      </c>
      <c r="N24" s="347">
        <v>469478000</v>
      </c>
      <c r="O24" s="348">
        <v>486431000</v>
      </c>
      <c r="P24" s="347">
        <v>475000000</v>
      </c>
      <c r="Q24" s="348">
        <v>475000000</v>
      </c>
    </row>
    <row r="25" spans="1:17" ht="24.95" customHeight="1" x14ac:dyDescent="0.25">
      <c r="A25" s="168" t="s">
        <v>530</v>
      </c>
      <c r="B25" s="20">
        <v>6992400</v>
      </c>
      <c r="C25" s="20">
        <v>4258800</v>
      </c>
      <c r="D25" s="20">
        <v>6395150</v>
      </c>
      <c r="E25" s="20">
        <v>6395150</v>
      </c>
      <c r="F25" s="20">
        <f>13290100/2</f>
        <v>6645050</v>
      </c>
      <c r="G25" s="20">
        <f>13290100/2</f>
        <v>6645050</v>
      </c>
      <c r="H25" s="20">
        <f>11777900/2</f>
        <v>5888950</v>
      </c>
      <c r="I25" s="20">
        <f>11777900/2</f>
        <v>5888950</v>
      </c>
      <c r="J25" s="20">
        <f>13819800/2</f>
        <v>6909900</v>
      </c>
      <c r="K25" s="20">
        <f>13819800/2</f>
        <v>6909900</v>
      </c>
      <c r="L25" s="20">
        <f>16527800/2</f>
        <v>8263900</v>
      </c>
      <c r="M25" s="20">
        <f>16527800/2</f>
        <v>8263900</v>
      </c>
      <c r="N25" s="341">
        <f>18439100/2</f>
        <v>9219550</v>
      </c>
      <c r="O25" s="342">
        <f>18439100/2</f>
        <v>9219550</v>
      </c>
      <c r="P25" s="341">
        <v>11141700</v>
      </c>
      <c r="Q25" s="342">
        <f>+P25</f>
        <v>11141700</v>
      </c>
    </row>
    <row r="26" spans="1:17" ht="24.95" customHeight="1" x14ac:dyDescent="0.25">
      <c r="A26" s="605" t="s">
        <v>311</v>
      </c>
      <c r="B26" s="346">
        <v>25304000</v>
      </c>
      <c r="C26" s="346">
        <v>22115000</v>
      </c>
      <c r="D26" s="346">
        <v>23305000</v>
      </c>
      <c r="E26" s="346">
        <v>23259000</v>
      </c>
      <c r="F26" s="346">
        <v>19596000</v>
      </c>
      <c r="G26" s="346">
        <v>20423000</v>
      </c>
      <c r="H26" s="346">
        <v>21021000</v>
      </c>
      <c r="I26" s="346">
        <v>28227000</v>
      </c>
      <c r="J26" s="346">
        <v>27750000</v>
      </c>
      <c r="K26" s="346">
        <v>38534000</v>
      </c>
      <c r="L26" s="346">
        <v>31458354</v>
      </c>
      <c r="M26" s="346">
        <v>37043250</v>
      </c>
      <c r="N26" s="347">
        <v>33853600</v>
      </c>
      <c r="O26" s="348">
        <v>46030758</v>
      </c>
      <c r="P26" s="347">
        <v>39640800</v>
      </c>
      <c r="Q26" s="348">
        <v>41364700</v>
      </c>
    </row>
    <row r="27" spans="1:17" ht="24.95" customHeight="1" x14ac:dyDescent="0.25">
      <c r="A27" s="168" t="s">
        <v>532</v>
      </c>
      <c r="B27" s="20">
        <f>(1154000000+46100000)/2</f>
        <v>600050000</v>
      </c>
      <c r="C27" s="20">
        <f>+B27</f>
        <v>600050000</v>
      </c>
      <c r="D27" s="20">
        <f>(1122500000+33900000)/2</f>
        <v>578200000</v>
      </c>
      <c r="E27" s="20">
        <f>+D27</f>
        <v>578200000</v>
      </c>
      <c r="F27" s="20">
        <f>(1247700000+67800000)/2</f>
        <v>657750000</v>
      </c>
      <c r="G27" s="20">
        <f>+F27</f>
        <v>657750000</v>
      </c>
      <c r="H27" s="20">
        <f>(1147900000+88300000)/2</f>
        <v>618100000</v>
      </c>
      <c r="I27" s="20">
        <f>+H27+8000000</f>
        <v>626100000</v>
      </c>
      <c r="J27" s="20">
        <f>(1424500000+156400000)/2</f>
        <v>790450000</v>
      </c>
      <c r="K27" s="20">
        <f>+J27+3000000</f>
        <v>793450000</v>
      </c>
      <c r="L27" s="20">
        <f>(1648000000+190000000)/2</f>
        <v>919000000</v>
      </c>
      <c r="M27" s="20">
        <f>+L27</f>
        <v>919000000</v>
      </c>
      <c r="N27" s="341">
        <v>1278500000</v>
      </c>
      <c r="O27" s="342">
        <v>1278500000</v>
      </c>
      <c r="P27" s="341">
        <f>+(2390+246.6)/2*10^6</f>
        <v>1318300000</v>
      </c>
      <c r="Q27" s="342">
        <f>+(2390+246.6)/2*10^6</f>
        <v>1318300000</v>
      </c>
    </row>
    <row r="28" spans="1:17" ht="24.95" customHeight="1" x14ac:dyDescent="0.25">
      <c r="A28" s="605" t="s">
        <v>534</v>
      </c>
      <c r="B28" s="346">
        <v>109549390</v>
      </c>
      <c r="C28" s="346">
        <v>97256140</v>
      </c>
      <c r="D28" s="346">
        <v>67682384</v>
      </c>
      <c r="E28" s="346">
        <v>65524500</v>
      </c>
      <c r="F28" s="346">
        <v>67179050</v>
      </c>
      <c r="G28" s="346">
        <v>67179050</v>
      </c>
      <c r="H28" s="346">
        <v>60288070</v>
      </c>
      <c r="I28" s="346">
        <v>60288070</v>
      </c>
      <c r="J28" s="346">
        <v>91123570</v>
      </c>
      <c r="K28" s="346">
        <v>91123570</v>
      </c>
      <c r="L28" s="346">
        <v>90746302</v>
      </c>
      <c r="M28" s="346">
        <v>95338208</v>
      </c>
      <c r="N28" s="347">
        <v>94884079</v>
      </c>
      <c r="O28" s="348">
        <v>98153421</v>
      </c>
      <c r="P28" s="347">
        <v>112579729.14</v>
      </c>
      <c r="Q28" s="348">
        <v>116716300.15000001</v>
      </c>
    </row>
    <row r="29" spans="1:17" ht="24.95" customHeight="1" x14ac:dyDescent="0.25">
      <c r="A29" s="168" t="s">
        <v>313</v>
      </c>
      <c r="B29" s="20">
        <v>11321500</v>
      </c>
      <c r="C29" s="20">
        <v>11321500</v>
      </c>
      <c r="D29" s="20">
        <v>10610900</v>
      </c>
      <c r="E29" s="20">
        <v>10610900</v>
      </c>
      <c r="F29" s="20">
        <v>10833950</v>
      </c>
      <c r="G29" s="20">
        <v>10833950</v>
      </c>
      <c r="H29" s="20">
        <v>12414200</v>
      </c>
      <c r="I29" s="20">
        <v>12414200</v>
      </c>
      <c r="J29" s="20">
        <v>16901100</v>
      </c>
      <c r="K29" s="20">
        <v>19037600</v>
      </c>
      <c r="L29" s="20">
        <v>17592400</v>
      </c>
      <c r="M29" s="20">
        <v>17592400</v>
      </c>
      <c r="N29" s="341">
        <v>19138400</v>
      </c>
      <c r="O29" s="342">
        <v>20290200</v>
      </c>
      <c r="P29" s="341">
        <v>24262700</v>
      </c>
      <c r="Q29" s="342">
        <v>24482000</v>
      </c>
    </row>
    <row r="30" spans="1:17" ht="24.95" customHeight="1" x14ac:dyDescent="0.25">
      <c r="A30" s="605" t="s">
        <v>535</v>
      </c>
      <c r="B30" s="346">
        <v>8802000</v>
      </c>
      <c r="C30" s="346">
        <v>9297000</v>
      </c>
      <c r="D30" s="346">
        <v>8851000</v>
      </c>
      <c r="E30" s="346">
        <v>9248000</v>
      </c>
      <c r="F30" s="346">
        <v>8724000</v>
      </c>
      <c r="G30" s="346">
        <v>9386000</v>
      </c>
      <c r="H30" s="346">
        <v>9309000</v>
      </c>
      <c r="I30" s="346">
        <v>9658000</v>
      </c>
      <c r="J30" s="346">
        <v>14444000</v>
      </c>
      <c r="K30" s="346">
        <v>13536000</v>
      </c>
      <c r="L30" s="346">
        <v>15326000</v>
      </c>
      <c r="M30" s="346">
        <v>18246000</v>
      </c>
      <c r="N30" s="347">
        <v>17379000</v>
      </c>
      <c r="O30" s="348">
        <v>18704000</v>
      </c>
      <c r="P30" s="347">
        <v>17941000</v>
      </c>
      <c r="Q30" s="348">
        <v>18423000</v>
      </c>
    </row>
    <row r="31" spans="1:17" ht="24.95" customHeight="1" x14ac:dyDescent="0.25">
      <c r="A31" s="168" t="s">
        <v>91</v>
      </c>
      <c r="B31" s="20">
        <v>30211638</v>
      </c>
      <c r="C31" s="20">
        <v>30815948</v>
      </c>
      <c r="D31" s="20">
        <v>27628169</v>
      </c>
      <c r="E31" s="20">
        <v>28714788</v>
      </c>
      <c r="F31" s="20">
        <v>22312500</v>
      </c>
      <c r="G31" s="20">
        <v>22312500</v>
      </c>
      <c r="H31" s="129">
        <f>35700000/1.68</f>
        <v>21250000</v>
      </c>
      <c r="I31" s="129">
        <f>35700000/1.68</f>
        <v>21250000</v>
      </c>
      <c r="J31" s="20">
        <f>35700000/1.3</f>
        <v>27461538.46153846</v>
      </c>
      <c r="K31" s="20">
        <f>35700000/1.3</f>
        <v>27461538.46153846</v>
      </c>
      <c r="L31" s="20">
        <f>71400000/2/1.21</f>
        <v>29504132.23140496</v>
      </c>
      <c r="M31" s="20">
        <f>71400000/2/1.21</f>
        <v>29504132.23140496</v>
      </c>
      <c r="N31" s="341">
        <v>31315789</v>
      </c>
      <c r="O31" s="342"/>
      <c r="P31" s="341"/>
      <c r="Q31" s="342"/>
    </row>
    <row r="32" spans="1:17" ht="24.95" customHeight="1" x14ac:dyDescent="0.25">
      <c r="A32" s="605" t="s">
        <v>90</v>
      </c>
      <c r="B32" s="346">
        <v>421327000</v>
      </c>
      <c r="C32" s="346">
        <v>421327000</v>
      </c>
      <c r="D32" s="346">
        <v>421327000</v>
      </c>
      <c r="E32" s="346">
        <f>D32</f>
        <v>421327000</v>
      </c>
      <c r="F32" s="346">
        <v>421327000</v>
      </c>
      <c r="G32" s="346">
        <f>+D32</f>
        <v>421327000</v>
      </c>
      <c r="H32" s="346">
        <v>427827000</v>
      </c>
      <c r="I32" s="346">
        <v>427827000</v>
      </c>
      <c r="J32" s="346">
        <v>440055000</v>
      </c>
      <c r="K32" s="346">
        <v>440055000</v>
      </c>
      <c r="L32" s="346">
        <v>457657500</v>
      </c>
      <c r="M32" s="346">
        <v>457657500</v>
      </c>
      <c r="N32" s="347">
        <v>479420000</v>
      </c>
      <c r="O32" s="348">
        <v>479420000</v>
      </c>
      <c r="P32" s="347">
        <v>472557200</v>
      </c>
      <c r="Q32" s="348">
        <v>472557200</v>
      </c>
    </row>
    <row r="33" spans="1:18" ht="24.95" customHeight="1" x14ac:dyDescent="0.25">
      <c r="A33" s="168" t="s">
        <v>96</v>
      </c>
      <c r="B33" s="20">
        <v>118636047</v>
      </c>
      <c r="C33" s="20">
        <v>107775000</v>
      </c>
      <c r="D33" s="20">
        <v>135753546</v>
      </c>
      <c r="E33" s="20">
        <v>120385220</v>
      </c>
      <c r="F33" s="20">
        <v>116393466</v>
      </c>
      <c r="G33" s="20">
        <v>121936012</v>
      </c>
      <c r="H33" s="20">
        <v>222009468</v>
      </c>
      <c r="I33" s="20">
        <v>221909118</v>
      </c>
      <c r="J33" s="20">
        <v>280175439</v>
      </c>
      <c r="K33" s="20">
        <v>243816794</v>
      </c>
      <c r="L33" s="20">
        <v>202671756</v>
      </c>
      <c r="M33" s="20">
        <v>202671756</v>
      </c>
      <c r="N33" s="341">
        <v>297596558</v>
      </c>
      <c r="O33" s="342">
        <v>305884466</v>
      </c>
      <c r="P33" s="341">
        <v>300291262</v>
      </c>
      <c r="Q33" s="342">
        <v>300291262</v>
      </c>
      <c r="R33" s="320"/>
    </row>
    <row r="34" spans="1:18" ht="24.95" customHeight="1" x14ac:dyDescent="0.25">
      <c r="A34" s="605" t="s">
        <v>93</v>
      </c>
      <c r="B34" s="346">
        <v>53620690</v>
      </c>
      <c r="C34" s="346">
        <v>53620690</v>
      </c>
      <c r="D34" s="346">
        <v>42842466</v>
      </c>
      <c r="E34" s="346">
        <v>42842466</v>
      </c>
      <c r="F34" s="346">
        <v>39669810</v>
      </c>
      <c r="G34" s="346">
        <v>38227270</v>
      </c>
      <c r="H34" s="346">
        <f>ROUND(63075000/1.49,0)</f>
        <v>42332215</v>
      </c>
      <c r="I34" s="346">
        <f>ROUND(63075000/1.3,0)</f>
        <v>48519231</v>
      </c>
      <c r="J34" s="346">
        <f>(127169800/1.3)/2</f>
        <v>48911461.538461536</v>
      </c>
      <c r="K34" s="346">
        <f>J34</f>
        <v>48911461.538461536</v>
      </c>
      <c r="L34" s="346">
        <f>(126630200/2)/1.31</f>
        <v>48332137.404580154</v>
      </c>
      <c r="M34" s="346">
        <f>(126630200/2)/1.31</f>
        <v>48332137.404580154</v>
      </c>
      <c r="N34" s="347">
        <f>ROUND((141250000/2)/1.25,0)</f>
        <v>56500000</v>
      </c>
      <c r="O34" s="348">
        <f>ROUND((141250000/2)/1.25,0)</f>
        <v>56500000</v>
      </c>
      <c r="P34" s="347">
        <f>ROUND((134750000/2)/1.001,0)</f>
        <v>67307692</v>
      </c>
      <c r="Q34" s="348">
        <f>P34</f>
        <v>67307692</v>
      </c>
    </row>
    <row r="35" spans="1:18" ht="24.95" customHeight="1" thickBot="1" x14ac:dyDescent="0.3">
      <c r="A35" s="606" t="s">
        <v>493</v>
      </c>
      <c r="B35" s="343">
        <f>115693503/1.29</f>
        <v>89684886.04651162</v>
      </c>
      <c r="C35" s="343">
        <f>115692850/1.42</f>
        <v>81473838.028169021</v>
      </c>
      <c r="D35" s="343">
        <f>115978850/1.41</f>
        <v>82254503.54609929</v>
      </c>
      <c r="E35" s="343">
        <f>122195450/1.59</f>
        <v>76852484.276729554</v>
      </c>
      <c r="F35" s="343">
        <f>127697010/1.76</f>
        <v>72555119.318181813</v>
      </c>
      <c r="G35" s="343">
        <f>134083610/1.68</f>
        <v>79811672.619047627</v>
      </c>
      <c r="H35" s="343">
        <f>143129850/1.49</f>
        <v>96060302.013422817</v>
      </c>
      <c r="I35" s="343">
        <f>154954350/1.3</f>
        <v>119195653.84615384</v>
      </c>
      <c r="J35" s="343">
        <f>161776500/1.14</f>
        <v>141909210.52631581</v>
      </c>
      <c r="K35" s="343">
        <f>168703400/1.31</f>
        <v>128781221.37404579</v>
      </c>
      <c r="L35" s="343">
        <f>175000150/1.21</f>
        <v>144628223.14049587</v>
      </c>
      <c r="M35" s="343">
        <f>181976450/1.12</f>
        <v>162478973.2142857</v>
      </c>
      <c r="N35" s="344">
        <f>184891500/1.12</f>
        <v>165081696.4285714</v>
      </c>
      <c r="O35" s="345">
        <f>189257600/1.12</f>
        <v>168979999.99999997</v>
      </c>
      <c r="P35" s="344">
        <f>193989500/1.158</f>
        <v>167521157.16753024</v>
      </c>
      <c r="Q35" s="345">
        <v>171161139.89637306</v>
      </c>
    </row>
    <row r="36" spans="1:18" ht="24.95" customHeight="1" thickTop="1" thickBot="1" x14ac:dyDescent="0.25">
      <c r="A36" s="606" t="s">
        <v>97</v>
      </c>
      <c r="B36" s="607">
        <f t="shared" ref="B36:Q36" si="0">SUM(B5:B35)</f>
        <v>5451232670.0465117</v>
      </c>
      <c r="C36" s="607">
        <f t="shared" si="0"/>
        <v>5351558140.0281687</v>
      </c>
      <c r="D36" s="607">
        <f t="shared" si="0"/>
        <v>5271588679.5460997</v>
      </c>
      <c r="E36" s="607">
        <f t="shared" si="0"/>
        <v>5185658224.2767296</v>
      </c>
      <c r="F36" s="607">
        <f t="shared" si="0"/>
        <v>5229609319.318182</v>
      </c>
      <c r="G36" s="607">
        <f t="shared" si="0"/>
        <v>5276585511.6190472</v>
      </c>
      <c r="H36" s="607">
        <f t="shared" si="0"/>
        <v>5607147030.013423</v>
      </c>
      <c r="I36" s="607">
        <f t="shared" si="0"/>
        <v>5811186250.8461542</v>
      </c>
      <c r="J36" s="607">
        <f t="shared" si="0"/>
        <v>6816124263.5263157</v>
      </c>
      <c r="K36" s="607">
        <f t="shared" si="0"/>
        <v>6943265798.6240454</v>
      </c>
      <c r="L36" s="607">
        <f t="shared" si="0"/>
        <v>7571585753.4125481</v>
      </c>
      <c r="M36" s="607">
        <f t="shared" si="0"/>
        <v>7730551510.0797796</v>
      </c>
      <c r="N36" s="321">
        <f t="shared" si="0"/>
        <v>8929407218.4537315</v>
      </c>
      <c r="O36" s="169">
        <f t="shared" si="0"/>
        <v>8856517935.9823227</v>
      </c>
      <c r="P36" s="321">
        <f t="shared" si="0"/>
        <v>9173658326.3075294</v>
      </c>
      <c r="Q36" s="169">
        <f t="shared" si="0"/>
        <v>9215230566.0463734</v>
      </c>
    </row>
    <row r="37" spans="1:18" ht="15.75" thickTop="1" x14ac:dyDescent="0.2">
      <c r="A37" s="162"/>
      <c r="B37" s="128"/>
      <c r="C37" s="128"/>
      <c r="D37" s="128"/>
      <c r="E37" s="128"/>
      <c r="F37" s="128"/>
      <c r="G37" s="128"/>
      <c r="H37" s="128"/>
      <c r="I37" s="128"/>
      <c r="J37" s="128"/>
      <c r="K37" s="128"/>
      <c r="L37" s="59"/>
      <c r="M37" s="59"/>
      <c r="N37" s="59"/>
      <c r="O37" s="59"/>
      <c r="P37" s="59"/>
      <c r="Q37" s="59"/>
    </row>
    <row r="38" spans="1:18" ht="15" x14ac:dyDescent="0.2">
      <c r="A38" s="18"/>
      <c r="B38" s="21"/>
      <c r="C38" s="21"/>
      <c r="D38" s="21"/>
      <c r="E38" s="21"/>
      <c r="F38" s="21"/>
      <c r="G38" s="21"/>
      <c r="H38" s="21"/>
      <c r="I38" s="21"/>
      <c r="J38" s="21"/>
      <c r="K38" s="21"/>
    </row>
    <row r="39" spans="1:18" ht="15" x14ac:dyDescent="0.2">
      <c r="A39" s="24"/>
      <c r="B39" s="21"/>
      <c r="C39" s="21"/>
      <c r="D39" s="21"/>
      <c r="E39" s="21"/>
      <c r="F39" s="21"/>
      <c r="G39" s="21"/>
      <c r="H39" s="21"/>
      <c r="I39" s="21"/>
      <c r="J39" s="21"/>
      <c r="K39" s="21"/>
    </row>
    <row r="40" spans="1:18" ht="15" x14ac:dyDescent="0.2">
      <c r="A40" s="21"/>
      <c r="B40" s="21"/>
      <c r="C40" s="21"/>
      <c r="D40" s="21"/>
      <c r="E40" s="21"/>
      <c r="F40" s="21"/>
      <c r="G40" s="21"/>
      <c r="H40" s="21"/>
      <c r="I40" s="21"/>
      <c r="J40" s="21"/>
      <c r="K40" s="21"/>
    </row>
    <row r="41" spans="1:18" ht="15" x14ac:dyDescent="0.2">
      <c r="A41" s="21"/>
      <c r="B41" s="21"/>
      <c r="C41" s="21"/>
      <c r="D41" s="21"/>
      <c r="E41" s="21"/>
      <c r="F41" s="21"/>
      <c r="G41" s="21"/>
      <c r="H41" s="21"/>
      <c r="I41" s="21"/>
      <c r="J41" s="21"/>
      <c r="K41" s="21"/>
    </row>
    <row r="42" spans="1:18" ht="15" x14ac:dyDescent="0.2">
      <c r="A42" s="21"/>
      <c r="B42" s="21"/>
      <c r="C42" s="21"/>
      <c r="D42" s="21"/>
      <c r="E42" s="21"/>
      <c r="F42" s="21"/>
      <c r="G42" s="21"/>
      <c r="H42" s="21"/>
      <c r="I42" s="21"/>
      <c r="J42" s="21"/>
      <c r="K42" s="21"/>
    </row>
    <row r="43" spans="1:18" ht="15" x14ac:dyDescent="0.2">
      <c r="A43" s="21"/>
      <c r="B43" s="21"/>
      <c r="C43" s="21"/>
      <c r="D43" s="21"/>
      <c r="E43" s="21"/>
      <c r="F43" s="21"/>
      <c r="G43" s="21"/>
      <c r="H43" s="21"/>
      <c r="I43" s="21"/>
      <c r="J43" s="21"/>
      <c r="K43" s="21"/>
    </row>
    <row r="44" spans="1:18" ht="15" x14ac:dyDescent="0.2">
      <c r="A44" s="21"/>
      <c r="B44" s="21"/>
      <c r="C44" s="21"/>
      <c r="D44" s="21"/>
      <c r="E44" s="21"/>
      <c r="F44" s="21"/>
      <c r="G44" s="21"/>
      <c r="H44" s="21"/>
      <c r="I44" s="21"/>
      <c r="J44" s="21"/>
      <c r="K44" s="21"/>
    </row>
    <row r="45" spans="1:18" ht="15" x14ac:dyDescent="0.2">
      <c r="A45" s="21"/>
      <c r="B45" s="21"/>
      <c r="C45" s="21"/>
      <c r="D45" s="21"/>
      <c r="E45" s="21"/>
      <c r="F45" s="21"/>
      <c r="G45" s="21"/>
      <c r="H45" s="21"/>
      <c r="I45" s="21"/>
      <c r="J45" s="21"/>
      <c r="K45" s="21"/>
    </row>
    <row r="46" spans="1:18" ht="15" x14ac:dyDescent="0.2">
      <c r="A46" s="21"/>
      <c r="B46" s="21"/>
      <c r="C46" s="21"/>
      <c r="D46" s="21"/>
      <c r="E46" s="21"/>
      <c r="F46" s="21"/>
      <c r="G46" s="21"/>
      <c r="H46" s="21"/>
      <c r="I46" s="21"/>
      <c r="J46" s="21"/>
      <c r="K46" s="21"/>
    </row>
    <row r="47" spans="1:18" ht="15" x14ac:dyDescent="0.2">
      <c r="A47" s="21"/>
      <c r="B47" s="21"/>
      <c r="C47" s="21"/>
      <c r="D47" s="21"/>
      <c r="E47" s="21"/>
      <c r="F47" s="21"/>
      <c r="G47" s="21"/>
      <c r="H47" s="21"/>
      <c r="I47" s="21"/>
      <c r="J47" s="21"/>
      <c r="K47" s="21"/>
    </row>
    <row r="48" spans="1:18" ht="15" x14ac:dyDescent="0.2">
      <c r="A48" s="21"/>
      <c r="B48" s="21"/>
      <c r="C48" s="21"/>
      <c r="D48" s="21"/>
      <c r="E48" s="21"/>
      <c r="F48" s="21"/>
      <c r="G48" s="21"/>
      <c r="H48" s="21"/>
      <c r="I48" s="21"/>
      <c r="J48" s="21"/>
      <c r="K48" s="21"/>
    </row>
    <row r="49" spans="1:11" ht="15" x14ac:dyDescent="0.2">
      <c r="A49" s="21"/>
      <c r="B49" s="21"/>
      <c r="C49" s="21"/>
      <c r="D49" s="21"/>
      <c r="E49" s="21"/>
      <c r="F49" s="21"/>
      <c r="G49" s="21"/>
      <c r="H49" s="21"/>
      <c r="I49" s="21"/>
      <c r="J49" s="21"/>
      <c r="K49" s="21"/>
    </row>
    <row r="50" spans="1:11" ht="15" x14ac:dyDescent="0.2">
      <c r="A50" s="21"/>
      <c r="B50" s="21"/>
      <c r="C50" s="21"/>
      <c r="D50" s="21"/>
      <c r="E50" s="21"/>
      <c r="F50" s="21"/>
      <c r="G50" s="21"/>
      <c r="H50" s="21"/>
      <c r="I50" s="21"/>
      <c r="J50" s="21"/>
      <c r="K50" s="21"/>
    </row>
    <row r="51" spans="1:11" ht="15" x14ac:dyDescent="0.2">
      <c r="A51" s="21"/>
      <c r="B51" s="21"/>
      <c r="C51" s="21"/>
      <c r="D51" s="21"/>
      <c r="E51" s="21"/>
      <c r="F51" s="21"/>
      <c r="G51" s="21"/>
      <c r="H51" s="21"/>
      <c r="I51" s="21"/>
      <c r="J51" s="21"/>
      <c r="K51" s="21"/>
    </row>
    <row r="52" spans="1:11" ht="15" x14ac:dyDescent="0.2">
      <c r="A52" s="21"/>
      <c r="B52" s="21"/>
      <c r="C52" s="21"/>
      <c r="D52" s="21"/>
      <c r="E52" s="21"/>
      <c r="F52" s="21"/>
      <c r="G52" s="21"/>
      <c r="H52" s="21"/>
      <c r="I52" s="21"/>
      <c r="J52" s="21"/>
      <c r="K52" s="21"/>
    </row>
    <row r="53" spans="1:11" ht="15" x14ac:dyDescent="0.2">
      <c r="A53" s="21"/>
      <c r="B53" s="21"/>
      <c r="C53" s="21"/>
      <c r="D53" s="21"/>
      <c r="E53" s="21"/>
      <c r="F53" s="21"/>
      <c r="G53" s="21"/>
      <c r="H53" s="21"/>
      <c r="I53" s="21"/>
      <c r="J53" s="21"/>
      <c r="K53" s="21"/>
    </row>
    <row r="54" spans="1:11" ht="15" x14ac:dyDescent="0.2">
      <c r="A54" s="21"/>
      <c r="B54" s="21"/>
      <c r="C54" s="21"/>
      <c r="D54" s="21"/>
      <c r="E54" s="21"/>
      <c r="F54" s="21"/>
      <c r="G54" s="21"/>
      <c r="H54" s="21"/>
      <c r="I54" s="21"/>
      <c r="J54" s="21"/>
      <c r="K54" s="21"/>
    </row>
    <row r="55" spans="1:11" ht="15" x14ac:dyDescent="0.2">
      <c r="A55" s="21"/>
      <c r="B55" s="21"/>
      <c r="C55" s="21"/>
      <c r="D55" s="21"/>
      <c r="E55" s="21"/>
      <c r="F55" s="21"/>
      <c r="G55" s="21"/>
      <c r="H55" s="21"/>
      <c r="I55" s="21"/>
      <c r="J55" s="21"/>
      <c r="K55" s="21"/>
    </row>
    <row r="56" spans="1:11" ht="15" x14ac:dyDescent="0.2">
      <c r="A56" s="21"/>
      <c r="B56" s="21"/>
      <c r="C56" s="21"/>
      <c r="D56" s="21"/>
      <c r="E56" s="21"/>
      <c r="F56" s="21"/>
      <c r="G56" s="21"/>
      <c r="H56" s="21"/>
      <c r="I56" s="21"/>
      <c r="J56" s="21"/>
      <c r="K56" s="21"/>
    </row>
    <row r="57" spans="1:11" ht="15" x14ac:dyDescent="0.2">
      <c r="A57" s="21"/>
      <c r="B57" s="21"/>
      <c r="C57" s="21"/>
      <c r="D57" s="21"/>
      <c r="E57" s="21"/>
      <c r="F57" s="21"/>
      <c r="G57" s="21"/>
      <c r="H57" s="21"/>
      <c r="I57" s="21"/>
      <c r="J57" s="21"/>
      <c r="K57" s="21"/>
    </row>
    <row r="58" spans="1:11" ht="15" x14ac:dyDescent="0.2">
      <c r="A58" s="21"/>
      <c r="B58" s="21"/>
      <c r="C58" s="21"/>
      <c r="D58" s="21"/>
      <c r="E58" s="21"/>
      <c r="F58" s="21"/>
      <c r="G58" s="21"/>
      <c r="H58" s="21"/>
      <c r="I58" s="21"/>
      <c r="J58" s="21"/>
      <c r="K58" s="21"/>
    </row>
    <row r="59" spans="1:11" ht="15" x14ac:dyDescent="0.2">
      <c r="A59" s="21"/>
      <c r="B59" s="21"/>
      <c r="C59" s="21"/>
      <c r="D59" s="21"/>
      <c r="E59" s="21"/>
      <c r="F59" s="21"/>
      <c r="G59" s="21"/>
      <c r="H59" s="21"/>
      <c r="I59" s="21"/>
      <c r="J59" s="21"/>
      <c r="K59" s="21"/>
    </row>
    <row r="60" spans="1:11" ht="15" x14ac:dyDescent="0.2">
      <c r="A60" s="21"/>
      <c r="B60" s="21"/>
      <c r="C60" s="21"/>
      <c r="D60" s="21"/>
      <c r="E60" s="21"/>
      <c r="F60" s="21"/>
      <c r="G60" s="21"/>
      <c r="H60" s="21"/>
      <c r="I60" s="21"/>
      <c r="J60" s="21"/>
      <c r="K60" s="21"/>
    </row>
    <row r="61" spans="1:11" ht="15" x14ac:dyDescent="0.2">
      <c r="A61" s="21"/>
      <c r="B61" s="21"/>
      <c r="C61" s="21"/>
      <c r="D61" s="21"/>
      <c r="E61" s="21"/>
      <c r="F61" s="21"/>
      <c r="G61" s="21"/>
      <c r="H61" s="21"/>
      <c r="I61" s="21"/>
      <c r="J61" s="21"/>
      <c r="K61" s="21"/>
    </row>
    <row r="62" spans="1:11" ht="15" x14ac:dyDescent="0.2">
      <c r="A62" s="21"/>
      <c r="B62" s="21"/>
      <c r="C62" s="21"/>
      <c r="D62" s="21"/>
      <c r="E62" s="21"/>
      <c r="F62" s="21"/>
      <c r="G62" s="21"/>
      <c r="H62" s="21"/>
      <c r="I62" s="21"/>
      <c r="J62" s="21"/>
      <c r="K62" s="21"/>
    </row>
    <row r="63" spans="1:11" ht="15" x14ac:dyDescent="0.2">
      <c r="A63" s="21"/>
      <c r="B63" s="21"/>
      <c r="C63" s="21"/>
      <c r="D63" s="21"/>
      <c r="E63" s="21"/>
      <c r="F63" s="21"/>
      <c r="G63" s="21"/>
      <c r="H63" s="21"/>
      <c r="I63" s="21"/>
      <c r="J63" s="21"/>
      <c r="K63" s="21"/>
    </row>
    <row r="64" spans="1:11" ht="15" x14ac:dyDescent="0.2">
      <c r="A64" s="21"/>
      <c r="B64" s="21"/>
      <c r="C64" s="21"/>
      <c r="D64" s="21"/>
      <c r="E64" s="21"/>
      <c r="F64" s="21"/>
      <c r="G64" s="21"/>
      <c r="H64" s="21"/>
      <c r="I64" s="21"/>
      <c r="J64" s="21"/>
      <c r="K64" s="21"/>
    </row>
    <row r="65" spans="1:17" ht="15" x14ac:dyDescent="0.2">
      <c r="A65" s="21"/>
      <c r="B65" s="21"/>
      <c r="C65" s="21"/>
      <c r="D65" s="21"/>
      <c r="E65" s="21"/>
      <c r="F65" s="21"/>
      <c r="G65" s="21"/>
      <c r="H65" s="21"/>
      <c r="I65" s="21"/>
      <c r="J65" s="21"/>
      <c r="K65" s="21"/>
    </row>
    <row r="66" spans="1:17" ht="15" x14ac:dyDescent="0.2">
      <c r="A66" s="21"/>
      <c r="B66" s="21"/>
      <c r="C66" s="21"/>
      <c r="D66" s="21"/>
      <c r="E66" s="21"/>
      <c r="F66" s="21"/>
      <c r="G66" s="21"/>
      <c r="H66" s="21"/>
      <c r="I66" s="21"/>
      <c r="J66" s="21"/>
      <c r="K66" s="21"/>
    </row>
    <row r="67" spans="1:17" ht="15" x14ac:dyDescent="0.2">
      <c r="A67" s="21"/>
      <c r="B67" s="21"/>
      <c r="C67" s="21"/>
      <c r="D67" s="21"/>
      <c r="E67" s="21"/>
      <c r="F67" s="21"/>
      <c r="G67" s="21"/>
      <c r="H67" s="21"/>
      <c r="I67" s="21"/>
      <c r="J67" s="21"/>
      <c r="K67" s="21"/>
    </row>
    <row r="68" spans="1:17" ht="15" x14ac:dyDescent="0.2">
      <c r="A68" s="21"/>
      <c r="B68" s="21"/>
      <c r="C68" s="21"/>
      <c r="D68" s="21"/>
      <c r="E68" s="21"/>
      <c r="F68" s="21"/>
      <c r="G68" s="21"/>
      <c r="H68" s="21"/>
      <c r="I68" s="21"/>
      <c r="J68" s="21"/>
      <c r="K68" s="21"/>
    </row>
    <row r="69" spans="1:17" ht="15.75" x14ac:dyDescent="0.25">
      <c r="A69" s="21"/>
      <c r="B69" s="21"/>
      <c r="C69" s="21"/>
      <c r="D69" s="21"/>
      <c r="E69" s="21"/>
      <c r="F69" s="21"/>
      <c r="G69" s="21"/>
      <c r="H69" s="21"/>
      <c r="I69" s="21"/>
      <c r="J69" s="21"/>
      <c r="K69" s="21"/>
      <c r="Q69" s="16"/>
    </row>
    <row r="70" spans="1:17" ht="15" x14ac:dyDescent="0.2">
      <c r="A70" s="21"/>
      <c r="B70" s="21"/>
      <c r="C70" s="21"/>
      <c r="D70" s="21"/>
      <c r="E70" s="21"/>
      <c r="F70" s="21"/>
      <c r="G70" s="21"/>
      <c r="H70" s="21"/>
      <c r="I70" s="21"/>
      <c r="J70" s="21"/>
      <c r="K70" s="21"/>
    </row>
    <row r="71" spans="1:17" ht="15" x14ac:dyDescent="0.2">
      <c r="A71" s="21"/>
      <c r="B71" s="21"/>
      <c r="C71" s="21"/>
      <c r="D71" s="21"/>
      <c r="E71" s="21"/>
      <c r="F71" s="21"/>
      <c r="G71" s="21"/>
      <c r="H71" s="21"/>
      <c r="I71" s="21"/>
      <c r="J71" s="21"/>
      <c r="K71" s="21"/>
    </row>
    <row r="72" spans="1:17" ht="15" x14ac:dyDescent="0.2">
      <c r="A72" s="21"/>
      <c r="B72" s="21"/>
      <c r="C72" s="21"/>
      <c r="D72" s="21"/>
      <c r="E72" s="21"/>
      <c r="F72" s="21"/>
      <c r="G72" s="21"/>
      <c r="H72" s="21"/>
      <c r="I72" s="21"/>
      <c r="J72" s="21"/>
      <c r="K72" s="21"/>
    </row>
    <row r="73" spans="1:17" ht="15" x14ac:dyDescent="0.2">
      <c r="A73" s="21"/>
      <c r="B73" s="21"/>
      <c r="C73" s="21"/>
      <c r="D73" s="21"/>
      <c r="E73" s="21"/>
      <c r="F73" s="21"/>
      <c r="G73" s="21"/>
      <c r="H73" s="21"/>
      <c r="I73" s="21"/>
      <c r="J73" s="21"/>
      <c r="K73" s="21"/>
    </row>
    <row r="74" spans="1:17" ht="15" x14ac:dyDescent="0.2">
      <c r="A74" s="21"/>
      <c r="B74" s="21"/>
      <c r="C74" s="21"/>
      <c r="D74" s="21"/>
      <c r="E74" s="21"/>
      <c r="F74" s="21"/>
      <c r="G74" s="21"/>
      <c r="H74" s="21"/>
      <c r="I74" s="21"/>
      <c r="J74" s="21"/>
      <c r="K74" s="21"/>
    </row>
    <row r="75" spans="1:17" ht="15" x14ac:dyDescent="0.2">
      <c r="A75" s="21"/>
      <c r="B75" s="21"/>
      <c r="C75" s="21"/>
      <c r="D75" s="21"/>
      <c r="E75" s="21"/>
      <c r="F75" s="21"/>
      <c r="G75" s="21"/>
      <c r="H75" s="21"/>
      <c r="I75" s="21"/>
      <c r="J75" s="21"/>
      <c r="K75" s="21"/>
    </row>
    <row r="76" spans="1:17" ht="15" x14ac:dyDescent="0.2">
      <c r="A76" s="21"/>
      <c r="B76" s="21"/>
      <c r="C76" s="21"/>
      <c r="D76" s="21"/>
      <c r="E76" s="21"/>
      <c r="F76" s="21"/>
      <c r="G76" s="21"/>
      <c r="H76" s="21"/>
      <c r="I76" s="21"/>
      <c r="J76" s="21"/>
      <c r="K76" s="21"/>
    </row>
    <row r="77" spans="1:17" ht="15" x14ac:dyDescent="0.2">
      <c r="A77" s="21"/>
      <c r="B77" s="21"/>
      <c r="C77" s="21"/>
      <c r="D77" s="21"/>
      <c r="E77" s="21"/>
      <c r="F77" s="21"/>
      <c r="G77" s="21"/>
      <c r="H77" s="21"/>
      <c r="I77" s="21"/>
      <c r="J77" s="21"/>
      <c r="K77" s="21"/>
    </row>
    <row r="78" spans="1:17" ht="15" x14ac:dyDescent="0.2">
      <c r="A78" s="21"/>
      <c r="B78" s="21"/>
      <c r="C78" s="21"/>
      <c r="D78" s="21"/>
      <c r="E78" s="21"/>
      <c r="F78" s="21"/>
      <c r="G78" s="21"/>
      <c r="H78" s="21"/>
      <c r="I78" s="21"/>
      <c r="J78" s="21"/>
      <c r="K78" s="21"/>
    </row>
    <row r="79" spans="1:17" ht="15" x14ac:dyDescent="0.2">
      <c r="A79" s="21"/>
      <c r="B79" s="21"/>
      <c r="C79" s="21"/>
      <c r="D79" s="21"/>
      <c r="E79" s="21"/>
      <c r="F79" s="21"/>
      <c r="G79" s="21"/>
      <c r="H79" s="21"/>
      <c r="I79" s="21"/>
      <c r="J79" s="21"/>
      <c r="K79" s="21"/>
    </row>
    <row r="80" spans="1:17" ht="15" x14ac:dyDescent="0.2">
      <c r="A80" s="21"/>
      <c r="B80" s="21"/>
      <c r="C80" s="21"/>
      <c r="D80" s="21"/>
      <c r="E80" s="21"/>
      <c r="F80" s="21"/>
      <c r="G80" s="21"/>
      <c r="H80" s="21"/>
      <c r="I80" s="21"/>
      <c r="J80" s="21"/>
      <c r="K80" s="21"/>
    </row>
    <row r="81" spans="1:11" ht="15" x14ac:dyDescent="0.2">
      <c r="A81" s="21"/>
      <c r="B81" s="21"/>
      <c r="C81" s="21"/>
      <c r="D81" s="21"/>
      <c r="E81" s="21"/>
      <c r="F81" s="21"/>
      <c r="G81" s="21"/>
      <c r="H81" s="21"/>
      <c r="I81" s="21"/>
      <c r="J81" s="21"/>
      <c r="K81" s="21"/>
    </row>
    <row r="82" spans="1:11" ht="15" x14ac:dyDescent="0.2">
      <c r="A82" s="21"/>
      <c r="B82" s="21"/>
      <c r="C82" s="21"/>
      <c r="D82" s="21"/>
      <c r="E82" s="21"/>
      <c r="F82" s="21"/>
      <c r="G82" s="21"/>
      <c r="H82" s="21"/>
      <c r="I82" s="21"/>
      <c r="J82" s="21"/>
      <c r="K82" s="21"/>
    </row>
    <row r="83" spans="1:11" ht="15" x14ac:dyDescent="0.2">
      <c r="A83" s="21"/>
      <c r="B83" s="21"/>
      <c r="C83" s="21"/>
      <c r="D83" s="21"/>
      <c r="E83" s="21"/>
      <c r="F83" s="21"/>
      <c r="G83" s="21"/>
      <c r="H83" s="21"/>
      <c r="I83" s="21"/>
      <c r="J83" s="21"/>
      <c r="K83" s="21"/>
    </row>
    <row r="84" spans="1:11" ht="15" x14ac:dyDescent="0.2">
      <c r="A84" s="21"/>
      <c r="B84" s="21"/>
      <c r="C84" s="21"/>
      <c r="D84" s="21"/>
      <c r="E84" s="21"/>
      <c r="F84" s="21"/>
      <c r="G84" s="21"/>
      <c r="H84" s="21"/>
      <c r="I84" s="21"/>
      <c r="J84" s="21"/>
      <c r="K84" s="21"/>
    </row>
    <row r="85" spans="1:11" ht="15" x14ac:dyDescent="0.2">
      <c r="A85" s="21"/>
      <c r="B85" s="21"/>
      <c r="C85" s="21"/>
      <c r="D85" s="21"/>
      <c r="E85" s="21"/>
      <c r="F85" s="21"/>
      <c r="G85" s="21"/>
      <c r="H85" s="21"/>
      <c r="I85" s="21"/>
      <c r="J85" s="21"/>
      <c r="K85" s="21"/>
    </row>
  </sheetData>
  <phoneticPr fontId="0" type="noConversion"/>
  <pageMargins left="0.47244094488188981" right="0.19685039370078741" top="0.47244094488188981" bottom="0.35433070866141736" header="0.31496062992125984" footer="0.35433070866141736"/>
  <pageSetup scale="47" firstPageNumber="7" orientation="landscape" useFirstPageNumber="1" horizontalDpi="1200" verticalDpi="1200" r:id="rId1"/>
  <headerFooter alignWithMargins="0">
    <oddFooter>&amp;C&amp;16&amp;P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zoomScale="81" zoomScaleNormal="81" workbookViewId="0"/>
  </sheetViews>
  <sheetFormatPr defaultRowHeight="12.75" x14ac:dyDescent="0.2"/>
  <cols>
    <col min="1" max="1" width="15" style="78" bestFit="1" customWidth="1"/>
    <col min="2" max="2" width="91.7109375" style="78" customWidth="1"/>
    <col min="3" max="16384" width="9.140625" style="79"/>
  </cols>
  <sheetData>
    <row r="1" spans="1:2" x14ac:dyDescent="0.2">
      <c r="A1" s="83" t="s">
        <v>2</v>
      </c>
    </row>
    <row r="3" spans="1:2" s="167" customFormat="1" ht="82.5" customHeight="1" x14ac:dyDescent="0.2">
      <c r="A3" s="360" t="s">
        <v>95</v>
      </c>
      <c r="B3" s="359" t="s">
        <v>597</v>
      </c>
    </row>
    <row r="4" spans="1:2" s="167" customFormat="1" ht="70.5" customHeight="1" x14ac:dyDescent="0.2">
      <c r="A4" s="431" t="s">
        <v>379</v>
      </c>
      <c r="B4" s="360" t="s">
        <v>479</v>
      </c>
    </row>
    <row r="5" spans="1:2" s="167" customFormat="1" ht="70.5" customHeight="1" x14ac:dyDescent="0.2">
      <c r="A5" s="360" t="s">
        <v>538</v>
      </c>
      <c r="B5" s="360" t="s">
        <v>600</v>
      </c>
    </row>
    <row r="6" spans="1:2" s="167" customFormat="1" ht="18" customHeight="1" x14ac:dyDescent="0.2">
      <c r="A6" s="200" t="s">
        <v>13</v>
      </c>
      <c r="B6" s="201" t="s">
        <v>372</v>
      </c>
    </row>
    <row r="7" spans="1:2" s="167" customFormat="1" ht="30.75" customHeight="1" x14ac:dyDescent="0.2">
      <c r="A7" s="200" t="s">
        <v>658</v>
      </c>
      <c r="B7" s="360" t="s">
        <v>671</v>
      </c>
    </row>
    <row r="8" spans="1:2" s="167" customFormat="1" ht="69.75" customHeight="1" x14ac:dyDescent="0.2">
      <c r="A8" s="360" t="s">
        <v>23</v>
      </c>
      <c r="B8" s="200" t="s">
        <v>375</v>
      </c>
    </row>
    <row r="9" spans="1:2" s="167" customFormat="1" ht="30.75" customHeight="1" x14ac:dyDescent="0.2">
      <c r="A9" s="391" t="s">
        <v>667</v>
      </c>
      <c r="B9" s="356" t="s">
        <v>473</v>
      </c>
    </row>
    <row r="10" spans="1:2" s="167" customFormat="1" ht="19.5" customHeight="1" x14ac:dyDescent="0.2">
      <c r="A10" s="391" t="s">
        <v>668</v>
      </c>
      <c r="B10" s="391" t="s">
        <v>11</v>
      </c>
    </row>
    <row r="11" spans="1:2" s="167" customFormat="1" ht="19.5" customHeight="1" x14ac:dyDescent="0.2">
      <c r="A11" s="200" t="s">
        <v>669</v>
      </c>
      <c r="B11" s="201" t="s">
        <v>3</v>
      </c>
    </row>
    <row r="12" spans="1:2" ht="70.5" customHeight="1" x14ac:dyDescent="0.2">
      <c r="A12" s="391" t="s">
        <v>575</v>
      </c>
      <c r="B12" s="356" t="s">
        <v>486</v>
      </c>
    </row>
    <row r="13" spans="1:2" s="167" customFormat="1" ht="45" customHeight="1" x14ac:dyDescent="0.2">
      <c r="A13" s="391" t="s">
        <v>579</v>
      </c>
      <c r="B13" s="359" t="s">
        <v>55</v>
      </c>
    </row>
    <row r="14" spans="1:2" s="167" customFormat="1" ht="30.75" customHeight="1" x14ac:dyDescent="0.2">
      <c r="A14" s="391" t="s">
        <v>580</v>
      </c>
      <c r="B14" s="356" t="s">
        <v>384</v>
      </c>
    </row>
    <row r="15" spans="1:2" s="167" customFormat="1" ht="30.75" customHeight="1" x14ac:dyDescent="0.2">
      <c r="A15" s="360" t="s">
        <v>369</v>
      </c>
      <c r="B15" s="359" t="s">
        <v>370</v>
      </c>
    </row>
    <row r="16" spans="1:2" s="167" customFormat="1" ht="30" customHeight="1" x14ac:dyDescent="0.2">
      <c r="A16" s="393" t="s">
        <v>550</v>
      </c>
      <c r="B16" s="359" t="s">
        <v>460</v>
      </c>
    </row>
    <row r="17" spans="1:2" s="167" customFormat="1" ht="30.75" customHeight="1" x14ac:dyDescent="0.2">
      <c r="A17" s="360" t="s">
        <v>670</v>
      </c>
      <c r="B17" s="200" t="s">
        <v>376</v>
      </c>
    </row>
    <row r="18" spans="1:2" ht="18.75" customHeight="1" x14ac:dyDescent="0.2">
      <c r="A18" s="391" t="s">
        <v>496</v>
      </c>
      <c r="B18" s="356" t="s">
        <v>495</v>
      </c>
    </row>
    <row r="19" spans="1:2" s="167" customFormat="1" ht="45" customHeight="1" x14ac:dyDescent="0.2">
      <c r="A19" s="360" t="s">
        <v>590</v>
      </c>
      <c r="B19" s="359" t="s">
        <v>440</v>
      </c>
    </row>
    <row r="25" spans="1:2" x14ac:dyDescent="0.2">
      <c r="A25" s="308"/>
    </row>
  </sheetData>
  <phoneticPr fontId="0" type="noConversion"/>
  <pageMargins left="0.47244094488188981" right="0.55118110236220474" top="0.98425196850393704" bottom="0.98425196850393704" header="0.51181102362204722" footer="0.51181102362204722"/>
  <pageSetup paperSize="9" scale="80" firstPageNumber="106" orientation="portrait" useFirstPageNumber="1" r:id="rId1"/>
  <headerFooter alignWithMargins="0">
    <oddFooter>&amp;C&amp;12&amp;P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
  <sheetViews>
    <sheetView zoomScale="75" workbookViewId="0">
      <pane xSplit="1" ySplit="5" topLeftCell="E6" activePane="bottomRight" state="frozen"/>
      <selection activeCell="A54" sqref="A54:IV54"/>
      <selection pane="topRight" activeCell="A54" sqref="A54:IV54"/>
      <selection pane="bottomLeft" activeCell="A54" sqref="A54:IV54"/>
      <selection pane="bottomRight" activeCell="P10" sqref="P10"/>
    </sheetView>
  </sheetViews>
  <sheetFormatPr defaultColWidth="14.7109375" defaultRowHeight="12.75" x14ac:dyDescent="0.2"/>
  <cols>
    <col min="1" max="1" width="15.140625" style="3" customWidth="1"/>
    <col min="2" max="2" width="15" style="3" bestFit="1" customWidth="1"/>
    <col min="3" max="4" width="14.5703125" style="3" bestFit="1" customWidth="1"/>
    <col min="5" max="5" width="14.28515625" style="3" bestFit="1" customWidth="1"/>
    <col min="6" max="6" width="15" style="3" bestFit="1" customWidth="1"/>
    <col min="7" max="7" width="14.5703125" style="3" bestFit="1" customWidth="1"/>
    <col min="8" max="8" width="14.28515625" style="3" bestFit="1" customWidth="1"/>
    <col min="9" max="9" width="15" style="3" bestFit="1" customWidth="1"/>
    <col min="10" max="10" width="13.85546875" style="3" bestFit="1" customWidth="1"/>
    <col min="11" max="11" width="15" style="3" bestFit="1" customWidth="1"/>
    <col min="12" max="12" width="14.5703125" style="3" bestFit="1" customWidth="1"/>
    <col min="13" max="13" width="15" style="3" bestFit="1" customWidth="1"/>
    <col min="14" max="14" width="14.5703125" style="3" bestFit="1" customWidth="1"/>
    <col min="15" max="15" width="15" style="3" customWidth="1"/>
    <col min="16" max="16" width="15" style="3" bestFit="1" customWidth="1"/>
    <col min="17" max="17" width="14.28515625" style="3" bestFit="1" customWidth="1"/>
    <col min="18" max="18" width="3.85546875" style="3" customWidth="1"/>
    <col min="19" max="16384" width="14.7109375" style="19"/>
  </cols>
  <sheetData>
    <row r="1" spans="1:18" ht="18.75" customHeight="1" x14ac:dyDescent="0.2">
      <c r="A1" s="202" t="s">
        <v>407</v>
      </c>
      <c r="B1" s="202"/>
      <c r="C1" s="202"/>
      <c r="D1" s="202"/>
      <c r="E1" s="202"/>
      <c r="F1" s="202"/>
      <c r="G1" s="202"/>
      <c r="H1" s="202"/>
      <c r="I1" s="202"/>
      <c r="J1" s="203"/>
      <c r="K1" s="203"/>
      <c r="L1" s="204"/>
      <c r="M1" s="203"/>
      <c r="N1" s="204"/>
      <c r="O1" s="204"/>
      <c r="P1" s="204"/>
      <c r="Q1" s="204"/>
      <c r="R1" s="204"/>
    </row>
    <row r="2" spans="1:18" ht="15.75" customHeight="1" x14ac:dyDescent="0.2">
      <c r="A2" s="205" t="s">
        <v>82</v>
      </c>
      <c r="B2" s="205"/>
      <c r="C2" s="205"/>
      <c r="D2" s="205"/>
      <c r="E2" s="205"/>
      <c r="F2" s="205"/>
      <c r="G2" s="205"/>
      <c r="H2" s="205"/>
      <c r="I2" s="205"/>
      <c r="J2" s="206"/>
      <c r="K2" s="206"/>
      <c r="L2" s="207"/>
      <c r="M2" s="206"/>
      <c r="N2" s="207"/>
      <c r="O2" s="207"/>
      <c r="P2" s="207"/>
      <c r="Q2" s="207"/>
      <c r="R2" s="207"/>
    </row>
    <row r="3" spans="1:18" x14ac:dyDescent="0.2">
      <c r="A3" s="33"/>
    </row>
    <row r="4" spans="1:18" ht="13.5" thickBot="1" x14ac:dyDescent="0.25"/>
    <row r="5" spans="1:18" s="432" customFormat="1" ht="20.100000000000001" customHeight="1" thickTop="1" thickBot="1" x14ac:dyDescent="0.25">
      <c r="A5" s="212" t="s">
        <v>83</v>
      </c>
      <c r="B5" s="213">
        <v>1996</v>
      </c>
      <c r="C5" s="213">
        <v>1997</v>
      </c>
      <c r="D5" s="213">
        <v>1998</v>
      </c>
      <c r="E5" s="213">
        <v>1999</v>
      </c>
      <c r="F5" s="213">
        <v>2000</v>
      </c>
      <c r="G5" s="213">
        <v>2001</v>
      </c>
      <c r="H5" s="213">
        <v>2002</v>
      </c>
      <c r="I5" s="213">
        <v>2003</v>
      </c>
      <c r="J5" s="213">
        <v>2004</v>
      </c>
      <c r="K5" s="213">
        <v>2005</v>
      </c>
      <c r="L5" s="213">
        <v>2006</v>
      </c>
      <c r="M5" s="213">
        <v>2007</v>
      </c>
      <c r="N5" s="213">
        <v>2008</v>
      </c>
      <c r="O5" s="213">
        <v>2009</v>
      </c>
      <c r="P5" s="212">
        <v>2010</v>
      </c>
      <c r="Q5" s="213">
        <v>2011</v>
      </c>
      <c r="R5" s="214"/>
    </row>
    <row r="6" spans="1:18" s="433" customFormat="1" ht="20.100000000000001" customHeight="1" thickTop="1" x14ac:dyDescent="0.2">
      <c r="A6" s="434" t="s">
        <v>84</v>
      </c>
      <c r="B6" s="215">
        <v>1137399557</v>
      </c>
      <c r="C6" s="215">
        <v>1110982567</v>
      </c>
      <c r="D6" s="218">
        <v>1086468287</v>
      </c>
      <c r="E6" s="218">
        <v>1083733908</v>
      </c>
      <c r="F6" s="218">
        <v>1089287030</v>
      </c>
      <c r="G6" s="218">
        <v>1073708938</v>
      </c>
      <c r="H6" s="218">
        <v>1149246782</v>
      </c>
      <c r="I6" s="218">
        <v>1409277046</v>
      </c>
      <c r="J6" s="218">
        <v>1482998517</v>
      </c>
      <c r="K6" s="218">
        <v>1827663523</v>
      </c>
      <c r="L6" s="218">
        <v>1754673738</v>
      </c>
      <c r="M6" s="218">
        <v>2053827936</v>
      </c>
      <c r="N6" s="218">
        <v>1879972468</v>
      </c>
      <c r="O6" s="218">
        <v>2498618698</v>
      </c>
      <c r="P6" s="435">
        <v>2166522053</v>
      </c>
      <c r="Q6" s="215">
        <v>2166522053</v>
      </c>
      <c r="R6" s="436" t="s">
        <v>85</v>
      </c>
    </row>
    <row r="7" spans="1:18" s="448" customFormat="1" ht="19.5" customHeight="1" x14ac:dyDescent="0.2">
      <c r="A7" s="443" t="s">
        <v>602</v>
      </c>
      <c r="B7" s="444">
        <v>173600</v>
      </c>
      <c r="C7" s="444">
        <v>27928287</v>
      </c>
      <c r="D7" s="445">
        <v>58439527</v>
      </c>
      <c r="E7" s="445">
        <v>64559006</v>
      </c>
      <c r="F7" s="445">
        <v>78841986</v>
      </c>
      <c r="G7" s="445">
        <v>80499506</v>
      </c>
      <c r="H7" s="445">
        <v>83091109</v>
      </c>
      <c r="I7" s="445">
        <v>87281709</v>
      </c>
      <c r="J7" s="445">
        <v>93748679</v>
      </c>
      <c r="K7" s="445">
        <v>104763903</v>
      </c>
      <c r="L7" s="445">
        <v>104963261</v>
      </c>
      <c r="M7" s="445">
        <v>113819592</v>
      </c>
      <c r="N7" s="445">
        <v>120430522</v>
      </c>
      <c r="O7" s="445">
        <v>118265588</v>
      </c>
      <c r="P7" s="446">
        <v>121088228.95917241</v>
      </c>
      <c r="Q7" s="444">
        <v>118586940</v>
      </c>
      <c r="R7" s="447"/>
    </row>
    <row r="8" spans="1:18" s="433" customFormat="1" ht="20.100000000000001" customHeight="1" x14ac:dyDescent="0.2">
      <c r="A8" s="434" t="s">
        <v>62</v>
      </c>
      <c r="B8" s="215">
        <v>320600000</v>
      </c>
      <c r="C8" s="215">
        <v>320600000</v>
      </c>
      <c r="D8" s="218">
        <v>320400000</v>
      </c>
      <c r="E8" s="218">
        <f>D8</f>
        <v>320400000</v>
      </c>
      <c r="F8" s="218">
        <v>321550000</v>
      </c>
      <c r="G8" s="218">
        <v>321550000</v>
      </c>
      <c r="H8" s="218">
        <v>322531500</v>
      </c>
      <c r="I8" s="218">
        <v>322531500</v>
      </c>
      <c r="J8" s="218">
        <v>377002500</v>
      </c>
      <c r="K8" s="218">
        <v>377002500</v>
      </c>
      <c r="L8" s="218">
        <v>386900000</v>
      </c>
      <c r="M8" s="218">
        <v>386900000</v>
      </c>
      <c r="N8" s="218">
        <v>469470000</v>
      </c>
      <c r="O8" s="218">
        <v>469470000</v>
      </c>
      <c r="P8" s="435">
        <v>503563000</v>
      </c>
      <c r="Q8" s="215">
        <v>503563000</v>
      </c>
      <c r="R8" s="437"/>
    </row>
    <row r="9" spans="1:18" s="448" customFormat="1" ht="19.5" customHeight="1" x14ac:dyDescent="0.2">
      <c r="A9" s="443" t="s">
        <v>603</v>
      </c>
      <c r="B9" s="444">
        <v>210153000</v>
      </c>
      <c r="C9" s="444">
        <v>212109000</v>
      </c>
      <c r="D9" s="445">
        <v>211784000</v>
      </c>
      <c r="E9" s="445">
        <v>214585000</v>
      </c>
      <c r="F9" s="445">
        <v>217240000</v>
      </c>
      <c r="G9" s="445">
        <v>220847000</v>
      </c>
      <c r="H9" s="445">
        <v>234407000</v>
      </c>
      <c r="I9" s="445">
        <v>241796000</v>
      </c>
      <c r="J9" s="445">
        <v>267809000</v>
      </c>
      <c r="K9" s="445">
        <v>278218031</v>
      </c>
      <c r="L9" s="445">
        <v>267798000</v>
      </c>
      <c r="M9" s="445">
        <v>278055000</v>
      </c>
      <c r="N9" s="445">
        <v>288358382</v>
      </c>
      <c r="O9" s="445">
        <v>294842590</v>
      </c>
      <c r="P9" s="446">
        <v>313484661</v>
      </c>
      <c r="Q9" s="444"/>
      <c r="R9" s="447"/>
    </row>
    <row r="10" spans="1:18" s="433" customFormat="1" ht="20.100000000000001" customHeight="1" x14ac:dyDescent="0.2">
      <c r="A10" s="434" t="s">
        <v>19</v>
      </c>
      <c r="B10" s="215">
        <v>46938000</v>
      </c>
      <c r="C10" s="215">
        <v>48519000</v>
      </c>
      <c r="D10" s="218">
        <v>50911020</v>
      </c>
      <c r="E10" s="218">
        <v>47440000</v>
      </c>
      <c r="F10" s="218">
        <v>48580000</v>
      </c>
      <c r="G10" s="218">
        <v>49940000</v>
      </c>
      <c r="H10" s="218">
        <v>49940000</v>
      </c>
      <c r="I10" s="218">
        <v>50330000</v>
      </c>
      <c r="J10" s="218">
        <v>50500000</v>
      </c>
      <c r="K10" s="218">
        <v>58507000</v>
      </c>
      <c r="L10" s="218">
        <v>60407000</v>
      </c>
      <c r="M10" s="218">
        <v>60788000</v>
      </c>
      <c r="N10" s="218">
        <f>74184000/1.15</f>
        <v>64507826.086956523</v>
      </c>
      <c r="O10" s="218">
        <f>74060000/1.15</f>
        <v>64400000.000000007</v>
      </c>
      <c r="P10" s="435">
        <v>71625000</v>
      </c>
      <c r="Q10" s="215">
        <v>79327000</v>
      </c>
      <c r="R10" s="438"/>
    </row>
    <row r="11" spans="1:18" s="448" customFormat="1" ht="19.5" customHeight="1" x14ac:dyDescent="0.2">
      <c r="A11" s="443" t="s">
        <v>605</v>
      </c>
      <c r="B11" s="444"/>
      <c r="C11" s="444"/>
      <c r="D11" s="445"/>
      <c r="E11" s="445">
        <v>4415779</v>
      </c>
      <c r="F11" s="445">
        <v>3207342</v>
      </c>
      <c r="G11" s="445">
        <v>3290504</v>
      </c>
      <c r="H11" s="445">
        <v>1130840</v>
      </c>
      <c r="I11" s="445">
        <v>1130840</v>
      </c>
      <c r="J11" s="445">
        <v>1135840</v>
      </c>
      <c r="K11" s="445">
        <v>1196200</v>
      </c>
      <c r="L11" s="445">
        <v>1206200</v>
      </c>
      <c r="M11" s="445">
        <v>1261500</v>
      </c>
      <c r="N11" s="445">
        <v>1261500</v>
      </c>
      <c r="O11" s="445">
        <v>1668700</v>
      </c>
      <c r="P11" s="446"/>
      <c r="Q11" s="444"/>
      <c r="R11" s="447"/>
    </row>
    <row r="12" spans="1:18" s="433" customFormat="1" ht="20.100000000000001" customHeight="1" x14ac:dyDescent="0.2">
      <c r="A12" s="434" t="s">
        <v>607</v>
      </c>
      <c r="B12" s="215">
        <v>184498256.5</v>
      </c>
      <c r="C12" s="215">
        <v>184498256.5</v>
      </c>
      <c r="D12" s="218">
        <v>184498256.5</v>
      </c>
      <c r="E12" s="218">
        <v>184498256.5</v>
      </c>
      <c r="F12" s="218">
        <v>120464770.5</v>
      </c>
      <c r="G12" s="218">
        <v>144773863.5</v>
      </c>
      <c r="H12" s="218">
        <v>144773863.5</v>
      </c>
      <c r="I12" s="218">
        <v>144773863.5</v>
      </c>
      <c r="J12" s="218">
        <v>189711882</v>
      </c>
      <c r="K12" s="218">
        <v>189711882</v>
      </c>
      <c r="L12" s="218">
        <v>189711882</v>
      </c>
      <c r="M12" s="218">
        <f>646049000/3</f>
        <v>215349666.66666666</v>
      </c>
      <c r="N12" s="218">
        <v>215349667</v>
      </c>
      <c r="O12" s="218">
        <v>215349667</v>
      </c>
      <c r="P12" s="435">
        <f>1064267000/3</f>
        <v>354755666.66666669</v>
      </c>
      <c r="Q12" s="215">
        <f>+P12</f>
        <v>354755666.66666669</v>
      </c>
      <c r="R12" s="32"/>
    </row>
    <row r="13" spans="1:18" s="448" customFormat="1" ht="19.5" customHeight="1" x14ac:dyDescent="0.2">
      <c r="A13" s="443" t="s">
        <v>608</v>
      </c>
      <c r="B13" s="444">
        <v>289750000</v>
      </c>
      <c r="C13" s="444">
        <v>289750000</v>
      </c>
      <c r="D13" s="445">
        <v>240525000</v>
      </c>
      <c r="E13" s="445">
        <f>D13</f>
        <v>240525000</v>
      </c>
      <c r="F13" s="445">
        <v>233735000</v>
      </c>
      <c r="G13" s="445">
        <v>233735000</v>
      </c>
      <c r="H13" s="445">
        <v>217020000</v>
      </c>
      <c r="I13" s="445">
        <v>217020000</v>
      </c>
      <c r="J13" s="445">
        <v>264795000</v>
      </c>
      <c r="K13" s="445">
        <v>264795000</v>
      </c>
      <c r="L13" s="445">
        <v>297155000</v>
      </c>
      <c r="M13" s="445">
        <v>297155000</v>
      </c>
      <c r="N13" s="445">
        <f>641730000/2</f>
        <v>320865000</v>
      </c>
      <c r="O13" s="445">
        <f>641730000/2</f>
        <v>320865000</v>
      </c>
      <c r="P13" s="446">
        <v>363360000</v>
      </c>
      <c r="Q13" s="444">
        <v>363360000</v>
      </c>
      <c r="R13" s="447"/>
    </row>
    <row r="14" spans="1:18" s="433" customFormat="1" ht="20.100000000000001" customHeight="1" x14ac:dyDescent="0.2">
      <c r="A14" s="434" t="s">
        <v>609</v>
      </c>
      <c r="B14" s="215">
        <v>29772896</v>
      </c>
      <c r="C14" s="215">
        <v>30639657</v>
      </c>
      <c r="D14" s="218">
        <v>28345821</v>
      </c>
      <c r="E14" s="218">
        <v>29505021</v>
      </c>
      <c r="F14" s="218">
        <v>29667049</v>
      </c>
      <c r="G14" s="218">
        <v>30339725</v>
      </c>
      <c r="H14" s="218">
        <v>26652525</v>
      </c>
      <c r="I14" s="218">
        <v>27394326</v>
      </c>
      <c r="J14" s="218">
        <v>33818669</v>
      </c>
      <c r="K14" s="218">
        <v>35677212</v>
      </c>
      <c r="L14" s="218">
        <v>39233400</v>
      </c>
      <c r="M14" s="218">
        <v>41244400</v>
      </c>
      <c r="N14" s="218">
        <v>48050861</v>
      </c>
      <c r="O14" s="218">
        <v>50109117</v>
      </c>
      <c r="P14" s="435">
        <f>27748500*1.65</f>
        <v>45785025</v>
      </c>
      <c r="Q14" s="215">
        <f>29307500*1.65</f>
        <v>48357375</v>
      </c>
      <c r="R14" s="32"/>
    </row>
    <row r="15" spans="1:18" s="448" customFormat="1" ht="19.5" customHeight="1" x14ac:dyDescent="0.2">
      <c r="A15" s="443" t="s">
        <v>612</v>
      </c>
      <c r="B15" s="444">
        <v>29362068</v>
      </c>
      <c r="C15" s="444">
        <v>25229630</v>
      </c>
      <c r="D15" s="445">
        <v>23328767</v>
      </c>
      <c r="E15" s="445">
        <v>24861314</v>
      </c>
      <c r="F15" s="445">
        <v>21287500</v>
      </c>
      <c r="G15" s="445">
        <v>21806707</v>
      </c>
      <c r="H15" s="445">
        <v>21287500</v>
      </c>
      <c r="I15" s="445">
        <v>26383453</v>
      </c>
      <c r="J15" s="445">
        <v>29695200</v>
      </c>
      <c r="K15" s="445">
        <v>32848672</v>
      </c>
      <c r="L15" s="445">
        <f>(37119000)/1.22</f>
        <v>30425409.836065575</v>
      </c>
      <c r="M15" s="445">
        <f>38045000/1.22</f>
        <v>31184426.229508199</v>
      </c>
      <c r="N15" s="445">
        <v>31198556.198347151</v>
      </c>
      <c r="O15" s="445">
        <v>30742716.528925605</v>
      </c>
      <c r="P15" s="446"/>
      <c r="Q15" s="444"/>
      <c r="R15" s="447"/>
    </row>
    <row r="16" spans="1:18" s="433" customFormat="1" ht="20.100000000000001" customHeight="1" x14ac:dyDescent="0.2">
      <c r="A16" s="216" t="s">
        <v>616</v>
      </c>
      <c r="B16" s="215"/>
      <c r="C16" s="215"/>
      <c r="D16" s="218">
        <f>ROUNDUP((28717800-335000)/1.41, -5)</f>
        <v>20200000</v>
      </c>
      <c r="E16" s="218">
        <f>ROUNDUP((28820400-335000)/1.59, -5)</f>
        <v>18000000</v>
      </c>
      <c r="F16" s="218">
        <f>ROUNDUP((29516000-405000)/1.76, -5)</f>
        <v>16600000</v>
      </c>
      <c r="G16" s="218">
        <f>ROUNDUP((29928000-405000)/1.65, -5)</f>
        <v>17900000</v>
      </c>
      <c r="H16" s="218">
        <f>ROUNDUP((30632700-405000)/1.49, -5)</f>
        <v>20300000</v>
      </c>
      <c r="I16" s="218">
        <f>ROUNDUP((30738000-405000)/1.3, -5)</f>
        <v>23400000</v>
      </c>
      <c r="J16" s="218">
        <f>ROUNDUP((32014300-235500)/1.14, -5)</f>
        <v>27900000</v>
      </c>
      <c r="K16" s="218">
        <f>ROUNDUP((34113300-235500)/1.31, -5)</f>
        <v>25900000</v>
      </c>
      <c r="L16" s="218">
        <f>ROUNDUP(34367500/1.27, -5)</f>
        <v>27100000</v>
      </c>
      <c r="M16" s="218">
        <f>ROUNDUP(33531900/1.27, -5)</f>
        <v>26500000</v>
      </c>
      <c r="N16" s="218">
        <v>30813100</v>
      </c>
      <c r="O16" s="218">
        <v>30813100</v>
      </c>
      <c r="P16" s="435">
        <v>30541400</v>
      </c>
      <c r="Q16" s="215">
        <v>30541400</v>
      </c>
      <c r="R16" s="32"/>
    </row>
    <row r="17" spans="1:18" s="448" customFormat="1" ht="19.5" customHeight="1" x14ac:dyDescent="0.2">
      <c r="A17" s="443" t="s">
        <v>614</v>
      </c>
      <c r="B17" s="444">
        <v>103708100</v>
      </c>
      <c r="C17" s="444">
        <v>104393100</v>
      </c>
      <c r="D17" s="445">
        <v>99047180</v>
      </c>
      <c r="E17" s="445">
        <f>D17</f>
        <v>99047180</v>
      </c>
      <c r="F17" s="445">
        <v>83912580</v>
      </c>
      <c r="G17" s="445">
        <v>83912580</v>
      </c>
      <c r="H17" s="445">
        <v>82064660</v>
      </c>
      <c r="I17" s="445">
        <v>82620930</v>
      </c>
      <c r="J17" s="445">
        <f>127593000/1.3</f>
        <v>98148461.538461536</v>
      </c>
      <c r="K17" s="445">
        <f>127593000/1.3</f>
        <v>98148461.538461536</v>
      </c>
      <c r="L17" s="445">
        <v>98974810</v>
      </c>
      <c r="M17" s="445">
        <v>98974810</v>
      </c>
      <c r="N17" s="445">
        <v>102757600</v>
      </c>
      <c r="O17" s="445">
        <v>102757600</v>
      </c>
      <c r="P17" s="446">
        <v>115796791</v>
      </c>
      <c r="Q17" s="444">
        <v>115796791</v>
      </c>
      <c r="R17" s="447"/>
    </row>
    <row r="18" spans="1:18" s="433" customFormat="1" ht="20.100000000000001" customHeight="1" x14ac:dyDescent="0.2">
      <c r="A18" s="434" t="s">
        <v>317</v>
      </c>
      <c r="B18" s="215">
        <v>81459000</v>
      </c>
      <c r="C18" s="215">
        <v>81459000</v>
      </c>
      <c r="D18" s="218">
        <v>81809000</v>
      </c>
      <c r="E18" s="218">
        <v>81809000</v>
      </c>
      <c r="F18" s="218">
        <v>85398000</v>
      </c>
      <c r="G18" s="218">
        <v>85398000</v>
      </c>
      <c r="H18" s="218">
        <v>90480000</v>
      </c>
      <c r="I18" s="218">
        <v>90480000</v>
      </c>
      <c r="J18" s="218">
        <v>92153000</v>
      </c>
      <c r="K18" s="218">
        <v>92153000</v>
      </c>
      <c r="L18" s="218">
        <v>93900000</v>
      </c>
      <c r="M18" s="218">
        <v>93900000</v>
      </c>
      <c r="N18" s="218">
        <v>95659500</v>
      </c>
      <c r="O18" s="439">
        <v>95659500</v>
      </c>
      <c r="P18" s="435">
        <v>98325000</v>
      </c>
      <c r="Q18" s="215">
        <v>98325000</v>
      </c>
      <c r="R18" s="437"/>
    </row>
    <row r="19" spans="1:18" s="448" customFormat="1" ht="19.5" customHeight="1" x14ac:dyDescent="0.2">
      <c r="A19" s="443" t="s">
        <v>618</v>
      </c>
      <c r="B19" s="444">
        <v>44385003</v>
      </c>
      <c r="C19" s="444">
        <v>45598851</v>
      </c>
      <c r="D19" s="445">
        <v>46078671</v>
      </c>
      <c r="E19" s="445">
        <v>50225561</v>
      </c>
      <c r="F19" s="445">
        <v>40230705</v>
      </c>
      <c r="G19" s="445">
        <v>44511845</v>
      </c>
      <c r="H19" s="445">
        <v>47466086</v>
      </c>
      <c r="I19" s="445">
        <v>48401890</v>
      </c>
      <c r="J19" s="445">
        <v>56043118</v>
      </c>
      <c r="K19" s="445">
        <v>62487084</v>
      </c>
      <c r="L19" s="445">
        <v>57694523</v>
      </c>
      <c r="M19" s="445">
        <v>70154987</v>
      </c>
      <c r="N19" s="445">
        <v>89260969</v>
      </c>
      <c r="O19" s="445">
        <v>85371255</v>
      </c>
      <c r="P19" s="446">
        <v>87500000</v>
      </c>
      <c r="Q19" s="444">
        <v>87500000</v>
      </c>
      <c r="R19" s="447"/>
    </row>
    <row r="20" spans="1:18" s="433" customFormat="1" ht="20.100000000000001" customHeight="1" x14ac:dyDescent="0.2">
      <c r="A20" s="434" t="s">
        <v>620</v>
      </c>
      <c r="B20" s="215">
        <v>258222500</v>
      </c>
      <c r="C20" s="215">
        <v>258222500</v>
      </c>
      <c r="D20" s="218">
        <v>271133625</v>
      </c>
      <c r="E20" s="218">
        <f>D20</f>
        <v>271133625</v>
      </c>
      <c r="F20" s="218">
        <v>272183625</v>
      </c>
      <c r="G20" s="218">
        <v>272183625</v>
      </c>
      <c r="H20" s="218">
        <v>272193430</v>
      </c>
      <c r="I20" s="218">
        <v>272193430</v>
      </c>
      <c r="J20" s="218">
        <v>305010980</v>
      </c>
      <c r="K20" s="218">
        <v>305010980</v>
      </c>
      <c r="L20" s="218">
        <v>305010980</v>
      </c>
      <c r="M20" s="218">
        <v>305010980</v>
      </c>
      <c r="N20" s="218">
        <v>315511358</v>
      </c>
      <c r="O20" s="218">
        <v>315511358</v>
      </c>
      <c r="P20" s="435">
        <v>326513713</v>
      </c>
      <c r="Q20" s="215">
        <v>326513713</v>
      </c>
      <c r="R20" s="437"/>
    </row>
    <row r="21" spans="1:18" s="448" customFormat="1" ht="19.5" customHeight="1" x14ac:dyDescent="0.2">
      <c r="A21" s="443" t="s">
        <v>622</v>
      </c>
      <c r="B21" s="444">
        <v>8505500</v>
      </c>
      <c r="C21" s="444">
        <v>7824800</v>
      </c>
      <c r="D21" s="445">
        <f>9727100-887600</f>
        <v>8839500</v>
      </c>
      <c r="E21" s="445">
        <f>11618600-887600</f>
        <v>10731000</v>
      </c>
      <c r="F21" s="445">
        <f>12548000-810800-1000000</f>
        <v>10737200</v>
      </c>
      <c r="G21" s="445">
        <f>12738000-810800-1000000</f>
        <v>10927200</v>
      </c>
      <c r="H21" s="445">
        <f>16065200-657900-2000000</f>
        <v>13407300</v>
      </c>
      <c r="I21" s="445">
        <f>16771900-657900-3000000</f>
        <v>13114000</v>
      </c>
      <c r="J21" s="445">
        <v>16663526</v>
      </c>
      <c r="K21" s="445">
        <f>16480160+4773819</f>
        <v>21253979</v>
      </c>
      <c r="L21" s="445">
        <f>26873070-1018510-1000000</f>
        <v>24854560</v>
      </c>
      <c r="M21" s="445">
        <f>26628513-1018510-1000000</f>
        <v>24610003</v>
      </c>
      <c r="N21" s="445">
        <v>25025980</v>
      </c>
      <c r="O21" s="445">
        <v>24992644</v>
      </c>
      <c r="P21" s="446">
        <f>20860838*1.43</f>
        <v>29830998.34</v>
      </c>
      <c r="Q21" s="444">
        <f>20405385*1.43</f>
        <v>29179700.549999997</v>
      </c>
      <c r="R21" s="447"/>
    </row>
    <row r="22" spans="1:18" s="433" customFormat="1" ht="20.100000000000001" customHeight="1" x14ac:dyDescent="0.2">
      <c r="A22" s="434" t="s">
        <v>623</v>
      </c>
      <c r="B22" s="215">
        <v>123380375</v>
      </c>
      <c r="C22" s="215">
        <v>83340265</v>
      </c>
      <c r="D22" s="218">
        <v>68752670</v>
      </c>
      <c r="E22" s="218">
        <f>D22</f>
        <v>68752670</v>
      </c>
      <c r="F22" s="218">
        <v>66454800</v>
      </c>
      <c r="G22" s="218">
        <v>66454800</v>
      </c>
      <c r="H22" s="218">
        <v>59523510</v>
      </c>
      <c r="I22" s="218">
        <v>59523510</v>
      </c>
      <c r="J22" s="218">
        <v>87621187</v>
      </c>
      <c r="K22" s="218">
        <v>91269076</v>
      </c>
      <c r="L22" s="218">
        <v>94055241</v>
      </c>
      <c r="M22" s="218">
        <v>102878976</v>
      </c>
      <c r="N22" s="218">
        <v>113194025</v>
      </c>
      <c r="O22" s="218">
        <v>107290234</v>
      </c>
      <c r="P22" s="435">
        <v>112993642</v>
      </c>
      <c r="Q22" s="215">
        <v>112993642</v>
      </c>
      <c r="R22" s="437"/>
    </row>
    <row r="23" spans="1:18" s="448" customFormat="1" ht="19.5" customHeight="1" x14ac:dyDescent="0.2">
      <c r="A23" s="443" t="s">
        <v>625</v>
      </c>
      <c r="B23" s="444">
        <v>8137996</v>
      </c>
      <c r="C23" s="444">
        <v>8275037</v>
      </c>
      <c r="D23" s="445">
        <v>8005983</v>
      </c>
      <c r="E23" s="445">
        <v>8059961</v>
      </c>
      <c r="F23" s="445">
        <v>7317994</v>
      </c>
      <c r="G23" s="445">
        <v>7317999</v>
      </c>
      <c r="H23" s="445">
        <v>7651996</v>
      </c>
      <c r="I23" s="445">
        <v>7820024</v>
      </c>
      <c r="J23" s="445">
        <v>12436891</v>
      </c>
      <c r="K23" s="445">
        <v>11111228</v>
      </c>
      <c r="L23" s="445">
        <v>13544755</v>
      </c>
      <c r="M23" s="445">
        <v>15650159</v>
      </c>
      <c r="N23" s="445">
        <v>15805488</v>
      </c>
      <c r="O23" s="445">
        <v>16181435</v>
      </c>
      <c r="P23" s="446">
        <v>16180375</v>
      </c>
      <c r="Q23" s="444">
        <v>16180375</v>
      </c>
      <c r="R23" s="447"/>
    </row>
    <row r="24" spans="1:18" s="433" customFormat="1" ht="20.100000000000001" customHeight="1" x14ac:dyDescent="0.2">
      <c r="A24" s="434" t="s">
        <v>91</v>
      </c>
      <c r="B24" s="215">
        <v>28772759</v>
      </c>
      <c r="C24" s="215">
        <v>29920431</v>
      </c>
      <c r="D24" s="218">
        <v>24165035</v>
      </c>
      <c r="E24" s="218">
        <v>21168062</v>
      </c>
      <c r="F24" s="218">
        <v>21133100</v>
      </c>
      <c r="G24" s="218">
        <v>21502687</v>
      </c>
      <c r="H24" s="218">
        <f>34260360/1.68</f>
        <v>20393071.428571429</v>
      </c>
      <c r="I24" s="218">
        <f>34912686/1.68</f>
        <v>20781360.714285716</v>
      </c>
      <c r="J24" s="218">
        <f>34518720/1.3</f>
        <v>26552861.538461536</v>
      </c>
      <c r="K24" s="218">
        <f>34518720/1.3</f>
        <v>26552861.538461536</v>
      </c>
      <c r="L24" s="218">
        <f>34026720/1.21</f>
        <v>28121256.198347107</v>
      </c>
      <c r="M24" s="218">
        <f>34026720/1.21</f>
        <v>28121256.198347107</v>
      </c>
      <c r="N24" s="218"/>
      <c r="O24" s="218"/>
      <c r="P24" s="435"/>
      <c r="Q24" s="215"/>
      <c r="R24" s="438"/>
    </row>
    <row r="25" spans="1:18" s="448" customFormat="1" ht="19.5" customHeight="1" x14ac:dyDescent="0.2">
      <c r="A25" s="443" t="s">
        <v>90</v>
      </c>
      <c r="B25" s="444">
        <v>419276000</v>
      </c>
      <c r="C25" s="444">
        <v>419276000</v>
      </c>
      <c r="D25" s="445">
        <v>418751000</v>
      </c>
      <c r="E25" s="445">
        <f>D25</f>
        <v>418751000</v>
      </c>
      <c r="F25" s="445">
        <v>421305220</v>
      </c>
      <c r="G25" s="445">
        <v>421305220</v>
      </c>
      <c r="H25" s="445">
        <v>400673550</v>
      </c>
      <c r="I25" s="445">
        <v>405827433</v>
      </c>
      <c r="J25" s="445">
        <v>429237500</v>
      </c>
      <c r="K25" s="445">
        <v>429237500</v>
      </c>
      <c r="L25" s="445">
        <v>457657500</v>
      </c>
      <c r="M25" s="445">
        <v>457657500</v>
      </c>
      <c r="N25" s="445">
        <f>958840000/2</f>
        <v>479420000</v>
      </c>
      <c r="O25" s="445">
        <v>479420000</v>
      </c>
      <c r="P25" s="446">
        <v>472557200</v>
      </c>
      <c r="Q25" s="444">
        <v>472557200</v>
      </c>
      <c r="R25" s="447"/>
    </row>
    <row r="26" spans="1:18" s="433" customFormat="1" ht="20.100000000000001" customHeight="1" x14ac:dyDescent="0.2">
      <c r="A26" s="434" t="s">
        <v>615</v>
      </c>
      <c r="B26" s="215">
        <v>16851148</v>
      </c>
      <c r="C26" s="215">
        <v>15294818</v>
      </c>
      <c r="D26" s="218">
        <v>15353333</v>
      </c>
      <c r="E26" s="218">
        <v>12247719</v>
      </c>
      <c r="F26" s="218">
        <v>11022984</v>
      </c>
      <c r="G26" s="218">
        <v>10971027</v>
      </c>
      <c r="H26" s="218">
        <v>11562034</v>
      </c>
      <c r="I26" s="218">
        <v>13248582</v>
      </c>
      <c r="J26" s="218">
        <v>15095539</v>
      </c>
      <c r="K26" s="218">
        <v>13157232</v>
      </c>
      <c r="L26" s="218">
        <v>13159406</v>
      </c>
      <c r="M26" s="218">
        <v>13159406</v>
      </c>
      <c r="N26" s="218">
        <v>16646837</v>
      </c>
      <c r="O26" s="218">
        <v>16906812</v>
      </c>
      <c r="P26" s="435">
        <v>16904047</v>
      </c>
      <c r="Q26" s="215">
        <v>16904047</v>
      </c>
      <c r="R26" s="32"/>
    </row>
    <row r="27" spans="1:18" s="448" customFormat="1" ht="19.5" customHeight="1" x14ac:dyDescent="0.2">
      <c r="A27" s="443" t="s">
        <v>627</v>
      </c>
      <c r="B27" s="444">
        <v>53620690</v>
      </c>
      <c r="C27" s="444">
        <v>53620690</v>
      </c>
      <c r="D27" s="445">
        <v>42842466</v>
      </c>
      <c r="E27" s="445">
        <f>D27</f>
        <v>42842466</v>
      </c>
      <c r="F27" s="445">
        <v>39119497</v>
      </c>
      <c r="G27" s="445">
        <v>39119497</v>
      </c>
      <c r="H27" s="445">
        <f>ROUND(62200000/1.49,0)</f>
        <v>41744966</v>
      </c>
      <c r="I27" s="445">
        <f>ROUND(62200000/1.3,0)</f>
        <v>47846154</v>
      </c>
      <c r="J27" s="445">
        <f>62450000/1.3</f>
        <v>48038461.538461536</v>
      </c>
      <c r="K27" s="445">
        <f>J27</f>
        <v>48038461.538461536</v>
      </c>
      <c r="L27" s="445">
        <f>62450000/1.31</f>
        <v>47671755.725190841</v>
      </c>
      <c r="M27" s="445">
        <f>L27</f>
        <v>47671755.725190841</v>
      </c>
      <c r="N27" s="445">
        <v>55758928.571428567</v>
      </c>
      <c r="O27" s="445">
        <v>55758928.571428567</v>
      </c>
      <c r="P27" s="446">
        <f>62450000/1.001</f>
        <v>62387612.387612395</v>
      </c>
      <c r="Q27" s="444">
        <f>62450000/1.001</f>
        <v>62387612.387612395</v>
      </c>
      <c r="R27" s="447"/>
    </row>
    <row r="28" spans="1:18" s="433" customFormat="1" ht="20.100000000000001" customHeight="1" thickBot="1" x14ac:dyDescent="0.25">
      <c r="A28" s="434" t="s">
        <v>628</v>
      </c>
      <c r="B28" s="215">
        <v>87829457.36434108</v>
      </c>
      <c r="C28" s="215">
        <v>80422535.211267605</v>
      </c>
      <c r="D28" s="218">
        <v>81134751.773049653</v>
      </c>
      <c r="E28" s="218">
        <v>76163522.012578607</v>
      </c>
      <c r="F28" s="218">
        <v>71931818.181818187</v>
      </c>
      <c r="G28" s="218">
        <v>79107142.857142866</v>
      </c>
      <c r="H28" s="218">
        <v>95369127.516778529</v>
      </c>
      <c r="I28" s="218">
        <v>118307692.3076923</v>
      </c>
      <c r="J28" s="218">
        <v>140842105.2631579</v>
      </c>
      <c r="K28" s="218">
        <v>127786259.54198472</v>
      </c>
      <c r="L28" s="218">
        <v>143553719.00826445</v>
      </c>
      <c r="M28" s="218">
        <v>161160714.28571427</v>
      </c>
      <c r="N28" s="218">
        <v>158839285.7142857</v>
      </c>
      <c r="O28" s="218">
        <v>164017857.14285713</v>
      </c>
      <c r="P28" s="440">
        <v>163557858.37651125</v>
      </c>
      <c r="Q28" s="441">
        <v>169516407.59930918</v>
      </c>
      <c r="R28" s="442"/>
    </row>
    <row r="29" spans="1:18" ht="20.100000000000001" customHeight="1" thickTop="1" thickBot="1" x14ac:dyDescent="0.25">
      <c r="A29" s="217" t="s">
        <v>97</v>
      </c>
      <c r="B29" s="208">
        <f t="shared" ref="B29:O29" si="0">SUM(B6:B28)</f>
        <v>3482795905.8643413</v>
      </c>
      <c r="C29" s="208">
        <f t="shared" si="0"/>
        <v>3437904424.7112675</v>
      </c>
      <c r="D29" s="208">
        <f t="shared" si="0"/>
        <v>3390813893.2730498</v>
      </c>
      <c r="E29" s="208">
        <f t="shared" si="0"/>
        <v>3393455050.5125785</v>
      </c>
      <c r="F29" s="208">
        <f t="shared" si="0"/>
        <v>3311208200.681818</v>
      </c>
      <c r="G29" s="208">
        <f t="shared" si="0"/>
        <v>3341102866.3571429</v>
      </c>
      <c r="H29" s="208">
        <f t="shared" si="0"/>
        <v>3412910850.4453497</v>
      </c>
      <c r="I29" s="208">
        <f t="shared" si="0"/>
        <v>3731483743.5219784</v>
      </c>
      <c r="J29" s="208">
        <f t="shared" si="0"/>
        <v>4146958917.8785429</v>
      </c>
      <c r="K29" s="208">
        <f t="shared" si="0"/>
        <v>4522490046.1573696</v>
      </c>
      <c r="L29" s="208">
        <f t="shared" si="0"/>
        <v>4537772396.767868</v>
      </c>
      <c r="M29" s="208">
        <f t="shared" si="0"/>
        <v>4925036068.1054277</v>
      </c>
      <c r="N29" s="208">
        <f t="shared" si="0"/>
        <v>4938157853.5710173</v>
      </c>
      <c r="O29" s="219">
        <f t="shared" si="0"/>
        <v>5559012800.2432108</v>
      </c>
      <c r="P29" s="210">
        <f>SUM(P6:P28)</f>
        <v>5473272271.7299633</v>
      </c>
      <c r="Q29" s="209">
        <f>SUM(Q6:Q28)</f>
        <v>5172867923.2035875</v>
      </c>
      <c r="R29" s="211"/>
    </row>
    <row r="30" spans="1:18" ht="13.5" thickTop="1" x14ac:dyDescent="0.2">
      <c r="A30" s="34"/>
    </row>
  </sheetData>
  <phoneticPr fontId="0" type="noConversion"/>
  <pageMargins left="0.59055118110236227" right="0.23622047244094491" top="0.98425196850393704" bottom="0.98425196850393704" header="0.51181102362204722" footer="0.51181102362204722"/>
  <pageSetup scale="52" firstPageNumber="107" orientation="landscape" useFirstPageNumber="1" verticalDpi="1200" r:id="rId1"/>
  <headerFooter alignWithMargins="0">
    <oddFooter>&amp;C&amp;16&amp;P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workbookViewId="0">
      <selection activeCell="A9" sqref="A9:IV9"/>
    </sheetView>
  </sheetViews>
  <sheetFormatPr defaultRowHeight="12.75" x14ac:dyDescent="0.2"/>
  <cols>
    <col min="1" max="1" width="12.42578125" style="78" customWidth="1"/>
    <col min="2" max="2" width="101.42578125" style="78" customWidth="1"/>
    <col min="3" max="16384" width="9.140625" style="79"/>
  </cols>
  <sheetData>
    <row r="1" spans="1:2" x14ac:dyDescent="0.2">
      <c r="A1" s="449" t="s">
        <v>5</v>
      </c>
      <c r="B1" s="350"/>
    </row>
    <row r="2" spans="1:2" x14ac:dyDescent="0.2">
      <c r="A2" s="450"/>
      <c r="B2" s="450"/>
    </row>
    <row r="3" spans="1:2" x14ac:dyDescent="0.2">
      <c r="A3" s="450"/>
      <c r="B3" s="450"/>
    </row>
    <row r="4" spans="1:2" ht="120" customHeight="1" x14ac:dyDescent="0.2">
      <c r="A4" s="201" t="s">
        <v>95</v>
      </c>
      <c r="B4" s="356" t="s">
        <v>408</v>
      </c>
    </row>
    <row r="5" spans="1:2" ht="18.75" customHeight="1" x14ac:dyDescent="0.2">
      <c r="A5" s="395" t="s">
        <v>85</v>
      </c>
      <c r="B5" s="395" t="s">
        <v>364</v>
      </c>
    </row>
    <row r="6" spans="1:2" ht="18.75" customHeight="1" x14ac:dyDescent="0.2">
      <c r="A6" s="391" t="s">
        <v>512</v>
      </c>
      <c r="B6" s="360" t="s">
        <v>499</v>
      </c>
    </row>
    <row r="7" spans="1:2" ht="30.75" customHeight="1" x14ac:dyDescent="0.2">
      <c r="A7" s="201" t="s">
        <v>6</v>
      </c>
      <c r="B7" s="360" t="s">
        <v>409</v>
      </c>
    </row>
    <row r="8" spans="1:2" ht="56.25" customHeight="1" x14ac:dyDescent="0.2">
      <c r="A8" s="201" t="s">
        <v>604</v>
      </c>
      <c r="B8" s="360" t="s">
        <v>428</v>
      </c>
    </row>
    <row r="9" spans="1:2" s="258" customFormat="1" ht="18.75" customHeight="1" x14ac:dyDescent="0.2">
      <c r="A9" s="391" t="s">
        <v>21</v>
      </c>
      <c r="B9" s="360" t="s">
        <v>753</v>
      </c>
    </row>
    <row r="10" spans="1:2" ht="18" customHeight="1" x14ac:dyDescent="0.2">
      <c r="A10" s="391" t="s">
        <v>606</v>
      </c>
      <c r="B10" s="391" t="s">
        <v>374</v>
      </c>
    </row>
    <row r="11" spans="1:2" ht="107.25" customHeight="1" x14ac:dyDescent="0.2">
      <c r="A11" s="201" t="s">
        <v>50</v>
      </c>
      <c r="B11" s="356" t="s">
        <v>450</v>
      </c>
    </row>
    <row r="12" spans="1:2" ht="45" customHeight="1" x14ac:dyDescent="0.2">
      <c r="A12" s="201" t="s">
        <v>610</v>
      </c>
      <c r="B12" s="356" t="s">
        <v>458</v>
      </c>
    </row>
    <row r="13" spans="1:2" ht="30" customHeight="1" x14ac:dyDescent="0.2">
      <c r="A13" s="395" t="s">
        <v>611</v>
      </c>
      <c r="B13" s="395" t="s">
        <v>474</v>
      </c>
    </row>
    <row r="14" spans="1:2" ht="30.75" customHeight="1" x14ac:dyDescent="0.2">
      <c r="A14" s="360" t="s">
        <v>613</v>
      </c>
      <c r="B14" s="360" t="s">
        <v>7</v>
      </c>
    </row>
    <row r="15" spans="1:2" ht="44.25" customHeight="1" x14ac:dyDescent="0.2">
      <c r="A15" s="201" t="s">
        <v>617</v>
      </c>
      <c r="B15" s="360" t="s">
        <v>14</v>
      </c>
    </row>
    <row r="16" spans="1:2" ht="32.25" customHeight="1" x14ac:dyDescent="0.2">
      <c r="A16" s="391" t="s">
        <v>619</v>
      </c>
      <c r="B16" s="360" t="s">
        <v>437</v>
      </c>
    </row>
    <row r="17" spans="1:2" ht="44.25" customHeight="1" x14ac:dyDescent="0.2">
      <c r="A17" s="201" t="s">
        <v>621</v>
      </c>
      <c r="B17" s="356" t="s">
        <v>455</v>
      </c>
    </row>
    <row r="18" spans="1:2" ht="30.75" customHeight="1" x14ac:dyDescent="0.2">
      <c r="A18" s="201" t="s">
        <v>18</v>
      </c>
      <c r="B18" s="360" t="s">
        <v>487</v>
      </c>
    </row>
    <row r="19" spans="1:2" ht="107.25" customHeight="1" x14ac:dyDescent="0.2">
      <c r="A19" s="201" t="s">
        <v>624</v>
      </c>
      <c r="B19" s="360" t="s">
        <v>461</v>
      </c>
    </row>
    <row r="20" spans="1:2" ht="56.25" customHeight="1" x14ac:dyDescent="0.2">
      <c r="A20" s="360" t="s">
        <v>626</v>
      </c>
      <c r="B20" s="360" t="s">
        <v>441</v>
      </c>
    </row>
    <row r="21" spans="1:2" ht="30" customHeight="1" x14ac:dyDescent="0.2">
      <c r="A21" s="395" t="s">
        <v>471</v>
      </c>
      <c r="B21" s="395" t="s">
        <v>559</v>
      </c>
    </row>
    <row r="22" spans="1:2" ht="43.5" customHeight="1" x14ac:dyDescent="0.2">
      <c r="A22" s="391" t="s">
        <v>494</v>
      </c>
      <c r="B22" s="360" t="s">
        <v>712</v>
      </c>
    </row>
  </sheetData>
  <phoneticPr fontId="0" type="noConversion"/>
  <pageMargins left="0.74803149606299213" right="0.74803149606299213" top="0.98425196850393704" bottom="0.98425196850393704" header="0.51181102362204722" footer="0.51181102362204722"/>
  <pageSetup paperSize="9" scale="75" firstPageNumber="108" orientation="portrait" useFirstPageNumber="1" r:id="rId1"/>
  <headerFooter alignWithMargins="0">
    <oddFooter>&amp;C&amp;12&amp;P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217"/>
  <sheetViews>
    <sheetView zoomScale="75" zoomScaleNormal="75" zoomScaleSheetLayoutView="70" workbookViewId="0">
      <pane xSplit="1" ySplit="2" topLeftCell="B187" activePane="bottomRight" state="frozen"/>
      <selection pane="topRight" activeCell="B1" sqref="B1"/>
      <selection pane="bottomLeft" activeCell="A3" sqref="A3"/>
      <selection pane="bottomRight" activeCell="F1" sqref="F1:F65536"/>
    </sheetView>
  </sheetViews>
  <sheetFormatPr defaultColWidth="14.7109375" defaultRowHeight="15" x14ac:dyDescent="0.2"/>
  <cols>
    <col min="1" max="1" width="45.140625" style="3" customWidth="1"/>
    <col min="2" max="2" width="8.7109375" style="240" customWidth="1"/>
    <col min="3" max="3" width="8.7109375" style="269" customWidth="1"/>
    <col min="4" max="6" width="8.7109375" style="240" customWidth="1"/>
    <col min="7" max="8" width="8.7109375" style="290" customWidth="1"/>
    <col min="9" max="9" width="8.7109375" style="4" customWidth="1"/>
    <col min="10" max="11" width="8.7109375" style="240" customWidth="1"/>
    <col min="12" max="13" width="8.7109375" style="99" customWidth="1"/>
    <col min="14" max="14" width="10.28515625" style="240" bestFit="1" customWidth="1"/>
    <col min="15" max="15" width="12.42578125" style="240" customWidth="1"/>
    <col min="16" max="16" width="13.5703125" style="240" customWidth="1"/>
    <col min="17" max="20" width="8.7109375" style="240" customWidth="1"/>
    <col min="21" max="21" width="8.7109375" style="4" customWidth="1"/>
    <col min="22" max="22" width="8.7109375" style="240" customWidth="1"/>
    <col min="23" max="23" width="8.7109375" style="98" customWidth="1"/>
    <col min="24" max="24" width="9.28515625" style="35" customWidth="1"/>
    <col min="25" max="16384" width="14.7109375" style="4"/>
  </cols>
  <sheetData>
    <row r="1" spans="1:161" s="614" customFormat="1" ht="27" customHeight="1" thickBot="1" x14ac:dyDescent="0.25">
      <c r="A1" s="610" t="s">
        <v>410</v>
      </c>
      <c r="B1" s="611"/>
      <c r="C1" s="612"/>
      <c r="D1" s="612"/>
      <c r="E1" s="612"/>
      <c r="F1" s="612"/>
      <c r="G1" s="612"/>
      <c r="H1" s="612"/>
      <c r="I1" s="612"/>
      <c r="J1" s="612"/>
      <c r="K1" s="612"/>
      <c r="L1" s="612"/>
      <c r="M1" s="612"/>
      <c r="N1" s="612"/>
      <c r="O1" s="612"/>
      <c r="P1" s="612"/>
      <c r="Q1" s="612"/>
      <c r="R1" s="612"/>
      <c r="S1" s="612"/>
      <c r="T1" s="612"/>
      <c r="U1" s="612"/>
      <c r="V1" s="612"/>
      <c r="W1" s="612"/>
      <c r="X1" s="613"/>
    </row>
    <row r="2" spans="1:161" ht="42" customHeight="1" thickBot="1" x14ac:dyDescent="0.25">
      <c r="A2" s="470" t="s">
        <v>456</v>
      </c>
      <c r="B2" s="471" t="s">
        <v>84</v>
      </c>
      <c r="C2" s="472" t="s">
        <v>41</v>
      </c>
      <c r="D2" s="472" t="s">
        <v>87</v>
      </c>
      <c r="E2" s="472" t="s">
        <v>630</v>
      </c>
      <c r="F2" s="472" t="s">
        <v>632</v>
      </c>
      <c r="G2" s="472" t="s">
        <v>42</v>
      </c>
      <c r="H2" s="472" t="s">
        <v>633</v>
      </c>
      <c r="I2" s="473" t="s">
        <v>635</v>
      </c>
      <c r="J2" s="472" t="s">
        <v>637</v>
      </c>
      <c r="K2" s="472" t="s">
        <v>58</v>
      </c>
      <c r="L2" s="472" t="s">
        <v>92</v>
      </c>
      <c r="M2" s="474" t="s">
        <v>492</v>
      </c>
      <c r="N2" s="472" t="s">
        <v>88</v>
      </c>
      <c r="O2" s="472" t="s">
        <v>638</v>
      </c>
      <c r="P2" s="472" t="s">
        <v>639</v>
      </c>
      <c r="Q2" s="472" t="s">
        <v>100</v>
      </c>
      <c r="R2" s="472" t="s">
        <v>22</v>
      </c>
      <c r="S2" s="472" t="s">
        <v>629</v>
      </c>
      <c r="T2" s="474" t="s">
        <v>90</v>
      </c>
      <c r="U2" s="472" t="s">
        <v>96</v>
      </c>
      <c r="V2" s="472" t="s">
        <v>641</v>
      </c>
      <c r="W2" s="475" t="s">
        <v>493</v>
      </c>
      <c r="X2" s="86"/>
    </row>
    <row r="3" spans="1:161" s="37" customFormat="1" ht="21.75" customHeight="1" x14ac:dyDescent="0.2">
      <c r="A3" s="462" t="s">
        <v>101</v>
      </c>
      <c r="B3" s="463">
        <v>4.0000000000000001E-3</v>
      </c>
      <c r="C3" s="464">
        <v>1E-3</v>
      </c>
      <c r="D3" s="464">
        <v>1E-3</v>
      </c>
      <c r="E3" s="464">
        <v>1E-3</v>
      </c>
      <c r="F3" s="464">
        <v>0.06</v>
      </c>
      <c r="G3" s="464">
        <v>0.39640797040843601</v>
      </c>
      <c r="H3" s="464"/>
      <c r="I3" s="465">
        <v>4.0000000000000001E-3</v>
      </c>
      <c r="J3" s="464"/>
      <c r="K3" s="464"/>
      <c r="L3" s="466">
        <v>0.02</v>
      </c>
      <c r="M3" s="467"/>
      <c r="N3" s="464">
        <v>1E-3</v>
      </c>
      <c r="O3" s="464">
        <v>3.9001535714107026E-3</v>
      </c>
      <c r="P3" s="464"/>
      <c r="Q3" s="464">
        <v>1E-3</v>
      </c>
      <c r="R3" s="464">
        <v>0.222</v>
      </c>
      <c r="S3" s="464">
        <v>5.7636887608069169E-2</v>
      </c>
      <c r="T3" s="468">
        <v>1E-3</v>
      </c>
      <c r="U3" s="469">
        <v>8.0000000000000002E-3</v>
      </c>
      <c r="V3" s="469">
        <v>0.02</v>
      </c>
      <c r="W3" s="469"/>
      <c r="X3" s="87"/>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row>
    <row r="4" spans="1:161" s="37" customFormat="1" ht="26.25" customHeight="1" x14ac:dyDescent="0.2">
      <c r="A4" s="456" t="s">
        <v>102</v>
      </c>
      <c r="B4" s="457">
        <v>0.01</v>
      </c>
      <c r="C4" s="458">
        <v>6.0000000000000001E-3</v>
      </c>
      <c r="D4" s="458">
        <v>6.0000000000000001E-3</v>
      </c>
      <c r="E4" s="458">
        <v>5.0000000000000001E-3</v>
      </c>
      <c r="F4" s="458">
        <v>0.06</v>
      </c>
      <c r="G4" s="458"/>
      <c r="H4" s="458"/>
      <c r="I4" s="457">
        <v>0.01</v>
      </c>
      <c r="J4" s="458">
        <v>0.02</v>
      </c>
      <c r="K4" s="458">
        <v>0.02</v>
      </c>
      <c r="L4" s="459">
        <v>7.0000000000000007E-2</v>
      </c>
      <c r="M4" s="460"/>
      <c r="N4" s="458">
        <v>6.0000000000000001E-3</v>
      </c>
      <c r="O4" s="458">
        <v>9.7503839285267551E-3</v>
      </c>
      <c r="P4" s="458">
        <v>1.2503356432258429E-2</v>
      </c>
      <c r="Q4" s="458">
        <v>8.0000000000000002E-3</v>
      </c>
      <c r="R4" s="458">
        <v>0.34200000000000003</v>
      </c>
      <c r="S4" s="458">
        <v>0.11527377521613834</v>
      </c>
      <c r="T4" s="461">
        <v>6.0000000000000001E-3</v>
      </c>
      <c r="U4" s="458">
        <v>6.6000000000000003E-2</v>
      </c>
      <c r="V4" s="459">
        <v>0.02</v>
      </c>
      <c r="W4" s="459">
        <v>2.1999999999999999E-2</v>
      </c>
      <c r="X4" s="87"/>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row>
    <row r="5" spans="1:161" s="37" customFormat="1" ht="26.25" customHeight="1" x14ac:dyDescent="0.2">
      <c r="A5" s="69" t="s">
        <v>103</v>
      </c>
      <c r="B5" s="454">
        <v>0.128</v>
      </c>
      <c r="C5" s="451">
        <v>8.5999999999999993E-2</v>
      </c>
      <c r="D5" s="451">
        <v>8.6000000000000007E-2</v>
      </c>
      <c r="E5" s="451">
        <v>6.9000000000000006E-2</v>
      </c>
      <c r="F5" s="451">
        <v>0.08</v>
      </c>
      <c r="G5" s="451">
        <v>0.50741944662395766</v>
      </c>
      <c r="H5" s="451"/>
      <c r="I5" s="454">
        <v>0.128</v>
      </c>
      <c r="J5" s="451">
        <v>0.12</v>
      </c>
      <c r="K5" s="451">
        <v>0.13</v>
      </c>
      <c r="L5" s="452">
        <v>0.28999999999999998</v>
      </c>
      <c r="M5" s="453"/>
      <c r="N5" s="451">
        <v>8.5000000000000006E-2</v>
      </c>
      <c r="O5" s="451">
        <v>0.12480491428514248</v>
      </c>
      <c r="P5" s="451">
        <v>0.16004296233290788</v>
      </c>
      <c r="Q5" s="451">
        <v>0.11799999999999999</v>
      </c>
      <c r="R5" s="451">
        <v>0.443</v>
      </c>
      <c r="S5" s="451">
        <v>0.57636887608069165</v>
      </c>
      <c r="T5" s="455">
        <v>8.5000000000000006E-2</v>
      </c>
      <c r="U5" s="451">
        <v>3.3000000000000002E-2</v>
      </c>
      <c r="V5" s="452">
        <v>0.13</v>
      </c>
      <c r="W5" s="452"/>
      <c r="X5" s="87"/>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row>
    <row r="6" spans="1:161" s="37" customFormat="1" ht="26.25" customHeight="1" x14ac:dyDescent="0.2">
      <c r="A6" s="456" t="s">
        <v>104</v>
      </c>
      <c r="B6" s="457">
        <v>7.0000000000000001E-3</v>
      </c>
      <c r="C6" s="458">
        <v>8.0000000000000002E-3</v>
      </c>
      <c r="D6" s="458">
        <v>8.0000000000000002E-3</v>
      </c>
      <c r="E6" s="458"/>
      <c r="F6" s="458">
        <v>0.06</v>
      </c>
      <c r="G6" s="458"/>
      <c r="H6" s="458"/>
      <c r="I6" s="457"/>
      <c r="J6" s="458"/>
      <c r="K6" s="458"/>
      <c r="L6" s="459">
        <v>7.0000000000000007E-2</v>
      </c>
      <c r="M6" s="460"/>
      <c r="N6" s="458">
        <v>8.0000000000000002E-3</v>
      </c>
      <c r="O6" s="458"/>
      <c r="P6" s="458"/>
      <c r="Q6" s="458"/>
      <c r="R6" s="458">
        <v>0.39900000000000002</v>
      </c>
      <c r="S6" s="458"/>
      <c r="T6" s="461">
        <v>8.0000000000000002E-3</v>
      </c>
      <c r="U6" s="458">
        <v>6.6000000000000003E-2</v>
      </c>
      <c r="V6" s="459"/>
      <c r="W6" s="459"/>
      <c r="X6" s="87"/>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row>
    <row r="7" spans="1:161" s="37" customFormat="1" ht="26.25" customHeight="1" x14ac:dyDescent="0.2">
      <c r="A7" s="69" t="s">
        <v>105</v>
      </c>
      <c r="B7" s="454">
        <v>0.01</v>
      </c>
      <c r="C7" s="451">
        <v>3.0000000000000001E-3</v>
      </c>
      <c r="D7" s="451">
        <v>3.0000000000000001E-3</v>
      </c>
      <c r="E7" s="451">
        <v>2E-3</v>
      </c>
      <c r="F7" s="451">
        <v>0.06</v>
      </c>
      <c r="G7" s="451"/>
      <c r="H7" s="451">
        <v>0.15296952082297602</v>
      </c>
      <c r="I7" s="454">
        <v>0.01</v>
      </c>
      <c r="J7" s="451">
        <v>0.02</v>
      </c>
      <c r="K7" s="451">
        <v>0.02</v>
      </c>
      <c r="L7" s="452">
        <v>7.0000000000000007E-2</v>
      </c>
      <c r="M7" s="453"/>
      <c r="N7" s="451">
        <v>3.0000000000000001E-3</v>
      </c>
      <c r="O7" s="451">
        <v>9.7503839285267551E-3</v>
      </c>
      <c r="P7" s="451">
        <v>0.01</v>
      </c>
      <c r="Q7" s="451">
        <v>4.0000000000000001E-3</v>
      </c>
      <c r="R7" s="451">
        <v>0.26500000000000001</v>
      </c>
      <c r="S7" s="451">
        <v>5.7636887608069169E-2</v>
      </c>
      <c r="T7" s="455">
        <v>3.0000000000000001E-3</v>
      </c>
      <c r="U7" s="451">
        <v>8.0000000000000002E-3</v>
      </c>
      <c r="V7" s="452">
        <v>0.02</v>
      </c>
      <c r="W7" s="452">
        <v>1.6000000000000001E-3</v>
      </c>
      <c r="X7" s="87"/>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row>
    <row r="8" spans="1:161" s="37" customFormat="1" ht="26.25" customHeight="1" x14ac:dyDescent="0.2">
      <c r="A8" s="456" t="s">
        <v>106</v>
      </c>
      <c r="B8" s="457">
        <v>2E-3</v>
      </c>
      <c r="C8" s="458">
        <v>2E-3</v>
      </c>
      <c r="D8" s="458">
        <v>2E-3</v>
      </c>
      <c r="E8" s="458"/>
      <c r="F8" s="458">
        <v>0.06</v>
      </c>
      <c r="G8" s="458"/>
      <c r="H8" s="458"/>
      <c r="I8" s="457">
        <v>2E-3</v>
      </c>
      <c r="J8" s="458">
        <v>1.01</v>
      </c>
      <c r="K8" s="458">
        <v>0.99</v>
      </c>
      <c r="L8" s="459">
        <v>0.02</v>
      </c>
      <c r="M8" s="460">
        <v>2.1999999999999999E-2</v>
      </c>
      <c r="N8" s="458">
        <v>2E-3</v>
      </c>
      <c r="O8" s="458">
        <v>1.9500767857053513E-3</v>
      </c>
      <c r="P8" s="458">
        <v>2.5006712864516856E-3</v>
      </c>
      <c r="Q8" s="458"/>
      <c r="R8" s="458"/>
      <c r="S8" s="458">
        <v>0.11527377521613834</v>
      </c>
      <c r="T8" s="461">
        <v>2E-3</v>
      </c>
      <c r="U8" s="458">
        <v>1.6E-2</v>
      </c>
      <c r="V8" s="459">
        <v>0.02</v>
      </c>
      <c r="W8" s="459">
        <v>1.4999999999999999E-2</v>
      </c>
      <c r="X8" s="87"/>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row>
    <row r="9" spans="1:161" s="37" customFormat="1" ht="26.25" customHeight="1" x14ac:dyDescent="0.2">
      <c r="A9" s="69" t="s">
        <v>107</v>
      </c>
      <c r="B9" s="454">
        <v>0.28699999999999998</v>
      </c>
      <c r="C9" s="451">
        <v>0.33</v>
      </c>
      <c r="D9" s="451">
        <v>0.32700000000000001</v>
      </c>
      <c r="E9" s="451">
        <v>0.26800000000000002</v>
      </c>
      <c r="F9" s="451">
        <v>0.31</v>
      </c>
      <c r="G9" s="451">
        <v>8.2439493356555928</v>
      </c>
      <c r="H9" s="451">
        <v>1.5296952082297601</v>
      </c>
      <c r="I9" s="454">
        <v>0.28699999999999998</v>
      </c>
      <c r="J9" s="451">
        <v>0.16</v>
      </c>
      <c r="K9" s="451">
        <v>0.19</v>
      </c>
      <c r="L9" s="452">
        <v>0.14000000000000001</v>
      </c>
      <c r="M9" s="453">
        <v>3.2109999999999999</v>
      </c>
      <c r="N9" s="451">
        <v>0.32500000000000001</v>
      </c>
      <c r="O9" s="451">
        <v>0.27983601874871789</v>
      </c>
      <c r="P9" s="451">
        <v>0.35884632960581686</v>
      </c>
      <c r="Q9" s="451">
        <v>0.45200000000000001</v>
      </c>
      <c r="R9" s="451">
        <v>0.94699999999999995</v>
      </c>
      <c r="S9" s="451">
        <v>0.345821325648415</v>
      </c>
      <c r="T9" s="455">
        <v>0.32500000000000001</v>
      </c>
      <c r="U9" s="451">
        <v>0.52400000000000002</v>
      </c>
      <c r="V9" s="452">
        <v>0.28000000000000003</v>
      </c>
      <c r="W9" s="452">
        <v>0.33500000000000002</v>
      </c>
      <c r="X9" s="87"/>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row>
    <row r="10" spans="1:161" s="37" customFormat="1" ht="26.25" customHeight="1" x14ac:dyDescent="0.2">
      <c r="A10" s="456" t="s">
        <v>108</v>
      </c>
      <c r="B10" s="457">
        <v>5.0000000000000001E-3</v>
      </c>
      <c r="C10" s="458">
        <v>2E-3</v>
      </c>
      <c r="D10" s="458">
        <v>2E-3</v>
      </c>
      <c r="E10" s="458">
        <v>2E-3</v>
      </c>
      <c r="F10" s="458">
        <v>0.06</v>
      </c>
      <c r="G10" s="458"/>
      <c r="H10" s="458">
        <v>3.05939041645952E-3</v>
      </c>
      <c r="I10" s="457">
        <v>5.0000000000000001E-3</v>
      </c>
      <c r="J10" s="458"/>
      <c r="K10" s="458"/>
      <c r="L10" s="459">
        <v>7.0000000000000007E-2</v>
      </c>
      <c r="M10" s="460"/>
      <c r="N10" s="458">
        <v>2E-3</v>
      </c>
      <c r="O10" s="458">
        <v>4.8751919642633776E-3</v>
      </c>
      <c r="P10" s="458">
        <v>6.2516782161292144E-3</v>
      </c>
      <c r="Q10" s="458">
        <v>3.0000000000000001E-3</v>
      </c>
      <c r="R10" s="458">
        <v>0.24</v>
      </c>
      <c r="S10" s="458">
        <v>0.11527377521613834</v>
      </c>
      <c r="T10" s="461">
        <v>2E-3</v>
      </c>
      <c r="U10" s="458">
        <v>6.6000000000000003E-2</v>
      </c>
      <c r="V10" s="459">
        <v>0.02</v>
      </c>
      <c r="W10" s="459">
        <v>1.4999999999999999E-2</v>
      </c>
      <c r="X10" s="87"/>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row>
    <row r="11" spans="1:161" s="37" customFormat="1" ht="26.25" customHeight="1" x14ac:dyDescent="0.2">
      <c r="A11" s="69" t="s">
        <v>643</v>
      </c>
      <c r="B11" s="454"/>
      <c r="C11" s="451"/>
      <c r="D11" s="451"/>
      <c r="E11" s="451"/>
      <c r="F11" s="451"/>
      <c r="G11" s="451"/>
      <c r="H11" s="451"/>
      <c r="I11" s="454"/>
      <c r="J11" s="451"/>
      <c r="K11" s="451"/>
      <c r="L11" s="452"/>
      <c r="M11" s="453"/>
      <c r="N11" s="451">
        <v>5.9999999999999995E-4</v>
      </c>
      <c r="O11" s="451"/>
      <c r="P11" s="451"/>
      <c r="Q11" s="451"/>
      <c r="R11" s="451">
        <v>0.19900000000000001</v>
      </c>
      <c r="S11" s="451">
        <v>0.11527377521613834</v>
      </c>
      <c r="T11" s="455"/>
      <c r="U11" s="451"/>
      <c r="V11" s="452"/>
      <c r="W11" s="452"/>
      <c r="X11" s="87"/>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row>
    <row r="12" spans="1:161" s="37" customFormat="1" ht="26.25" customHeight="1" x14ac:dyDescent="0.2">
      <c r="A12" s="456" t="s">
        <v>110</v>
      </c>
      <c r="B12" s="457">
        <v>1.9330000000000001</v>
      </c>
      <c r="C12" s="458">
        <v>1.8109999999999999</v>
      </c>
      <c r="D12" s="458">
        <v>1.796</v>
      </c>
      <c r="E12" s="458">
        <v>1.76</v>
      </c>
      <c r="F12" s="458">
        <v>1.71</v>
      </c>
      <c r="G12" s="458"/>
      <c r="H12" s="458"/>
      <c r="I12" s="457">
        <v>1.9339999999999999</v>
      </c>
      <c r="J12" s="458">
        <v>0.47</v>
      </c>
      <c r="K12" s="458">
        <v>0.5</v>
      </c>
      <c r="L12" s="459">
        <v>3.74</v>
      </c>
      <c r="M12" s="460"/>
      <c r="N12" s="458">
        <v>1.7869999999999999</v>
      </c>
      <c r="O12" s="458">
        <v>1.8847492133842219</v>
      </c>
      <c r="P12" s="458">
        <v>2.4168987983555543</v>
      </c>
      <c r="Q12" s="458"/>
      <c r="R12" s="458">
        <v>2.0369999999999999</v>
      </c>
      <c r="S12" s="458">
        <v>2.3054755043227666</v>
      </c>
      <c r="T12" s="461">
        <v>1.7870999999999999</v>
      </c>
      <c r="U12" s="458">
        <v>3.927</v>
      </c>
      <c r="V12" s="459">
        <v>1.9</v>
      </c>
      <c r="W12" s="459">
        <v>1.1579999999999999</v>
      </c>
      <c r="X12" s="87"/>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row>
    <row r="13" spans="1:161" s="37" customFormat="1" ht="26.25" customHeight="1" x14ac:dyDescent="0.2">
      <c r="A13" s="69" t="s">
        <v>111</v>
      </c>
      <c r="B13" s="454">
        <v>0.85099999999999998</v>
      </c>
      <c r="C13" s="451">
        <v>0.89900000000000002</v>
      </c>
      <c r="D13" s="451">
        <v>0.89100000000000001</v>
      </c>
      <c r="E13" s="451">
        <v>0.873</v>
      </c>
      <c r="F13" s="451">
        <v>0.71</v>
      </c>
      <c r="G13" s="451"/>
      <c r="H13" s="451"/>
      <c r="I13" s="454">
        <v>0.85199999999999998</v>
      </c>
      <c r="J13" s="451">
        <v>0.09</v>
      </c>
      <c r="K13" s="451">
        <v>0.09</v>
      </c>
      <c r="L13" s="452">
        <v>0.28999999999999998</v>
      </c>
      <c r="M13" s="453"/>
      <c r="N13" s="451">
        <v>0.88700000000000001</v>
      </c>
      <c r="O13" s="451">
        <v>0.82975767231762687</v>
      </c>
      <c r="P13" s="451">
        <v>1.0640356323851923</v>
      </c>
      <c r="Q13" s="451">
        <v>1.2330000000000001</v>
      </c>
      <c r="R13" s="451">
        <v>1.772</v>
      </c>
      <c r="S13" s="451">
        <v>0.57636887608069165</v>
      </c>
      <c r="T13" s="455">
        <v>0.8871</v>
      </c>
      <c r="U13" s="451">
        <v>1.964</v>
      </c>
      <c r="V13" s="452">
        <v>0.84</v>
      </c>
      <c r="W13" s="452">
        <v>1.282</v>
      </c>
      <c r="X13" s="87"/>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row>
    <row r="14" spans="1:161" s="37" customFormat="1" ht="26.25" customHeight="1" x14ac:dyDescent="0.2">
      <c r="A14" s="456" t="s">
        <v>112</v>
      </c>
      <c r="B14" s="457">
        <v>1.4999999999999999E-2</v>
      </c>
      <c r="C14" s="458">
        <v>5.0000000000000001E-3</v>
      </c>
      <c r="D14" s="458">
        <v>5.0000000000000001E-3</v>
      </c>
      <c r="E14" s="458">
        <v>4.0000000000000001E-3</v>
      </c>
      <c r="F14" s="458">
        <v>0.06</v>
      </c>
      <c r="G14" s="458"/>
      <c r="H14" s="458"/>
      <c r="I14" s="457">
        <v>1.4999999999999999E-2</v>
      </c>
      <c r="J14" s="458">
        <v>0.09</v>
      </c>
      <c r="K14" s="458">
        <v>0.1</v>
      </c>
      <c r="L14" s="459">
        <v>7.0000000000000007E-2</v>
      </c>
      <c r="M14" s="460"/>
      <c r="N14" s="458">
        <v>5.0000000000000001E-3</v>
      </c>
      <c r="O14" s="458">
        <v>1.4625575892790134E-2</v>
      </c>
      <c r="P14" s="458">
        <v>1.8755034648387642E-2</v>
      </c>
      <c r="Q14" s="458">
        <v>7.0000000000000001E-3</v>
      </c>
      <c r="R14" s="458">
        <v>0.24</v>
      </c>
      <c r="S14" s="458">
        <v>0.11527377521613834</v>
      </c>
      <c r="T14" s="461">
        <v>5.0000000000000001E-3</v>
      </c>
      <c r="U14" s="458">
        <v>6.6000000000000003E-2</v>
      </c>
      <c r="V14" s="459">
        <v>0.02</v>
      </c>
      <c r="W14" s="459"/>
      <c r="X14" s="87"/>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row>
    <row r="15" spans="1:161" s="37" customFormat="1" ht="26.25" customHeight="1" x14ac:dyDescent="0.2">
      <c r="A15" s="69" t="s">
        <v>113</v>
      </c>
      <c r="B15" s="454">
        <v>1.7999999999999999E-2</v>
      </c>
      <c r="C15" s="451">
        <v>1.6E-2</v>
      </c>
      <c r="D15" s="451">
        <v>1.6E-2</v>
      </c>
      <c r="E15" s="451"/>
      <c r="F15" s="451">
        <v>0.06</v>
      </c>
      <c r="G15" s="451"/>
      <c r="H15" s="451"/>
      <c r="I15" s="454">
        <v>1.7999999999999999E-2</v>
      </c>
      <c r="J15" s="451">
        <v>4.96</v>
      </c>
      <c r="K15" s="451">
        <v>5.03</v>
      </c>
      <c r="L15" s="452">
        <v>7.0000000000000007E-2</v>
      </c>
      <c r="M15" s="453">
        <v>7.6999999999999999E-2</v>
      </c>
      <c r="N15" s="451">
        <v>1.6E-2</v>
      </c>
      <c r="O15" s="451">
        <v>1.755069107134816E-2</v>
      </c>
      <c r="P15" s="451">
        <v>2.250604157806517E-2</v>
      </c>
      <c r="Q15" s="451">
        <v>2.1999999999999999E-2</v>
      </c>
      <c r="R15" s="451">
        <v>0.443</v>
      </c>
      <c r="S15" s="451">
        <v>0.11527377521613834</v>
      </c>
      <c r="T15" s="455">
        <v>1.6E-2</v>
      </c>
      <c r="U15" s="451">
        <v>1.6E-2</v>
      </c>
      <c r="V15" s="452">
        <v>0.02</v>
      </c>
      <c r="W15" s="452"/>
      <c r="X15" s="87"/>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row>
    <row r="16" spans="1:161" s="37" customFormat="1" ht="26.25" customHeight="1" x14ac:dyDescent="0.2">
      <c r="A16" s="456" t="s">
        <v>114</v>
      </c>
      <c r="B16" s="457">
        <v>3.9E-2</v>
      </c>
      <c r="C16" s="458">
        <v>3.3000000000000002E-2</v>
      </c>
      <c r="D16" s="458">
        <v>3.3000000000000002E-2</v>
      </c>
      <c r="E16" s="458">
        <v>3.2000000000000001E-2</v>
      </c>
      <c r="F16" s="458">
        <v>0.09</v>
      </c>
      <c r="G16" s="458"/>
      <c r="H16" s="458"/>
      <c r="I16" s="457">
        <v>3.9E-2</v>
      </c>
      <c r="J16" s="458">
        <v>7.0000000000000007E-2</v>
      </c>
      <c r="K16" s="458">
        <v>0.05</v>
      </c>
      <c r="L16" s="459">
        <v>0.28999999999999998</v>
      </c>
      <c r="M16" s="460"/>
      <c r="N16" s="458">
        <v>3.3000000000000002E-2</v>
      </c>
      <c r="O16" s="458">
        <v>3.8026497321254349E-2</v>
      </c>
      <c r="P16" s="458">
        <v>4.876309008580787E-2</v>
      </c>
      <c r="Q16" s="458">
        <v>4.5999999999999999E-2</v>
      </c>
      <c r="R16" s="458">
        <v>0.379</v>
      </c>
      <c r="S16" s="458">
        <v>0.11527377521613834</v>
      </c>
      <c r="T16" s="461">
        <v>3.3000000000000002E-2</v>
      </c>
      <c r="U16" s="458">
        <v>3.3000000000000002E-2</v>
      </c>
      <c r="V16" s="459">
        <v>0.04</v>
      </c>
      <c r="W16" s="459">
        <v>9.0999999999999998E-2</v>
      </c>
      <c r="X16" s="87"/>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row>
    <row r="17" spans="1:161" s="37" customFormat="1" ht="26.25" customHeight="1" x14ac:dyDescent="0.2">
      <c r="A17" s="69" t="s">
        <v>115</v>
      </c>
      <c r="B17" s="454">
        <v>0.01</v>
      </c>
      <c r="C17" s="451">
        <v>0.01</v>
      </c>
      <c r="D17" s="451">
        <v>0.01</v>
      </c>
      <c r="E17" s="451">
        <v>8.0000000000000002E-3</v>
      </c>
      <c r="F17" s="451">
        <v>0.08</v>
      </c>
      <c r="G17" s="451">
        <v>0.39640797040843601</v>
      </c>
      <c r="H17" s="451"/>
      <c r="I17" s="454">
        <v>0.01</v>
      </c>
      <c r="J17" s="451">
        <v>7.0000000000000007E-2</v>
      </c>
      <c r="K17" s="451">
        <v>7.0000000000000007E-2</v>
      </c>
      <c r="L17" s="452">
        <v>0.04</v>
      </c>
      <c r="M17" s="453"/>
      <c r="N17" s="451">
        <v>0.01</v>
      </c>
      <c r="O17" s="451">
        <v>9.7503839285267551E-3</v>
      </c>
      <c r="P17" s="451">
        <v>0.01</v>
      </c>
      <c r="Q17" s="451">
        <v>0.01</v>
      </c>
      <c r="R17" s="451">
        <v>0.23699999999999999</v>
      </c>
      <c r="S17" s="451">
        <v>0.345821325648415</v>
      </c>
      <c r="T17" s="455">
        <v>0.01</v>
      </c>
      <c r="U17" s="451">
        <v>8.0000000000000002E-3</v>
      </c>
      <c r="V17" s="452">
        <v>0.02</v>
      </c>
      <c r="W17" s="452">
        <v>0.10100000000000001</v>
      </c>
      <c r="X17" s="87"/>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row>
    <row r="18" spans="1:161" s="37" customFormat="1" ht="26.25" customHeight="1" x14ac:dyDescent="0.2">
      <c r="A18" s="456" t="s">
        <v>116</v>
      </c>
      <c r="B18" s="457">
        <v>8.0000000000000002E-3</v>
      </c>
      <c r="C18" s="458">
        <v>8.9999999999999993E-3</v>
      </c>
      <c r="D18" s="458">
        <v>8.9999999999999993E-3</v>
      </c>
      <c r="E18" s="458"/>
      <c r="F18" s="458">
        <v>0.06</v>
      </c>
      <c r="G18" s="458"/>
      <c r="H18" s="458"/>
      <c r="I18" s="457">
        <v>8.0000000000000002E-3</v>
      </c>
      <c r="J18" s="458">
        <v>0.09</v>
      </c>
      <c r="K18" s="458">
        <v>0.09</v>
      </c>
      <c r="L18" s="459">
        <v>7.0000000000000007E-2</v>
      </c>
      <c r="M18" s="460">
        <v>0.06</v>
      </c>
      <c r="N18" s="458">
        <v>8.9999999999999993E-3</v>
      </c>
      <c r="O18" s="458">
        <v>7.8003071428214051E-3</v>
      </c>
      <c r="P18" s="458">
        <v>1.0002685145806742E-2</v>
      </c>
      <c r="Q18" s="458">
        <v>1.2999999999999999E-2</v>
      </c>
      <c r="R18" s="458"/>
      <c r="S18" s="458">
        <v>0.11527377521613834</v>
      </c>
      <c r="T18" s="461">
        <v>8.9999999999999993E-3</v>
      </c>
      <c r="U18" s="458">
        <v>1.6E-2</v>
      </c>
      <c r="V18" s="459">
        <v>0.02</v>
      </c>
      <c r="W18" s="459">
        <v>1.4999999999999999E-2</v>
      </c>
      <c r="X18" s="87"/>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row>
    <row r="19" spans="1:161" s="37" customFormat="1" ht="26.25" customHeight="1" x14ac:dyDescent="0.2">
      <c r="A19" s="69" t="s">
        <v>117</v>
      </c>
      <c r="B19" s="454">
        <v>4.2000000000000003E-2</v>
      </c>
      <c r="C19" s="451">
        <v>0.02</v>
      </c>
      <c r="D19" s="451">
        <v>0.02</v>
      </c>
      <c r="E19" s="451">
        <v>1.6E-2</v>
      </c>
      <c r="F19" s="451">
        <v>0.06</v>
      </c>
      <c r="G19" s="451"/>
      <c r="H19" s="451"/>
      <c r="I19" s="454">
        <v>4.2000000000000003E-2</v>
      </c>
      <c r="J19" s="451"/>
      <c r="K19" s="451"/>
      <c r="L19" s="452">
        <v>7.0000000000000007E-2</v>
      </c>
      <c r="M19" s="453"/>
      <c r="N19" s="451">
        <v>0.02</v>
      </c>
      <c r="O19" s="451">
        <v>4.0951612499812377E-2</v>
      </c>
      <c r="P19" s="451">
        <v>5.25140970154854E-2</v>
      </c>
      <c r="Q19" s="451">
        <v>2.8000000000000001E-2</v>
      </c>
      <c r="R19" s="451">
        <v>0.28799999999999998</v>
      </c>
      <c r="S19" s="451">
        <v>0.11527377521613834</v>
      </c>
      <c r="T19" s="455">
        <v>0.02</v>
      </c>
      <c r="U19" s="451">
        <v>6.6000000000000003E-2</v>
      </c>
      <c r="V19" s="452">
        <v>0.04</v>
      </c>
      <c r="W19" s="452"/>
      <c r="X19" s="87"/>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row>
    <row r="20" spans="1:161" s="37" customFormat="1" ht="26.25" customHeight="1" x14ac:dyDescent="0.2">
      <c r="A20" s="456" t="s">
        <v>118</v>
      </c>
      <c r="B20" s="457">
        <v>1.075</v>
      </c>
      <c r="C20" s="458">
        <v>1.117</v>
      </c>
      <c r="D20" s="458">
        <v>1.1079999999999999</v>
      </c>
      <c r="E20" s="458">
        <v>1.085</v>
      </c>
      <c r="F20" s="458">
        <v>0.8</v>
      </c>
      <c r="G20" s="458"/>
      <c r="H20" s="458">
        <v>7.5299246625109948</v>
      </c>
      <c r="I20" s="457">
        <v>1.0760000000000001</v>
      </c>
      <c r="J20" s="458">
        <v>0.61</v>
      </c>
      <c r="K20" s="458">
        <v>0.64</v>
      </c>
      <c r="L20" s="459">
        <v>1.1499999999999999</v>
      </c>
      <c r="M20" s="460"/>
      <c r="N20" s="458">
        <v>1.1020000000000001</v>
      </c>
      <c r="O20" s="458">
        <v>1.0481662723166263</v>
      </c>
      <c r="P20" s="458">
        <v>1.3441108164677809</v>
      </c>
      <c r="Q20" s="458">
        <v>1.532</v>
      </c>
      <c r="R20" s="458">
        <v>0.24099999999999999</v>
      </c>
      <c r="S20" s="458">
        <v>1.7291066282420751</v>
      </c>
      <c r="T20" s="461">
        <v>1.1021000000000001</v>
      </c>
      <c r="U20" s="458">
        <v>3.927</v>
      </c>
      <c r="V20" s="459">
        <v>1.06</v>
      </c>
      <c r="W20" s="459">
        <v>2.5329999999999999</v>
      </c>
      <c r="X20" s="87"/>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row>
    <row r="21" spans="1:161" s="37" customFormat="1" ht="26.25" customHeight="1" x14ac:dyDescent="0.2">
      <c r="A21" s="69" t="s">
        <v>119</v>
      </c>
      <c r="B21" s="454">
        <v>1E-3</v>
      </c>
      <c r="C21" s="451">
        <v>1E-3</v>
      </c>
      <c r="D21" s="451">
        <v>1E-3</v>
      </c>
      <c r="E21" s="451">
        <v>1E-3</v>
      </c>
      <c r="F21" s="451">
        <v>0.06</v>
      </c>
      <c r="G21" s="451"/>
      <c r="H21" s="451"/>
      <c r="I21" s="454">
        <v>1E-3</v>
      </c>
      <c r="J21" s="451">
        <v>0.14000000000000001</v>
      </c>
      <c r="K21" s="451">
        <v>0.18</v>
      </c>
      <c r="L21" s="452">
        <v>0.04</v>
      </c>
      <c r="M21" s="453">
        <v>2.1999999999999999E-2</v>
      </c>
      <c r="N21" s="451">
        <v>1E-3</v>
      </c>
      <c r="O21" s="451">
        <v>1E-3</v>
      </c>
      <c r="P21" s="451">
        <v>1.2503356432258428E-3</v>
      </c>
      <c r="Q21" s="451">
        <v>1E-3</v>
      </c>
      <c r="R21" s="451"/>
      <c r="S21" s="451">
        <v>0.11527377521613834</v>
      </c>
      <c r="T21" s="455">
        <v>1E-3</v>
      </c>
      <c r="U21" s="451">
        <v>1.6E-2</v>
      </c>
      <c r="V21" s="452">
        <v>0.02</v>
      </c>
      <c r="W21" s="452">
        <v>1.4999999999999999E-2</v>
      </c>
      <c r="X21" s="87"/>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row>
    <row r="22" spans="1:161" s="37" customFormat="1" ht="26.25" customHeight="1" x14ac:dyDescent="0.2">
      <c r="A22" s="456" t="s">
        <v>120</v>
      </c>
      <c r="B22" s="457">
        <v>3.0000000000000001E-3</v>
      </c>
      <c r="C22" s="458">
        <v>1E-3</v>
      </c>
      <c r="D22" s="458">
        <v>1E-3</v>
      </c>
      <c r="E22" s="458">
        <v>1E-3</v>
      </c>
      <c r="F22" s="458">
        <v>0.06</v>
      </c>
      <c r="G22" s="458"/>
      <c r="H22" s="458"/>
      <c r="I22" s="457">
        <v>3.0000000000000001E-3</v>
      </c>
      <c r="J22" s="458">
        <v>1.7000000000000001E-2</v>
      </c>
      <c r="K22" s="458">
        <v>0.02</v>
      </c>
      <c r="L22" s="459">
        <v>7.0000000000000007E-2</v>
      </c>
      <c r="M22" s="460"/>
      <c r="N22" s="458">
        <v>1E-3</v>
      </c>
      <c r="O22" s="458">
        <v>2.9251151785580267E-3</v>
      </c>
      <c r="P22" s="458">
        <v>3.7510069296775284E-3</v>
      </c>
      <c r="Q22" s="458">
        <v>1E-3</v>
      </c>
      <c r="R22" s="458">
        <v>0.222</v>
      </c>
      <c r="S22" s="458">
        <v>5.7636887608069169E-2</v>
      </c>
      <c r="T22" s="461">
        <v>1E-3</v>
      </c>
      <c r="U22" s="458">
        <v>8.0000000000000002E-3</v>
      </c>
      <c r="V22" s="459">
        <v>0.02</v>
      </c>
      <c r="W22" s="459">
        <v>1.4999999999999999E-2</v>
      </c>
      <c r="X22" s="87"/>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row>
    <row r="23" spans="1:161" s="37" customFormat="1" ht="26.25" customHeight="1" x14ac:dyDescent="0.2">
      <c r="A23" s="69" t="s">
        <v>121</v>
      </c>
      <c r="B23" s="454">
        <v>1E-3</v>
      </c>
      <c r="C23" s="451"/>
      <c r="D23" s="451">
        <v>1E-3</v>
      </c>
      <c r="E23" s="451"/>
      <c r="F23" s="451">
        <v>0.06</v>
      </c>
      <c r="G23" s="451">
        <v>0.39640797040843601</v>
      </c>
      <c r="H23" s="451"/>
      <c r="I23" s="454"/>
      <c r="J23" s="451"/>
      <c r="K23" s="451"/>
      <c r="L23" s="452">
        <v>0.04</v>
      </c>
      <c r="M23" s="453"/>
      <c r="N23" s="451">
        <v>1E-3</v>
      </c>
      <c r="O23" s="451">
        <v>1E-3</v>
      </c>
      <c r="P23" s="451">
        <v>1.2503356432258428E-3</v>
      </c>
      <c r="Q23" s="451">
        <v>1E-3</v>
      </c>
      <c r="R23" s="451">
        <v>0.19900000000000001</v>
      </c>
      <c r="S23" s="451">
        <v>5.7636887608069169E-2</v>
      </c>
      <c r="T23" s="455">
        <v>1E-3</v>
      </c>
      <c r="U23" s="451">
        <v>8.0000000000000002E-3</v>
      </c>
      <c r="V23" s="452">
        <v>0.02</v>
      </c>
      <c r="W23" s="452"/>
      <c r="X23" s="87"/>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row>
    <row r="24" spans="1:161" s="37" customFormat="1" ht="26.25" customHeight="1" x14ac:dyDescent="0.2">
      <c r="A24" s="456" t="s">
        <v>122</v>
      </c>
      <c r="B24" s="457">
        <v>7.0000000000000001E-3</v>
      </c>
      <c r="C24" s="458">
        <v>6.0000000000000001E-3</v>
      </c>
      <c r="D24" s="458">
        <v>6.0000000000000001E-3</v>
      </c>
      <c r="E24" s="458">
        <v>5.0000000000000001E-3</v>
      </c>
      <c r="F24" s="458">
        <v>0.06</v>
      </c>
      <c r="G24" s="458"/>
      <c r="H24" s="458">
        <v>0.15296952082297602</v>
      </c>
      <c r="I24" s="457">
        <v>7.0000000000000001E-3</v>
      </c>
      <c r="J24" s="458">
        <v>0.02</v>
      </c>
      <c r="K24" s="458">
        <v>0.03</v>
      </c>
      <c r="L24" s="459">
        <v>7.0000000000000007E-2</v>
      </c>
      <c r="M24" s="460">
        <v>4.5999999999999999E-2</v>
      </c>
      <c r="N24" s="458">
        <v>6.0000000000000001E-3</v>
      </c>
      <c r="O24" s="458">
        <v>6.8252687499687293E-3</v>
      </c>
      <c r="P24" s="458">
        <v>8.7523495025809001E-3</v>
      </c>
      <c r="Q24" s="458">
        <v>8.0000000000000002E-3</v>
      </c>
      <c r="R24" s="458">
        <v>0.23699999999999999</v>
      </c>
      <c r="S24" s="458">
        <v>0.11527377521613834</v>
      </c>
      <c r="T24" s="461">
        <v>6.0000000000000001E-3</v>
      </c>
      <c r="U24" s="458">
        <v>1.6E-2</v>
      </c>
      <c r="V24" s="459">
        <v>0.02</v>
      </c>
      <c r="W24" s="459">
        <v>2.5000000000000001E-2</v>
      </c>
      <c r="X24" s="87"/>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row>
    <row r="25" spans="1:161" s="37" customFormat="1" ht="26.25" customHeight="1" x14ac:dyDescent="0.2">
      <c r="A25" s="69" t="s">
        <v>299</v>
      </c>
      <c r="B25" s="454">
        <v>1.4E-2</v>
      </c>
      <c r="C25" s="451">
        <v>6.0000000000000001E-3</v>
      </c>
      <c r="D25" s="451">
        <v>6.0000000000000001E-3</v>
      </c>
      <c r="E25" s="451">
        <v>5.0000000000000001E-3</v>
      </c>
      <c r="F25" s="451">
        <v>0.06</v>
      </c>
      <c r="G25" s="451">
        <v>0.39640797040843601</v>
      </c>
      <c r="H25" s="451"/>
      <c r="I25" s="454">
        <v>1.4E-2</v>
      </c>
      <c r="J25" s="451">
        <v>0.02</v>
      </c>
      <c r="K25" s="451">
        <v>0.02</v>
      </c>
      <c r="L25" s="452">
        <v>0.02</v>
      </c>
      <c r="M25" s="453"/>
      <c r="N25" s="451">
        <v>6.0000000000000001E-3</v>
      </c>
      <c r="O25" s="451">
        <v>1.3650537499937459E-2</v>
      </c>
      <c r="P25" s="451">
        <v>1.75046990051618E-2</v>
      </c>
      <c r="Q25" s="451">
        <v>8.0000000000000002E-3</v>
      </c>
      <c r="R25" s="451">
        <v>0.26800000000000002</v>
      </c>
      <c r="S25" s="451">
        <v>0.11527377521613834</v>
      </c>
      <c r="T25" s="455">
        <v>6.0000000000000001E-3</v>
      </c>
      <c r="U25" s="451">
        <v>1.6E-2</v>
      </c>
      <c r="V25" s="452">
        <v>0.02</v>
      </c>
      <c r="W25" s="452"/>
      <c r="X25" s="87"/>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row>
    <row r="26" spans="1:161" s="37" customFormat="1" ht="26.25" customHeight="1" x14ac:dyDescent="0.2">
      <c r="A26" s="456" t="s">
        <v>123</v>
      </c>
      <c r="B26" s="457">
        <v>1.7999999999999999E-2</v>
      </c>
      <c r="C26" s="458">
        <v>1.4E-2</v>
      </c>
      <c r="D26" s="458">
        <v>1.4E-2</v>
      </c>
      <c r="E26" s="458">
        <v>1.0999999999999999E-2</v>
      </c>
      <c r="F26" s="458">
        <v>0.06</v>
      </c>
      <c r="G26" s="458"/>
      <c r="H26" s="458">
        <v>1.9121190102872002E-2</v>
      </c>
      <c r="I26" s="457">
        <v>1.7999999999999999E-2</v>
      </c>
      <c r="J26" s="458"/>
      <c r="K26" s="458"/>
      <c r="L26" s="459">
        <v>0.14000000000000001</v>
      </c>
      <c r="M26" s="460"/>
      <c r="N26" s="458">
        <v>1.4E-2</v>
      </c>
      <c r="O26" s="458">
        <v>1.755069107134816E-2</v>
      </c>
      <c r="P26" s="458">
        <v>2.250604157806517E-2</v>
      </c>
      <c r="Q26" s="458">
        <v>1.9E-2</v>
      </c>
      <c r="R26" s="458">
        <v>0.443</v>
      </c>
      <c r="S26" s="458">
        <v>0.11527377521613834</v>
      </c>
      <c r="T26" s="461">
        <v>1.4E-2</v>
      </c>
      <c r="U26" s="458">
        <v>1.6E-2</v>
      </c>
      <c r="V26" s="459">
        <v>0.02</v>
      </c>
      <c r="W26" s="459">
        <v>3.4000000000000002E-2</v>
      </c>
      <c r="X26" s="87"/>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row>
    <row r="27" spans="1:161" s="37" customFormat="1" ht="26.25" customHeight="1" x14ac:dyDescent="0.2">
      <c r="A27" s="69" t="s">
        <v>124</v>
      </c>
      <c r="B27" s="454">
        <v>1.611</v>
      </c>
      <c r="C27" s="451">
        <v>0.88800000000000001</v>
      </c>
      <c r="D27" s="451">
        <v>0.88</v>
      </c>
      <c r="E27" s="451">
        <v>0.72099999999999997</v>
      </c>
      <c r="F27" s="451">
        <v>0.89</v>
      </c>
      <c r="G27" s="451">
        <v>11.890299105872614</v>
      </c>
      <c r="H27" s="451"/>
      <c r="I27" s="454">
        <v>1.6120000000000001</v>
      </c>
      <c r="J27" s="451">
        <v>0.34</v>
      </c>
      <c r="K27" s="451">
        <v>0.36</v>
      </c>
      <c r="L27" s="452">
        <v>0.86</v>
      </c>
      <c r="M27" s="453">
        <v>7.9530000000000003</v>
      </c>
      <c r="N27" s="451">
        <v>0.876</v>
      </c>
      <c r="O27" s="451">
        <v>1.5707868508856604</v>
      </c>
      <c r="P27" s="451">
        <v>2.0142907212368328</v>
      </c>
      <c r="Q27" s="451">
        <v>1.218</v>
      </c>
      <c r="R27" s="451">
        <v>1.6839999999999999</v>
      </c>
      <c r="S27" s="451">
        <v>2.3054755043227666</v>
      </c>
      <c r="T27" s="455">
        <v>0.87609999999999999</v>
      </c>
      <c r="U27" s="451">
        <v>0.52400000000000002</v>
      </c>
      <c r="V27" s="452">
        <v>1.59</v>
      </c>
      <c r="W27" s="452">
        <v>0.94399999999999995</v>
      </c>
      <c r="X27" s="87"/>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row>
    <row r="28" spans="1:161" s="37" customFormat="1" ht="26.25" customHeight="1" x14ac:dyDescent="0.2">
      <c r="A28" s="456" t="s">
        <v>125</v>
      </c>
      <c r="B28" s="457"/>
      <c r="C28" s="458"/>
      <c r="D28" s="458"/>
      <c r="E28" s="458"/>
      <c r="F28" s="458"/>
      <c r="G28" s="458"/>
      <c r="H28" s="458"/>
      <c r="I28" s="457"/>
      <c r="J28" s="458"/>
      <c r="K28" s="458"/>
      <c r="L28" s="459"/>
      <c r="M28" s="460"/>
      <c r="N28" s="458"/>
      <c r="O28" s="458"/>
      <c r="P28" s="458"/>
      <c r="Q28" s="458"/>
      <c r="R28" s="458"/>
      <c r="S28" s="458"/>
      <c r="T28" s="461"/>
      <c r="U28" s="458"/>
      <c r="V28" s="459">
        <v>0.02</v>
      </c>
      <c r="W28" s="459"/>
      <c r="X28" s="87"/>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row>
    <row r="29" spans="1:161" s="37" customFormat="1" ht="26.25" customHeight="1" x14ac:dyDescent="0.2">
      <c r="A29" s="69" t="s">
        <v>300</v>
      </c>
      <c r="B29" s="454"/>
      <c r="C29" s="451"/>
      <c r="D29" s="451"/>
      <c r="E29" s="451"/>
      <c r="F29" s="451"/>
      <c r="G29" s="451"/>
      <c r="H29" s="451"/>
      <c r="I29" s="454"/>
      <c r="J29" s="451"/>
      <c r="K29" s="451"/>
      <c r="L29" s="452"/>
      <c r="M29" s="453"/>
      <c r="N29" s="451">
        <v>5.9999999999999995E-4</v>
      </c>
      <c r="O29" s="451"/>
      <c r="P29" s="451"/>
      <c r="Q29" s="451"/>
      <c r="R29" s="451"/>
      <c r="S29" s="451"/>
      <c r="T29" s="455"/>
      <c r="U29" s="451"/>
      <c r="V29" s="452"/>
      <c r="W29" s="452"/>
      <c r="X29" s="87"/>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row>
    <row r="30" spans="1:161" s="37" customFormat="1" ht="26.25" customHeight="1" x14ac:dyDescent="0.2">
      <c r="A30" s="456" t="s">
        <v>126</v>
      </c>
      <c r="B30" s="457">
        <v>2.8000000000000001E-2</v>
      </c>
      <c r="C30" s="458">
        <v>2.5999999999999999E-2</v>
      </c>
      <c r="D30" s="458"/>
      <c r="E30" s="458"/>
      <c r="F30" s="458">
        <v>0.06</v>
      </c>
      <c r="G30" s="458"/>
      <c r="H30" s="458"/>
      <c r="I30" s="457">
        <v>2.8000000000000001E-2</v>
      </c>
      <c r="J30" s="458">
        <v>7.0000000000000007E-2</v>
      </c>
      <c r="K30" s="458">
        <v>7.0000000000000007E-2</v>
      </c>
      <c r="L30" s="459">
        <v>0.14000000000000001</v>
      </c>
      <c r="M30" s="460"/>
      <c r="N30" s="458">
        <v>2.5999999999999999E-2</v>
      </c>
      <c r="O30" s="458">
        <v>2.7301074999874917E-2</v>
      </c>
      <c r="P30" s="458">
        <v>3.50093980103236E-2</v>
      </c>
      <c r="Q30" s="458"/>
      <c r="R30" s="458">
        <v>0.443</v>
      </c>
      <c r="S30" s="458">
        <v>0.11527377521613834</v>
      </c>
      <c r="T30" s="461">
        <v>2.5999999999999999E-2</v>
      </c>
      <c r="U30" s="458">
        <v>3.3000000000000002E-2</v>
      </c>
      <c r="V30" s="459">
        <v>0.03</v>
      </c>
      <c r="W30" s="459">
        <v>3.3000000000000002E-2</v>
      </c>
      <c r="X30" s="87"/>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row>
    <row r="31" spans="1:161" s="37" customFormat="1" ht="26.25" customHeight="1" x14ac:dyDescent="0.2">
      <c r="A31" s="69" t="s">
        <v>127</v>
      </c>
      <c r="B31" s="454">
        <v>3.7999999999999999E-2</v>
      </c>
      <c r="C31" s="451">
        <v>0.02</v>
      </c>
      <c r="D31" s="451">
        <v>0.02</v>
      </c>
      <c r="E31" s="451">
        <v>1.6E-2</v>
      </c>
      <c r="F31" s="451">
        <v>0.06</v>
      </c>
      <c r="G31" s="451">
        <v>0.39640797040843601</v>
      </c>
      <c r="H31" s="451"/>
      <c r="I31" s="454">
        <v>3.7999999999999999E-2</v>
      </c>
      <c r="J31" s="451">
        <v>0.08</v>
      </c>
      <c r="K31" s="451">
        <v>0.12</v>
      </c>
      <c r="L31" s="452">
        <v>7.0000000000000007E-2</v>
      </c>
      <c r="M31" s="453"/>
      <c r="N31" s="451">
        <v>0.02</v>
      </c>
      <c r="O31" s="451">
        <v>3.705145892840167E-2</v>
      </c>
      <c r="P31" s="451">
        <v>4.7512754442582024E-2</v>
      </c>
      <c r="Q31" s="451">
        <v>2.8000000000000001E-2</v>
      </c>
      <c r="R31" s="451">
        <v>0.53200000000000003</v>
      </c>
      <c r="S31" s="451">
        <v>0.345821325648415</v>
      </c>
      <c r="T31" s="455">
        <v>0.02</v>
      </c>
      <c r="U31" s="451">
        <v>0.52400000000000002</v>
      </c>
      <c r="V31" s="452">
        <v>0.04</v>
      </c>
      <c r="W31" s="452">
        <v>0.157</v>
      </c>
      <c r="X31" s="87"/>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row>
    <row r="32" spans="1:161" s="37" customFormat="1" ht="26.25" customHeight="1" x14ac:dyDescent="0.2">
      <c r="A32" s="456" t="s">
        <v>128</v>
      </c>
      <c r="B32" s="457">
        <v>3.0000000000000001E-3</v>
      </c>
      <c r="C32" s="458">
        <v>2E-3</v>
      </c>
      <c r="D32" s="458">
        <v>2E-3</v>
      </c>
      <c r="E32" s="458">
        <v>2E-3</v>
      </c>
      <c r="F32" s="458">
        <v>0.06</v>
      </c>
      <c r="G32" s="458"/>
      <c r="H32" s="458"/>
      <c r="I32" s="457">
        <v>3.0000000000000001E-3</v>
      </c>
      <c r="J32" s="458"/>
      <c r="K32" s="458"/>
      <c r="L32" s="459">
        <v>7.0000000000000007E-2</v>
      </c>
      <c r="M32" s="460"/>
      <c r="N32" s="458">
        <v>2E-3</v>
      </c>
      <c r="O32" s="458">
        <v>2.9251151785580267E-3</v>
      </c>
      <c r="P32" s="458">
        <v>3.7510069296775284E-3</v>
      </c>
      <c r="Q32" s="458">
        <v>3.0000000000000001E-3</v>
      </c>
      <c r="R32" s="458">
        <v>0.222</v>
      </c>
      <c r="S32" s="458">
        <v>5.7636887608069169E-2</v>
      </c>
      <c r="T32" s="461">
        <v>2E-3</v>
      </c>
      <c r="U32" s="458">
        <v>8.0000000000000002E-3</v>
      </c>
      <c r="V32" s="459">
        <v>0.02</v>
      </c>
      <c r="W32" s="459">
        <v>1.4999999999999999E-2</v>
      </c>
      <c r="X32" s="87"/>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row>
    <row r="33" spans="1:161" s="37" customFormat="1" ht="26.25" customHeight="1" x14ac:dyDescent="0.2">
      <c r="A33" s="69" t="s">
        <v>129</v>
      </c>
      <c r="B33" s="454">
        <v>1E-3</v>
      </c>
      <c r="C33" s="451">
        <v>1E-3</v>
      </c>
      <c r="D33" s="451">
        <v>1E-3</v>
      </c>
      <c r="E33" s="451">
        <v>1E-3</v>
      </c>
      <c r="F33" s="451">
        <v>0.06</v>
      </c>
      <c r="G33" s="451"/>
      <c r="H33" s="451"/>
      <c r="I33" s="454">
        <v>1E-3</v>
      </c>
      <c r="J33" s="451"/>
      <c r="K33" s="451"/>
      <c r="L33" s="452">
        <v>0.02</v>
      </c>
      <c r="M33" s="453"/>
      <c r="N33" s="451">
        <v>1E-3</v>
      </c>
      <c r="O33" s="451">
        <v>1E-3</v>
      </c>
      <c r="P33" s="451">
        <v>1.2503356432258428E-3</v>
      </c>
      <c r="Q33" s="451">
        <v>1E-3</v>
      </c>
      <c r="R33" s="451">
        <v>0.222</v>
      </c>
      <c r="S33" s="451">
        <v>5.7636887608069169E-2</v>
      </c>
      <c r="T33" s="455">
        <v>1E-3</v>
      </c>
      <c r="U33" s="451">
        <v>8.0000000000000002E-3</v>
      </c>
      <c r="V33" s="452">
        <v>0.02</v>
      </c>
      <c r="W33" s="452">
        <v>1.4999999999999999E-2</v>
      </c>
      <c r="X33" s="87"/>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row>
    <row r="34" spans="1:161" s="37" customFormat="1" ht="26.25" customHeight="1" x14ac:dyDescent="0.2">
      <c r="A34" s="456" t="s">
        <v>130</v>
      </c>
      <c r="B34" s="457">
        <v>3.0000000000000001E-3</v>
      </c>
      <c r="C34" s="458">
        <v>1E-3</v>
      </c>
      <c r="D34" s="458">
        <v>1E-3</v>
      </c>
      <c r="E34" s="458"/>
      <c r="F34" s="458">
        <v>0.06</v>
      </c>
      <c r="G34" s="458"/>
      <c r="H34" s="458">
        <v>0.16061799686412484</v>
      </c>
      <c r="I34" s="457">
        <v>3.0000000000000001E-3</v>
      </c>
      <c r="J34" s="458">
        <v>0.22</v>
      </c>
      <c r="K34" s="458">
        <v>0.26</v>
      </c>
      <c r="L34" s="459">
        <v>0.02</v>
      </c>
      <c r="M34" s="460"/>
      <c r="N34" s="458">
        <v>1E-3</v>
      </c>
      <c r="O34" s="458">
        <v>2.9251151785580267E-3</v>
      </c>
      <c r="P34" s="458">
        <v>3.7510069296775284E-3</v>
      </c>
      <c r="Q34" s="458">
        <v>1E-3</v>
      </c>
      <c r="R34" s="458">
        <v>0.26500000000000001</v>
      </c>
      <c r="S34" s="458">
        <v>0.11527377521613834</v>
      </c>
      <c r="T34" s="461">
        <v>1E-3</v>
      </c>
      <c r="U34" s="458">
        <v>8.0000000000000002E-3</v>
      </c>
      <c r="V34" s="459">
        <v>0.02</v>
      </c>
      <c r="W34" s="459">
        <v>3.5000000000000003E-2</v>
      </c>
      <c r="X34" s="87"/>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row>
    <row r="35" spans="1:161" s="37" customFormat="1" ht="26.25" customHeight="1" x14ac:dyDescent="0.2">
      <c r="A35" s="69" t="s">
        <v>131</v>
      </c>
      <c r="B35" s="454">
        <v>1.0999999999999999E-2</v>
      </c>
      <c r="C35" s="451">
        <v>8.9999999999999993E-3</v>
      </c>
      <c r="D35" s="451">
        <v>8.9999999999999993E-3</v>
      </c>
      <c r="E35" s="451">
        <v>8.0000000000000002E-3</v>
      </c>
      <c r="F35" s="451">
        <v>0.06</v>
      </c>
      <c r="G35" s="451">
        <v>0.39640797040843601</v>
      </c>
      <c r="H35" s="451"/>
      <c r="I35" s="454">
        <v>1.0999999999999999E-2</v>
      </c>
      <c r="J35" s="451">
        <v>0.02</v>
      </c>
      <c r="K35" s="451">
        <v>0.02</v>
      </c>
      <c r="L35" s="452">
        <v>0.28999999999999998</v>
      </c>
      <c r="M35" s="453"/>
      <c r="N35" s="451">
        <v>8.9999999999999993E-3</v>
      </c>
      <c r="O35" s="451">
        <v>1.072542232137943E-2</v>
      </c>
      <c r="P35" s="451">
        <v>1.375369207548427E-2</v>
      </c>
      <c r="Q35" s="451">
        <v>1.2999999999999999E-2</v>
      </c>
      <c r="R35" s="451">
        <v>0.222</v>
      </c>
      <c r="S35" s="451">
        <v>0.11527377521613834</v>
      </c>
      <c r="T35" s="455">
        <v>8.9999999999999993E-3</v>
      </c>
      <c r="U35" s="451">
        <v>1.6E-2</v>
      </c>
      <c r="V35" s="452">
        <v>0.02</v>
      </c>
      <c r="W35" s="452">
        <v>3.4000000000000002E-2</v>
      </c>
      <c r="X35" s="87"/>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row>
    <row r="36" spans="1:161" s="37" customFormat="1" ht="26.25" customHeight="1" x14ac:dyDescent="0.2">
      <c r="A36" s="456" t="s">
        <v>132</v>
      </c>
      <c r="B36" s="457">
        <v>3.2069999999999999</v>
      </c>
      <c r="C36" s="458">
        <v>3.0190000000000001</v>
      </c>
      <c r="D36" s="458">
        <v>2.992</v>
      </c>
      <c r="E36" s="458">
        <v>2.9319999999999999</v>
      </c>
      <c r="F36" s="458">
        <v>2.39</v>
      </c>
      <c r="G36" s="458"/>
      <c r="H36" s="458"/>
      <c r="I36" s="457">
        <v>3.2080000000000002</v>
      </c>
      <c r="J36" s="458">
        <v>0.75</v>
      </c>
      <c r="K36" s="458">
        <v>0.77</v>
      </c>
      <c r="L36" s="459">
        <v>5.17</v>
      </c>
      <c r="M36" s="460">
        <v>13.760999999999999</v>
      </c>
      <c r="N36" s="458">
        <v>2.9779999999999998</v>
      </c>
      <c r="O36" s="458">
        <v>3.1269481258785303</v>
      </c>
      <c r="P36" s="458">
        <v>4.0098264078252779</v>
      </c>
      <c r="Q36" s="458"/>
      <c r="R36" s="458">
        <v>2.6589999999999998</v>
      </c>
      <c r="S36" s="458">
        <v>4.6109510086455332</v>
      </c>
      <c r="T36" s="461">
        <v>2.9771999999999998</v>
      </c>
      <c r="U36" s="458">
        <v>2.6179999999999999</v>
      </c>
      <c r="V36" s="459">
        <v>3.16</v>
      </c>
      <c r="W36" s="459">
        <v>3.2130000000000001</v>
      </c>
      <c r="X36" s="87"/>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row>
    <row r="37" spans="1:161" s="37" customFormat="1" ht="26.25" customHeight="1" x14ac:dyDescent="0.2">
      <c r="A37" s="69" t="s">
        <v>133</v>
      </c>
      <c r="B37" s="454">
        <v>1E-3</v>
      </c>
      <c r="C37" s="451">
        <v>1E-3</v>
      </c>
      <c r="D37" s="451">
        <v>1E-3</v>
      </c>
      <c r="E37" s="451"/>
      <c r="F37" s="451">
        <v>0.06</v>
      </c>
      <c r="G37" s="451"/>
      <c r="H37" s="451"/>
      <c r="I37" s="454">
        <v>1E-3</v>
      </c>
      <c r="J37" s="451">
        <v>0.02</v>
      </c>
      <c r="K37" s="451">
        <v>0.02</v>
      </c>
      <c r="L37" s="452">
        <v>0.04</v>
      </c>
      <c r="M37" s="453"/>
      <c r="N37" s="451">
        <v>1E-3</v>
      </c>
      <c r="O37" s="451">
        <v>1E-3</v>
      </c>
      <c r="P37" s="451">
        <v>1.2503356432258428E-3</v>
      </c>
      <c r="Q37" s="451">
        <v>1E-3</v>
      </c>
      <c r="R37" s="451">
        <v>0.17699999999999999</v>
      </c>
      <c r="S37" s="451">
        <v>5.7636887608069169E-2</v>
      </c>
      <c r="T37" s="455">
        <v>1E-3</v>
      </c>
      <c r="U37" s="451">
        <v>1.6E-2</v>
      </c>
      <c r="V37" s="452">
        <v>0.02</v>
      </c>
      <c r="W37" s="452">
        <v>1.4999999999999999E-2</v>
      </c>
      <c r="X37" s="87"/>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row>
    <row r="38" spans="1:161" s="37" customFormat="1" ht="26.25" customHeight="1" x14ac:dyDescent="0.2">
      <c r="A38" s="456" t="s">
        <v>644</v>
      </c>
      <c r="B38" s="457"/>
      <c r="C38" s="458"/>
      <c r="D38" s="458"/>
      <c r="E38" s="458"/>
      <c r="F38" s="458"/>
      <c r="G38" s="458"/>
      <c r="H38" s="458"/>
      <c r="I38" s="457"/>
      <c r="J38" s="458"/>
      <c r="K38" s="458"/>
      <c r="L38" s="459"/>
      <c r="M38" s="460"/>
      <c r="N38" s="458">
        <v>5.9999999999999995E-4</v>
      </c>
      <c r="O38" s="458"/>
      <c r="P38" s="458"/>
      <c r="Q38" s="458"/>
      <c r="R38" s="458"/>
      <c r="S38" s="458"/>
      <c r="T38" s="461"/>
      <c r="U38" s="458"/>
      <c r="V38" s="459"/>
      <c r="W38" s="459"/>
      <c r="X38" s="87"/>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row>
    <row r="39" spans="1:161" s="37" customFormat="1" ht="26.25" customHeight="1" x14ac:dyDescent="0.2">
      <c r="A39" s="69" t="s">
        <v>134</v>
      </c>
      <c r="B39" s="454">
        <v>1E-3</v>
      </c>
      <c r="C39" s="451">
        <v>1E-3</v>
      </c>
      <c r="D39" s="451">
        <v>1E-3</v>
      </c>
      <c r="E39" s="451">
        <v>1E-3</v>
      </c>
      <c r="F39" s="451">
        <v>0.06</v>
      </c>
      <c r="G39" s="451"/>
      <c r="H39" s="451"/>
      <c r="I39" s="454">
        <v>1E-3</v>
      </c>
      <c r="J39" s="451"/>
      <c r="K39" s="451"/>
      <c r="L39" s="452">
        <v>0.02</v>
      </c>
      <c r="M39" s="453"/>
      <c r="N39" s="451">
        <v>1E-3</v>
      </c>
      <c r="O39" s="451">
        <v>1E-3</v>
      </c>
      <c r="P39" s="451">
        <v>1.2503356432258428E-3</v>
      </c>
      <c r="Q39" s="451">
        <v>1E-3</v>
      </c>
      <c r="R39" s="451">
        <v>0.222</v>
      </c>
      <c r="S39" s="451">
        <v>5.7636887608069169E-2</v>
      </c>
      <c r="T39" s="455">
        <v>1E-3</v>
      </c>
      <c r="U39" s="451">
        <v>8.0000000000000002E-3</v>
      </c>
      <c r="V39" s="452">
        <v>0.02</v>
      </c>
      <c r="W39" s="452">
        <v>1.4999999999999999E-2</v>
      </c>
      <c r="X39" s="87"/>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row>
    <row r="40" spans="1:161" s="37" customFormat="1" ht="26.25" customHeight="1" x14ac:dyDescent="0.2">
      <c r="A40" s="456" t="s">
        <v>135</v>
      </c>
      <c r="B40" s="457">
        <v>2E-3</v>
      </c>
      <c r="C40" s="458">
        <v>1E-3</v>
      </c>
      <c r="D40" s="458">
        <v>1E-3</v>
      </c>
      <c r="E40" s="458">
        <v>1E-3</v>
      </c>
      <c r="F40" s="458">
        <v>0.06</v>
      </c>
      <c r="G40" s="458"/>
      <c r="H40" s="458"/>
      <c r="I40" s="457">
        <v>2E-3</v>
      </c>
      <c r="J40" s="458"/>
      <c r="K40" s="458"/>
      <c r="L40" s="459">
        <v>0.02</v>
      </c>
      <c r="M40" s="460"/>
      <c r="N40" s="458">
        <v>1E-3</v>
      </c>
      <c r="O40" s="458">
        <v>1.9500767857053513E-3</v>
      </c>
      <c r="P40" s="458">
        <v>2.5006712864516856E-3</v>
      </c>
      <c r="Q40" s="458">
        <v>1E-3</v>
      </c>
      <c r="R40" s="458">
        <v>0.222</v>
      </c>
      <c r="S40" s="458">
        <v>5.7636887608069169E-2</v>
      </c>
      <c r="T40" s="461">
        <v>1E-3</v>
      </c>
      <c r="U40" s="458">
        <v>8.0000000000000002E-3</v>
      </c>
      <c r="V40" s="459">
        <v>0.02</v>
      </c>
      <c r="W40" s="459">
        <v>2.1999999999999999E-2</v>
      </c>
      <c r="X40" s="87"/>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row>
    <row r="41" spans="1:161" s="37" customFormat="1" ht="26.25" customHeight="1" x14ac:dyDescent="0.2">
      <c r="A41" s="69" t="s">
        <v>136</v>
      </c>
      <c r="B41" s="454">
        <v>0.23599999999999999</v>
      </c>
      <c r="C41" s="451">
        <v>0.16300000000000001</v>
      </c>
      <c r="D41" s="451">
        <v>0.16200000000000001</v>
      </c>
      <c r="E41" s="451">
        <v>0.13200000000000001</v>
      </c>
      <c r="F41" s="451">
        <v>0.25</v>
      </c>
      <c r="G41" s="451">
        <v>1.3476577656299848</v>
      </c>
      <c r="H41" s="451">
        <v>4.5890856246892806E-2</v>
      </c>
      <c r="I41" s="454">
        <v>0.23599999999999999</v>
      </c>
      <c r="J41" s="451">
        <v>0.13</v>
      </c>
      <c r="K41" s="451">
        <v>0.16</v>
      </c>
      <c r="L41" s="452">
        <v>0.28999999999999998</v>
      </c>
      <c r="M41" s="453">
        <v>1.073</v>
      </c>
      <c r="N41" s="451">
        <v>0.161</v>
      </c>
      <c r="O41" s="451">
        <v>0.23010906071323142</v>
      </c>
      <c r="P41" s="451">
        <v>0.29507921180129887</v>
      </c>
      <c r="Q41" s="451">
        <v>0.224</v>
      </c>
      <c r="R41" s="451">
        <v>0.88600000000000001</v>
      </c>
      <c r="S41" s="451">
        <v>0.345821325648415</v>
      </c>
      <c r="T41" s="455">
        <v>0.161</v>
      </c>
      <c r="U41" s="451">
        <v>6.6000000000000003E-2</v>
      </c>
      <c r="V41" s="452">
        <v>0.23</v>
      </c>
      <c r="W41" s="452">
        <v>0.35799999999999998</v>
      </c>
      <c r="X41" s="87"/>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row>
    <row r="42" spans="1:161" s="37" customFormat="1" ht="26.25" customHeight="1" x14ac:dyDescent="0.2">
      <c r="A42" s="456" t="s">
        <v>137</v>
      </c>
      <c r="B42" s="457">
        <v>3.1890000000000001</v>
      </c>
      <c r="C42" s="458">
        <v>2.7040000000000002</v>
      </c>
      <c r="D42" s="458">
        <v>2.68</v>
      </c>
      <c r="E42" s="458">
        <v>2.1589999999999998</v>
      </c>
      <c r="F42" s="458">
        <v>3.67</v>
      </c>
      <c r="G42" s="458">
        <v>11.097698721320237</v>
      </c>
      <c r="H42" s="458">
        <v>3.8242380205744007</v>
      </c>
      <c r="I42" s="457">
        <v>3.19</v>
      </c>
      <c r="J42" s="458">
        <v>3.29</v>
      </c>
      <c r="K42" s="458">
        <v>3.27</v>
      </c>
      <c r="L42" s="459">
        <v>2.87</v>
      </c>
      <c r="M42" s="460"/>
      <c r="N42" s="458">
        <v>2.6669999999999998</v>
      </c>
      <c r="O42" s="458">
        <v>3.1093974348071827</v>
      </c>
      <c r="P42" s="458">
        <v>3.9873203662472125</v>
      </c>
      <c r="Q42" s="458">
        <v>3.7069999999999999</v>
      </c>
      <c r="R42" s="458">
        <v>2.37</v>
      </c>
      <c r="S42" s="458">
        <v>2.9971181556195963</v>
      </c>
      <c r="T42" s="461">
        <v>2.6671999999999998</v>
      </c>
      <c r="U42" s="458">
        <v>1.964</v>
      </c>
      <c r="V42" s="459">
        <v>3.14</v>
      </c>
      <c r="W42" s="459">
        <v>6.4539999999999997</v>
      </c>
      <c r="X42" s="87"/>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row>
    <row r="43" spans="1:161" s="37" customFormat="1" ht="26.25" customHeight="1" x14ac:dyDescent="0.2">
      <c r="A43" s="69" t="s">
        <v>138</v>
      </c>
      <c r="B43" s="454">
        <v>0.14399999999999999</v>
      </c>
      <c r="C43" s="451">
        <v>0.106</v>
      </c>
      <c r="D43" s="451">
        <v>0.106</v>
      </c>
      <c r="E43" s="451">
        <v>8.5000000000000006E-2</v>
      </c>
      <c r="F43" s="451">
        <v>0.2</v>
      </c>
      <c r="G43" s="451">
        <v>1.1890083549608119</v>
      </c>
      <c r="H43" s="451"/>
      <c r="I43" s="454">
        <v>0.14399999999999999</v>
      </c>
      <c r="J43" s="451">
        <v>0.05</v>
      </c>
      <c r="K43" s="451">
        <v>0.05</v>
      </c>
      <c r="L43" s="452">
        <v>0.28999999999999998</v>
      </c>
      <c r="M43" s="453">
        <v>0.83899999999999997</v>
      </c>
      <c r="N43" s="451">
        <v>0.105</v>
      </c>
      <c r="O43" s="451">
        <v>0.14040552857078528</v>
      </c>
      <c r="P43" s="451">
        <v>0.18004833262452136</v>
      </c>
      <c r="Q43" s="451">
        <v>0.14599999999999999</v>
      </c>
      <c r="R43" s="451">
        <v>0.53200000000000003</v>
      </c>
      <c r="S43" s="451">
        <v>0.345821325648415</v>
      </c>
      <c r="T43" s="455">
        <v>0.105</v>
      </c>
      <c r="U43" s="451">
        <v>6.6000000000000003E-2</v>
      </c>
      <c r="V43" s="452">
        <v>0.14000000000000001</v>
      </c>
      <c r="W43" s="452">
        <v>0.20200000000000001</v>
      </c>
      <c r="X43" s="87"/>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row>
    <row r="44" spans="1:161" s="37" customFormat="1" ht="26.25" customHeight="1" x14ac:dyDescent="0.2">
      <c r="A44" s="456" t="s">
        <v>139</v>
      </c>
      <c r="B44" s="457">
        <v>1E-3</v>
      </c>
      <c r="C44" s="458">
        <v>1E-3</v>
      </c>
      <c r="D44" s="458">
        <v>1E-3</v>
      </c>
      <c r="E44" s="458"/>
      <c r="F44" s="458">
        <v>0.06</v>
      </c>
      <c r="G44" s="458"/>
      <c r="H44" s="458"/>
      <c r="I44" s="457">
        <v>1E-3</v>
      </c>
      <c r="J44" s="458">
        <v>0.09</v>
      </c>
      <c r="K44" s="458">
        <v>0.1</v>
      </c>
      <c r="L44" s="459">
        <v>0.02</v>
      </c>
      <c r="M44" s="460"/>
      <c r="N44" s="458">
        <v>1E-3</v>
      </c>
      <c r="O44" s="458">
        <v>1E-3</v>
      </c>
      <c r="P44" s="458">
        <v>1.2503356432258428E-3</v>
      </c>
      <c r="Q44" s="458">
        <v>1E-3</v>
      </c>
      <c r="R44" s="458"/>
      <c r="S44" s="458">
        <v>5.7636887608069169E-2</v>
      </c>
      <c r="T44" s="461">
        <v>1E-3</v>
      </c>
      <c r="U44" s="458">
        <v>8.0000000000000002E-3</v>
      </c>
      <c r="V44" s="459">
        <v>0.02</v>
      </c>
      <c r="W44" s="459"/>
      <c r="X44" s="87"/>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row>
    <row r="45" spans="1:161" s="37" customFormat="1" ht="26.25" customHeight="1" x14ac:dyDescent="0.2">
      <c r="A45" s="69" t="s">
        <v>140</v>
      </c>
      <c r="B45" s="454">
        <v>3.0000000000000001E-3</v>
      </c>
      <c r="C45" s="451">
        <v>1E-3</v>
      </c>
      <c r="D45" s="451">
        <v>1E-3</v>
      </c>
      <c r="E45" s="451">
        <v>1E-3</v>
      </c>
      <c r="F45" s="451">
        <v>0.06</v>
      </c>
      <c r="G45" s="451"/>
      <c r="H45" s="451"/>
      <c r="I45" s="454">
        <v>3.0000000000000001E-3</v>
      </c>
      <c r="J45" s="451">
        <v>0.02</v>
      </c>
      <c r="K45" s="451">
        <v>0.02</v>
      </c>
      <c r="L45" s="452">
        <v>7.0000000000000007E-2</v>
      </c>
      <c r="M45" s="453"/>
      <c r="N45" s="451">
        <v>1E-3</v>
      </c>
      <c r="O45" s="451">
        <v>2.9251151785580267E-3</v>
      </c>
      <c r="P45" s="451">
        <v>3.7510069296775284E-3</v>
      </c>
      <c r="Q45" s="451">
        <v>1E-3</v>
      </c>
      <c r="R45" s="451">
        <v>0.222</v>
      </c>
      <c r="S45" s="451">
        <v>0.11527377521613834</v>
      </c>
      <c r="T45" s="455">
        <v>1E-3</v>
      </c>
      <c r="U45" s="451">
        <v>1.6E-2</v>
      </c>
      <c r="V45" s="452">
        <v>0.02</v>
      </c>
      <c r="W45" s="452">
        <v>3.3000000000000002E-2</v>
      </c>
      <c r="X45" s="87"/>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row>
    <row r="46" spans="1:161" s="37" customFormat="1" ht="26.25" customHeight="1" x14ac:dyDescent="0.2">
      <c r="A46" s="456" t="s">
        <v>141</v>
      </c>
      <c r="B46" s="457"/>
      <c r="C46" s="458">
        <v>1E-3</v>
      </c>
      <c r="D46" s="458">
        <v>1E-3</v>
      </c>
      <c r="E46" s="458"/>
      <c r="F46" s="458">
        <v>0.06</v>
      </c>
      <c r="G46" s="458"/>
      <c r="H46" s="458"/>
      <c r="I46" s="457"/>
      <c r="J46" s="458">
        <v>0.03</v>
      </c>
      <c r="K46" s="458"/>
      <c r="L46" s="459"/>
      <c r="M46" s="460"/>
      <c r="N46" s="458">
        <v>1E-3</v>
      </c>
      <c r="O46" s="458">
        <v>1E-3</v>
      </c>
      <c r="P46" s="458">
        <v>1.2503356432258428E-3</v>
      </c>
      <c r="Q46" s="458"/>
      <c r="R46" s="458"/>
      <c r="S46" s="458"/>
      <c r="T46" s="461">
        <v>1E-3</v>
      </c>
      <c r="U46" s="458"/>
      <c r="V46" s="459">
        <v>0.02</v>
      </c>
      <c r="W46" s="459"/>
      <c r="X46" s="87"/>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row>
    <row r="47" spans="1:161" s="37" customFormat="1" ht="26.25" customHeight="1" x14ac:dyDescent="0.2">
      <c r="A47" s="69" t="s">
        <v>142</v>
      </c>
      <c r="B47" s="454">
        <v>3.4000000000000002E-2</v>
      </c>
      <c r="C47" s="451">
        <v>3.2000000000000001E-2</v>
      </c>
      <c r="D47" s="451">
        <v>3.2000000000000001E-2</v>
      </c>
      <c r="E47" s="451">
        <v>2.5999999999999999E-2</v>
      </c>
      <c r="F47" s="451">
        <v>0.06</v>
      </c>
      <c r="G47" s="451">
        <v>0.39640797040843601</v>
      </c>
      <c r="H47" s="451"/>
      <c r="I47" s="454">
        <v>3.4000000000000002E-2</v>
      </c>
      <c r="J47" s="451">
        <v>0.02</v>
      </c>
      <c r="K47" s="451">
        <v>0.02</v>
      </c>
      <c r="L47" s="452">
        <v>7.0000000000000007E-2</v>
      </c>
      <c r="M47" s="453">
        <v>0.187</v>
      </c>
      <c r="N47" s="451">
        <v>3.2000000000000001E-2</v>
      </c>
      <c r="O47" s="451">
        <v>3.315130535699097E-2</v>
      </c>
      <c r="P47" s="451">
        <v>4.2511411869678654E-2</v>
      </c>
      <c r="Q47" s="451">
        <v>4.3999999999999997E-2</v>
      </c>
      <c r="R47" s="451">
        <v>0.53200000000000003</v>
      </c>
      <c r="S47" s="451">
        <v>0.11527377521613834</v>
      </c>
      <c r="T47" s="455">
        <v>3.2000000000000001E-2</v>
      </c>
      <c r="U47" s="451">
        <v>3.3000000000000002E-2</v>
      </c>
      <c r="V47" s="452">
        <v>0.03</v>
      </c>
      <c r="W47" s="452">
        <v>8.5000000000000006E-2</v>
      </c>
      <c r="X47" s="87"/>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row>
    <row r="48" spans="1:161" s="37" customFormat="1" ht="26.25" customHeight="1" x14ac:dyDescent="0.2">
      <c r="A48" s="456" t="s">
        <v>143</v>
      </c>
      <c r="B48" s="457">
        <v>0.01</v>
      </c>
      <c r="C48" s="458">
        <v>8.9999999999999993E-3</v>
      </c>
      <c r="D48" s="458">
        <v>8.9999999999999993E-3</v>
      </c>
      <c r="E48" s="458">
        <v>8.0000000000000002E-3</v>
      </c>
      <c r="F48" s="458">
        <v>0.06</v>
      </c>
      <c r="G48" s="458">
        <v>0.39640797040843601</v>
      </c>
      <c r="H48" s="458"/>
      <c r="I48" s="457">
        <v>0.01</v>
      </c>
      <c r="J48" s="458">
        <v>0.02</v>
      </c>
      <c r="K48" s="458">
        <v>0.02</v>
      </c>
      <c r="L48" s="459">
        <v>7.0000000000000007E-2</v>
      </c>
      <c r="M48" s="460"/>
      <c r="N48" s="458">
        <v>8.9999999999999993E-3</v>
      </c>
      <c r="O48" s="458">
        <v>9.7503839285267551E-3</v>
      </c>
      <c r="P48" s="458">
        <v>1.2503356432258429E-2</v>
      </c>
      <c r="Q48" s="458">
        <v>1.2999999999999999E-2</v>
      </c>
      <c r="R48" s="458">
        <v>0.222</v>
      </c>
      <c r="S48" s="458">
        <v>0.345821325648415</v>
      </c>
      <c r="T48" s="461">
        <v>8.9999999999999993E-3</v>
      </c>
      <c r="U48" s="458">
        <v>1.6E-2</v>
      </c>
      <c r="V48" s="459">
        <v>0.02</v>
      </c>
      <c r="W48" s="459">
        <v>0.06</v>
      </c>
      <c r="X48" s="87"/>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row>
    <row r="49" spans="1:161" s="37" customFormat="1" ht="26.25" customHeight="1" x14ac:dyDescent="0.2">
      <c r="A49" s="69" t="s">
        <v>144</v>
      </c>
      <c r="B49" s="454">
        <v>9.7000000000000003E-2</v>
      </c>
      <c r="C49" s="451">
        <v>5.0999999999999997E-2</v>
      </c>
      <c r="D49" s="451">
        <v>0.05</v>
      </c>
      <c r="E49" s="451">
        <v>0.04</v>
      </c>
      <c r="F49" s="451">
        <v>0.06</v>
      </c>
      <c r="G49" s="451">
        <v>0.39640797040843601</v>
      </c>
      <c r="H49" s="451"/>
      <c r="I49" s="454">
        <v>9.7000000000000003E-2</v>
      </c>
      <c r="J49" s="451">
        <v>0.16</v>
      </c>
      <c r="K49" s="451">
        <v>0.16</v>
      </c>
      <c r="L49" s="452">
        <v>0.14000000000000001</v>
      </c>
      <c r="M49" s="453"/>
      <c r="N49" s="451">
        <v>0.05</v>
      </c>
      <c r="O49" s="451">
        <v>9.4578724106709533E-2</v>
      </c>
      <c r="P49" s="451">
        <v>0.12128255739290675</v>
      </c>
      <c r="Q49" s="451">
        <v>6.9000000000000006E-2</v>
      </c>
      <c r="R49" s="451">
        <v>1.0609999999999999</v>
      </c>
      <c r="S49" s="451">
        <v>0.11527377521613834</v>
      </c>
      <c r="T49" s="455">
        <v>0.05</v>
      </c>
      <c r="U49" s="451">
        <v>0.13100000000000001</v>
      </c>
      <c r="V49" s="452">
        <v>0.1</v>
      </c>
      <c r="W49" s="452">
        <v>0.16900000000000001</v>
      </c>
      <c r="X49" s="87"/>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row>
    <row r="50" spans="1:161" s="37" customFormat="1" ht="26.25" customHeight="1" x14ac:dyDescent="0.2">
      <c r="A50" s="456" t="s">
        <v>145</v>
      </c>
      <c r="B50" s="457">
        <v>7.0999999999999994E-2</v>
      </c>
      <c r="C50" s="458"/>
      <c r="D50" s="458">
        <v>5.3999999999999999E-2</v>
      </c>
      <c r="E50" s="458">
        <v>4.3999999999999997E-2</v>
      </c>
      <c r="F50" s="458">
        <v>7.0000000000000007E-2</v>
      </c>
      <c r="G50" s="458">
        <v>0.39640797040843601</v>
      </c>
      <c r="H50" s="458"/>
      <c r="I50" s="457">
        <v>7.0999999999999994E-2</v>
      </c>
      <c r="J50" s="458">
        <v>0.02</v>
      </c>
      <c r="K50" s="458">
        <v>0.02</v>
      </c>
      <c r="L50" s="459">
        <v>7.0000000000000007E-2</v>
      </c>
      <c r="M50" s="460">
        <v>0.24099999999999999</v>
      </c>
      <c r="N50" s="458">
        <v>5.3999999999999999E-2</v>
      </c>
      <c r="O50" s="458">
        <v>6.9227725892539962E-2</v>
      </c>
      <c r="P50" s="458">
        <v>8.8773830669034826E-2</v>
      </c>
      <c r="Q50" s="458">
        <v>7.4999999999999997E-2</v>
      </c>
      <c r="R50" s="458">
        <v>0.54500000000000004</v>
      </c>
      <c r="S50" s="458">
        <v>0.11527377521613834</v>
      </c>
      <c r="T50" s="461">
        <v>5.3999999999999999E-2</v>
      </c>
      <c r="U50" s="458">
        <v>3.3000000000000002E-2</v>
      </c>
      <c r="V50" s="459">
        <v>7.0000000000000007E-2</v>
      </c>
      <c r="W50" s="459">
        <v>6.8000000000000005E-2</v>
      </c>
      <c r="X50" s="87"/>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row>
    <row r="51" spans="1:161" s="37" customFormat="1" ht="26.25" customHeight="1" x14ac:dyDescent="0.2">
      <c r="A51" s="69" t="s">
        <v>146</v>
      </c>
      <c r="B51" s="454">
        <v>4.5999999999999999E-2</v>
      </c>
      <c r="C51" s="451">
        <v>4.4999999999999998E-2</v>
      </c>
      <c r="D51" s="451">
        <v>4.3999999999999997E-2</v>
      </c>
      <c r="E51" s="451">
        <v>4.2999999999999997E-2</v>
      </c>
      <c r="F51" s="451">
        <v>0.06</v>
      </c>
      <c r="G51" s="451"/>
      <c r="H51" s="451"/>
      <c r="I51" s="454">
        <v>4.5999999999999999E-2</v>
      </c>
      <c r="J51" s="451">
        <v>2.06</v>
      </c>
      <c r="K51" s="451">
        <v>2.31</v>
      </c>
      <c r="L51" s="452">
        <v>7.0000000000000007E-2</v>
      </c>
      <c r="M51" s="453"/>
      <c r="N51" s="451">
        <v>4.3999999999999997E-2</v>
      </c>
      <c r="O51" s="451">
        <v>4.4851766071223077E-2</v>
      </c>
      <c r="P51" s="451">
        <v>5.751543958838877E-2</v>
      </c>
      <c r="Q51" s="451">
        <v>6.0999999999999999E-2</v>
      </c>
      <c r="R51" s="451">
        <v>0.60299999999999998</v>
      </c>
      <c r="S51" s="451">
        <v>0.11527377521613834</v>
      </c>
      <c r="T51" s="455">
        <v>4.3999999999999997E-2</v>
      </c>
      <c r="U51" s="451">
        <v>3.3000000000000002E-2</v>
      </c>
      <c r="V51" s="452">
        <v>0.05</v>
      </c>
      <c r="W51" s="452">
        <v>6.6000000000000003E-2</v>
      </c>
      <c r="X51" s="87"/>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row>
    <row r="52" spans="1:161" s="37" customFormat="1" ht="26.25" customHeight="1" x14ac:dyDescent="0.2">
      <c r="A52" s="456" t="s">
        <v>147</v>
      </c>
      <c r="B52" s="457">
        <v>0.34899999999999998</v>
      </c>
      <c r="C52" s="458">
        <v>0.28499999999999998</v>
      </c>
      <c r="D52" s="458">
        <v>0.28199999999999997</v>
      </c>
      <c r="E52" s="458">
        <v>0.23200000000000001</v>
      </c>
      <c r="F52" s="458">
        <v>0.22</v>
      </c>
      <c r="G52" s="458"/>
      <c r="H52" s="458"/>
      <c r="I52" s="457">
        <v>0.34899999999999998</v>
      </c>
      <c r="J52" s="458">
        <v>0.09</v>
      </c>
      <c r="K52" s="458">
        <v>0.09</v>
      </c>
      <c r="L52" s="459">
        <v>0.28999999999999998</v>
      </c>
      <c r="M52" s="460"/>
      <c r="N52" s="458">
        <v>0.28100000000000003</v>
      </c>
      <c r="O52" s="458">
        <v>0.34028839910558373</v>
      </c>
      <c r="P52" s="458">
        <v>0.43636713948581912</v>
      </c>
      <c r="Q52" s="458">
        <v>0.39100000000000001</v>
      </c>
      <c r="R52" s="458">
        <v>1.0629999999999999</v>
      </c>
      <c r="S52" s="458">
        <v>0.57636887608069165</v>
      </c>
      <c r="T52" s="461">
        <v>0.28100000000000003</v>
      </c>
      <c r="U52" s="458">
        <v>0.78600000000000003</v>
      </c>
      <c r="V52" s="459">
        <v>0.34</v>
      </c>
      <c r="W52" s="459">
        <v>0.746</v>
      </c>
      <c r="X52" s="87"/>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row>
    <row r="53" spans="1:161" s="37" customFormat="1" ht="26.25" customHeight="1" x14ac:dyDescent="0.2">
      <c r="A53" s="69" t="s">
        <v>60</v>
      </c>
      <c r="B53" s="454">
        <v>7.0000000000000001E-3</v>
      </c>
      <c r="C53" s="451"/>
      <c r="D53" s="451">
        <v>7.0000000000000001E-3</v>
      </c>
      <c r="E53" s="451"/>
      <c r="F53" s="451">
        <v>0.06</v>
      </c>
      <c r="G53" s="451"/>
      <c r="H53" s="451">
        <v>0.76484760411488006</v>
      </c>
      <c r="I53" s="454"/>
      <c r="J53" s="451">
        <v>0.11</v>
      </c>
      <c r="K53" s="451">
        <v>0.13</v>
      </c>
      <c r="L53" s="452">
        <v>0.04</v>
      </c>
      <c r="M53" s="453"/>
      <c r="N53" s="451">
        <v>7.0000000000000001E-3</v>
      </c>
      <c r="O53" s="451">
        <v>6.8252687499687293E-3</v>
      </c>
      <c r="P53" s="451">
        <v>8.7523495025809001E-3</v>
      </c>
      <c r="Q53" s="451">
        <v>0.01</v>
      </c>
      <c r="R53" s="451">
        <v>0.222</v>
      </c>
      <c r="S53" s="451">
        <v>0.11527377521613834</v>
      </c>
      <c r="T53" s="455">
        <v>7.0000000000000001E-3</v>
      </c>
      <c r="U53" s="451">
        <v>1.6E-2</v>
      </c>
      <c r="V53" s="452">
        <v>0.02</v>
      </c>
      <c r="W53" s="452"/>
      <c r="X53" s="87"/>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row>
    <row r="54" spans="1:161" s="37" customFormat="1" ht="26.25" customHeight="1" x14ac:dyDescent="0.2">
      <c r="A54" s="456" t="s">
        <v>308</v>
      </c>
      <c r="B54" s="457">
        <v>3.0000000000000001E-3</v>
      </c>
      <c r="C54" s="458">
        <v>3.0000000000000001E-3</v>
      </c>
      <c r="D54" s="458">
        <v>3.0000000000000001E-3</v>
      </c>
      <c r="E54" s="458">
        <v>2E-3</v>
      </c>
      <c r="F54" s="458">
        <v>0.06</v>
      </c>
      <c r="G54" s="458"/>
      <c r="H54" s="458"/>
      <c r="I54" s="457">
        <v>3.0000000000000001E-3</v>
      </c>
      <c r="J54" s="458">
        <v>0.02</v>
      </c>
      <c r="K54" s="458">
        <v>0.02</v>
      </c>
      <c r="L54" s="459">
        <v>0.02</v>
      </c>
      <c r="M54" s="460"/>
      <c r="N54" s="458">
        <v>3.0000000000000001E-3</v>
      </c>
      <c r="O54" s="458">
        <v>2.9251151785580267E-3</v>
      </c>
      <c r="P54" s="458">
        <v>3.7510069296775284E-3</v>
      </c>
      <c r="Q54" s="458">
        <v>4.0000000000000001E-3</v>
      </c>
      <c r="R54" s="458">
        <v>0.222</v>
      </c>
      <c r="S54" s="458">
        <v>0.345821325648415</v>
      </c>
      <c r="T54" s="461">
        <v>3.0000000000000001E-3</v>
      </c>
      <c r="U54" s="458">
        <v>8.0000000000000002E-3</v>
      </c>
      <c r="V54" s="459">
        <v>0.02</v>
      </c>
      <c r="W54" s="459">
        <v>0.05</v>
      </c>
      <c r="X54" s="87"/>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row>
    <row r="55" spans="1:161" s="37" customFormat="1" ht="26.25" customHeight="1" x14ac:dyDescent="0.2">
      <c r="A55" s="69" t="s">
        <v>328</v>
      </c>
      <c r="B55" s="454">
        <v>1E-3</v>
      </c>
      <c r="C55" s="451">
        <v>1E-3</v>
      </c>
      <c r="D55" s="451">
        <v>1E-3</v>
      </c>
      <c r="E55" s="451"/>
      <c r="F55" s="451">
        <v>0.06</v>
      </c>
      <c r="G55" s="451"/>
      <c r="H55" s="451"/>
      <c r="I55" s="454">
        <v>1E-3</v>
      </c>
      <c r="J55" s="451">
        <v>0.02</v>
      </c>
      <c r="K55" s="451">
        <v>0.02</v>
      </c>
      <c r="L55" s="452"/>
      <c r="M55" s="453"/>
      <c r="N55" s="451">
        <v>1E-3</v>
      </c>
      <c r="O55" s="451"/>
      <c r="P55" s="451"/>
      <c r="Q55" s="451">
        <v>1E-3</v>
      </c>
      <c r="R55" s="451">
        <v>0.19900000000000001</v>
      </c>
      <c r="S55" s="451">
        <v>5.7636887608069169E-2</v>
      </c>
      <c r="T55" s="455">
        <v>1E-3</v>
      </c>
      <c r="U55" s="451"/>
      <c r="V55" s="452">
        <v>0.02</v>
      </c>
      <c r="W55" s="452"/>
      <c r="X55" s="87"/>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6"/>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row>
    <row r="56" spans="1:161" s="37" customFormat="1" ht="26.25" customHeight="1" x14ac:dyDescent="0.2">
      <c r="A56" s="456" t="s">
        <v>148</v>
      </c>
      <c r="B56" s="457">
        <v>0.73599999999999999</v>
      </c>
      <c r="C56" s="458">
        <v>0.749</v>
      </c>
      <c r="D56" s="458">
        <v>0.74299999999999999</v>
      </c>
      <c r="E56" s="458">
        <v>0.72799999999999998</v>
      </c>
      <c r="F56" s="458">
        <v>0.54</v>
      </c>
      <c r="G56" s="458"/>
      <c r="H56" s="458">
        <v>2.5813606638877205</v>
      </c>
      <c r="I56" s="457">
        <v>0.73599999999999999</v>
      </c>
      <c r="J56" s="458">
        <v>1.2</v>
      </c>
      <c r="K56" s="458">
        <v>1.17</v>
      </c>
      <c r="L56" s="459">
        <v>0.56999999999999995</v>
      </c>
      <c r="M56" s="460"/>
      <c r="N56" s="458">
        <v>0.73899999999999999</v>
      </c>
      <c r="O56" s="458">
        <v>0.71762825713956924</v>
      </c>
      <c r="P56" s="458">
        <v>0.92024703341422032</v>
      </c>
      <c r="Q56" s="458">
        <v>1.0269999999999999</v>
      </c>
      <c r="R56" s="458"/>
      <c r="S56" s="458">
        <v>1.1527377521613833</v>
      </c>
      <c r="T56" s="461">
        <v>0.73909999999999998</v>
      </c>
      <c r="U56" s="458">
        <v>2.6179999999999999</v>
      </c>
      <c r="V56" s="459">
        <v>0.73</v>
      </c>
      <c r="W56" s="459">
        <v>0.98</v>
      </c>
      <c r="X56" s="87"/>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6"/>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row>
    <row r="57" spans="1:161" s="37" customFormat="1" ht="26.25" customHeight="1" x14ac:dyDescent="0.2">
      <c r="A57" s="69" t="s">
        <v>149</v>
      </c>
      <c r="B57" s="454">
        <v>1E-3</v>
      </c>
      <c r="C57" s="451">
        <v>1E-3</v>
      </c>
      <c r="D57" s="451">
        <v>1E-3</v>
      </c>
      <c r="E57" s="451"/>
      <c r="F57" s="451">
        <v>0.06</v>
      </c>
      <c r="G57" s="451"/>
      <c r="H57" s="451"/>
      <c r="I57" s="454">
        <v>1E-3</v>
      </c>
      <c r="J57" s="451">
        <v>0.02</v>
      </c>
      <c r="K57" s="451">
        <v>0.02</v>
      </c>
      <c r="L57" s="452">
        <v>0.02</v>
      </c>
      <c r="M57" s="453"/>
      <c r="N57" s="451">
        <v>1E-3</v>
      </c>
      <c r="O57" s="451">
        <v>1E-3</v>
      </c>
      <c r="P57" s="451">
        <v>1.2503356432258428E-3</v>
      </c>
      <c r="Q57" s="451">
        <v>1E-3</v>
      </c>
      <c r="R57" s="451">
        <v>0.19900000000000001</v>
      </c>
      <c r="S57" s="451">
        <v>5.7636887608069169E-2</v>
      </c>
      <c r="T57" s="455">
        <v>1E-3</v>
      </c>
      <c r="U57" s="451">
        <v>8.0000000000000002E-3</v>
      </c>
      <c r="V57" s="452">
        <v>0.02</v>
      </c>
      <c r="W57" s="452">
        <v>1.4999999999999999E-2</v>
      </c>
      <c r="X57" s="87"/>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row>
    <row r="58" spans="1:161" s="37" customFormat="1" ht="26.25" customHeight="1" x14ac:dyDescent="0.2">
      <c r="A58" s="456" t="s">
        <v>150</v>
      </c>
      <c r="B58" s="457">
        <v>1E-3</v>
      </c>
      <c r="C58" s="458"/>
      <c r="D58" s="458">
        <v>1E-3</v>
      </c>
      <c r="E58" s="458"/>
      <c r="F58" s="458"/>
      <c r="G58" s="458"/>
      <c r="H58" s="458"/>
      <c r="I58" s="457">
        <v>1E-3</v>
      </c>
      <c r="J58" s="458">
        <v>0.12</v>
      </c>
      <c r="K58" s="458">
        <v>0.1</v>
      </c>
      <c r="L58" s="459">
        <v>0.02</v>
      </c>
      <c r="M58" s="460">
        <v>2.1999999999999999E-2</v>
      </c>
      <c r="N58" s="458">
        <v>1E-3</v>
      </c>
      <c r="O58" s="458">
        <v>1E-3</v>
      </c>
      <c r="P58" s="458">
        <v>1.2503356432258428E-3</v>
      </c>
      <c r="Q58" s="458">
        <v>1E-3</v>
      </c>
      <c r="R58" s="458"/>
      <c r="S58" s="458">
        <v>0.11527377521613834</v>
      </c>
      <c r="T58" s="461">
        <v>1E-3</v>
      </c>
      <c r="U58" s="458">
        <v>1.6E-2</v>
      </c>
      <c r="V58" s="459">
        <v>0.02</v>
      </c>
      <c r="W58" s="459">
        <v>1.4999999999999999E-2</v>
      </c>
      <c r="X58" s="87"/>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row>
    <row r="59" spans="1:161" s="37" customFormat="1" ht="26.25" customHeight="1" x14ac:dyDescent="0.2">
      <c r="A59" s="69" t="s">
        <v>151</v>
      </c>
      <c r="B59" s="454">
        <v>4.2000000000000003E-2</v>
      </c>
      <c r="C59" s="451">
        <v>2.4E-2</v>
      </c>
      <c r="D59" s="451">
        <v>2.4E-2</v>
      </c>
      <c r="E59" s="451">
        <v>1.9E-2</v>
      </c>
      <c r="F59" s="451">
        <v>0.06</v>
      </c>
      <c r="G59" s="451"/>
      <c r="H59" s="451"/>
      <c r="I59" s="454">
        <v>4.2000000000000003E-2</v>
      </c>
      <c r="J59" s="451">
        <v>0.02</v>
      </c>
      <c r="K59" s="451">
        <v>0.02</v>
      </c>
      <c r="L59" s="452">
        <v>7.0000000000000007E-2</v>
      </c>
      <c r="M59" s="453">
        <v>0.20599999999999999</v>
      </c>
      <c r="N59" s="451">
        <v>2.4E-2</v>
      </c>
      <c r="O59" s="451">
        <v>4.0951612499812377E-2</v>
      </c>
      <c r="P59" s="451">
        <v>5.25140970154854E-2</v>
      </c>
      <c r="Q59" s="451">
        <v>3.3000000000000002E-2</v>
      </c>
      <c r="R59" s="451">
        <v>0.60299999999999998</v>
      </c>
      <c r="S59" s="451">
        <v>0.11527377521613834</v>
      </c>
      <c r="T59" s="455">
        <v>2.4E-2</v>
      </c>
      <c r="U59" s="451">
        <v>3.3000000000000002E-2</v>
      </c>
      <c r="V59" s="452">
        <v>0.04</v>
      </c>
      <c r="W59" s="452">
        <v>8.7999999999999995E-2</v>
      </c>
      <c r="X59" s="87"/>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row>
    <row r="60" spans="1:161" s="37" customFormat="1" ht="26.25" customHeight="1" x14ac:dyDescent="0.2">
      <c r="A60" s="456" t="s">
        <v>152</v>
      </c>
      <c r="B60" s="457">
        <v>0.04</v>
      </c>
      <c r="C60" s="458">
        <v>2.1000000000000001E-2</v>
      </c>
      <c r="D60" s="458">
        <v>2.1000000000000001E-2</v>
      </c>
      <c r="E60" s="458">
        <v>1.7000000000000001E-2</v>
      </c>
      <c r="F60" s="458">
        <v>0.06</v>
      </c>
      <c r="G60" s="458">
        <v>0.39640797040843601</v>
      </c>
      <c r="H60" s="458"/>
      <c r="I60" s="457">
        <v>0.04</v>
      </c>
      <c r="J60" s="458">
        <v>0.05</v>
      </c>
      <c r="K60" s="458">
        <v>0.05</v>
      </c>
      <c r="L60" s="459">
        <v>7.0000000000000007E-2</v>
      </c>
      <c r="M60" s="460">
        <v>0.20599999999999999</v>
      </c>
      <c r="N60" s="458">
        <v>2.1000000000000001E-2</v>
      </c>
      <c r="O60" s="458">
        <v>3.900153571410702E-2</v>
      </c>
      <c r="P60" s="458">
        <v>5.0013425729033716E-2</v>
      </c>
      <c r="Q60" s="458">
        <v>2.9000000000000001E-2</v>
      </c>
      <c r="R60" s="458">
        <v>0.42899999999999999</v>
      </c>
      <c r="S60" s="458">
        <v>0.11527377521613834</v>
      </c>
      <c r="T60" s="461">
        <v>2.1000000000000001E-2</v>
      </c>
      <c r="U60" s="458">
        <v>3.3000000000000002E-2</v>
      </c>
      <c r="V60" s="459">
        <v>0.04</v>
      </c>
      <c r="W60" s="459">
        <v>9.2999999999999999E-2</v>
      </c>
      <c r="X60" s="87"/>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row>
    <row r="61" spans="1:161" s="37" customFormat="1" ht="26.25" customHeight="1" x14ac:dyDescent="0.2">
      <c r="A61" s="69" t="s">
        <v>153</v>
      </c>
      <c r="B61" s="454">
        <v>9.4E-2</v>
      </c>
      <c r="C61" s="451">
        <v>8.8999999999999996E-2</v>
      </c>
      <c r="D61" s="451">
        <v>8.8999999999999996E-2</v>
      </c>
      <c r="E61" s="451">
        <v>7.0999999999999994E-2</v>
      </c>
      <c r="F61" s="451">
        <v>0.16</v>
      </c>
      <c r="G61" s="451">
        <v>0.5787685701721863</v>
      </c>
      <c r="H61" s="451"/>
      <c r="I61" s="454">
        <v>9.4E-2</v>
      </c>
      <c r="J61" s="451">
        <v>0.15</v>
      </c>
      <c r="K61" s="451">
        <v>0.18</v>
      </c>
      <c r="L61" s="452">
        <v>0.14000000000000001</v>
      </c>
      <c r="M61" s="453"/>
      <c r="N61" s="451">
        <v>8.7999999999999995E-2</v>
      </c>
      <c r="O61" s="451">
        <v>9.1653608928151498E-2</v>
      </c>
      <c r="P61" s="451">
        <v>0.11753155046322922</v>
      </c>
      <c r="Q61" s="451">
        <v>0.122</v>
      </c>
      <c r="R61" s="451">
        <v>0.96099999999999997</v>
      </c>
      <c r="S61" s="451">
        <v>0.57636887608069165</v>
      </c>
      <c r="T61" s="455">
        <v>8.7999999999999995E-2</v>
      </c>
      <c r="U61" s="451">
        <v>3.3000000000000002E-2</v>
      </c>
      <c r="V61" s="452">
        <v>0.09</v>
      </c>
      <c r="W61" s="452">
        <v>0.26300000000000001</v>
      </c>
      <c r="X61" s="87"/>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36"/>
      <c r="EZ61" s="36"/>
      <c r="FA61" s="36"/>
      <c r="FB61" s="36"/>
      <c r="FC61" s="36"/>
      <c r="FD61" s="36"/>
      <c r="FE61" s="36"/>
    </row>
    <row r="62" spans="1:161" s="37" customFormat="1" ht="26.25" customHeight="1" x14ac:dyDescent="0.2">
      <c r="A62" s="456" t="s">
        <v>154</v>
      </c>
      <c r="B62" s="457">
        <v>1.9E-2</v>
      </c>
      <c r="C62" s="458">
        <v>0.02</v>
      </c>
      <c r="D62" s="458">
        <v>0.02</v>
      </c>
      <c r="E62" s="458">
        <v>1.6E-2</v>
      </c>
      <c r="F62" s="458">
        <v>0.06</v>
      </c>
      <c r="G62" s="458"/>
      <c r="H62" s="458"/>
      <c r="I62" s="457">
        <v>1.9E-2</v>
      </c>
      <c r="J62" s="458">
        <v>0.02</v>
      </c>
      <c r="K62" s="458">
        <v>0.02</v>
      </c>
      <c r="L62" s="459">
        <v>7.0000000000000007E-2</v>
      </c>
      <c r="M62" s="460">
        <v>0.105</v>
      </c>
      <c r="N62" s="458">
        <v>0.02</v>
      </c>
      <c r="O62" s="458">
        <v>1.8525729464200835E-2</v>
      </c>
      <c r="P62" s="458">
        <v>2.3756377221291012E-2</v>
      </c>
      <c r="Q62" s="458">
        <v>2.8000000000000001E-2</v>
      </c>
      <c r="R62" s="458">
        <v>0.39900000000000002</v>
      </c>
      <c r="S62" s="458">
        <v>0.11527377521613834</v>
      </c>
      <c r="T62" s="461">
        <v>0.02</v>
      </c>
      <c r="U62" s="458">
        <v>1.6E-2</v>
      </c>
      <c r="V62" s="459">
        <v>0.02</v>
      </c>
      <c r="W62" s="459">
        <v>5.0999999999999997E-2</v>
      </c>
      <c r="X62" s="87"/>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c r="DG62" s="36"/>
      <c r="DH62" s="36"/>
      <c r="DI62" s="36"/>
      <c r="DJ62" s="36"/>
      <c r="DK62" s="36"/>
      <c r="DL62" s="36"/>
      <c r="DM62" s="36"/>
      <c r="DN62" s="36"/>
      <c r="DO62" s="36"/>
      <c r="DP62" s="36"/>
      <c r="DQ62" s="36"/>
      <c r="DR62" s="36"/>
      <c r="DS62" s="36"/>
      <c r="DT62" s="36"/>
      <c r="DU62" s="36"/>
      <c r="DV62" s="36"/>
      <c r="DW62" s="36"/>
      <c r="DX62" s="36"/>
      <c r="DY62" s="36"/>
      <c r="DZ62" s="36"/>
      <c r="EA62" s="36"/>
      <c r="EB62" s="36"/>
      <c r="EC62" s="36"/>
      <c r="ED62" s="36"/>
      <c r="EE62" s="36"/>
      <c r="EF62" s="36"/>
      <c r="EG62" s="36"/>
      <c r="EH62" s="36"/>
      <c r="EI62" s="36"/>
      <c r="EJ62" s="36"/>
      <c r="EK62" s="36"/>
      <c r="EL62" s="36"/>
      <c r="EM62" s="36"/>
      <c r="EN62" s="36"/>
      <c r="EO62" s="36"/>
      <c r="EP62" s="36"/>
      <c r="EQ62" s="36"/>
      <c r="ER62" s="36"/>
      <c r="ES62" s="36"/>
      <c r="ET62" s="36"/>
      <c r="EU62" s="36"/>
      <c r="EV62" s="36"/>
      <c r="EW62" s="36"/>
      <c r="EX62" s="36"/>
      <c r="EY62" s="36"/>
      <c r="EZ62" s="36"/>
      <c r="FA62" s="36"/>
      <c r="FB62" s="36"/>
      <c r="FC62" s="36"/>
      <c r="FD62" s="36"/>
      <c r="FE62" s="36"/>
    </row>
    <row r="63" spans="1:161" s="37" customFormat="1" ht="26.25" customHeight="1" x14ac:dyDescent="0.2">
      <c r="A63" s="69" t="s">
        <v>155</v>
      </c>
      <c r="B63" s="454">
        <v>8.0000000000000002E-3</v>
      </c>
      <c r="C63" s="451">
        <v>2E-3</v>
      </c>
      <c r="D63" s="451">
        <v>2E-3</v>
      </c>
      <c r="E63" s="451"/>
      <c r="F63" s="451">
        <v>0.06</v>
      </c>
      <c r="G63" s="451"/>
      <c r="H63" s="451"/>
      <c r="I63" s="454">
        <v>8.0000000000000002E-3</v>
      </c>
      <c r="J63" s="451">
        <v>0.02</v>
      </c>
      <c r="K63" s="451">
        <v>0.02</v>
      </c>
      <c r="L63" s="452">
        <v>0.04</v>
      </c>
      <c r="M63" s="453"/>
      <c r="N63" s="451">
        <v>2E-3</v>
      </c>
      <c r="O63" s="451">
        <v>7.8003071428214051E-3</v>
      </c>
      <c r="P63" s="451">
        <v>0.01</v>
      </c>
      <c r="Q63" s="451">
        <v>3.0000000000000001E-3</v>
      </c>
      <c r="R63" s="451">
        <v>0.192</v>
      </c>
      <c r="S63" s="451">
        <v>5.7636887608069169E-2</v>
      </c>
      <c r="T63" s="455">
        <v>2E-3</v>
      </c>
      <c r="U63" s="451">
        <v>8.0000000000000002E-3</v>
      </c>
      <c r="V63" s="452"/>
      <c r="W63" s="452"/>
      <c r="X63" s="87"/>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c r="DI63" s="36"/>
      <c r="DJ63" s="36"/>
      <c r="DK63" s="36"/>
      <c r="DL63" s="36"/>
      <c r="DM63" s="36"/>
      <c r="DN63" s="36"/>
      <c r="DO63" s="36"/>
      <c r="DP63" s="36"/>
      <c r="DQ63" s="36"/>
      <c r="DR63" s="36"/>
      <c r="DS63" s="36"/>
      <c r="DT63" s="36"/>
      <c r="DU63" s="36"/>
      <c r="DV63" s="36"/>
      <c r="DW63" s="36"/>
      <c r="DX63" s="36"/>
      <c r="DY63" s="36"/>
      <c r="DZ63" s="36"/>
      <c r="EA63" s="36"/>
      <c r="EB63" s="36"/>
      <c r="EC63" s="36"/>
      <c r="ED63" s="36"/>
      <c r="EE63" s="36"/>
      <c r="EF63" s="36"/>
      <c r="EG63" s="36"/>
      <c r="EH63" s="36"/>
      <c r="EI63" s="36"/>
      <c r="EJ63" s="36"/>
      <c r="EK63" s="36"/>
      <c r="EL63" s="36"/>
      <c r="EM63" s="36"/>
      <c r="EN63" s="36"/>
      <c r="EO63" s="36"/>
      <c r="EP63" s="36"/>
      <c r="EQ63" s="36"/>
      <c r="ER63" s="36"/>
      <c r="ES63" s="36"/>
      <c r="ET63" s="36"/>
      <c r="EU63" s="36"/>
      <c r="EV63" s="36"/>
      <c r="EW63" s="36"/>
      <c r="EX63" s="36"/>
      <c r="EY63" s="36"/>
      <c r="EZ63" s="36"/>
      <c r="FA63" s="36"/>
      <c r="FB63" s="36"/>
      <c r="FC63" s="36"/>
      <c r="FD63" s="36"/>
      <c r="FE63" s="36"/>
    </row>
    <row r="64" spans="1:161" s="37" customFormat="1" ht="26.25" customHeight="1" x14ac:dyDescent="0.2">
      <c r="A64" s="456" t="s">
        <v>156</v>
      </c>
      <c r="B64" s="457">
        <v>1E-3</v>
      </c>
      <c r="C64" s="458">
        <v>1E-3</v>
      </c>
      <c r="D64" s="458">
        <v>1E-3</v>
      </c>
      <c r="E64" s="458">
        <v>1E-3</v>
      </c>
      <c r="F64" s="458">
        <v>0.06</v>
      </c>
      <c r="G64" s="458"/>
      <c r="H64" s="458">
        <v>7.6484760411488018E-3</v>
      </c>
      <c r="I64" s="457">
        <v>1E-3</v>
      </c>
      <c r="J64" s="458">
        <v>0.02</v>
      </c>
      <c r="K64" s="458">
        <v>0.02</v>
      </c>
      <c r="L64" s="459">
        <v>0.02</v>
      </c>
      <c r="M64" s="460"/>
      <c r="N64" s="458">
        <v>1E-3</v>
      </c>
      <c r="O64" s="458">
        <v>1E-3</v>
      </c>
      <c r="P64" s="458">
        <v>1.2503356432258428E-3</v>
      </c>
      <c r="Q64" s="458">
        <v>1E-3</v>
      </c>
      <c r="R64" s="458">
        <v>0.222</v>
      </c>
      <c r="S64" s="458">
        <v>5.7636887608069169E-2</v>
      </c>
      <c r="T64" s="461">
        <v>1E-3</v>
      </c>
      <c r="U64" s="458">
        <v>8.0000000000000002E-3</v>
      </c>
      <c r="V64" s="459">
        <v>0.02</v>
      </c>
      <c r="W64" s="459"/>
      <c r="X64" s="87"/>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row>
    <row r="65" spans="1:161" s="37" customFormat="1" ht="26.25" customHeight="1" x14ac:dyDescent="0.2">
      <c r="A65" s="69" t="s">
        <v>157</v>
      </c>
      <c r="B65" s="454">
        <v>0.04</v>
      </c>
      <c r="C65" s="451">
        <v>1.6E-2</v>
      </c>
      <c r="D65" s="451">
        <v>1.6E-2</v>
      </c>
      <c r="E65" s="451">
        <v>1.2999999999999999E-2</v>
      </c>
      <c r="F65" s="451">
        <v>0.06</v>
      </c>
      <c r="G65" s="451"/>
      <c r="H65" s="451"/>
      <c r="I65" s="454">
        <v>0.04</v>
      </c>
      <c r="J65" s="451">
        <v>0.05</v>
      </c>
      <c r="K65" s="451">
        <v>0.06</v>
      </c>
      <c r="L65" s="452">
        <v>7.0000000000000007E-2</v>
      </c>
      <c r="M65" s="453"/>
      <c r="N65" s="451">
        <v>1.6E-2</v>
      </c>
      <c r="O65" s="451">
        <v>3.900153571410702E-2</v>
      </c>
      <c r="P65" s="451">
        <v>5.0013425729033716E-2</v>
      </c>
      <c r="Q65" s="451"/>
      <c r="R65" s="451"/>
      <c r="S65" s="451">
        <v>0.11527377521613834</v>
      </c>
      <c r="T65" s="455">
        <v>1.6E-2</v>
      </c>
      <c r="U65" s="451">
        <v>6.6000000000000003E-2</v>
      </c>
      <c r="V65" s="452">
        <v>0.04</v>
      </c>
      <c r="W65" s="452">
        <v>9.4E-2</v>
      </c>
      <c r="X65" s="87"/>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c r="DI65" s="36"/>
      <c r="DJ65" s="36"/>
      <c r="DK65" s="36"/>
      <c r="DL65" s="36"/>
      <c r="DM65" s="36"/>
      <c r="DN65" s="36"/>
      <c r="DO65" s="36"/>
      <c r="DP65" s="36"/>
      <c r="DQ65" s="36"/>
      <c r="DR65" s="36"/>
      <c r="DS65" s="36"/>
      <c r="DT65" s="36"/>
      <c r="DU65" s="36"/>
      <c r="DV65" s="36"/>
      <c r="DW65" s="36"/>
      <c r="DX65" s="36"/>
      <c r="DY65" s="36"/>
      <c r="DZ65" s="36"/>
      <c r="EA65" s="36"/>
      <c r="EB65" s="36"/>
      <c r="EC65" s="36"/>
      <c r="ED65" s="36"/>
      <c r="EE65" s="36"/>
      <c r="EF65" s="36"/>
      <c r="EG65" s="36"/>
      <c r="EH65" s="36"/>
      <c r="EI65" s="36"/>
      <c r="EJ65" s="36"/>
      <c r="EK65" s="36"/>
      <c r="EL65" s="36"/>
      <c r="EM65" s="36"/>
      <c r="EN65" s="36"/>
      <c r="EO65" s="36"/>
      <c r="EP65" s="36"/>
      <c r="EQ65" s="36"/>
      <c r="ER65" s="36"/>
      <c r="ES65" s="36"/>
      <c r="ET65" s="36"/>
      <c r="EU65" s="36"/>
      <c r="EV65" s="36"/>
      <c r="EW65" s="36"/>
      <c r="EX65" s="36"/>
      <c r="EY65" s="36"/>
      <c r="EZ65" s="36"/>
      <c r="FA65" s="36"/>
      <c r="FB65" s="36"/>
      <c r="FC65" s="36"/>
      <c r="FD65" s="36"/>
      <c r="FE65" s="36"/>
    </row>
    <row r="66" spans="1:161" s="37" customFormat="1" ht="26.25" customHeight="1" x14ac:dyDescent="0.2">
      <c r="A66" s="456" t="s">
        <v>158</v>
      </c>
      <c r="B66" s="457">
        <v>8.0000000000000002E-3</v>
      </c>
      <c r="C66" s="458">
        <v>3.0000000000000001E-3</v>
      </c>
      <c r="D66" s="458">
        <v>3.0000000000000001E-3</v>
      </c>
      <c r="E66" s="458">
        <v>2E-3</v>
      </c>
      <c r="F66" s="458">
        <v>0.06</v>
      </c>
      <c r="G66" s="458"/>
      <c r="H66" s="458"/>
      <c r="I66" s="457">
        <v>8.0000000000000002E-3</v>
      </c>
      <c r="J66" s="458">
        <v>0.03</v>
      </c>
      <c r="K66" s="458">
        <v>0.03</v>
      </c>
      <c r="L66" s="459">
        <v>0.02</v>
      </c>
      <c r="M66" s="460"/>
      <c r="N66" s="458">
        <v>3.0000000000000001E-3</v>
      </c>
      <c r="O66" s="458">
        <v>7.8003071428214051E-3</v>
      </c>
      <c r="P66" s="458">
        <v>0.01</v>
      </c>
      <c r="Q66" s="458">
        <v>4.0000000000000001E-3</v>
      </c>
      <c r="R66" s="458">
        <v>0.222</v>
      </c>
      <c r="S66" s="458">
        <v>5.7636887608069169E-2</v>
      </c>
      <c r="T66" s="461">
        <v>3.0000000000000001E-3</v>
      </c>
      <c r="U66" s="458">
        <v>8.0000000000000002E-3</v>
      </c>
      <c r="V66" s="459">
        <v>0.02</v>
      </c>
      <c r="W66" s="459"/>
      <c r="X66" s="87"/>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36"/>
      <c r="DL66" s="36"/>
      <c r="DM66" s="36"/>
      <c r="DN66" s="36"/>
      <c r="DO66" s="36"/>
      <c r="DP66" s="36"/>
      <c r="DQ66" s="36"/>
      <c r="DR66" s="36"/>
      <c r="DS66" s="36"/>
      <c r="DT66" s="36"/>
      <c r="DU66" s="36"/>
      <c r="DV66" s="36"/>
      <c r="DW66" s="36"/>
      <c r="DX66" s="36"/>
      <c r="DY66" s="36"/>
      <c r="DZ66" s="36"/>
      <c r="EA66" s="36"/>
      <c r="EB66" s="36"/>
      <c r="EC66" s="36"/>
      <c r="ED66" s="36"/>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row>
    <row r="67" spans="1:161" s="37" customFormat="1" ht="26.25" customHeight="1" x14ac:dyDescent="0.2">
      <c r="A67" s="69" t="s">
        <v>654</v>
      </c>
      <c r="B67" s="454"/>
      <c r="C67" s="451"/>
      <c r="D67" s="451"/>
      <c r="E67" s="451"/>
      <c r="F67" s="451"/>
      <c r="G67" s="451"/>
      <c r="H67" s="451"/>
      <c r="I67" s="454"/>
      <c r="J67" s="451"/>
      <c r="K67" s="451"/>
      <c r="L67" s="452"/>
      <c r="M67" s="453"/>
      <c r="N67" s="451"/>
      <c r="O67" s="451">
        <v>2.5</v>
      </c>
      <c r="P67" s="451">
        <v>2.5</v>
      </c>
      <c r="Q67" s="451"/>
      <c r="R67" s="451"/>
      <c r="S67" s="451"/>
      <c r="T67" s="455"/>
      <c r="U67" s="451"/>
      <c r="V67" s="452"/>
      <c r="W67" s="452"/>
      <c r="X67" s="87"/>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c r="DL67" s="36"/>
      <c r="DM67" s="36"/>
      <c r="DN67" s="36"/>
      <c r="DO67" s="36"/>
      <c r="DP67" s="36"/>
      <c r="DQ67" s="36"/>
      <c r="DR67" s="36"/>
      <c r="DS67" s="36"/>
      <c r="DT67" s="36"/>
      <c r="DU67" s="36"/>
      <c r="DV67" s="36"/>
      <c r="DW67" s="36"/>
      <c r="DX67" s="36"/>
      <c r="DY67" s="36"/>
      <c r="DZ67" s="36"/>
      <c r="EA67" s="36"/>
      <c r="EB67" s="36"/>
      <c r="EC67" s="36"/>
      <c r="ED67" s="36"/>
      <c r="EE67" s="36"/>
      <c r="EF67" s="36"/>
      <c r="EG67" s="36"/>
      <c r="EH67" s="36"/>
      <c r="EI67" s="36"/>
      <c r="EJ67" s="36"/>
      <c r="EK67" s="36"/>
      <c r="EL67" s="36"/>
      <c r="EM67" s="36"/>
      <c r="EN67" s="36"/>
      <c r="EO67" s="36"/>
      <c r="EP67" s="36"/>
      <c r="EQ67" s="36"/>
      <c r="ER67" s="36"/>
      <c r="ES67" s="36"/>
      <c r="ET67" s="36"/>
      <c r="EU67" s="36"/>
      <c r="EV67" s="36"/>
      <c r="EW67" s="36"/>
      <c r="EX67" s="36"/>
      <c r="EY67" s="36"/>
      <c r="EZ67" s="36"/>
      <c r="FA67" s="36"/>
      <c r="FB67" s="36"/>
      <c r="FC67" s="36"/>
      <c r="FD67" s="36"/>
      <c r="FE67" s="36"/>
    </row>
    <row r="68" spans="1:161" s="37" customFormat="1" ht="26.25" customHeight="1" x14ac:dyDescent="0.2">
      <c r="A68" s="456" t="s">
        <v>645</v>
      </c>
      <c r="B68" s="457"/>
      <c r="C68" s="458"/>
      <c r="D68" s="458"/>
      <c r="E68" s="458"/>
      <c r="F68" s="458"/>
      <c r="G68" s="458"/>
      <c r="H68" s="458"/>
      <c r="I68" s="457"/>
      <c r="J68" s="458">
        <v>0.01</v>
      </c>
      <c r="K68" s="458">
        <v>0.01</v>
      </c>
      <c r="L68" s="459"/>
      <c r="M68" s="460"/>
      <c r="N68" s="458"/>
      <c r="O68" s="458"/>
      <c r="P68" s="458"/>
      <c r="Q68" s="458"/>
      <c r="R68" s="458"/>
      <c r="S68" s="458"/>
      <c r="T68" s="461"/>
      <c r="U68" s="458"/>
      <c r="V68" s="459"/>
      <c r="W68" s="459"/>
      <c r="X68" s="87"/>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36"/>
      <c r="EG68" s="36"/>
      <c r="EH68" s="36"/>
      <c r="EI68" s="36"/>
      <c r="EJ68" s="36"/>
      <c r="EK68" s="36"/>
      <c r="EL68" s="36"/>
      <c r="EM68" s="36"/>
      <c r="EN68" s="36"/>
      <c r="EO68" s="36"/>
      <c r="EP68" s="36"/>
      <c r="EQ68" s="36"/>
      <c r="ER68" s="36"/>
      <c r="ES68" s="36"/>
      <c r="ET68" s="36"/>
      <c r="EU68" s="36"/>
      <c r="EV68" s="36"/>
      <c r="EW68" s="36"/>
      <c r="EX68" s="36"/>
      <c r="EY68" s="36"/>
      <c r="EZ68" s="36"/>
      <c r="FA68" s="36"/>
      <c r="FB68" s="36"/>
      <c r="FC68" s="36"/>
      <c r="FD68" s="36"/>
      <c r="FE68" s="36"/>
    </row>
    <row r="69" spans="1:161" s="37" customFormat="1" ht="26.25" customHeight="1" x14ac:dyDescent="0.2">
      <c r="A69" s="69" t="s">
        <v>159</v>
      </c>
      <c r="B69" s="454">
        <v>4.0000000000000001E-3</v>
      </c>
      <c r="C69" s="451">
        <v>3.0000000000000001E-3</v>
      </c>
      <c r="D69" s="451">
        <v>3.0000000000000001E-3</v>
      </c>
      <c r="E69" s="451"/>
      <c r="F69" s="451">
        <v>0.06</v>
      </c>
      <c r="G69" s="451"/>
      <c r="H69" s="451"/>
      <c r="I69" s="454">
        <v>4.0000000000000001E-3</v>
      </c>
      <c r="J69" s="451">
        <v>0.02</v>
      </c>
      <c r="K69" s="451">
        <v>0.02</v>
      </c>
      <c r="L69" s="452">
        <v>7.0000000000000007E-2</v>
      </c>
      <c r="M69" s="453"/>
      <c r="N69" s="451">
        <v>3.0000000000000001E-3</v>
      </c>
      <c r="O69" s="451">
        <v>3.9001535714107026E-3</v>
      </c>
      <c r="P69" s="451">
        <v>5.0013425729033712E-3</v>
      </c>
      <c r="Q69" s="451">
        <v>4.0000000000000001E-3</v>
      </c>
      <c r="R69" s="451">
        <v>0.23699999999999999</v>
      </c>
      <c r="S69" s="451">
        <v>0.11527377521613834</v>
      </c>
      <c r="T69" s="455">
        <v>3.0000000000000001E-3</v>
      </c>
      <c r="U69" s="451">
        <v>1.6E-2</v>
      </c>
      <c r="V69" s="452">
        <v>0.02</v>
      </c>
      <c r="W69" s="452">
        <v>1.4999999999999999E-2</v>
      </c>
      <c r="X69" s="87"/>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36"/>
      <c r="EP69" s="36"/>
      <c r="EQ69" s="36"/>
      <c r="ER69" s="36"/>
      <c r="ES69" s="36"/>
      <c r="ET69" s="36"/>
      <c r="EU69" s="36"/>
      <c r="EV69" s="36"/>
      <c r="EW69" s="36"/>
      <c r="EX69" s="36"/>
      <c r="EY69" s="36"/>
      <c r="EZ69" s="36"/>
      <c r="FA69" s="36"/>
      <c r="FB69" s="36"/>
      <c r="FC69" s="36"/>
      <c r="FD69" s="36"/>
      <c r="FE69" s="36"/>
    </row>
    <row r="70" spans="1:161" s="37" customFormat="1" ht="26.25" customHeight="1" x14ac:dyDescent="0.2">
      <c r="A70" s="456" t="s">
        <v>160</v>
      </c>
      <c r="B70" s="457">
        <v>0.56599999999999995</v>
      </c>
      <c r="C70" s="458">
        <v>0.57199999999999995</v>
      </c>
      <c r="D70" s="458">
        <v>0.56699999999999995</v>
      </c>
      <c r="E70" s="458">
        <v>0.55500000000000005</v>
      </c>
      <c r="F70" s="458">
        <v>0.47</v>
      </c>
      <c r="G70" s="458"/>
      <c r="H70" s="458">
        <v>2.2662434509923899</v>
      </c>
      <c r="I70" s="457">
        <v>0.56599999999999995</v>
      </c>
      <c r="J70" s="458">
        <v>0.24</v>
      </c>
      <c r="K70" s="458">
        <v>0.26</v>
      </c>
      <c r="L70" s="459">
        <v>1.1499999999999999</v>
      </c>
      <c r="M70" s="460"/>
      <c r="N70" s="458">
        <v>0.56399999999999995</v>
      </c>
      <c r="O70" s="458">
        <v>0.55187173035461434</v>
      </c>
      <c r="P70" s="458">
        <v>0.7076899740658269</v>
      </c>
      <c r="Q70" s="458">
        <v>0.78400000000000003</v>
      </c>
      <c r="R70" s="458"/>
      <c r="S70" s="458">
        <v>1.1527377521613833</v>
      </c>
      <c r="T70" s="461">
        <v>0.56399999999999995</v>
      </c>
      <c r="U70" s="458">
        <v>2.6179999999999999</v>
      </c>
      <c r="V70" s="459">
        <v>0.56000000000000005</v>
      </c>
      <c r="W70" s="459">
        <v>0.64600000000000002</v>
      </c>
      <c r="X70" s="87"/>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36"/>
      <c r="EP70" s="36"/>
      <c r="EQ70" s="36"/>
      <c r="ER70" s="36"/>
      <c r="ES70" s="36"/>
      <c r="ET70" s="36"/>
      <c r="EU70" s="36"/>
      <c r="EV70" s="36"/>
      <c r="EW70" s="36"/>
      <c r="EX70" s="36"/>
      <c r="EY70" s="36"/>
      <c r="EZ70" s="36"/>
      <c r="FA70" s="36"/>
      <c r="FB70" s="36"/>
      <c r="FC70" s="36"/>
      <c r="FD70" s="36"/>
      <c r="FE70" s="36"/>
    </row>
    <row r="71" spans="1:161" s="37" customFormat="1" ht="26.25" customHeight="1" x14ac:dyDescent="0.2">
      <c r="A71" s="69" t="s">
        <v>161</v>
      </c>
      <c r="B71" s="454">
        <v>6.1230000000000002</v>
      </c>
      <c r="C71" s="451">
        <v>6.3879999999999999</v>
      </c>
      <c r="D71" s="451">
        <v>6.3319999999999999</v>
      </c>
      <c r="E71" s="451">
        <v>6.2060000000000004</v>
      </c>
      <c r="F71" s="451">
        <v>5</v>
      </c>
      <c r="G71" s="451"/>
      <c r="H71" s="451">
        <v>9.0672683467819031</v>
      </c>
      <c r="I71" s="454">
        <v>6.1260000000000003</v>
      </c>
      <c r="J71" s="451">
        <v>1.31</v>
      </c>
      <c r="K71" s="451">
        <v>1.37</v>
      </c>
      <c r="L71" s="452">
        <v>8.6199999999999992</v>
      </c>
      <c r="M71" s="453">
        <v>0.28899999999999998</v>
      </c>
      <c r="N71" s="451">
        <v>6.3019999999999996</v>
      </c>
      <c r="O71" s="451">
        <v>5.9701600794369325</v>
      </c>
      <c r="P71" s="451">
        <v>7.6558051434718353</v>
      </c>
      <c r="Q71" s="451">
        <v>8.7579999999999991</v>
      </c>
      <c r="R71" s="451">
        <v>2.8359999999999999</v>
      </c>
      <c r="S71" s="451">
        <v>5.7636887608069163</v>
      </c>
      <c r="T71" s="455">
        <v>6.3014999999999999</v>
      </c>
      <c r="U71" s="451">
        <v>6.5449999999999999</v>
      </c>
      <c r="V71" s="452">
        <v>6.03</v>
      </c>
      <c r="W71" s="452">
        <v>4.6260000000000003</v>
      </c>
      <c r="X71" s="87"/>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row>
    <row r="72" spans="1:161" s="37" customFormat="1" ht="26.25" customHeight="1" x14ac:dyDescent="0.2">
      <c r="A72" s="456" t="s">
        <v>162</v>
      </c>
      <c r="B72" s="457"/>
      <c r="C72" s="458"/>
      <c r="D72" s="458"/>
      <c r="E72" s="458"/>
      <c r="F72" s="458"/>
      <c r="G72" s="458"/>
      <c r="H72" s="458"/>
      <c r="I72" s="457"/>
      <c r="J72" s="458"/>
      <c r="K72" s="458"/>
      <c r="L72" s="459"/>
      <c r="M72" s="460"/>
      <c r="N72" s="458"/>
      <c r="O72" s="458"/>
      <c r="P72" s="458"/>
      <c r="Q72" s="458"/>
      <c r="R72" s="458"/>
      <c r="S72" s="458"/>
      <c r="T72" s="461"/>
      <c r="U72" s="458"/>
      <c r="V72" s="459">
        <v>0.02</v>
      </c>
      <c r="W72" s="459"/>
      <c r="X72" s="87"/>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row>
    <row r="73" spans="1:161" s="37" customFormat="1" ht="26.25" customHeight="1" x14ac:dyDescent="0.2">
      <c r="A73" s="69" t="s">
        <v>163</v>
      </c>
      <c r="B73" s="454">
        <v>1.4E-2</v>
      </c>
      <c r="C73" s="451">
        <v>8.0000000000000002E-3</v>
      </c>
      <c r="D73" s="451">
        <v>8.0000000000000002E-3</v>
      </c>
      <c r="E73" s="451">
        <v>7.0000000000000001E-3</v>
      </c>
      <c r="F73" s="451">
        <v>0.06</v>
      </c>
      <c r="G73" s="451"/>
      <c r="H73" s="451"/>
      <c r="I73" s="454">
        <v>1.4E-2</v>
      </c>
      <c r="J73" s="451">
        <v>0.02</v>
      </c>
      <c r="K73" s="451">
        <v>0.02</v>
      </c>
      <c r="L73" s="452">
        <v>7.0000000000000007E-2</v>
      </c>
      <c r="M73" s="453"/>
      <c r="N73" s="451">
        <v>8.0000000000000002E-3</v>
      </c>
      <c r="O73" s="451">
        <v>1.3650537499937459E-2</v>
      </c>
      <c r="P73" s="451">
        <v>1.75046990051618E-2</v>
      </c>
      <c r="Q73" s="451">
        <v>1.0999999999999999E-2</v>
      </c>
      <c r="R73" s="451">
        <v>0.432</v>
      </c>
      <c r="S73" s="451">
        <v>0.11527377521613834</v>
      </c>
      <c r="T73" s="455">
        <v>8.0000000000000002E-3</v>
      </c>
      <c r="U73" s="451">
        <v>1.6E-2</v>
      </c>
      <c r="V73" s="452">
        <v>0.02</v>
      </c>
      <c r="W73" s="452">
        <v>2.3E-2</v>
      </c>
      <c r="X73" s="87"/>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c r="DO73" s="36"/>
      <c r="DP73" s="36"/>
      <c r="DQ73" s="36"/>
      <c r="DR73" s="36"/>
      <c r="DS73" s="36"/>
      <c r="DT73" s="36"/>
      <c r="DU73" s="36"/>
      <c r="DV73" s="36"/>
      <c r="DW73" s="36"/>
      <c r="DX73" s="36"/>
      <c r="DY73" s="36"/>
      <c r="DZ73" s="36"/>
      <c r="EA73" s="36"/>
      <c r="EB73" s="36"/>
      <c r="EC73" s="36"/>
      <c r="ED73" s="36"/>
      <c r="EE73" s="36"/>
      <c r="EF73" s="36"/>
      <c r="EG73" s="36"/>
      <c r="EH73" s="36"/>
      <c r="EI73" s="36"/>
      <c r="EJ73" s="36"/>
      <c r="EK73" s="36"/>
      <c r="EL73" s="36"/>
      <c r="EM73" s="36"/>
      <c r="EN73" s="36"/>
      <c r="EO73" s="36"/>
      <c r="EP73" s="36"/>
      <c r="EQ73" s="36"/>
      <c r="ER73" s="36"/>
      <c r="ES73" s="36"/>
      <c r="ET73" s="36"/>
      <c r="EU73" s="36"/>
      <c r="EV73" s="36"/>
      <c r="EW73" s="36"/>
      <c r="EX73" s="36"/>
      <c r="EY73" s="36"/>
      <c r="EZ73" s="36"/>
      <c r="FA73" s="36"/>
      <c r="FB73" s="36"/>
      <c r="FC73" s="36"/>
      <c r="FD73" s="36"/>
      <c r="FE73" s="36"/>
    </row>
    <row r="74" spans="1:161" s="37" customFormat="1" ht="26.25" customHeight="1" x14ac:dyDescent="0.2">
      <c r="A74" s="456" t="s">
        <v>164</v>
      </c>
      <c r="B74" s="457">
        <v>1E-3</v>
      </c>
      <c r="C74" s="458">
        <v>1E-3</v>
      </c>
      <c r="D74" s="458">
        <v>1E-3</v>
      </c>
      <c r="E74" s="458"/>
      <c r="F74" s="458">
        <v>0.06</v>
      </c>
      <c r="G74" s="458"/>
      <c r="H74" s="458"/>
      <c r="I74" s="457">
        <v>1E-3</v>
      </c>
      <c r="J74" s="458">
        <v>0.02</v>
      </c>
      <c r="K74" s="458">
        <v>0.02</v>
      </c>
      <c r="L74" s="459">
        <v>0.04</v>
      </c>
      <c r="M74" s="460"/>
      <c r="N74" s="458">
        <v>1E-3</v>
      </c>
      <c r="O74" s="458">
        <v>1E-3</v>
      </c>
      <c r="P74" s="458">
        <v>1.2503356432258428E-3</v>
      </c>
      <c r="Q74" s="458">
        <v>1E-3</v>
      </c>
      <c r="R74" s="458">
        <v>0.222</v>
      </c>
      <c r="S74" s="458">
        <v>5.7636887608069169E-2</v>
      </c>
      <c r="T74" s="461">
        <v>1E-3</v>
      </c>
      <c r="U74" s="458">
        <v>8.0000000000000002E-3</v>
      </c>
      <c r="V74" s="459">
        <v>0.02</v>
      </c>
      <c r="W74" s="459">
        <v>1.4999999999999999E-2</v>
      </c>
      <c r="X74" s="87"/>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c r="DL74" s="36"/>
      <c r="DM74" s="36"/>
      <c r="DN74" s="36"/>
      <c r="DO74" s="36"/>
      <c r="DP74" s="36"/>
      <c r="DQ74" s="36"/>
      <c r="DR74" s="36"/>
      <c r="DS74" s="36"/>
      <c r="DT74" s="36"/>
      <c r="DU74" s="36"/>
      <c r="DV74" s="36"/>
      <c r="DW74" s="36"/>
      <c r="DX74" s="36"/>
      <c r="DY74" s="36"/>
      <c r="DZ74" s="36"/>
      <c r="EA74" s="36"/>
      <c r="EB74" s="36"/>
      <c r="EC74" s="36"/>
      <c r="ED74" s="36"/>
      <c r="EE74" s="36"/>
      <c r="EF74" s="36"/>
      <c r="EG74" s="36"/>
      <c r="EH74" s="36"/>
      <c r="EI74" s="36"/>
      <c r="EJ74" s="36"/>
      <c r="EK74" s="36"/>
      <c r="EL74" s="36"/>
      <c r="EM74" s="36"/>
      <c r="EN74" s="36"/>
      <c r="EO74" s="36"/>
      <c r="EP74" s="36"/>
      <c r="EQ74" s="36"/>
      <c r="ER74" s="36"/>
      <c r="ES74" s="36"/>
      <c r="ET74" s="36"/>
      <c r="EU74" s="36"/>
      <c r="EV74" s="36"/>
      <c r="EW74" s="36"/>
      <c r="EX74" s="36"/>
      <c r="EY74" s="36"/>
      <c r="EZ74" s="36"/>
      <c r="FA74" s="36"/>
      <c r="FB74" s="36"/>
      <c r="FC74" s="36"/>
      <c r="FD74" s="36"/>
      <c r="FE74" s="36"/>
    </row>
    <row r="75" spans="1:161" s="37" customFormat="1" ht="26.25" customHeight="1" x14ac:dyDescent="0.2">
      <c r="A75" s="69" t="s">
        <v>165</v>
      </c>
      <c r="B75" s="454">
        <v>6.0000000000000001E-3</v>
      </c>
      <c r="C75" s="451">
        <v>3.0000000000000001E-3</v>
      </c>
      <c r="D75" s="451">
        <v>3.0000000000000001E-3</v>
      </c>
      <c r="E75" s="451">
        <v>3.0000000000000001E-3</v>
      </c>
      <c r="F75" s="451">
        <v>0.06</v>
      </c>
      <c r="G75" s="451"/>
      <c r="H75" s="451"/>
      <c r="I75" s="454">
        <v>6.0000000000000001E-3</v>
      </c>
      <c r="J75" s="451">
        <v>0.08</v>
      </c>
      <c r="K75" s="451">
        <v>0.14000000000000001</v>
      </c>
      <c r="L75" s="452">
        <v>7.0000000000000007E-2</v>
      </c>
      <c r="M75" s="453"/>
      <c r="N75" s="451">
        <v>3.0000000000000001E-3</v>
      </c>
      <c r="O75" s="451">
        <v>5.8502303571160534E-3</v>
      </c>
      <c r="P75" s="451">
        <v>7.5020138593550568E-3</v>
      </c>
      <c r="Q75" s="451">
        <v>4.0000000000000001E-3</v>
      </c>
      <c r="R75" s="451">
        <v>0.26600000000000001</v>
      </c>
      <c r="S75" s="451">
        <v>0.11527377521613834</v>
      </c>
      <c r="T75" s="455">
        <v>3.0000000000000001E-3</v>
      </c>
      <c r="U75" s="451">
        <v>6.6000000000000003E-2</v>
      </c>
      <c r="V75" s="452">
        <v>0.02</v>
      </c>
      <c r="W75" s="452">
        <v>2.3E-2</v>
      </c>
      <c r="X75" s="87"/>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36"/>
      <c r="ER75" s="36"/>
      <c r="ES75" s="36"/>
      <c r="ET75" s="36"/>
      <c r="EU75" s="36"/>
      <c r="EV75" s="36"/>
      <c r="EW75" s="36"/>
      <c r="EX75" s="36"/>
      <c r="EY75" s="36"/>
      <c r="EZ75" s="36"/>
      <c r="FA75" s="36"/>
      <c r="FB75" s="36"/>
      <c r="FC75" s="36"/>
      <c r="FD75" s="36"/>
      <c r="FE75" s="36"/>
    </row>
    <row r="76" spans="1:161" s="37" customFormat="1" ht="26.25" customHeight="1" x14ac:dyDescent="0.2">
      <c r="A76" s="456" t="s">
        <v>166</v>
      </c>
      <c r="B76" s="457">
        <v>8.0180000000000007</v>
      </c>
      <c r="C76" s="458">
        <v>8.6950000000000003</v>
      </c>
      <c r="D76" s="458">
        <v>8.6189999999999998</v>
      </c>
      <c r="E76" s="458">
        <v>8.4469999999999992</v>
      </c>
      <c r="F76" s="458">
        <v>6.85</v>
      </c>
      <c r="G76" s="458"/>
      <c r="H76" s="458">
        <v>10.707866457608322</v>
      </c>
      <c r="I76" s="457">
        <v>8.0210000000000008</v>
      </c>
      <c r="J76" s="458">
        <v>2.4500000000000002</v>
      </c>
      <c r="K76" s="458">
        <v>2.3199999999999998</v>
      </c>
      <c r="L76" s="459">
        <v>8.6199999999999992</v>
      </c>
      <c r="M76" s="460"/>
      <c r="N76" s="458">
        <v>8.5779999999999994</v>
      </c>
      <c r="O76" s="458">
        <v>7.8178578338927531</v>
      </c>
      <c r="P76" s="458">
        <v>10.025191187384808</v>
      </c>
      <c r="Q76" s="458">
        <v>11.920999999999999</v>
      </c>
      <c r="R76" s="458">
        <v>2.8359999999999999</v>
      </c>
      <c r="S76" s="458">
        <v>5.7636887608069163</v>
      </c>
      <c r="T76" s="461">
        <v>8.5777000000000001</v>
      </c>
      <c r="U76" s="458">
        <v>6.5449999999999999</v>
      </c>
      <c r="V76" s="459">
        <v>7.89</v>
      </c>
      <c r="W76" s="459">
        <v>8.9329999999999998</v>
      </c>
      <c r="X76" s="87"/>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c r="EA76" s="36"/>
      <c r="EB76" s="36"/>
      <c r="EC76" s="36"/>
      <c r="ED76" s="36"/>
      <c r="EE76" s="36"/>
      <c r="EF76" s="36"/>
      <c r="EG76" s="36"/>
      <c r="EH76" s="36"/>
      <c r="EI76" s="36"/>
      <c r="EJ76" s="36"/>
      <c r="EK76" s="36"/>
      <c r="EL76" s="36"/>
      <c r="EM76" s="36"/>
      <c r="EN76" s="36"/>
      <c r="EO76" s="36"/>
      <c r="EP76" s="36"/>
      <c r="EQ76" s="36"/>
      <c r="ER76" s="36"/>
      <c r="ES76" s="36"/>
      <c r="ET76" s="36"/>
      <c r="EU76" s="36"/>
      <c r="EV76" s="36"/>
      <c r="EW76" s="36"/>
      <c r="EX76" s="36"/>
      <c r="EY76" s="36"/>
      <c r="EZ76" s="36"/>
      <c r="FA76" s="36"/>
      <c r="FB76" s="36"/>
      <c r="FC76" s="36"/>
      <c r="FD76" s="36"/>
      <c r="FE76" s="36"/>
    </row>
    <row r="77" spans="1:161" s="37" customFormat="1" ht="26.25" customHeight="1" x14ac:dyDescent="0.2">
      <c r="A77" s="69" t="s">
        <v>167</v>
      </c>
      <c r="B77" s="454">
        <v>6.0000000000000001E-3</v>
      </c>
      <c r="C77" s="451">
        <v>4.0000000000000001E-3</v>
      </c>
      <c r="D77" s="451">
        <v>4.0000000000000001E-3</v>
      </c>
      <c r="E77" s="451">
        <v>3.0000000000000001E-3</v>
      </c>
      <c r="F77" s="451">
        <v>0.06</v>
      </c>
      <c r="G77" s="451"/>
      <c r="H77" s="451"/>
      <c r="I77" s="454">
        <v>6.0000000000000001E-3</v>
      </c>
      <c r="J77" s="451">
        <v>0.03</v>
      </c>
      <c r="K77" s="451">
        <v>0.03</v>
      </c>
      <c r="L77" s="452">
        <v>7.0000000000000007E-2</v>
      </c>
      <c r="M77" s="453"/>
      <c r="N77" s="451">
        <v>4.0000000000000001E-3</v>
      </c>
      <c r="O77" s="451">
        <v>5.8502303571160534E-3</v>
      </c>
      <c r="P77" s="451">
        <v>7.5020138593550568E-3</v>
      </c>
      <c r="Q77" s="451">
        <v>6.0000000000000001E-3</v>
      </c>
      <c r="R77" s="451">
        <v>0.26600000000000001</v>
      </c>
      <c r="S77" s="451">
        <v>0.345821325648415</v>
      </c>
      <c r="T77" s="455">
        <v>4.0000000000000001E-3</v>
      </c>
      <c r="U77" s="451">
        <v>1.6E-2</v>
      </c>
      <c r="V77" s="452">
        <v>0.02</v>
      </c>
      <c r="W77" s="452">
        <v>4.3999999999999997E-2</v>
      </c>
      <c r="X77" s="87"/>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c r="EA77" s="36"/>
      <c r="EB77" s="36"/>
      <c r="EC77" s="36"/>
      <c r="ED77" s="36"/>
      <c r="EE77" s="36"/>
      <c r="EF77" s="36"/>
      <c r="EG77" s="36"/>
      <c r="EH77" s="36"/>
      <c r="EI77" s="36"/>
      <c r="EJ77" s="36"/>
      <c r="EK77" s="36"/>
      <c r="EL77" s="36"/>
      <c r="EM77" s="36"/>
      <c r="EN77" s="36"/>
      <c r="EO77" s="36"/>
      <c r="EP77" s="36"/>
      <c r="EQ77" s="36"/>
      <c r="ER77" s="36"/>
      <c r="ES77" s="36"/>
      <c r="ET77" s="36"/>
      <c r="EU77" s="36"/>
      <c r="EV77" s="36"/>
      <c r="EW77" s="36"/>
      <c r="EX77" s="36"/>
      <c r="EY77" s="36"/>
      <c r="EZ77" s="36"/>
      <c r="FA77" s="36"/>
      <c r="FB77" s="36"/>
      <c r="FC77" s="36"/>
      <c r="FD77" s="36"/>
      <c r="FE77" s="36"/>
    </row>
    <row r="78" spans="1:161" s="37" customFormat="1" ht="26.25" customHeight="1" x14ac:dyDescent="0.2">
      <c r="A78" s="456" t="s">
        <v>168</v>
      </c>
      <c r="B78" s="457">
        <v>0.69099999999999995</v>
      </c>
      <c r="C78" s="458">
        <v>0.60399999999999998</v>
      </c>
      <c r="D78" s="458">
        <v>0.59899999999999998</v>
      </c>
      <c r="E78" s="458">
        <v>0.54200000000000004</v>
      </c>
      <c r="F78" s="458">
        <v>0.44</v>
      </c>
      <c r="G78" s="458"/>
      <c r="H78" s="458"/>
      <c r="I78" s="457">
        <v>0.69099999999999995</v>
      </c>
      <c r="J78" s="458">
        <v>4.0999999999999996</v>
      </c>
      <c r="K78" s="458">
        <v>4.0999999999999996</v>
      </c>
      <c r="L78" s="459">
        <v>0.28999999999999998</v>
      </c>
      <c r="M78" s="460"/>
      <c r="N78" s="458">
        <v>0.59599999999999997</v>
      </c>
      <c r="O78" s="458">
        <v>0.67375152946119876</v>
      </c>
      <c r="P78" s="458">
        <v>0.86398192946905727</v>
      </c>
      <c r="Q78" s="458">
        <v>0.82799999999999996</v>
      </c>
      <c r="R78" s="458">
        <v>1.6839999999999999</v>
      </c>
      <c r="S78" s="458">
        <v>0.345821325648415</v>
      </c>
      <c r="T78" s="461">
        <v>0.59599999999999997</v>
      </c>
      <c r="U78" s="458">
        <v>0.78600000000000003</v>
      </c>
      <c r="V78" s="459">
        <v>0.68</v>
      </c>
      <c r="W78" s="459">
        <v>0.496</v>
      </c>
      <c r="X78" s="87"/>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F78" s="36"/>
      <c r="EG78" s="36"/>
      <c r="EH78" s="36"/>
      <c r="EI78" s="36"/>
      <c r="EJ78" s="36"/>
      <c r="EK78" s="36"/>
      <c r="EL78" s="36"/>
      <c r="EM78" s="36"/>
      <c r="EN78" s="36"/>
      <c r="EO78" s="36"/>
      <c r="EP78" s="36"/>
      <c r="EQ78" s="36"/>
      <c r="ER78" s="36"/>
      <c r="ES78" s="36"/>
      <c r="ET78" s="36"/>
      <c r="EU78" s="36"/>
      <c r="EV78" s="36"/>
      <c r="EW78" s="36"/>
      <c r="EX78" s="36"/>
      <c r="EY78" s="36"/>
      <c r="EZ78" s="36"/>
      <c r="FA78" s="36"/>
      <c r="FB78" s="36"/>
      <c r="FC78" s="36"/>
      <c r="FD78" s="36"/>
      <c r="FE78" s="36"/>
    </row>
    <row r="79" spans="1:161" s="37" customFormat="1" ht="26.25" customHeight="1" x14ac:dyDescent="0.2">
      <c r="A79" s="69" t="s">
        <v>169</v>
      </c>
      <c r="B79" s="454">
        <v>1E-3</v>
      </c>
      <c r="C79" s="451">
        <v>1E-3</v>
      </c>
      <c r="D79" s="451">
        <v>1E-3</v>
      </c>
      <c r="E79" s="451"/>
      <c r="F79" s="451">
        <v>0.06</v>
      </c>
      <c r="G79" s="451"/>
      <c r="H79" s="451"/>
      <c r="I79" s="454">
        <v>1E-3</v>
      </c>
      <c r="J79" s="451">
        <v>0.02</v>
      </c>
      <c r="K79" s="451">
        <v>0.02</v>
      </c>
      <c r="L79" s="452">
        <v>0.02</v>
      </c>
      <c r="M79" s="453">
        <v>2.1999999999999999E-2</v>
      </c>
      <c r="N79" s="451">
        <v>1E-3</v>
      </c>
      <c r="O79" s="451">
        <v>1E-3</v>
      </c>
      <c r="P79" s="451">
        <v>1.2503356432258428E-3</v>
      </c>
      <c r="Q79" s="451">
        <v>1E-3</v>
      </c>
      <c r="R79" s="451"/>
      <c r="S79" s="451">
        <v>0.11527377521613834</v>
      </c>
      <c r="T79" s="455">
        <v>1E-3</v>
      </c>
      <c r="U79" s="451">
        <v>1.6E-2</v>
      </c>
      <c r="V79" s="452"/>
      <c r="W79" s="452">
        <v>1.4999999999999999E-2</v>
      </c>
      <c r="X79" s="87"/>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36"/>
      <c r="CT79" s="36"/>
      <c r="CU79" s="36"/>
      <c r="CV79" s="36"/>
      <c r="CW79" s="36"/>
      <c r="CX79" s="36"/>
      <c r="CY79" s="36"/>
      <c r="CZ79" s="36"/>
      <c r="DA79" s="36"/>
      <c r="DB79" s="36"/>
      <c r="DC79" s="36"/>
      <c r="DD79" s="36"/>
      <c r="DE79" s="36"/>
      <c r="DF79" s="36"/>
      <c r="DG79" s="36"/>
      <c r="DH79" s="36"/>
      <c r="DI79" s="36"/>
      <c r="DJ79" s="36"/>
      <c r="DK79" s="36"/>
      <c r="DL79" s="36"/>
      <c r="DM79" s="36"/>
      <c r="DN79" s="36"/>
      <c r="DO79" s="36"/>
      <c r="DP79" s="36"/>
      <c r="DQ79" s="36"/>
      <c r="DR79" s="36"/>
      <c r="DS79" s="36"/>
      <c r="DT79" s="36"/>
      <c r="DU79" s="36"/>
      <c r="DV79" s="36"/>
      <c r="DW79" s="36"/>
      <c r="DX79" s="36"/>
      <c r="DY79" s="36"/>
      <c r="DZ79" s="36"/>
      <c r="EA79" s="36"/>
      <c r="EB79" s="36"/>
      <c r="EC79" s="36"/>
      <c r="ED79" s="36"/>
      <c r="EE79" s="36"/>
      <c r="EF79" s="36"/>
      <c r="EG79" s="36"/>
      <c r="EH79" s="36"/>
      <c r="EI79" s="36"/>
      <c r="EJ79" s="36"/>
      <c r="EK79" s="36"/>
      <c r="EL79" s="36"/>
      <c r="EM79" s="36"/>
      <c r="EN79" s="36"/>
      <c r="EO79" s="36"/>
      <c r="EP79" s="36"/>
      <c r="EQ79" s="36"/>
      <c r="ER79" s="36"/>
      <c r="ES79" s="36"/>
      <c r="ET79" s="36"/>
      <c r="EU79" s="36"/>
      <c r="EV79" s="36"/>
      <c r="EW79" s="36"/>
      <c r="EX79" s="36"/>
      <c r="EY79" s="36"/>
      <c r="EZ79" s="36"/>
      <c r="FA79" s="36"/>
      <c r="FB79" s="36"/>
      <c r="FC79" s="36"/>
      <c r="FD79" s="36"/>
      <c r="FE79" s="36"/>
    </row>
    <row r="80" spans="1:161" s="37" customFormat="1" ht="26.25" customHeight="1" x14ac:dyDescent="0.2">
      <c r="A80" s="456" t="s">
        <v>170</v>
      </c>
      <c r="B80" s="457">
        <v>2.8000000000000001E-2</v>
      </c>
      <c r="C80" s="458">
        <v>3.2000000000000001E-2</v>
      </c>
      <c r="D80" s="458">
        <v>3.2000000000000001E-2</v>
      </c>
      <c r="E80" s="458">
        <v>2.5999999999999999E-2</v>
      </c>
      <c r="F80" s="458">
        <v>0.06</v>
      </c>
      <c r="G80" s="458"/>
      <c r="H80" s="458">
        <v>0.18738766300814563</v>
      </c>
      <c r="I80" s="457">
        <v>2.8000000000000001E-2</v>
      </c>
      <c r="J80" s="458">
        <v>0.02</v>
      </c>
      <c r="K80" s="458">
        <v>0.02</v>
      </c>
      <c r="L80" s="459">
        <v>7.0000000000000007E-2</v>
      </c>
      <c r="M80" s="460">
        <v>0.187</v>
      </c>
      <c r="N80" s="458">
        <v>3.2000000000000001E-2</v>
      </c>
      <c r="O80" s="458">
        <v>2.7301074999874917E-2</v>
      </c>
      <c r="P80" s="458">
        <v>3.50093980103236E-2</v>
      </c>
      <c r="Q80" s="458">
        <v>4.3999999999999997E-2</v>
      </c>
      <c r="R80" s="458">
        <v>0.443</v>
      </c>
      <c r="S80" s="458">
        <v>0.11527377521613834</v>
      </c>
      <c r="T80" s="461">
        <v>3.2000000000000001E-2</v>
      </c>
      <c r="U80" s="458">
        <v>3.3000000000000002E-2</v>
      </c>
      <c r="V80" s="459">
        <v>0.03</v>
      </c>
      <c r="W80" s="459">
        <v>7.0999999999999994E-2</v>
      </c>
      <c r="X80" s="87"/>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36"/>
      <c r="EI80" s="36"/>
      <c r="EJ80" s="36"/>
      <c r="EK80" s="36"/>
      <c r="EL80" s="36"/>
      <c r="EM80" s="36"/>
      <c r="EN80" s="36"/>
      <c r="EO80" s="36"/>
      <c r="EP80" s="36"/>
      <c r="EQ80" s="36"/>
      <c r="ER80" s="36"/>
      <c r="ES80" s="36"/>
      <c r="ET80" s="36"/>
      <c r="EU80" s="36"/>
      <c r="EV80" s="36"/>
      <c r="EW80" s="36"/>
      <c r="EX80" s="36"/>
      <c r="EY80" s="36"/>
      <c r="EZ80" s="36"/>
      <c r="FA80" s="36"/>
      <c r="FB80" s="36"/>
      <c r="FC80" s="36"/>
      <c r="FD80" s="36"/>
      <c r="FE80" s="36"/>
    </row>
    <row r="81" spans="1:161" s="37" customFormat="1" ht="26.25" customHeight="1" x14ac:dyDescent="0.2">
      <c r="A81" s="69" t="s">
        <v>171</v>
      </c>
      <c r="B81" s="454">
        <v>2E-3</v>
      </c>
      <c r="C81" s="451">
        <v>1E-3</v>
      </c>
      <c r="D81" s="451">
        <v>1E-3</v>
      </c>
      <c r="E81" s="451"/>
      <c r="F81" s="451">
        <v>0.06</v>
      </c>
      <c r="G81" s="451"/>
      <c r="H81" s="451"/>
      <c r="I81" s="454">
        <v>2E-3</v>
      </c>
      <c r="J81" s="451">
        <v>0.02</v>
      </c>
      <c r="K81" s="451">
        <v>0.02</v>
      </c>
      <c r="L81" s="452">
        <v>0.04</v>
      </c>
      <c r="M81" s="453"/>
      <c r="N81" s="451">
        <v>1E-3</v>
      </c>
      <c r="O81" s="451">
        <v>1.9500767857053513E-3</v>
      </c>
      <c r="P81" s="451">
        <v>2.5006712864516856E-3</v>
      </c>
      <c r="Q81" s="451">
        <v>1E-3</v>
      </c>
      <c r="R81" s="451">
        <v>0.222</v>
      </c>
      <c r="S81" s="451">
        <v>5.7636887608069169E-2</v>
      </c>
      <c r="T81" s="455">
        <v>1E-3</v>
      </c>
      <c r="U81" s="451">
        <v>8.0000000000000002E-3</v>
      </c>
      <c r="V81" s="452">
        <v>0.02</v>
      </c>
      <c r="W81" s="452">
        <v>1.4999999999999999E-2</v>
      </c>
      <c r="X81" s="87"/>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c r="CR81" s="36"/>
      <c r="CS81" s="36"/>
      <c r="CT81" s="36"/>
      <c r="CU81" s="36"/>
      <c r="CV81" s="36"/>
      <c r="CW81" s="36"/>
      <c r="CX81" s="36"/>
      <c r="CY81" s="36"/>
      <c r="CZ81" s="36"/>
      <c r="DA81" s="36"/>
      <c r="DB81" s="36"/>
      <c r="DC81" s="36"/>
      <c r="DD81" s="36"/>
      <c r="DE81" s="36"/>
      <c r="DF81" s="36"/>
      <c r="DG81" s="36"/>
      <c r="DH81" s="36"/>
      <c r="DI81" s="36"/>
      <c r="DJ81" s="36"/>
      <c r="DK81" s="36"/>
      <c r="DL81" s="36"/>
      <c r="DM81" s="36"/>
      <c r="DN81" s="36"/>
      <c r="DO81" s="36"/>
      <c r="DP81" s="36"/>
      <c r="DQ81" s="36"/>
      <c r="DR81" s="36"/>
      <c r="DS81" s="36"/>
      <c r="DT81" s="36"/>
      <c r="DU81" s="36"/>
      <c r="DV81" s="36"/>
      <c r="DW81" s="36"/>
      <c r="DX81" s="36"/>
      <c r="DY81" s="36"/>
      <c r="DZ81" s="36"/>
      <c r="EA81" s="36"/>
      <c r="EB81" s="36"/>
      <c r="EC81" s="36"/>
      <c r="ED81" s="36"/>
      <c r="EE81" s="36"/>
      <c r="EF81" s="36"/>
      <c r="EG81" s="36"/>
      <c r="EH81" s="36"/>
      <c r="EI81" s="36"/>
      <c r="EJ81" s="36"/>
      <c r="EK81" s="36"/>
      <c r="EL81" s="36"/>
      <c r="EM81" s="36"/>
      <c r="EN81" s="36"/>
      <c r="EO81" s="36"/>
      <c r="EP81" s="36"/>
      <c r="EQ81" s="36"/>
      <c r="ER81" s="36"/>
      <c r="ES81" s="36"/>
      <c r="ET81" s="36"/>
      <c r="EU81" s="36"/>
      <c r="EV81" s="36"/>
      <c r="EW81" s="36"/>
      <c r="EX81" s="36"/>
      <c r="EY81" s="36"/>
      <c r="EZ81" s="36"/>
      <c r="FA81" s="36"/>
      <c r="FB81" s="36"/>
      <c r="FC81" s="36"/>
      <c r="FD81" s="36"/>
      <c r="FE81" s="36"/>
    </row>
    <row r="82" spans="1:161" s="37" customFormat="1" ht="26.25" customHeight="1" x14ac:dyDescent="0.2">
      <c r="A82" s="456" t="s">
        <v>172</v>
      </c>
      <c r="B82" s="457">
        <v>1E-3</v>
      </c>
      <c r="C82" s="458">
        <v>1E-3</v>
      </c>
      <c r="D82" s="458">
        <v>1E-3</v>
      </c>
      <c r="E82" s="458"/>
      <c r="F82" s="458">
        <v>0.06</v>
      </c>
      <c r="G82" s="458"/>
      <c r="H82" s="458"/>
      <c r="I82" s="457">
        <v>1E-3</v>
      </c>
      <c r="J82" s="458">
        <v>0.02</v>
      </c>
      <c r="K82" s="458">
        <v>0.02</v>
      </c>
      <c r="L82" s="459">
        <v>0.02</v>
      </c>
      <c r="M82" s="460"/>
      <c r="N82" s="458">
        <v>1E-3</v>
      </c>
      <c r="O82" s="458">
        <v>1E-3</v>
      </c>
      <c r="P82" s="458">
        <v>1.2503356432258428E-3</v>
      </c>
      <c r="Q82" s="458">
        <v>1E-3</v>
      </c>
      <c r="R82" s="458">
        <v>0.222</v>
      </c>
      <c r="S82" s="458">
        <v>5.7636887608069169E-2</v>
      </c>
      <c r="T82" s="461">
        <v>1E-3</v>
      </c>
      <c r="U82" s="458">
        <v>8.0000000000000002E-3</v>
      </c>
      <c r="V82" s="459">
        <v>0.02</v>
      </c>
      <c r="W82" s="459">
        <v>1.4999999999999999E-2</v>
      </c>
      <c r="X82" s="87"/>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c r="CB82" s="36"/>
      <c r="CC82" s="36"/>
      <c r="CD82" s="36"/>
      <c r="CE82" s="36"/>
      <c r="CF82" s="36"/>
      <c r="CG82" s="36"/>
      <c r="CH82" s="36"/>
      <c r="CI82" s="36"/>
      <c r="CJ82" s="36"/>
      <c r="CK82" s="36"/>
      <c r="CL82" s="36"/>
      <c r="CM82" s="36"/>
      <c r="CN82" s="36"/>
      <c r="CO82" s="36"/>
      <c r="CP82" s="36"/>
      <c r="CQ82" s="36"/>
      <c r="CR82" s="36"/>
      <c r="CS82" s="36"/>
      <c r="CT82" s="36"/>
      <c r="CU82" s="36"/>
      <c r="CV82" s="36"/>
      <c r="CW82" s="36"/>
      <c r="CX82" s="36"/>
      <c r="CY82" s="36"/>
      <c r="CZ82" s="36"/>
      <c r="DA82" s="36"/>
      <c r="DB82" s="36"/>
      <c r="DC82" s="36"/>
      <c r="DD82" s="36"/>
      <c r="DE82" s="36"/>
      <c r="DF82" s="36"/>
      <c r="DG82" s="36"/>
      <c r="DH82" s="36"/>
      <c r="DI82" s="36"/>
      <c r="DJ82" s="36"/>
      <c r="DK82" s="36"/>
      <c r="DL82" s="36"/>
      <c r="DM82" s="36"/>
      <c r="DN82" s="36"/>
      <c r="DO82" s="36"/>
      <c r="DP82" s="36"/>
      <c r="DQ82" s="36"/>
      <c r="DR82" s="36"/>
      <c r="DS82" s="36"/>
      <c r="DT82" s="36"/>
      <c r="DU82" s="36"/>
      <c r="DV82" s="36"/>
      <c r="DW82" s="36"/>
      <c r="DX82" s="36"/>
      <c r="DY82" s="36"/>
      <c r="DZ82" s="36"/>
      <c r="EA82" s="36"/>
      <c r="EB82" s="36"/>
      <c r="EC82" s="36"/>
      <c r="ED82" s="36"/>
      <c r="EE82" s="36"/>
      <c r="EF82" s="36"/>
      <c r="EG82" s="36"/>
      <c r="EH82" s="36"/>
      <c r="EI82" s="36"/>
      <c r="EJ82" s="36"/>
      <c r="EK82" s="36"/>
      <c r="EL82" s="36"/>
      <c r="EM82" s="36"/>
      <c r="EN82" s="36"/>
      <c r="EO82" s="36"/>
      <c r="EP82" s="36"/>
      <c r="EQ82" s="36"/>
      <c r="ER82" s="36"/>
      <c r="ES82" s="36"/>
      <c r="ET82" s="36"/>
      <c r="EU82" s="36"/>
      <c r="EV82" s="36"/>
      <c r="EW82" s="36"/>
      <c r="EX82" s="36"/>
      <c r="EY82" s="36"/>
      <c r="EZ82" s="36"/>
      <c r="FA82" s="36"/>
      <c r="FB82" s="36"/>
      <c r="FC82" s="36"/>
      <c r="FD82" s="36"/>
      <c r="FE82" s="36"/>
    </row>
    <row r="83" spans="1:161" s="37" customFormat="1" ht="26.25" customHeight="1" x14ac:dyDescent="0.2">
      <c r="A83" s="69" t="s">
        <v>173</v>
      </c>
      <c r="B83" s="454">
        <v>1E-3</v>
      </c>
      <c r="C83" s="451">
        <v>1E-3</v>
      </c>
      <c r="D83" s="451">
        <v>1E-3</v>
      </c>
      <c r="E83" s="451"/>
      <c r="F83" s="451">
        <v>0.06</v>
      </c>
      <c r="G83" s="451"/>
      <c r="H83" s="451"/>
      <c r="I83" s="454">
        <v>1E-3</v>
      </c>
      <c r="J83" s="451">
        <v>0.02</v>
      </c>
      <c r="K83" s="451">
        <v>0.02</v>
      </c>
      <c r="L83" s="452">
        <v>7.0000000000000007E-2</v>
      </c>
      <c r="M83" s="453">
        <v>2.1999999999999999E-2</v>
      </c>
      <c r="N83" s="451">
        <v>1E-3</v>
      </c>
      <c r="O83" s="451">
        <v>1E-3</v>
      </c>
      <c r="P83" s="451">
        <v>1.2503356432258428E-3</v>
      </c>
      <c r="Q83" s="451">
        <v>1E-3</v>
      </c>
      <c r="R83" s="451"/>
      <c r="S83" s="451">
        <v>0.11527377521613834</v>
      </c>
      <c r="T83" s="455">
        <v>1E-3</v>
      </c>
      <c r="U83" s="451">
        <v>1.6E-2</v>
      </c>
      <c r="V83" s="452">
        <v>0.02</v>
      </c>
      <c r="W83" s="452">
        <v>1.4999999999999999E-2</v>
      </c>
      <c r="X83" s="87"/>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c r="CR83" s="36"/>
      <c r="CS83" s="36"/>
      <c r="CT83" s="36"/>
      <c r="CU83" s="36"/>
      <c r="CV83" s="36"/>
      <c r="CW83" s="36"/>
      <c r="CX83" s="36"/>
      <c r="CY83" s="36"/>
      <c r="CZ83" s="36"/>
      <c r="DA83" s="36"/>
      <c r="DB83" s="36"/>
      <c r="DC83" s="36"/>
      <c r="DD83" s="36"/>
      <c r="DE83" s="36"/>
      <c r="DF83" s="36"/>
      <c r="DG83" s="36"/>
      <c r="DH83" s="36"/>
      <c r="DI83" s="36"/>
      <c r="DJ83" s="36"/>
      <c r="DK83" s="36"/>
      <c r="DL83" s="36"/>
      <c r="DM83" s="36"/>
      <c r="DN83" s="36"/>
      <c r="DO83" s="36"/>
      <c r="DP83" s="36"/>
      <c r="DQ83" s="36"/>
      <c r="DR83" s="36"/>
      <c r="DS83" s="36"/>
      <c r="DT83" s="36"/>
      <c r="DU83" s="36"/>
      <c r="DV83" s="36"/>
      <c r="DW83" s="36"/>
      <c r="DX83" s="36"/>
      <c r="DY83" s="36"/>
      <c r="DZ83" s="36"/>
      <c r="EA83" s="36"/>
      <c r="EB83" s="36"/>
      <c r="EC83" s="36"/>
      <c r="ED83" s="36"/>
      <c r="EE83" s="36"/>
      <c r="EF83" s="36"/>
      <c r="EG83" s="36"/>
      <c r="EH83" s="36"/>
      <c r="EI83" s="36"/>
      <c r="EJ83" s="36"/>
      <c r="EK83" s="36"/>
      <c r="EL83" s="36"/>
      <c r="EM83" s="36"/>
      <c r="EN83" s="36"/>
      <c r="EO83" s="36"/>
      <c r="EP83" s="36"/>
      <c r="EQ83" s="36"/>
      <c r="ER83" s="36"/>
      <c r="ES83" s="36"/>
      <c r="ET83" s="36"/>
      <c r="EU83" s="36"/>
      <c r="EV83" s="36"/>
      <c r="EW83" s="36"/>
      <c r="EX83" s="36"/>
      <c r="EY83" s="36"/>
      <c r="EZ83" s="36"/>
      <c r="FA83" s="36"/>
      <c r="FB83" s="36"/>
      <c r="FC83" s="36"/>
      <c r="FD83" s="36"/>
      <c r="FE83" s="36"/>
    </row>
    <row r="84" spans="1:161" s="37" customFormat="1" ht="26.25" customHeight="1" x14ac:dyDescent="0.2">
      <c r="A84" s="456" t="s">
        <v>174</v>
      </c>
      <c r="B84" s="457">
        <v>3.0000000000000001E-3</v>
      </c>
      <c r="C84" s="458">
        <v>2E-3</v>
      </c>
      <c r="D84" s="458">
        <v>2E-3</v>
      </c>
      <c r="E84" s="458">
        <v>2E-3</v>
      </c>
      <c r="F84" s="458">
        <v>0.06</v>
      </c>
      <c r="G84" s="458"/>
      <c r="H84" s="458"/>
      <c r="I84" s="457">
        <v>3.0000000000000001E-3</v>
      </c>
      <c r="J84" s="458">
        <v>0.02</v>
      </c>
      <c r="K84" s="458">
        <v>0.02</v>
      </c>
      <c r="L84" s="459">
        <v>0.02</v>
      </c>
      <c r="M84" s="460">
        <v>4.4999999999999998E-2</v>
      </c>
      <c r="N84" s="458">
        <v>2E-3</v>
      </c>
      <c r="O84" s="458">
        <v>2.9251151785580267E-3</v>
      </c>
      <c r="P84" s="458">
        <v>3.7510069296775284E-3</v>
      </c>
      <c r="Q84" s="458">
        <v>3.0000000000000001E-3</v>
      </c>
      <c r="R84" s="458">
        <v>0.222</v>
      </c>
      <c r="S84" s="458">
        <v>5.7636887608069169E-2</v>
      </c>
      <c r="T84" s="461">
        <v>2E-3</v>
      </c>
      <c r="U84" s="458">
        <v>8.0000000000000002E-3</v>
      </c>
      <c r="V84" s="459">
        <v>0.02</v>
      </c>
      <c r="W84" s="459">
        <v>1.4999999999999999E-2</v>
      </c>
      <c r="X84" s="87"/>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c r="CR84" s="36"/>
      <c r="CS84" s="36"/>
      <c r="CT84" s="36"/>
      <c r="CU84" s="36"/>
      <c r="CV84" s="36"/>
      <c r="CW84" s="36"/>
      <c r="CX84" s="36"/>
      <c r="CY84" s="36"/>
      <c r="CZ84" s="36"/>
      <c r="DA84" s="36"/>
      <c r="DB84" s="36"/>
      <c r="DC84" s="36"/>
      <c r="DD84" s="36"/>
      <c r="DE84" s="36"/>
      <c r="DF84" s="36"/>
      <c r="DG84" s="36"/>
      <c r="DH84" s="36"/>
      <c r="DI84" s="36"/>
      <c r="DJ84" s="36"/>
      <c r="DK84" s="36"/>
      <c r="DL84" s="36"/>
      <c r="DM84" s="36"/>
      <c r="DN84" s="36"/>
      <c r="DO84" s="36"/>
      <c r="DP84" s="36"/>
      <c r="DQ84" s="36"/>
      <c r="DR84" s="36"/>
      <c r="DS84" s="36"/>
      <c r="DT84" s="36"/>
      <c r="DU84" s="36"/>
      <c r="DV84" s="36"/>
      <c r="DW84" s="36"/>
      <c r="DX84" s="36"/>
      <c r="DY84" s="36"/>
      <c r="DZ84" s="36"/>
      <c r="EA84" s="36"/>
      <c r="EB84" s="36"/>
      <c r="EC84" s="36"/>
      <c r="ED84" s="36"/>
      <c r="EE84" s="36"/>
      <c r="EF84" s="36"/>
      <c r="EG84" s="36"/>
      <c r="EH84" s="36"/>
      <c r="EI84" s="36"/>
      <c r="EJ84" s="36"/>
      <c r="EK84" s="36"/>
      <c r="EL84" s="36"/>
      <c r="EM84" s="36"/>
      <c r="EN84" s="36"/>
      <c r="EO84" s="36"/>
      <c r="EP84" s="36"/>
      <c r="EQ84" s="36"/>
      <c r="ER84" s="36"/>
      <c r="ES84" s="36"/>
      <c r="ET84" s="36"/>
      <c r="EU84" s="36"/>
      <c r="EV84" s="36"/>
      <c r="EW84" s="36"/>
      <c r="EX84" s="36"/>
      <c r="EY84" s="36"/>
      <c r="EZ84" s="36"/>
      <c r="FA84" s="36"/>
      <c r="FB84" s="36"/>
      <c r="FC84" s="36"/>
      <c r="FD84" s="36"/>
      <c r="FE84" s="36"/>
    </row>
    <row r="85" spans="1:161" s="37" customFormat="1" ht="26.25" customHeight="1" x14ac:dyDescent="0.2">
      <c r="A85" s="69" t="s">
        <v>652</v>
      </c>
      <c r="B85" s="454"/>
      <c r="C85" s="451">
        <v>1E-3</v>
      </c>
      <c r="D85" s="451"/>
      <c r="E85" s="451">
        <v>1E-3</v>
      </c>
      <c r="F85" s="451"/>
      <c r="G85" s="451"/>
      <c r="H85" s="451"/>
      <c r="I85" s="454"/>
      <c r="J85" s="451"/>
      <c r="K85" s="451"/>
      <c r="L85" s="452">
        <v>7.0000000000000007E-2</v>
      </c>
      <c r="M85" s="453"/>
      <c r="N85" s="451"/>
      <c r="O85" s="451"/>
      <c r="P85" s="451"/>
      <c r="Q85" s="451"/>
      <c r="R85" s="451"/>
      <c r="S85" s="451">
        <v>0.11527377521613834</v>
      </c>
      <c r="T85" s="455" t="s">
        <v>10</v>
      </c>
      <c r="U85" s="451">
        <v>6.6000000000000003E-2</v>
      </c>
      <c r="V85" s="452"/>
      <c r="W85" s="452"/>
      <c r="X85" s="87"/>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6"/>
      <c r="DJ85" s="36"/>
      <c r="DK85" s="36"/>
      <c r="DL85" s="36"/>
      <c r="DM85" s="36"/>
      <c r="DN85" s="36"/>
      <c r="DO85" s="36"/>
      <c r="DP85" s="36"/>
      <c r="DQ85" s="36"/>
      <c r="DR85" s="36"/>
      <c r="DS85" s="36"/>
      <c r="DT85" s="36"/>
      <c r="DU85" s="36"/>
      <c r="DV85" s="36"/>
      <c r="DW85" s="36"/>
      <c r="DX85" s="36"/>
      <c r="DY85" s="36"/>
      <c r="DZ85" s="36"/>
      <c r="EA85" s="36"/>
      <c r="EB85" s="36"/>
      <c r="EC85" s="36"/>
      <c r="ED85" s="36"/>
      <c r="EE85" s="36"/>
      <c r="EF85" s="36"/>
      <c r="EG85" s="36"/>
      <c r="EH85" s="36"/>
      <c r="EI85" s="36"/>
      <c r="EJ85" s="36"/>
      <c r="EK85" s="36"/>
      <c r="EL85" s="36"/>
      <c r="EM85" s="36"/>
      <c r="EN85" s="36"/>
      <c r="EO85" s="36"/>
      <c r="EP85" s="36"/>
      <c r="EQ85" s="36"/>
      <c r="ER85" s="36"/>
      <c r="ES85" s="36"/>
      <c r="ET85" s="36"/>
      <c r="EU85" s="36"/>
      <c r="EV85" s="36"/>
      <c r="EW85" s="36"/>
      <c r="EX85" s="36"/>
      <c r="EY85" s="36"/>
      <c r="EZ85" s="36"/>
      <c r="FA85" s="36"/>
      <c r="FB85" s="36"/>
      <c r="FC85" s="36"/>
      <c r="FD85" s="36"/>
      <c r="FE85" s="36"/>
    </row>
    <row r="86" spans="1:161" s="37" customFormat="1" ht="26.25" customHeight="1" x14ac:dyDescent="0.2">
      <c r="A86" s="456" t="s">
        <v>175</v>
      </c>
      <c r="B86" s="457">
        <v>8.0000000000000002E-3</v>
      </c>
      <c r="C86" s="458">
        <v>5.0000000000000001E-3</v>
      </c>
      <c r="D86" s="458">
        <v>5.0000000000000001E-3</v>
      </c>
      <c r="E86" s="458">
        <v>4.0000000000000001E-3</v>
      </c>
      <c r="F86" s="458">
        <v>0.06</v>
      </c>
      <c r="G86" s="458"/>
      <c r="H86" s="458"/>
      <c r="I86" s="457">
        <v>8.0000000000000002E-3</v>
      </c>
      <c r="J86" s="458">
        <v>0.09</v>
      </c>
      <c r="K86" s="458">
        <v>0.1</v>
      </c>
      <c r="L86" s="459">
        <v>7.0000000000000007E-2</v>
      </c>
      <c r="M86" s="460">
        <v>4.4999999999999998E-2</v>
      </c>
      <c r="N86" s="458">
        <v>5.0000000000000001E-3</v>
      </c>
      <c r="O86" s="458">
        <v>7.8003071428214051E-3</v>
      </c>
      <c r="P86" s="458">
        <v>1.0002685145806742E-2</v>
      </c>
      <c r="Q86" s="458">
        <v>7.0000000000000001E-3</v>
      </c>
      <c r="R86" s="458">
        <v>0.26600000000000001</v>
      </c>
      <c r="S86" s="458">
        <v>0.11527377521613834</v>
      </c>
      <c r="T86" s="461">
        <v>5.0000000000000001E-3</v>
      </c>
      <c r="U86" s="458">
        <v>1.6E-2</v>
      </c>
      <c r="V86" s="459">
        <v>0.02</v>
      </c>
      <c r="W86" s="459">
        <v>5.1999999999999998E-2</v>
      </c>
      <c r="X86" s="87"/>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6"/>
      <c r="CU86" s="36"/>
      <c r="CV86" s="36"/>
      <c r="CW86" s="36"/>
      <c r="CX86" s="36"/>
      <c r="CY86" s="36"/>
      <c r="CZ86" s="36"/>
      <c r="DA86" s="36"/>
      <c r="DB86" s="36"/>
      <c r="DC86" s="36"/>
      <c r="DD86" s="36"/>
      <c r="DE86" s="36"/>
      <c r="DF86" s="36"/>
      <c r="DG86" s="36"/>
      <c r="DH86" s="36"/>
      <c r="DI86" s="36"/>
      <c r="DJ86" s="36"/>
      <c r="DK86" s="36"/>
      <c r="DL86" s="36"/>
      <c r="DM86" s="36"/>
      <c r="DN86" s="36"/>
      <c r="DO86" s="36"/>
      <c r="DP86" s="36"/>
      <c r="DQ86" s="36"/>
      <c r="DR86" s="36"/>
      <c r="DS86" s="36"/>
      <c r="DT86" s="36"/>
      <c r="DU86" s="36"/>
      <c r="DV86" s="36"/>
      <c r="DW86" s="36"/>
      <c r="DX86" s="36"/>
      <c r="DY86" s="36"/>
      <c r="DZ86" s="36"/>
      <c r="EA86" s="36"/>
      <c r="EB86" s="36"/>
      <c r="EC86" s="36"/>
      <c r="ED86" s="36"/>
      <c r="EE86" s="36"/>
      <c r="EF86" s="36"/>
      <c r="EG86" s="36"/>
      <c r="EH86" s="36"/>
      <c r="EI86" s="36"/>
      <c r="EJ86" s="36"/>
      <c r="EK86" s="36"/>
      <c r="EL86" s="36"/>
      <c r="EM86" s="36"/>
      <c r="EN86" s="36"/>
      <c r="EO86" s="36"/>
      <c r="EP86" s="36"/>
      <c r="EQ86" s="36"/>
      <c r="ER86" s="36"/>
      <c r="ES86" s="36"/>
      <c r="ET86" s="36"/>
      <c r="EU86" s="36"/>
      <c r="EV86" s="36"/>
      <c r="EW86" s="36"/>
      <c r="EX86" s="36"/>
      <c r="EY86" s="36"/>
      <c r="EZ86" s="36"/>
      <c r="FA86" s="36"/>
      <c r="FB86" s="36"/>
      <c r="FC86" s="36"/>
      <c r="FD86" s="36"/>
      <c r="FE86" s="36"/>
    </row>
    <row r="87" spans="1:161" s="37" customFormat="1" ht="26.25" customHeight="1" x14ac:dyDescent="0.2">
      <c r="A87" s="69" t="s">
        <v>646</v>
      </c>
      <c r="B87" s="454"/>
      <c r="C87" s="451"/>
      <c r="D87" s="451"/>
      <c r="E87" s="451"/>
      <c r="F87" s="451"/>
      <c r="G87" s="451"/>
      <c r="H87" s="451"/>
      <c r="I87" s="454"/>
      <c r="J87" s="451">
        <v>2.16</v>
      </c>
      <c r="K87" s="451">
        <v>2.04</v>
      </c>
      <c r="L87" s="452"/>
      <c r="M87" s="453"/>
      <c r="N87" s="451"/>
      <c r="O87" s="451"/>
      <c r="P87" s="451"/>
      <c r="Q87" s="451"/>
      <c r="R87" s="451">
        <v>0.24099999999999999</v>
      </c>
      <c r="S87" s="451"/>
      <c r="T87" s="455"/>
      <c r="U87" s="451"/>
      <c r="V87" s="452">
        <v>0.02</v>
      </c>
      <c r="W87" s="452">
        <v>2.7519999999999998</v>
      </c>
      <c r="X87" s="87"/>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c r="DL87" s="36"/>
      <c r="DM87" s="36"/>
      <c r="DN87" s="36"/>
      <c r="DO87" s="36"/>
      <c r="DP87" s="36"/>
      <c r="DQ87" s="36"/>
      <c r="DR87" s="36"/>
      <c r="DS87" s="36"/>
      <c r="DT87" s="36"/>
      <c r="DU87" s="36"/>
      <c r="DV87" s="36"/>
      <c r="DW87" s="36"/>
      <c r="DX87" s="36"/>
      <c r="DY87" s="36"/>
      <c r="DZ87" s="36"/>
      <c r="EA87" s="36"/>
      <c r="EB87" s="36"/>
      <c r="EC87" s="36"/>
      <c r="ED87" s="36"/>
      <c r="EE87" s="36"/>
      <c r="EF87" s="36"/>
      <c r="EG87" s="36"/>
      <c r="EH87" s="36"/>
      <c r="EI87" s="36"/>
      <c r="EJ87" s="36"/>
      <c r="EK87" s="36"/>
      <c r="EL87" s="36"/>
      <c r="EM87" s="36"/>
      <c r="EN87" s="36"/>
      <c r="EO87" s="36"/>
      <c r="EP87" s="36"/>
      <c r="EQ87" s="36"/>
      <c r="ER87" s="36"/>
      <c r="ES87" s="36"/>
      <c r="ET87" s="36"/>
      <c r="EU87" s="36"/>
      <c r="EV87" s="36"/>
      <c r="EW87" s="36"/>
      <c r="EX87" s="36"/>
      <c r="EY87" s="36"/>
      <c r="EZ87" s="36"/>
      <c r="FA87" s="36"/>
      <c r="FB87" s="36"/>
      <c r="FC87" s="36"/>
      <c r="FD87" s="36"/>
      <c r="FE87" s="36"/>
    </row>
    <row r="88" spans="1:161" s="37" customFormat="1" ht="26.25" customHeight="1" x14ac:dyDescent="0.2">
      <c r="A88" s="456" t="s">
        <v>177</v>
      </c>
      <c r="B88" s="457">
        <v>0.29099999999999998</v>
      </c>
      <c r="C88" s="458">
        <v>0.247</v>
      </c>
      <c r="D88" s="458">
        <v>0.245</v>
      </c>
      <c r="E88" s="458">
        <v>0.20100000000000001</v>
      </c>
      <c r="F88" s="458">
        <v>0.19</v>
      </c>
      <c r="G88" s="458">
        <v>0.87192508988696227</v>
      </c>
      <c r="H88" s="458"/>
      <c r="I88" s="457">
        <v>0.29099999999999998</v>
      </c>
      <c r="J88" s="458">
        <v>0.05</v>
      </c>
      <c r="K88" s="458">
        <v>0.05</v>
      </c>
      <c r="L88" s="459">
        <v>0.14000000000000001</v>
      </c>
      <c r="M88" s="460"/>
      <c r="N88" s="458">
        <v>0.24399999999999999</v>
      </c>
      <c r="O88" s="458">
        <v>0.2837361723201286</v>
      </c>
      <c r="P88" s="458">
        <v>0.36384767217872022</v>
      </c>
      <c r="Q88" s="458">
        <v>0.33900000000000002</v>
      </c>
      <c r="R88" s="458">
        <v>1.0629999999999999</v>
      </c>
      <c r="S88" s="458">
        <v>0.57636887608069165</v>
      </c>
      <c r="T88" s="461">
        <v>0.24399999999999999</v>
      </c>
      <c r="U88" s="458">
        <v>0.78600000000000003</v>
      </c>
      <c r="V88" s="459">
        <v>0.28999999999999998</v>
      </c>
      <c r="W88" s="459">
        <v>0.63200000000000001</v>
      </c>
      <c r="X88" s="87"/>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c r="CB88" s="36"/>
      <c r="CC88" s="36"/>
      <c r="CD88" s="36"/>
      <c r="CE88" s="36"/>
      <c r="CF88" s="36"/>
      <c r="CG88" s="36"/>
      <c r="CH88" s="36"/>
      <c r="CI88" s="36"/>
      <c r="CJ88" s="36"/>
      <c r="CK88" s="36"/>
      <c r="CL88" s="36"/>
      <c r="CM88" s="36"/>
      <c r="CN88" s="36"/>
      <c r="CO88" s="36"/>
      <c r="CP88" s="36"/>
      <c r="CQ88" s="36"/>
      <c r="CR88" s="36"/>
      <c r="CS88" s="36"/>
      <c r="CT88" s="36"/>
      <c r="CU88" s="36"/>
      <c r="CV88" s="36"/>
      <c r="CW88" s="36"/>
      <c r="CX88" s="36"/>
      <c r="CY88" s="36"/>
      <c r="CZ88" s="36"/>
      <c r="DA88" s="36"/>
      <c r="DB88" s="36"/>
      <c r="DC88" s="36"/>
      <c r="DD88" s="36"/>
      <c r="DE88" s="36"/>
      <c r="DF88" s="36"/>
      <c r="DG88" s="36"/>
      <c r="DH88" s="36"/>
      <c r="DI88" s="36"/>
      <c r="DJ88" s="36"/>
      <c r="DK88" s="36"/>
      <c r="DL88" s="36"/>
      <c r="DM88" s="36"/>
      <c r="DN88" s="36"/>
      <c r="DO88" s="36"/>
      <c r="DP88" s="36"/>
      <c r="DQ88" s="36"/>
      <c r="DR88" s="36"/>
      <c r="DS88" s="36"/>
      <c r="DT88" s="36"/>
      <c r="DU88" s="36"/>
      <c r="DV88" s="36"/>
      <c r="DW88" s="36"/>
      <c r="DX88" s="36"/>
      <c r="DY88" s="36"/>
      <c r="DZ88" s="36"/>
      <c r="EA88" s="36"/>
      <c r="EB88" s="36"/>
      <c r="EC88" s="36"/>
      <c r="ED88" s="36"/>
      <c r="EE88" s="36"/>
      <c r="EF88" s="36"/>
      <c r="EG88" s="36"/>
      <c r="EH88" s="36"/>
      <c r="EI88" s="36"/>
      <c r="EJ88" s="36"/>
      <c r="EK88" s="36"/>
      <c r="EL88" s="36"/>
      <c r="EM88" s="36"/>
      <c r="EN88" s="36"/>
      <c r="EO88" s="36"/>
      <c r="EP88" s="36"/>
      <c r="EQ88" s="36"/>
      <c r="ER88" s="36"/>
      <c r="ES88" s="36"/>
      <c r="ET88" s="36"/>
      <c r="EU88" s="36"/>
      <c r="EV88" s="36"/>
      <c r="EW88" s="36"/>
      <c r="EX88" s="36"/>
      <c r="EY88" s="36"/>
      <c r="EZ88" s="36"/>
      <c r="FA88" s="36"/>
      <c r="FB88" s="36"/>
      <c r="FC88" s="36"/>
      <c r="FD88" s="36"/>
      <c r="FE88" s="36"/>
    </row>
    <row r="89" spans="1:161" s="37" customFormat="1" ht="26.25" customHeight="1" x14ac:dyDescent="0.2">
      <c r="A89" s="69" t="s">
        <v>178</v>
      </c>
      <c r="B89" s="454">
        <v>4.2000000000000003E-2</v>
      </c>
      <c r="C89" s="451">
        <v>3.7999999999999999E-2</v>
      </c>
      <c r="D89" s="451">
        <v>3.6999999999999998E-2</v>
      </c>
      <c r="E89" s="451">
        <v>3.6999999999999998E-2</v>
      </c>
      <c r="F89" s="451">
        <v>0.06</v>
      </c>
      <c r="G89" s="451"/>
      <c r="H89" s="451"/>
      <c r="I89" s="454">
        <v>4.2000000000000003E-2</v>
      </c>
      <c r="J89" s="451">
        <v>0.03</v>
      </c>
      <c r="K89" s="451">
        <v>0.03</v>
      </c>
      <c r="L89" s="452">
        <v>7.0000000000000007E-2</v>
      </c>
      <c r="M89" s="453"/>
      <c r="N89" s="451">
        <v>3.6999999999999998E-2</v>
      </c>
      <c r="O89" s="451">
        <v>4.0951612499812377E-2</v>
      </c>
      <c r="P89" s="451">
        <v>5.25140970154854E-2</v>
      </c>
      <c r="Q89" s="451"/>
      <c r="R89" s="451"/>
      <c r="S89" s="451">
        <v>0.11527377521613834</v>
      </c>
      <c r="T89" s="455">
        <v>3.6999999999999998E-2</v>
      </c>
      <c r="U89" s="451">
        <v>0.13100000000000001</v>
      </c>
      <c r="V89" s="452">
        <v>0.04</v>
      </c>
      <c r="W89" s="452">
        <v>4.8000000000000001E-2</v>
      </c>
      <c r="X89" s="87"/>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36"/>
      <c r="DL89" s="36"/>
      <c r="DM89" s="36"/>
      <c r="DN89" s="36"/>
      <c r="DO89" s="36"/>
      <c r="DP89" s="36"/>
      <c r="DQ89" s="36"/>
      <c r="DR89" s="36"/>
      <c r="DS89" s="36"/>
      <c r="DT89" s="36"/>
      <c r="DU89" s="36"/>
      <c r="DV89" s="36"/>
      <c r="DW89" s="36"/>
      <c r="DX89" s="36"/>
      <c r="DY89" s="36"/>
      <c r="DZ89" s="36"/>
      <c r="EA89" s="36"/>
      <c r="EB89" s="36"/>
      <c r="EC89" s="36"/>
      <c r="ED89" s="36"/>
      <c r="EE89" s="36"/>
      <c r="EF89" s="36"/>
      <c r="EG89" s="36"/>
      <c r="EH89" s="36"/>
      <c r="EI89" s="36"/>
      <c r="EJ89" s="36"/>
      <c r="EK89" s="36"/>
      <c r="EL89" s="36"/>
      <c r="EM89" s="36"/>
      <c r="EN89" s="36"/>
      <c r="EO89" s="36"/>
      <c r="EP89" s="36"/>
      <c r="EQ89" s="36"/>
      <c r="ER89" s="36"/>
      <c r="ES89" s="36"/>
      <c r="ET89" s="36"/>
      <c r="EU89" s="36"/>
      <c r="EV89" s="36"/>
      <c r="EW89" s="36"/>
      <c r="EX89" s="36"/>
      <c r="EY89" s="36"/>
      <c r="EZ89" s="36"/>
      <c r="FA89" s="36"/>
      <c r="FB89" s="36"/>
      <c r="FC89" s="36"/>
      <c r="FD89" s="36"/>
      <c r="FE89" s="36"/>
    </row>
    <row r="90" spans="1:161" s="37" customFormat="1" ht="26.25" customHeight="1" x14ac:dyDescent="0.2">
      <c r="A90" s="456" t="s">
        <v>179</v>
      </c>
      <c r="B90" s="457">
        <v>0.53400000000000003</v>
      </c>
      <c r="C90" s="458"/>
      <c r="D90" s="458">
        <v>0.45200000000000001</v>
      </c>
      <c r="E90" s="458">
        <v>0.36399999999999999</v>
      </c>
      <c r="F90" s="458">
        <v>0.55000000000000004</v>
      </c>
      <c r="G90" s="458">
        <v>2.4573414152562099</v>
      </c>
      <c r="H90" s="458">
        <v>4.5890856246892806</v>
      </c>
      <c r="I90" s="457">
        <v>0.53400000000000003</v>
      </c>
      <c r="J90" s="458">
        <v>1.04</v>
      </c>
      <c r="K90" s="458">
        <v>1.1599999999999999</v>
      </c>
      <c r="L90" s="459">
        <v>2.87</v>
      </c>
      <c r="M90" s="460"/>
      <c r="N90" s="458">
        <v>0.45</v>
      </c>
      <c r="O90" s="458">
        <v>0.52067050178332874</v>
      </c>
      <c r="P90" s="458">
        <v>0.66767923348260005</v>
      </c>
      <c r="Q90" s="458">
        <v>0.625</v>
      </c>
      <c r="R90" s="458">
        <v>1.153</v>
      </c>
      <c r="S90" s="458">
        <v>2.3054755043227666</v>
      </c>
      <c r="T90" s="461">
        <v>0.45</v>
      </c>
      <c r="U90" s="458">
        <v>0.52400000000000002</v>
      </c>
      <c r="V90" s="459">
        <v>0.53</v>
      </c>
      <c r="W90" s="459">
        <v>1.075</v>
      </c>
      <c r="X90" s="87"/>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CM90" s="36"/>
      <c r="CN90" s="36"/>
      <c r="CO90" s="36"/>
      <c r="CP90" s="36"/>
      <c r="CQ90" s="36"/>
      <c r="CR90" s="36"/>
      <c r="CS90" s="36"/>
      <c r="CT90" s="36"/>
      <c r="CU90" s="36"/>
      <c r="CV90" s="36"/>
      <c r="CW90" s="36"/>
      <c r="CX90" s="36"/>
      <c r="CY90" s="36"/>
      <c r="CZ90" s="36"/>
      <c r="DA90" s="36"/>
      <c r="DB90" s="36"/>
      <c r="DC90" s="36"/>
      <c r="DD90" s="36"/>
      <c r="DE90" s="36"/>
      <c r="DF90" s="36"/>
      <c r="DG90" s="36"/>
      <c r="DH90" s="36"/>
      <c r="DI90" s="36"/>
      <c r="DJ90" s="36"/>
      <c r="DK90" s="36"/>
      <c r="DL90" s="36"/>
      <c r="DM90" s="36"/>
      <c r="DN90" s="36"/>
      <c r="DO90" s="36"/>
      <c r="DP90" s="36"/>
      <c r="DQ90" s="36"/>
      <c r="DR90" s="36"/>
      <c r="DS90" s="36"/>
      <c r="DT90" s="36"/>
      <c r="DU90" s="36"/>
      <c r="DV90" s="36"/>
      <c r="DW90" s="36"/>
      <c r="DX90" s="36"/>
      <c r="DY90" s="36"/>
      <c r="DZ90" s="36"/>
      <c r="EA90" s="36"/>
      <c r="EB90" s="36"/>
      <c r="EC90" s="36"/>
      <c r="ED90" s="36"/>
      <c r="EE90" s="36"/>
      <c r="EF90" s="36"/>
      <c r="EG90" s="36"/>
      <c r="EH90" s="36"/>
      <c r="EI90" s="36"/>
      <c r="EJ90" s="36"/>
      <c r="EK90" s="36"/>
      <c r="EL90" s="36"/>
      <c r="EM90" s="36"/>
      <c r="EN90" s="36"/>
      <c r="EO90" s="36"/>
      <c r="EP90" s="36"/>
      <c r="EQ90" s="36"/>
      <c r="ER90" s="36"/>
      <c r="ES90" s="36"/>
      <c r="ET90" s="36"/>
      <c r="EU90" s="36"/>
      <c r="EV90" s="36"/>
      <c r="EW90" s="36"/>
      <c r="EX90" s="36"/>
      <c r="EY90" s="36"/>
      <c r="EZ90" s="36"/>
      <c r="FA90" s="36"/>
      <c r="FB90" s="36"/>
      <c r="FC90" s="36"/>
      <c r="FD90" s="36"/>
      <c r="FE90" s="36"/>
    </row>
    <row r="91" spans="1:161" s="37" customFormat="1" ht="26.25" customHeight="1" x14ac:dyDescent="0.2">
      <c r="A91" s="69" t="s">
        <v>180</v>
      </c>
      <c r="B91" s="454">
        <v>0.23799999999999999</v>
      </c>
      <c r="C91" s="451">
        <v>0.16300000000000001</v>
      </c>
      <c r="D91" s="451">
        <v>0.16200000000000001</v>
      </c>
      <c r="E91" s="451">
        <v>0.13</v>
      </c>
      <c r="F91" s="451">
        <v>0.28000000000000003</v>
      </c>
      <c r="G91" s="451"/>
      <c r="H91" s="451">
        <v>1.5296952082297601</v>
      </c>
      <c r="I91" s="454">
        <v>0.23799999999999999</v>
      </c>
      <c r="J91" s="451">
        <v>0.7</v>
      </c>
      <c r="K91" s="451">
        <v>0.69</v>
      </c>
      <c r="L91" s="452">
        <v>0.28999999999999998</v>
      </c>
      <c r="M91" s="453"/>
      <c r="N91" s="451">
        <v>0.161</v>
      </c>
      <c r="O91" s="451">
        <v>0.23205913749893678</v>
      </c>
      <c r="P91" s="451">
        <v>0.29757988308775057</v>
      </c>
      <c r="Q91" s="451">
        <v>0.224</v>
      </c>
      <c r="R91" s="451">
        <v>0.88600000000000001</v>
      </c>
      <c r="S91" s="451">
        <v>1.1527377521613833</v>
      </c>
      <c r="T91" s="455">
        <v>0.161</v>
      </c>
      <c r="U91" s="451">
        <v>0.26200000000000001</v>
      </c>
      <c r="V91" s="452">
        <v>0.23</v>
      </c>
      <c r="W91" s="452">
        <v>0.73899999999999999</v>
      </c>
      <c r="X91" s="87"/>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c r="CB91" s="36"/>
      <c r="CC91" s="36"/>
      <c r="CD91" s="36"/>
      <c r="CE91" s="36"/>
      <c r="CF91" s="36"/>
      <c r="CG91" s="36"/>
      <c r="CH91" s="36"/>
      <c r="CI91" s="36"/>
      <c r="CJ91" s="36"/>
      <c r="CK91" s="36"/>
      <c r="CL91" s="36"/>
      <c r="CM91" s="36"/>
      <c r="CN91" s="36"/>
      <c r="CO91" s="36"/>
      <c r="CP91" s="36"/>
      <c r="CQ91" s="36"/>
      <c r="CR91" s="36"/>
      <c r="CS91" s="36"/>
      <c r="CT91" s="36"/>
      <c r="CU91" s="36"/>
      <c r="CV91" s="36"/>
      <c r="CW91" s="36"/>
      <c r="CX91" s="36"/>
      <c r="CY91" s="36"/>
      <c r="CZ91" s="36"/>
      <c r="DA91" s="36"/>
      <c r="DB91" s="36"/>
      <c r="DC91" s="36"/>
      <c r="DD91" s="36"/>
      <c r="DE91" s="36"/>
      <c r="DF91" s="36"/>
      <c r="DG91" s="36"/>
      <c r="DH91" s="36"/>
      <c r="DI91" s="36"/>
      <c r="DJ91" s="36"/>
      <c r="DK91" s="36"/>
      <c r="DL91" s="36"/>
      <c r="DM91" s="36"/>
      <c r="DN91" s="36"/>
      <c r="DO91" s="36"/>
      <c r="DP91" s="36"/>
      <c r="DQ91" s="36"/>
      <c r="DR91" s="36"/>
      <c r="DS91" s="36"/>
      <c r="DT91" s="36"/>
      <c r="DU91" s="36"/>
      <c r="DV91" s="36"/>
      <c r="DW91" s="36"/>
      <c r="DX91" s="36"/>
      <c r="DY91" s="36"/>
      <c r="DZ91" s="36"/>
      <c r="EA91" s="36"/>
      <c r="EB91" s="36"/>
      <c r="EC91" s="36"/>
      <c r="ED91" s="36"/>
      <c r="EE91" s="36"/>
      <c r="EF91" s="36"/>
      <c r="EG91" s="36"/>
      <c r="EH91" s="36"/>
      <c r="EI91" s="36"/>
      <c r="EJ91" s="36"/>
      <c r="EK91" s="36"/>
      <c r="EL91" s="36"/>
      <c r="EM91" s="36"/>
      <c r="EN91" s="36"/>
      <c r="EO91" s="36"/>
      <c r="EP91" s="36"/>
      <c r="EQ91" s="36"/>
      <c r="ER91" s="36"/>
      <c r="ES91" s="36"/>
      <c r="ET91" s="36"/>
      <c r="EU91" s="36"/>
      <c r="EV91" s="36"/>
      <c r="EW91" s="36"/>
      <c r="EX91" s="36"/>
      <c r="EY91" s="36"/>
      <c r="EZ91" s="36"/>
      <c r="FA91" s="36"/>
      <c r="FB91" s="36"/>
      <c r="FC91" s="36"/>
      <c r="FD91" s="36"/>
      <c r="FE91" s="36"/>
    </row>
    <row r="92" spans="1:161" s="37" customFormat="1" ht="26.25" customHeight="1" x14ac:dyDescent="0.2">
      <c r="A92" s="456" t="s">
        <v>302</v>
      </c>
      <c r="B92" s="457">
        <v>0.23300000000000001</v>
      </c>
      <c r="C92" s="458">
        <v>0.183</v>
      </c>
      <c r="D92" s="458">
        <v>0.18099999999999999</v>
      </c>
      <c r="E92" s="458">
        <v>0.14499999999999999</v>
      </c>
      <c r="F92" s="458">
        <v>0.19</v>
      </c>
      <c r="G92" s="458">
        <v>1.6804766380120537</v>
      </c>
      <c r="H92" s="458"/>
      <c r="I92" s="457">
        <v>0.23300000000000001</v>
      </c>
      <c r="J92" s="458">
        <v>0.16</v>
      </c>
      <c r="K92" s="458">
        <v>0.63</v>
      </c>
      <c r="L92" s="459">
        <v>0.28999999999999998</v>
      </c>
      <c r="M92" s="460"/>
      <c r="N92" s="458">
        <v>0.18</v>
      </c>
      <c r="O92" s="458">
        <v>0.22718394553467341</v>
      </c>
      <c r="P92" s="458">
        <v>0.29132820487162137</v>
      </c>
      <c r="Q92" s="458">
        <v>0.25</v>
      </c>
      <c r="R92" s="458">
        <v>0.54</v>
      </c>
      <c r="S92" s="458">
        <v>0.57636887608069165</v>
      </c>
      <c r="T92" s="461">
        <v>0.18</v>
      </c>
      <c r="U92" s="458">
        <v>0.26200000000000001</v>
      </c>
      <c r="V92" s="459">
        <v>0.23</v>
      </c>
      <c r="W92" s="459"/>
      <c r="X92" s="87"/>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c r="CB92" s="36"/>
      <c r="CC92" s="36"/>
      <c r="CD92" s="36"/>
      <c r="CE92" s="36"/>
      <c r="CF92" s="36"/>
      <c r="CG92" s="36"/>
      <c r="CH92" s="36"/>
      <c r="CI92" s="36"/>
      <c r="CJ92" s="36"/>
      <c r="CK92" s="36"/>
      <c r="CL92" s="36"/>
      <c r="CM92" s="36"/>
      <c r="CN92" s="36"/>
      <c r="CO92" s="36"/>
      <c r="CP92" s="36"/>
      <c r="CQ92" s="36"/>
      <c r="CR92" s="36"/>
      <c r="CS92" s="36"/>
      <c r="CT92" s="36"/>
      <c r="CU92" s="36"/>
      <c r="CV92" s="36"/>
      <c r="CW92" s="36"/>
      <c r="CX92" s="36"/>
      <c r="CY92" s="36"/>
      <c r="CZ92" s="36"/>
      <c r="DA92" s="36"/>
      <c r="DB92" s="36"/>
      <c r="DC92" s="36"/>
      <c r="DD92" s="36"/>
      <c r="DE92" s="36"/>
      <c r="DF92" s="36"/>
      <c r="DG92" s="36"/>
      <c r="DH92" s="36"/>
      <c r="DI92" s="36"/>
      <c r="DJ92" s="36"/>
      <c r="DK92" s="36"/>
      <c r="DL92" s="36"/>
      <c r="DM92" s="36"/>
      <c r="DN92" s="36"/>
      <c r="DO92" s="36"/>
      <c r="DP92" s="36"/>
      <c r="DQ92" s="36"/>
      <c r="DR92" s="36"/>
      <c r="DS92" s="36"/>
      <c r="DT92" s="36"/>
      <c r="DU92" s="36"/>
      <c r="DV92" s="36"/>
      <c r="DW92" s="36"/>
      <c r="DX92" s="36"/>
      <c r="DY92" s="36"/>
      <c r="DZ92" s="36"/>
      <c r="EA92" s="36"/>
      <c r="EB92" s="36"/>
      <c r="EC92" s="36"/>
      <c r="ED92" s="36"/>
      <c r="EE92" s="36"/>
      <c r="EF92" s="36"/>
      <c r="EG92" s="36"/>
      <c r="EH92" s="36"/>
      <c r="EI92" s="36"/>
      <c r="EJ92" s="36"/>
      <c r="EK92" s="36"/>
      <c r="EL92" s="36"/>
      <c r="EM92" s="36"/>
      <c r="EN92" s="36"/>
      <c r="EO92" s="36"/>
      <c r="EP92" s="36"/>
      <c r="EQ92" s="36"/>
      <c r="ER92" s="36"/>
      <c r="ES92" s="36"/>
      <c r="ET92" s="36"/>
      <c r="EU92" s="36"/>
      <c r="EV92" s="36"/>
      <c r="EW92" s="36"/>
      <c r="EX92" s="36"/>
      <c r="EY92" s="36"/>
      <c r="EZ92" s="36"/>
      <c r="FA92" s="36"/>
      <c r="FB92" s="36"/>
      <c r="FC92" s="36"/>
      <c r="FD92" s="36"/>
      <c r="FE92" s="36"/>
    </row>
    <row r="93" spans="1:161" s="37" customFormat="1" ht="26.25" customHeight="1" x14ac:dyDescent="0.2">
      <c r="A93" s="69" t="s">
        <v>181</v>
      </c>
      <c r="B93" s="454">
        <v>0.02</v>
      </c>
      <c r="C93" s="451">
        <v>1.4999999999999999E-2</v>
      </c>
      <c r="D93" s="451">
        <v>1.4999999999999999E-2</v>
      </c>
      <c r="E93" s="451">
        <v>1.2E-2</v>
      </c>
      <c r="F93" s="451">
        <v>0.06</v>
      </c>
      <c r="G93" s="451">
        <v>0.72922684279050509</v>
      </c>
      <c r="H93" s="451">
        <v>0.50479941871582079</v>
      </c>
      <c r="I93" s="454">
        <v>0.02</v>
      </c>
      <c r="J93" s="451">
        <v>0.03</v>
      </c>
      <c r="K93" s="451">
        <v>0.03</v>
      </c>
      <c r="L93" s="452">
        <v>7.0000000000000007E-2</v>
      </c>
      <c r="M93" s="453"/>
      <c r="N93" s="451">
        <v>1.4999999999999999E-2</v>
      </c>
      <c r="O93" s="451">
        <v>1.950076785705351E-2</v>
      </c>
      <c r="P93" s="451">
        <v>2.5006712864516858E-2</v>
      </c>
      <c r="Q93" s="451">
        <v>2.1000000000000001E-2</v>
      </c>
      <c r="R93" s="451">
        <v>0.26600000000000001</v>
      </c>
      <c r="S93" s="451">
        <v>0.345821325648415</v>
      </c>
      <c r="T93" s="455">
        <v>1.4999999999999999E-2</v>
      </c>
      <c r="U93" s="451">
        <v>1.6E-2</v>
      </c>
      <c r="V93" s="452">
        <v>0.02</v>
      </c>
      <c r="W93" s="452"/>
      <c r="X93" s="87"/>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c r="CB93" s="36"/>
      <c r="CC93" s="36"/>
      <c r="CD93" s="36"/>
      <c r="CE93" s="36"/>
      <c r="CF93" s="36"/>
      <c r="CG93" s="36"/>
      <c r="CH93" s="36"/>
      <c r="CI93" s="36"/>
      <c r="CJ93" s="36"/>
      <c r="CK93" s="36"/>
      <c r="CL93" s="36"/>
      <c r="CM93" s="36"/>
      <c r="CN93" s="36"/>
      <c r="CO93" s="36"/>
      <c r="CP93" s="36"/>
      <c r="CQ93" s="36"/>
      <c r="CR93" s="36"/>
      <c r="CS93" s="36"/>
      <c r="CT93" s="36"/>
      <c r="CU93" s="36"/>
      <c r="CV93" s="36"/>
      <c r="CW93" s="36"/>
      <c r="CX93" s="36"/>
      <c r="CY93" s="36"/>
      <c r="CZ93" s="36"/>
      <c r="DA93" s="36"/>
      <c r="DB93" s="36"/>
      <c r="DC93" s="36"/>
      <c r="DD93" s="36"/>
      <c r="DE93" s="36"/>
      <c r="DF93" s="36"/>
      <c r="DG93" s="36"/>
      <c r="DH93" s="36"/>
      <c r="DI93" s="36"/>
      <c r="DJ93" s="36"/>
      <c r="DK93" s="36"/>
      <c r="DL93" s="36"/>
      <c r="DM93" s="36"/>
      <c r="DN93" s="36"/>
      <c r="DO93" s="36"/>
      <c r="DP93" s="36"/>
      <c r="DQ93" s="36"/>
      <c r="DR93" s="36"/>
      <c r="DS93" s="36"/>
      <c r="DT93" s="36"/>
      <c r="DU93" s="36"/>
      <c r="DV93" s="36"/>
      <c r="DW93" s="36"/>
      <c r="DX93" s="36"/>
      <c r="DY93" s="36"/>
      <c r="DZ93" s="36"/>
      <c r="EA93" s="36"/>
      <c r="EB93" s="36"/>
      <c r="EC93" s="36"/>
      <c r="ED93" s="36"/>
      <c r="EE93" s="36"/>
      <c r="EF93" s="36"/>
      <c r="EG93" s="36"/>
      <c r="EH93" s="36"/>
      <c r="EI93" s="36"/>
      <c r="EJ93" s="36"/>
      <c r="EK93" s="36"/>
      <c r="EL93" s="36"/>
      <c r="EM93" s="36"/>
      <c r="EN93" s="36"/>
      <c r="EO93" s="36"/>
      <c r="EP93" s="36"/>
      <c r="EQ93" s="36"/>
      <c r="ER93" s="36"/>
      <c r="ES93" s="36"/>
      <c r="ET93" s="36"/>
      <c r="EU93" s="36"/>
      <c r="EV93" s="36"/>
      <c r="EW93" s="36"/>
      <c r="EX93" s="36"/>
      <c r="EY93" s="36"/>
      <c r="EZ93" s="36"/>
      <c r="FA93" s="36"/>
      <c r="FB93" s="36"/>
      <c r="FC93" s="36"/>
      <c r="FD93" s="36"/>
      <c r="FE93" s="36"/>
    </row>
    <row r="94" spans="1:161" s="37" customFormat="1" ht="26.25" customHeight="1" x14ac:dyDescent="0.2">
      <c r="A94" s="456" t="s">
        <v>182</v>
      </c>
      <c r="B94" s="457">
        <v>0.498</v>
      </c>
      <c r="C94" s="458">
        <v>0.45100000000000001</v>
      </c>
      <c r="D94" s="458">
        <v>0.44700000000000001</v>
      </c>
      <c r="E94" s="458">
        <v>0.439</v>
      </c>
      <c r="F94" s="458">
        <v>0.5</v>
      </c>
      <c r="G94" s="458"/>
      <c r="H94" s="458">
        <v>2.0199625224673983</v>
      </c>
      <c r="I94" s="457">
        <v>0.498</v>
      </c>
      <c r="J94" s="458">
        <v>0.11</v>
      </c>
      <c r="K94" s="458">
        <v>0.11</v>
      </c>
      <c r="L94" s="459">
        <v>0.56999999999999995</v>
      </c>
      <c r="M94" s="460"/>
      <c r="N94" s="458">
        <v>0.44500000000000001</v>
      </c>
      <c r="O94" s="458">
        <v>0.48556911964063243</v>
      </c>
      <c r="P94" s="458">
        <v>0.62266715032646969</v>
      </c>
      <c r="Q94" s="458">
        <v>0.61899999999999999</v>
      </c>
      <c r="R94" s="458"/>
      <c r="S94" s="458">
        <v>0.57636887608069165</v>
      </c>
      <c r="T94" s="461">
        <v>0.44500000000000001</v>
      </c>
      <c r="U94" s="458">
        <v>2.6179999999999999</v>
      </c>
      <c r="V94" s="459">
        <v>0.49</v>
      </c>
      <c r="W94" s="459">
        <v>1.2250000000000001</v>
      </c>
      <c r="X94" s="87"/>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c r="CB94" s="36"/>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36"/>
      <c r="DH94" s="36"/>
      <c r="DI94" s="36"/>
      <c r="DJ94" s="36"/>
      <c r="DK94" s="36"/>
      <c r="DL94" s="36"/>
      <c r="DM94" s="36"/>
      <c r="DN94" s="36"/>
      <c r="DO94" s="36"/>
      <c r="DP94" s="36"/>
      <c r="DQ94" s="36"/>
      <c r="DR94" s="36"/>
      <c r="DS94" s="36"/>
      <c r="DT94" s="36"/>
      <c r="DU94" s="36"/>
      <c r="DV94" s="36"/>
      <c r="DW94" s="36"/>
      <c r="DX94" s="36"/>
      <c r="DY94" s="36"/>
      <c r="DZ94" s="36"/>
      <c r="EA94" s="36"/>
      <c r="EB94" s="36"/>
      <c r="EC94" s="36"/>
      <c r="ED94" s="36"/>
      <c r="EE94" s="36"/>
      <c r="EF94" s="36"/>
      <c r="EG94" s="36"/>
      <c r="EH94" s="36"/>
      <c r="EI94" s="36"/>
      <c r="EJ94" s="36"/>
      <c r="EK94" s="36"/>
      <c r="EL94" s="36"/>
      <c r="EM94" s="36"/>
      <c r="EN94" s="36"/>
      <c r="EO94" s="36"/>
      <c r="EP94" s="36"/>
      <c r="EQ94" s="36"/>
      <c r="ER94" s="36"/>
      <c r="ES94" s="36"/>
      <c r="ET94" s="36"/>
      <c r="EU94" s="36"/>
      <c r="EV94" s="36"/>
      <c r="EW94" s="36"/>
      <c r="EX94" s="36"/>
      <c r="EY94" s="36"/>
      <c r="EZ94" s="36"/>
      <c r="FA94" s="36"/>
      <c r="FB94" s="36"/>
      <c r="FC94" s="36"/>
      <c r="FD94" s="36"/>
      <c r="FE94" s="36"/>
    </row>
    <row r="95" spans="1:161" s="37" customFormat="1" ht="26.25" customHeight="1" x14ac:dyDescent="0.2">
      <c r="A95" s="69" t="s">
        <v>183</v>
      </c>
      <c r="B95" s="454">
        <v>0.38400000000000001</v>
      </c>
      <c r="C95" s="451">
        <v>0.42499999999999999</v>
      </c>
      <c r="D95" s="451">
        <v>0.42099999999999999</v>
      </c>
      <c r="E95" s="451">
        <v>0.41299999999999998</v>
      </c>
      <c r="F95" s="451">
        <v>0.45</v>
      </c>
      <c r="G95" s="451"/>
      <c r="H95" s="451"/>
      <c r="I95" s="454">
        <v>0.38400000000000001</v>
      </c>
      <c r="J95" s="451">
        <v>0.13</v>
      </c>
      <c r="K95" s="451">
        <v>0.17</v>
      </c>
      <c r="L95" s="452">
        <v>0.28999999999999998</v>
      </c>
      <c r="M95" s="453"/>
      <c r="N95" s="451">
        <v>0.41899999999999998</v>
      </c>
      <c r="O95" s="451">
        <v>0.37441474285542742</v>
      </c>
      <c r="P95" s="451">
        <v>0.48012888699872364</v>
      </c>
      <c r="Q95" s="451">
        <v>0.58199999999999996</v>
      </c>
      <c r="R95" s="451">
        <v>1.1839999999999999</v>
      </c>
      <c r="S95" s="451">
        <v>0.345821325648415</v>
      </c>
      <c r="T95" s="455">
        <v>0.41899999999999998</v>
      </c>
      <c r="U95" s="451">
        <v>0.52400000000000002</v>
      </c>
      <c r="V95" s="452">
        <v>0.38</v>
      </c>
      <c r="W95" s="452">
        <v>0.46300000000000002</v>
      </c>
      <c r="X95" s="87"/>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CM95" s="36"/>
      <c r="CN95" s="36"/>
      <c r="CO95" s="36"/>
      <c r="CP95" s="36"/>
      <c r="CQ95" s="36"/>
      <c r="CR95" s="36"/>
      <c r="CS95" s="36"/>
      <c r="CT95" s="36"/>
      <c r="CU95" s="36"/>
      <c r="CV95" s="36"/>
      <c r="CW95" s="36"/>
      <c r="CX95" s="36"/>
      <c r="CY95" s="36"/>
      <c r="CZ95" s="36"/>
      <c r="DA95" s="36"/>
      <c r="DB95" s="36"/>
      <c r="DC95" s="36"/>
      <c r="DD95" s="36"/>
      <c r="DE95" s="36"/>
      <c r="DF95" s="36"/>
      <c r="DG95" s="36"/>
      <c r="DH95" s="36"/>
      <c r="DI95" s="36"/>
      <c r="DJ95" s="36"/>
      <c r="DK95" s="36"/>
      <c r="DL95" s="36"/>
      <c r="DM95" s="36"/>
      <c r="DN95" s="36"/>
      <c r="DO95" s="36"/>
      <c r="DP95" s="36"/>
      <c r="DQ95" s="36"/>
      <c r="DR95" s="36"/>
      <c r="DS95" s="36"/>
      <c r="DT95" s="36"/>
      <c r="DU95" s="36"/>
      <c r="DV95" s="36"/>
      <c r="DW95" s="36"/>
      <c r="DX95" s="36"/>
      <c r="DY95" s="36"/>
      <c r="DZ95" s="36"/>
      <c r="EA95" s="36"/>
      <c r="EB95" s="36"/>
      <c r="EC95" s="36"/>
      <c r="ED95" s="36"/>
      <c r="EE95" s="36"/>
      <c r="EF95" s="36"/>
      <c r="EG95" s="36"/>
      <c r="EH95" s="36"/>
      <c r="EI95" s="36"/>
      <c r="EJ95" s="36"/>
      <c r="EK95" s="36"/>
      <c r="EL95" s="36"/>
      <c r="EM95" s="36"/>
      <c r="EN95" s="36"/>
      <c r="EO95" s="36"/>
      <c r="EP95" s="36"/>
      <c r="EQ95" s="36"/>
      <c r="ER95" s="36"/>
      <c r="ES95" s="36"/>
      <c r="ET95" s="36"/>
      <c r="EU95" s="36"/>
      <c r="EV95" s="36"/>
      <c r="EW95" s="36"/>
      <c r="EX95" s="36"/>
      <c r="EY95" s="36"/>
      <c r="EZ95" s="36"/>
      <c r="FA95" s="36"/>
      <c r="FB95" s="36"/>
      <c r="FC95" s="36"/>
      <c r="FD95" s="36"/>
      <c r="FE95" s="36"/>
    </row>
    <row r="96" spans="1:161" s="37" customFormat="1" ht="26.25" customHeight="1" x14ac:dyDescent="0.2">
      <c r="A96" s="456" t="s">
        <v>184</v>
      </c>
      <c r="B96" s="457">
        <v>4.9989999999999997</v>
      </c>
      <c r="C96" s="458">
        <v>5.149</v>
      </c>
      <c r="D96" s="458">
        <v>5.1040000000000001</v>
      </c>
      <c r="E96" s="458">
        <v>5.0010000000000003</v>
      </c>
      <c r="F96" s="458">
        <v>3.59</v>
      </c>
      <c r="G96" s="458">
        <v>11.890299105872614</v>
      </c>
      <c r="H96" s="458">
        <v>15.27477150177827</v>
      </c>
      <c r="I96" s="457">
        <v>5.0010000000000003</v>
      </c>
      <c r="J96" s="458">
        <v>2.14</v>
      </c>
      <c r="K96" s="458">
        <v>2.17</v>
      </c>
      <c r="L96" s="459">
        <v>4.3099999999999996</v>
      </c>
      <c r="M96" s="460"/>
      <c r="N96" s="458">
        <v>5.08</v>
      </c>
      <c r="O96" s="458">
        <v>4.8742169258705248</v>
      </c>
      <c r="P96" s="458">
        <v>6.2504278804859874</v>
      </c>
      <c r="Q96" s="458">
        <v>7.06</v>
      </c>
      <c r="R96" s="458">
        <v>2.8359999999999999</v>
      </c>
      <c r="S96" s="458">
        <v>2.8818443804034581</v>
      </c>
      <c r="T96" s="461">
        <v>5.0793999999999997</v>
      </c>
      <c r="U96" s="458">
        <v>3.927</v>
      </c>
      <c r="V96" s="459">
        <v>4.92</v>
      </c>
      <c r="W96" s="459">
        <v>3.8420000000000001</v>
      </c>
      <c r="X96" s="87"/>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c r="CB96" s="36"/>
      <c r="CC96" s="36"/>
      <c r="CD96" s="36"/>
      <c r="CE96" s="36"/>
      <c r="CF96" s="36"/>
      <c r="CG96" s="36"/>
      <c r="CH96" s="36"/>
      <c r="CI96" s="36"/>
      <c r="CJ96" s="36"/>
      <c r="CK96" s="36"/>
      <c r="CL96" s="36"/>
      <c r="CM96" s="36"/>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36"/>
      <c r="DL96" s="36"/>
      <c r="DM96" s="36"/>
      <c r="DN96" s="36"/>
      <c r="DO96" s="36"/>
      <c r="DP96" s="36"/>
      <c r="DQ96" s="36"/>
      <c r="DR96" s="36"/>
      <c r="DS96" s="36"/>
      <c r="DT96" s="36"/>
      <c r="DU96" s="36"/>
      <c r="DV96" s="36"/>
      <c r="DW96" s="36"/>
      <c r="DX96" s="36"/>
      <c r="DY96" s="36"/>
      <c r="DZ96" s="36"/>
      <c r="EA96" s="36"/>
      <c r="EB96" s="36"/>
      <c r="EC96" s="36"/>
      <c r="ED96" s="36"/>
      <c r="EE96" s="36"/>
      <c r="EF96" s="36"/>
      <c r="EG96" s="36"/>
      <c r="EH96" s="36"/>
      <c r="EI96" s="36"/>
      <c r="EJ96" s="36"/>
      <c r="EK96" s="36"/>
      <c r="EL96" s="36"/>
      <c r="EM96" s="36"/>
      <c r="EN96" s="36"/>
      <c r="EO96" s="36"/>
      <c r="EP96" s="36"/>
      <c r="EQ96" s="36"/>
      <c r="ER96" s="36"/>
      <c r="ES96" s="36"/>
      <c r="ET96" s="36"/>
      <c r="EU96" s="36"/>
      <c r="EV96" s="36"/>
      <c r="EW96" s="36"/>
      <c r="EX96" s="36"/>
      <c r="EY96" s="36"/>
      <c r="EZ96" s="36"/>
      <c r="FA96" s="36"/>
      <c r="FB96" s="36"/>
      <c r="FC96" s="36"/>
      <c r="FD96" s="36"/>
      <c r="FE96" s="36"/>
    </row>
    <row r="97" spans="1:161" s="37" customFormat="1" ht="26.25" customHeight="1" x14ac:dyDescent="0.2">
      <c r="A97" s="69" t="s">
        <v>185</v>
      </c>
      <c r="B97" s="454">
        <v>1.4E-2</v>
      </c>
      <c r="C97" s="451">
        <v>0.01</v>
      </c>
      <c r="D97" s="451">
        <v>0.01</v>
      </c>
      <c r="E97" s="451">
        <v>8.0000000000000002E-3</v>
      </c>
      <c r="F97" s="451">
        <v>0.06</v>
      </c>
      <c r="G97" s="451"/>
      <c r="H97" s="451"/>
      <c r="I97" s="454">
        <v>1.4E-2</v>
      </c>
      <c r="J97" s="451">
        <v>0.04</v>
      </c>
      <c r="K97" s="451">
        <v>0.03</v>
      </c>
      <c r="L97" s="452">
        <v>7.0000000000000007E-2</v>
      </c>
      <c r="M97" s="453">
        <v>0.123</v>
      </c>
      <c r="N97" s="451">
        <v>0.01</v>
      </c>
      <c r="O97" s="451">
        <v>1.3650537499937459E-2</v>
      </c>
      <c r="P97" s="451">
        <v>1.75046990051618E-2</v>
      </c>
      <c r="Q97" s="451">
        <v>1.4E-2</v>
      </c>
      <c r="R97" s="451">
        <v>0.53200000000000003</v>
      </c>
      <c r="S97" s="451">
        <v>0.11527377521613834</v>
      </c>
      <c r="T97" s="455">
        <v>0.01</v>
      </c>
      <c r="U97" s="451">
        <v>1.6E-2</v>
      </c>
      <c r="V97" s="452">
        <v>0.02</v>
      </c>
      <c r="W97" s="452">
        <v>4.2000000000000003E-2</v>
      </c>
      <c r="X97" s="87"/>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c r="CB97" s="36"/>
      <c r="CC97" s="36"/>
      <c r="CD97" s="36"/>
      <c r="CE97" s="36"/>
      <c r="CF97" s="36"/>
      <c r="CG97" s="36"/>
      <c r="CH97" s="36"/>
      <c r="CI97" s="36"/>
      <c r="CJ97" s="36"/>
      <c r="CK97" s="36"/>
      <c r="CL97" s="36"/>
      <c r="CM97" s="36"/>
      <c r="CN97" s="36"/>
      <c r="CO97" s="36"/>
      <c r="CP97" s="36"/>
      <c r="CQ97" s="36"/>
      <c r="CR97" s="36"/>
      <c r="CS97" s="36"/>
      <c r="CT97" s="36"/>
      <c r="CU97" s="36"/>
      <c r="CV97" s="36"/>
      <c r="CW97" s="36"/>
      <c r="CX97" s="36"/>
      <c r="CY97" s="36"/>
      <c r="CZ97" s="36"/>
      <c r="DA97" s="36"/>
      <c r="DB97" s="36"/>
      <c r="DC97" s="36"/>
      <c r="DD97" s="36"/>
      <c r="DE97" s="36"/>
      <c r="DF97" s="36"/>
      <c r="DG97" s="36"/>
      <c r="DH97" s="36"/>
      <c r="DI97" s="36"/>
      <c r="DJ97" s="36"/>
      <c r="DK97" s="36"/>
      <c r="DL97" s="36"/>
      <c r="DM97" s="36"/>
      <c r="DN97" s="36"/>
      <c r="DO97" s="36"/>
      <c r="DP97" s="36"/>
      <c r="DQ97" s="36"/>
      <c r="DR97" s="36"/>
      <c r="DS97" s="36"/>
      <c r="DT97" s="36"/>
      <c r="DU97" s="36"/>
      <c r="DV97" s="36"/>
      <c r="DW97" s="36"/>
      <c r="DX97" s="36"/>
      <c r="DY97" s="36"/>
      <c r="DZ97" s="36"/>
      <c r="EA97" s="36"/>
      <c r="EB97" s="36"/>
      <c r="EC97" s="36"/>
      <c r="ED97" s="36"/>
      <c r="EE97" s="36"/>
      <c r="EF97" s="36"/>
      <c r="EG97" s="36"/>
      <c r="EH97" s="36"/>
      <c r="EI97" s="36"/>
      <c r="EJ97" s="36"/>
      <c r="EK97" s="36"/>
      <c r="EL97" s="36"/>
      <c r="EM97" s="36"/>
      <c r="EN97" s="36"/>
      <c r="EO97" s="36"/>
      <c r="EP97" s="36"/>
      <c r="EQ97" s="36"/>
      <c r="ER97" s="36"/>
      <c r="ES97" s="36"/>
      <c r="ET97" s="36"/>
      <c r="EU97" s="36"/>
      <c r="EV97" s="36"/>
      <c r="EW97" s="36"/>
      <c r="EX97" s="36"/>
      <c r="EY97" s="36"/>
      <c r="EZ97" s="36"/>
      <c r="FA97" s="36"/>
      <c r="FB97" s="36"/>
      <c r="FC97" s="36"/>
      <c r="FD97" s="36"/>
      <c r="FE97" s="36"/>
    </row>
    <row r="98" spans="1:161" s="37" customFormat="1" ht="26.25" customHeight="1" x14ac:dyDescent="0.2">
      <c r="A98" s="456" t="s">
        <v>186</v>
      </c>
      <c r="B98" s="457">
        <v>12.53</v>
      </c>
      <c r="C98" s="458">
        <v>16.852</v>
      </c>
      <c r="D98" s="458">
        <v>16.706</v>
      </c>
      <c r="E98" s="458">
        <v>16.372</v>
      </c>
      <c r="F98" s="458">
        <v>11.75</v>
      </c>
      <c r="G98" s="458"/>
      <c r="H98" s="458"/>
      <c r="I98" s="457">
        <v>12.535</v>
      </c>
      <c r="J98" s="458">
        <v>3.38</v>
      </c>
      <c r="K98" s="458">
        <v>3.45</v>
      </c>
      <c r="L98" s="459">
        <v>8.6199999999999992</v>
      </c>
      <c r="M98" s="460"/>
      <c r="N98" s="458">
        <v>16.626000000000001</v>
      </c>
      <c r="O98" s="458">
        <v>12.217231062444025</v>
      </c>
      <c r="P98" s="458">
        <v>15.666705609619809</v>
      </c>
      <c r="Q98" s="458">
        <v>22</v>
      </c>
      <c r="R98" s="458">
        <v>2.8359999999999999</v>
      </c>
      <c r="S98" s="458">
        <v>5.7636887608069163</v>
      </c>
      <c r="T98" s="461">
        <v>16.625299999999999</v>
      </c>
      <c r="U98" s="458">
        <v>6.5449999999999999</v>
      </c>
      <c r="V98" s="459">
        <v>12.34</v>
      </c>
      <c r="W98" s="459">
        <v>5.1109999999999998</v>
      </c>
      <c r="X98" s="87"/>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c r="DL98" s="36"/>
      <c r="DM98" s="36"/>
      <c r="DN98" s="36"/>
      <c r="DO98" s="36"/>
      <c r="DP98" s="36"/>
      <c r="DQ98" s="36"/>
      <c r="DR98" s="36"/>
      <c r="DS98" s="36"/>
      <c r="DT98" s="36"/>
      <c r="DU98" s="36"/>
      <c r="DV98" s="36"/>
      <c r="DW98" s="36"/>
      <c r="DX98" s="36"/>
      <c r="DY98" s="36"/>
      <c r="DZ98" s="36"/>
      <c r="EA98" s="36"/>
      <c r="EB98" s="36"/>
      <c r="EC98" s="36"/>
      <c r="ED98" s="36"/>
      <c r="EE98" s="36"/>
      <c r="EF98" s="36"/>
      <c r="EG98" s="36"/>
      <c r="EH98" s="36"/>
      <c r="EI98" s="36"/>
      <c r="EJ98" s="36"/>
      <c r="EK98" s="36"/>
      <c r="EL98" s="36"/>
      <c r="EM98" s="36"/>
      <c r="EN98" s="36"/>
      <c r="EO98" s="36"/>
      <c r="EP98" s="36"/>
      <c r="EQ98" s="36"/>
      <c r="ER98" s="36"/>
      <c r="ES98" s="36"/>
      <c r="ET98" s="36"/>
      <c r="EU98" s="36"/>
      <c r="EV98" s="36"/>
      <c r="EW98" s="36"/>
      <c r="EX98" s="36"/>
      <c r="EY98" s="36"/>
      <c r="EZ98" s="36"/>
      <c r="FA98" s="36"/>
      <c r="FB98" s="36"/>
      <c r="FC98" s="36"/>
      <c r="FD98" s="36"/>
      <c r="FE98" s="36"/>
    </row>
    <row r="99" spans="1:161" s="37" customFormat="1" ht="26.25" customHeight="1" x14ac:dyDescent="0.2">
      <c r="A99" s="69" t="s">
        <v>187</v>
      </c>
      <c r="B99" s="454">
        <v>1.4E-2</v>
      </c>
      <c r="C99" s="451">
        <v>1.2E-2</v>
      </c>
      <c r="D99" s="451">
        <v>1.2E-2</v>
      </c>
      <c r="E99" s="451">
        <v>8.9999999999999993E-3</v>
      </c>
      <c r="F99" s="451">
        <v>0.06</v>
      </c>
      <c r="G99" s="451">
        <v>0.39640797040843601</v>
      </c>
      <c r="H99" s="451"/>
      <c r="I99" s="454">
        <v>1.4E-2</v>
      </c>
      <c r="J99" s="451">
        <v>0.04</v>
      </c>
      <c r="K99" s="451">
        <v>0.06</v>
      </c>
      <c r="L99" s="452">
        <v>0.14000000000000001</v>
      </c>
      <c r="M99" s="453"/>
      <c r="N99" s="451">
        <v>1.2E-2</v>
      </c>
      <c r="O99" s="451">
        <v>1.3650537499937459E-2</v>
      </c>
      <c r="P99" s="451">
        <v>1.75046990051618E-2</v>
      </c>
      <c r="Q99" s="451">
        <v>1.7000000000000001E-2</v>
      </c>
      <c r="R99" s="451">
        <v>0.53200000000000003</v>
      </c>
      <c r="S99" s="451">
        <v>0.11527377521613834</v>
      </c>
      <c r="T99" s="455">
        <v>1.2E-2</v>
      </c>
      <c r="U99" s="451">
        <v>1.6E-2</v>
      </c>
      <c r="V99" s="452">
        <v>0.02</v>
      </c>
      <c r="W99" s="452">
        <v>7.2999999999999995E-2</v>
      </c>
      <c r="X99" s="87"/>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c r="CB99" s="36"/>
      <c r="CC99" s="36"/>
      <c r="CD99" s="36"/>
      <c r="CE99" s="36"/>
      <c r="CF99" s="36"/>
      <c r="CG99" s="36"/>
      <c r="CH99" s="36"/>
      <c r="CI99" s="36"/>
      <c r="CJ99" s="36"/>
      <c r="CK99" s="36"/>
      <c r="CL99" s="36"/>
      <c r="CM99" s="36"/>
      <c r="CN99" s="36"/>
      <c r="CO99" s="36"/>
      <c r="CP99" s="36"/>
      <c r="CQ99" s="36"/>
      <c r="CR99" s="36"/>
      <c r="CS99" s="36"/>
      <c r="CT99" s="36"/>
      <c r="CU99" s="36"/>
      <c r="CV99" s="36"/>
      <c r="CW99" s="36"/>
      <c r="CX99" s="36"/>
      <c r="CY99" s="36"/>
      <c r="CZ99" s="36"/>
      <c r="DA99" s="36"/>
      <c r="DB99" s="36"/>
      <c r="DC99" s="36"/>
      <c r="DD99" s="36"/>
      <c r="DE99" s="36"/>
      <c r="DF99" s="36"/>
      <c r="DG99" s="36"/>
      <c r="DH99" s="36"/>
      <c r="DI99" s="36"/>
      <c r="DJ99" s="36"/>
      <c r="DK99" s="36"/>
      <c r="DL99" s="36"/>
      <c r="DM99" s="36"/>
      <c r="DN99" s="36"/>
      <c r="DO99" s="36"/>
      <c r="DP99" s="36"/>
      <c r="DQ99" s="36"/>
      <c r="DR99" s="36"/>
      <c r="DS99" s="36"/>
      <c r="DT99" s="36"/>
      <c r="DU99" s="36"/>
      <c r="DV99" s="36"/>
      <c r="DW99" s="36"/>
      <c r="DX99" s="36"/>
      <c r="DY99" s="36"/>
      <c r="DZ99" s="36"/>
      <c r="EA99" s="36"/>
      <c r="EB99" s="36"/>
      <c r="EC99" s="36"/>
      <c r="ED99" s="36"/>
      <c r="EE99" s="36"/>
      <c r="EF99" s="36"/>
      <c r="EG99" s="36"/>
      <c r="EH99" s="36"/>
      <c r="EI99" s="36"/>
      <c r="EJ99" s="36"/>
      <c r="EK99" s="36"/>
      <c r="EL99" s="36"/>
      <c r="EM99" s="36"/>
      <c r="EN99" s="36"/>
      <c r="EO99" s="36"/>
      <c r="EP99" s="36"/>
      <c r="EQ99" s="36"/>
      <c r="ER99" s="36"/>
      <c r="ES99" s="36"/>
      <c r="ET99" s="36"/>
      <c r="EU99" s="36"/>
      <c r="EV99" s="36"/>
      <c r="EW99" s="36"/>
      <c r="EX99" s="36"/>
      <c r="EY99" s="36"/>
      <c r="EZ99" s="36"/>
      <c r="FA99" s="36"/>
      <c r="FB99" s="36"/>
      <c r="FC99" s="36"/>
      <c r="FD99" s="36"/>
      <c r="FE99" s="36"/>
    </row>
    <row r="100" spans="1:161" s="37" customFormat="1" ht="26.25" customHeight="1" x14ac:dyDescent="0.2">
      <c r="A100" s="456" t="s">
        <v>188</v>
      </c>
      <c r="B100" s="457">
        <v>7.5999999999999998E-2</v>
      </c>
      <c r="C100" s="458">
        <v>2.9000000000000001E-2</v>
      </c>
      <c r="D100" s="458">
        <v>2.9000000000000001E-2</v>
      </c>
      <c r="E100" s="458">
        <v>2.4E-2</v>
      </c>
      <c r="F100" s="458">
        <v>0.06</v>
      </c>
      <c r="G100" s="458"/>
      <c r="H100" s="458"/>
      <c r="I100" s="457">
        <v>7.5999999999999998E-2</v>
      </c>
      <c r="J100" s="458">
        <v>0.02</v>
      </c>
      <c r="K100" s="458">
        <v>0.02</v>
      </c>
      <c r="L100" s="459">
        <v>7.0000000000000007E-2</v>
      </c>
      <c r="M100" s="460"/>
      <c r="N100" s="458">
        <v>2.9000000000000001E-2</v>
      </c>
      <c r="O100" s="458">
        <v>7.4102917856803341E-2</v>
      </c>
      <c r="P100" s="458">
        <v>9.5025508885164048E-2</v>
      </c>
      <c r="Q100" s="458">
        <v>0.04</v>
      </c>
      <c r="R100" s="458">
        <v>0.42899999999999999</v>
      </c>
      <c r="S100" s="458">
        <v>0.11527377521613834</v>
      </c>
      <c r="T100" s="461">
        <v>2.9000000000000001E-2</v>
      </c>
      <c r="U100" s="458">
        <v>6.6000000000000003E-2</v>
      </c>
      <c r="V100" s="459">
        <v>0.06</v>
      </c>
      <c r="W100" s="459"/>
      <c r="X100" s="87"/>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c r="DG100" s="36"/>
      <c r="DH100" s="36"/>
      <c r="DI100" s="36"/>
      <c r="DJ100" s="36"/>
      <c r="DK100" s="36"/>
      <c r="DL100" s="36"/>
      <c r="DM100" s="36"/>
      <c r="DN100" s="36"/>
      <c r="DO100" s="36"/>
      <c r="DP100" s="36"/>
      <c r="DQ100" s="36"/>
      <c r="DR100" s="36"/>
      <c r="DS100" s="36"/>
      <c r="DT100" s="36"/>
      <c r="DU100" s="36"/>
      <c r="DV100" s="36"/>
      <c r="DW100" s="36"/>
      <c r="DX100" s="36"/>
      <c r="DY100" s="36"/>
      <c r="DZ100" s="36"/>
      <c r="EA100" s="36"/>
      <c r="EB100" s="36"/>
      <c r="EC100" s="36"/>
      <c r="ED100" s="36"/>
      <c r="EE100" s="36"/>
      <c r="EF100" s="36"/>
      <c r="EG100" s="36"/>
      <c r="EH100" s="36"/>
      <c r="EI100" s="36"/>
      <c r="EJ100" s="36"/>
      <c r="EK100" s="36"/>
      <c r="EL100" s="36"/>
      <c r="EM100" s="36"/>
      <c r="EN100" s="36"/>
      <c r="EO100" s="36"/>
      <c r="EP100" s="36"/>
      <c r="EQ100" s="36"/>
      <c r="ER100" s="36"/>
      <c r="ES100" s="36"/>
      <c r="ET100" s="36"/>
      <c r="EU100" s="36"/>
      <c r="EV100" s="36"/>
      <c r="EW100" s="36"/>
      <c r="EX100" s="36"/>
      <c r="EY100" s="36"/>
      <c r="EZ100" s="36"/>
      <c r="FA100" s="36"/>
      <c r="FB100" s="36"/>
      <c r="FC100" s="36"/>
      <c r="FD100" s="36"/>
      <c r="FE100" s="36"/>
    </row>
    <row r="101" spans="1:161" s="37" customFormat="1" ht="26.25" customHeight="1" x14ac:dyDescent="0.2">
      <c r="A101" s="69" t="s">
        <v>189</v>
      </c>
      <c r="B101" s="454">
        <v>1.2E-2</v>
      </c>
      <c r="C101" s="451">
        <v>0.01</v>
      </c>
      <c r="D101" s="451">
        <v>0.01</v>
      </c>
      <c r="E101" s="451">
        <v>8.0000000000000002E-3</v>
      </c>
      <c r="F101" s="451">
        <v>0.06</v>
      </c>
      <c r="G101" s="451"/>
      <c r="H101" s="451">
        <v>2.6004818539905925E-2</v>
      </c>
      <c r="I101" s="454">
        <v>1.2E-2</v>
      </c>
      <c r="J101" s="451">
        <v>0.02</v>
      </c>
      <c r="K101" s="451">
        <v>0.02</v>
      </c>
      <c r="L101" s="452">
        <v>0.28999999999999998</v>
      </c>
      <c r="M101" s="453"/>
      <c r="N101" s="451">
        <v>0.01</v>
      </c>
      <c r="O101" s="451">
        <v>1.1700460714232107E-2</v>
      </c>
      <c r="P101" s="451">
        <v>1.5004027718710114E-2</v>
      </c>
      <c r="Q101" s="451">
        <v>1.4E-2</v>
      </c>
      <c r="R101" s="451">
        <v>0.26600000000000001</v>
      </c>
      <c r="S101" s="451">
        <v>0.345821325648415</v>
      </c>
      <c r="T101" s="455">
        <v>0.01</v>
      </c>
      <c r="U101" s="451">
        <v>1.6E-2</v>
      </c>
      <c r="V101" s="452">
        <v>0.02</v>
      </c>
      <c r="W101" s="452">
        <v>4.5999999999999999E-2</v>
      </c>
      <c r="X101" s="87"/>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c r="CB101" s="36"/>
      <c r="CC101" s="36"/>
      <c r="CD101" s="36"/>
      <c r="CE101" s="36"/>
      <c r="CF101" s="36"/>
      <c r="CG101" s="36"/>
      <c r="CH101" s="36"/>
      <c r="CI101" s="36"/>
      <c r="CJ101" s="36"/>
      <c r="CK101" s="36"/>
      <c r="CL101" s="36"/>
      <c r="CM101" s="36"/>
      <c r="CN101" s="36"/>
      <c r="CO101" s="36"/>
      <c r="CP101" s="36"/>
      <c r="CQ101" s="36"/>
      <c r="CR101" s="36"/>
      <c r="CS101" s="36"/>
      <c r="CT101" s="36"/>
      <c r="CU101" s="36"/>
      <c r="CV101" s="36"/>
      <c r="CW101" s="36"/>
      <c r="CX101" s="36"/>
      <c r="CY101" s="36"/>
      <c r="CZ101" s="36"/>
      <c r="DA101" s="36"/>
      <c r="DB101" s="36"/>
      <c r="DC101" s="36"/>
      <c r="DD101" s="36"/>
      <c r="DE101" s="36"/>
      <c r="DF101" s="36"/>
      <c r="DG101" s="36"/>
      <c r="DH101" s="36"/>
      <c r="DI101" s="36"/>
      <c r="DJ101" s="36"/>
      <c r="DK101" s="36"/>
      <c r="DL101" s="36"/>
      <c r="DM101" s="36"/>
      <c r="DN101" s="36"/>
      <c r="DO101" s="36"/>
      <c r="DP101" s="36"/>
      <c r="DQ101" s="36"/>
      <c r="DR101" s="36"/>
      <c r="DS101" s="36"/>
      <c r="DT101" s="36"/>
      <c r="DU101" s="36"/>
      <c r="DV101" s="36"/>
      <c r="DW101" s="36"/>
      <c r="DX101" s="36"/>
      <c r="DY101" s="36"/>
      <c r="DZ101" s="36"/>
      <c r="EA101" s="36"/>
      <c r="EB101" s="36"/>
      <c r="EC101" s="36"/>
      <c r="ED101" s="36"/>
      <c r="EE101" s="36"/>
      <c r="EF101" s="36"/>
      <c r="EG101" s="36"/>
      <c r="EH101" s="36"/>
      <c r="EI101" s="36"/>
      <c r="EJ101" s="36"/>
      <c r="EK101" s="36"/>
      <c r="EL101" s="36"/>
      <c r="EM101" s="36"/>
      <c r="EN101" s="36"/>
      <c r="EO101" s="36"/>
      <c r="EP101" s="36"/>
      <c r="EQ101" s="36"/>
      <c r="ER101" s="36"/>
      <c r="ES101" s="36"/>
      <c r="ET101" s="36"/>
      <c r="EU101" s="36"/>
      <c r="EV101" s="36"/>
      <c r="EW101" s="36"/>
      <c r="EX101" s="36"/>
      <c r="EY101" s="36"/>
      <c r="EZ101" s="36"/>
      <c r="FA101" s="36"/>
      <c r="FB101" s="36"/>
      <c r="FC101" s="36"/>
      <c r="FD101" s="36"/>
      <c r="FE101" s="36"/>
    </row>
    <row r="102" spans="1:161" s="37" customFormat="1" ht="26.25" customHeight="1" x14ac:dyDescent="0.2">
      <c r="A102" s="456" t="s">
        <v>190</v>
      </c>
      <c r="B102" s="457">
        <v>1E-3</v>
      </c>
      <c r="C102" s="458">
        <v>1E-3</v>
      </c>
      <c r="D102" s="458">
        <v>1E-3</v>
      </c>
      <c r="E102" s="458"/>
      <c r="F102" s="458">
        <v>0.06</v>
      </c>
      <c r="G102" s="458"/>
      <c r="H102" s="458"/>
      <c r="I102" s="457">
        <v>1E-3</v>
      </c>
      <c r="J102" s="458">
        <v>0.06</v>
      </c>
      <c r="K102" s="458">
        <v>0.02</v>
      </c>
      <c r="L102" s="459">
        <v>0.04</v>
      </c>
      <c r="M102" s="460"/>
      <c r="N102" s="458">
        <v>1E-3</v>
      </c>
      <c r="O102" s="458">
        <v>1E-3</v>
      </c>
      <c r="P102" s="458">
        <v>1.2503356432258428E-3</v>
      </c>
      <c r="Q102" s="458"/>
      <c r="R102" s="458"/>
      <c r="S102" s="458">
        <v>5.7636887608069169E-2</v>
      </c>
      <c r="T102" s="461">
        <v>1E-3</v>
      </c>
      <c r="U102" s="458"/>
      <c r="V102" s="459">
        <v>0.02</v>
      </c>
      <c r="W102" s="459"/>
      <c r="X102" s="87"/>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c r="CB102" s="36"/>
      <c r="CC102" s="36"/>
      <c r="CD102" s="36"/>
      <c r="CE102" s="36"/>
      <c r="CF102" s="36"/>
      <c r="CG102" s="36"/>
      <c r="CH102" s="36"/>
      <c r="CI102" s="36"/>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c r="DG102" s="36"/>
      <c r="DH102" s="36"/>
      <c r="DI102" s="36"/>
      <c r="DJ102" s="36"/>
      <c r="DK102" s="36"/>
      <c r="DL102" s="36"/>
      <c r="DM102" s="36"/>
      <c r="DN102" s="36"/>
      <c r="DO102" s="36"/>
      <c r="DP102" s="36"/>
      <c r="DQ102" s="36"/>
      <c r="DR102" s="36"/>
      <c r="DS102" s="36"/>
      <c r="DT102" s="36"/>
      <c r="DU102" s="36"/>
      <c r="DV102" s="36"/>
      <c r="DW102" s="36"/>
      <c r="DX102" s="36"/>
      <c r="DY102" s="36"/>
      <c r="DZ102" s="36"/>
      <c r="EA102" s="36"/>
      <c r="EB102" s="36"/>
      <c r="EC102" s="36"/>
      <c r="ED102" s="36"/>
      <c r="EE102" s="36"/>
      <c r="EF102" s="36"/>
      <c r="EG102" s="36"/>
      <c r="EH102" s="36"/>
      <c r="EI102" s="36"/>
      <c r="EJ102" s="36"/>
      <c r="EK102" s="36"/>
      <c r="EL102" s="36"/>
      <c r="EM102" s="36"/>
      <c r="EN102" s="36"/>
      <c r="EO102" s="36"/>
      <c r="EP102" s="36"/>
      <c r="EQ102" s="36"/>
      <c r="ER102" s="36"/>
      <c r="ES102" s="36"/>
      <c r="ET102" s="36"/>
      <c r="EU102" s="36"/>
      <c r="EV102" s="36"/>
      <c r="EW102" s="36"/>
      <c r="EX102" s="36"/>
      <c r="EY102" s="36"/>
      <c r="EZ102" s="36"/>
      <c r="FA102" s="36"/>
      <c r="FB102" s="36"/>
      <c r="FC102" s="36"/>
      <c r="FD102" s="36"/>
      <c r="FE102" s="36"/>
    </row>
    <row r="103" spans="1:161" s="37" customFormat="1" ht="26.25" customHeight="1" x14ac:dyDescent="0.2">
      <c r="A103" s="69" t="s">
        <v>191</v>
      </c>
      <c r="B103" s="454">
        <v>0.26300000000000001</v>
      </c>
      <c r="C103" s="451">
        <v>0.185</v>
      </c>
      <c r="D103" s="451">
        <v>0.183</v>
      </c>
      <c r="E103" s="451">
        <v>0.17899999999999999</v>
      </c>
      <c r="F103" s="451">
        <v>0.18</v>
      </c>
      <c r="G103" s="451">
        <v>1.0305745005561351</v>
      </c>
      <c r="H103" s="451"/>
      <c r="I103" s="454">
        <v>0.26300000000000001</v>
      </c>
      <c r="J103" s="451">
        <v>0.28999999999999998</v>
      </c>
      <c r="K103" s="451">
        <v>0.31</v>
      </c>
      <c r="L103" s="452">
        <v>0.86</v>
      </c>
      <c r="M103" s="453"/>
      <c r="N103" s="451">
        <v>0.182</v>
      </c>
      <c r="O103" s="451">
        <v>0.25643509732025371</v>
      </c>
      <c r="P103" s="451">
        <v>0.32883827416839667</v>
      </c>
      <c r="Q103" s="451">
        <v>0.253</v>
      </c>
      <c r="R103" s="451">
        <v>1.329</v>
      </c>
      <c r="S103" s="451">
        <v>0.57636887608069165</v>
      </c>
      <c r="T103" s="455">
        <v>0.182</v>
      </c>
      <c r="U103" s="451">
        <v>6.6000000000000003E-2</v>
      </c>
      <c r="V103" s="452">
        <v>0.26</v>
      </c>
      <c r="W103" s="452">
        <v>0.28399999999999997</v>
      </c>
      <c r="X103" s="87"/>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c r="CB103" s="36"/>
      <c r="CC103" s="36"/>
      <c r="CD103" s="36"/>
      <c r="CE103" s="36"/>
      <c r="CF103" s="36"/>
      <c r="CG103" s="36"/>
      <c r="CH103" s="36"/>
      <c r="CI103" s="36"/>
      <c r="CJ103" s="36"/>
      <c r="CK103" s="36"/>
      <c r="CL103" s="36"/>
      <c r="CM103" s="36"/>
      <c r="CN103" s="36"/>
      <c r="CO103" s="36"/>
      <c r="CP103" s="36"/>
      <c r="CQ103" s="36"/>
      <c r="CR103" s="36"/>
      <c r="CS103" s="36"/>
      <c r="CT103" s="36"/>
      <c r="CU103" s="36"/>
      <c r="CV103" s="36"/>
      <c r="CW103" s="36"/>
      <c r="CX103" s="36"/>
      <c r="CY103" s="36"/>
      <c r="CZ103" s="36"/>
      <c r="DA103" s="36"/>
      <c r="DB103" s="36"/>
      <c r="DC103" s="36"/>
      <c r="DD103" s="36"/>
      <c r="DE103" s="36"/>
      <c r="DF103" s="36"/>
      <c r="DG103" s="36"/>
      <c r="DH103" s="36"/>
      <c r="DI103" s="36"/>
      <c r="DJ103" s="36"/>
      <c r="DK103" s="36"/>
      <c r="DL103" s="36"/>
      <c r="DM103" s="36"/>
      <c r="DN103" s="36"/>
      <c r="DO103" s="36"/>
      <c r="DP103" s="36"/>
      <c r="DQ103" s="36"/>
      <c r="DR103" s="36"/>
      <c r="DS103" s="36"/>
      <c r="DT103" s="36"/>
      <c r="DU103" s="36"/>
      <c r="DV103" s="36"/>
      <c r="DW103" s="36"/>
      <c r="DX103" s="36"/>
      <c r="DY103" s="36"/>
      <c r="DZ103" s="36"/>
      <c r="EA103" s="36"/>
      <c r="EB103" s="36"/>
      <c r="EC103" s="36"/>
      <c r="ED103" s="36"/>
      <c r="EE103" s="36"/>
      <c r="EF103" s="36"/>
      <c r="EG103" s="36"/>
      <c r="EH103" s="36"/>
      <c r="EI103" s="36"/>
      <c r="EJ103" s="36"/>
      <c r="EK103" s="36"/>
      <c r="EL103" s="36"/>
      <c r="EM103" s="36"/>
      <c r="EN103" s="36"/>
      <c r="EO103" s="36"/>
      <c r="EP103" s="36"/>
      <c r="EQ103" s="36"/>
      <c r="ER103" s="36"/>
      <c r="ES103" s="36"/>
      <c r="ET103" s="36"/>
      <c r="EU103" s="36"/>
      <c r="EV103" s="36"/>
      <c r="EW103" s="36"/>
      <c r="EX103" s="36"/>
      <c r="EY103" s="36"/>
      <c r="EZ103" s="36"/>
      <c r="FA103" s="36"/>
      <c r="FB103" s="36"/>
      <c r="FC103" s="36"/>
      <c r="FD103" s="36"/>
      <c r="FE103" s="36"/>
    </row>
    <row r="104" spans="1:161" s="37" customFormat="1" ht="26.25" customHeight="1" x14ac:dyDescent="0.2">
      <c r="A104" s="456" t="s">
        <v>304</v>
      </c>
      <c r="B104" s="457">
        <v>1E-3</v>
      </c>
      <c r="C104" s="458">
        <v>1E-3</v>
      </c>
      <c r="D104" s="458">
        <v>1E-3</v>
      </c>
      <c r="E104" s="458">
        <v>1E-3</v>
      </c>
      <c r="F104" s="458">
        <v>0.06</v>
      </c>
      <c r="G104" s="458">
        <v>0.39640797040843601</v>
      </c>
      <c r="H104" s="458"/>
      <c r="I104" s="457">
        <v>1E-3</v>
      </c>
      <c r="J104" s="458"/>
      <c r="K104" s="458"/>
      <c r="L104" s="459">
        <v>0.04</v>
      </c>
      <c r="M104" s="460"/>
      <c r="N104" s="458">
        <v>1E-3</v>
      </c>
      <c r="O104" s="458">
        <v>1E-3</v>
      </c>
      <c r="P104" s="458">
        <v>1.2503356432258428E-3</v>
      </c>
      <c r="Q104" s="458">
        <v>1E-3</v>
      </c>
      <c r="R104" s="458">
        <v>0.222</v>
      </c>
      <c r="S104" s="458">
        <v>0.11527377521613834</v>
      </c>
      <c r="T104" s="461">
        <v>1E-3</v>
      </c>
      <c r="U104" s="458">
        <v>6.6000000000000003E-2</v>
      </c>
      <c r="V104" s="459">
        <v>0.02</v>
      </c>
      <c r="W104" s="459">
        <v>1.4999999999999999E-2</v>
      </c>
      <c r="X104" s="87"/>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c r="CR104" s="36"/>
      <c r="CS104" s="36"/>
      <c r="CT104" s="36"/>
      <c r="CU104" s="36"/>
      <c r="CV104" s="36"/>
      <c r="CW104" s="36"/>
      <c r="CX104" s="36"/>
      <c r="CY104" s="36"/>
      <c r="CZ104" s="36"/>
      <c r="DA104" s="36"/>
      <c r="DB104" s="36"/>
      <c r="DC104" s="36"/>
      <c r="DD104" s="36"/>
      <c r="DE104" s="36"/>
      <c r="DF104" s="36"/>
      <c r="DG104" s="36"/>
      <c r="DH104" s="36"/>
      <c r="DI104" s="36"/>
      <c r="DJ104" s="36"/>
      <c r="DK104" s="36"/>
      <c r="DL104" s="36"/>
      <c r="DM104" s="36"/>
      <c r="DN104" s="36"/>
      <c r="DO104" s="36"/>
      <c r="DP104" s="36"/>
      <c r="DQ104" s="36"/>
      <c r="DR104" s="36"/>
      <c r="DS104" s="36"/>
      <c r="DT104" s="36"/>
      <c r="DU104" s="36"/>
      <c r="DV104" s="36"/>
      <c r="DW104" s="36"/>
      <c r="DX104" s="36"/>
      <c r="DY104" s="36"/>
      <c r="DZ104" s="36"/>
      <c r="EA104" s="36"/>
      <c r="EB104" s="36"/>
      <c r="EC104" s="36"/>
      <c r="ED104" s="36"/>
      <c r="EE104" s="36"/>
      <c r="EF104" s="36"/>
      <c r="EG104" s="36"/>
      <c r="EH104" s="36"/>
      <c r="EI104" s="36"/>
      <c r="EJ104" s="36"/>
      <c r="EK104" s="36"/>
      <c r="EL104" s="36"/>
      <c r="EM104" s="36"/>
      <c r="EN104" s="36"/>
      <c r="EO104" s="36"/>
      <c r="EP104" s="36"/>
      <c r="EQ104" s="36"/>
      <c r="ER104" s="36"/>
      <c r="ES104" s="36"/>
      <c r="ET104" s="36"/>
      <c r="EU104" s="36"/>
      <c r="EV104" s="36"/>
      <c r="EW104" s="36"/>
      <c r="EX104" s="36"/>
      <c r="EY104" s="36"/>
      <c r="EZ104" s="36"/>
      <c r="FA104" s="36"/>
      <c r="FB104" s="36"/>
      <c r="FC104" s="36"/>
      <c r="FD104" s="36"/>
      <c r="FE104" s="36"/>
    </row>
    <row r="105" spans="1:161" s="37" customFormat="1" ht="26.25" customHeight="1" x14ac:dyDescent="0.2">
      <c r="A105" s="69" t="s">
        <v>192</v>
      </c>
      <c r="B105" s="454">
        <v>1E-3</v>
      </c>
      <c r="C105" s="451">
        <v>1E-3</v>
      </c>
      <c r="D105" s="451">
        <v>1E-3</v>
      </c>
      <c r="E105" s="451"/>
      <c r="F105" s="451">
        <v>0.06</v>
      </c>
      <c r="G105" s="451"/>
      <c r="H105" s="451"/>
      <c r="I105" s="454">
        <v>1E-3</v>
      </c>
      <c r="J105" s="451"/>
      <c r="K105" s="451"/>
      <c r="L105" s="452">
        <v>0.02</v>
      </c>
      <c r="M105" s="453"/>
      <c r="N105" s="451">
        <v>1E-3</v>
      </c>
      <c r="O105" s="451">
        <v>1E-3</v>
      </c>
      <c r="P105" s="451">
        <v>1.2503356432258428E-3</v>
      </c>
      <c r="Q105" s="451">
        <v>1E-3</v>
      </c>
      <c r="R105" s="451">
        <v>0.222</v>
      </c>
      <c r="S105" s="451">
        <v>5.7636887608069169E-2</v>
      </c>
      <c r="T105" s="455">
        <v>1E-3</v>
      </c>
      <c r="U105" s="451">
        <v>8.0000000000000002E-3</v>
      </c>
      <c r="V105" s="452">
        <v>0.02</v>
      </c>
      <c r="W105" s="452"/>
      <c r="X105" s="87"/>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c r="CB105" s="36"/>
      <c r="CC105" s="36"/>
      <c r="CD105" s="36"/>
      <c r="CE105" s="36"/>
      <c r="CF105" s="36"/>
      <c r="CG105" s="36"/>
      <c r="CH105" s="36"/>
      <c r="CI105" s="36"/>
      <c r="CJ105" s="36"/>
      <c r="CK105" s="36"/>
      <c r="CL105" s="36"/>
      <c r="CM105" s="36"/>
      <c r="CN105" s="36"/>
      <c r="CO105" s="36"/>
      <c r="CP105" s="36"/>
      <c r="CQ105" s="36"/>
      <c r="CR105" s="36"/>
      <c r="CS105" s="36"/>
      <c r="CT105" s="36"/>
      <c r="CU105" s="36"/>
      <c r="CV105" s="36"/>
      <c r="CW105" s="36"/>
      <c r="CX105" s="36"/>
      <c r="CY105" s="36"/>
      <c r="CZ105" s="36"/>
      <c r="DA105" s="36"/>
      <c r="DB105" s="36"/>
      <c r="DC105" s="36"/>
      <c r="DD105" s="36"/>
      <c r="DE105" s="36"/>
      <c r="DF105" s="36"/>
      <c r="DG105" s="36"/>
      <c r="DH105" s="36"/>
      <c r="DI105" s="36"/>
      <c r="DJ105" s="36"/>
      <c r="DK105" s="36"/>
      <c r="DL105" s="36"/>
      <c r="DM105" s="36"/>
      <c r="DN105" s="36"/>
      <c r="DO105" s="36"/>
      <c r="DP105" s="36"/>
      <c r="DQ105" s="36"/>
      <c r="DR105" s="36"/>
      <c r="DS105" s="36"/>
      <c r="DT105" s="36"/>
      <c r="DU105" s="36"/>
      <c r="DV105" s="36"/>
      <c r="DW105" s="36"/>
      <c r="DX105" s="36"/>
      <c r="DY105" s="36"/>
      <c r="DZ105" s="36"/>
      <c r="EA105" s="36"/>
      <c r="EB105" s="36"/>
      <c r="EC105" s="36"/>
      <c r="ED105" s="36"/>
      <c r="EE105" s="36"/>
      <c r="EF105" s="36"/>
      <c r="EG105" s="36"/>
      <c r="EH105" s="36"/>
      <c r="EI105" s="36"/>
      <c r="EJ105" s="36"/>
      <c r="EK105" s="36"/>
      <c r="EL105" s="36"/>
      <c r="EM105" s="36"/>
      <c r="EN105" s="36"/>
      <c r="EO105" s="36"/>
      <c r="EP105" s="36"/>
      <c r="EQ105" s="36"/>
      <c r="ER105" s="36"/>
      <c r="ES105" s="36"/>
      <c r="ET105" s="36"/>
      <c r="EU105" s="36"/>
      <c r="EV105" s="36"/>
      <c r="EW105" s="36"/>
      <c r="EX105" s="36"/>
      <c r="EY105" s="36"/>
      <c r="EZ105" s="36"/>
      <c r="FA105" s="36"/>
      <c r="FB105" s="36"/>
      <c r="FC105" s="36"/>
      <c r="FD105" s="36"/>
      <c r="FE105" s="36"/>
    </row>
    <row r="106" spans="1:161" s="37" customFormat="1" ht="26.25" customHeight="1" x14ac:dyDescent="0.2">
      <c r="A106" s="456" t="s">
        <v>193</v>
      </c>
      <c r="B106" s="457">
        <v>3.7999999999999999E-2</v>
      </c>
      <c r="C106" s="458">
        <v>1.7999999999999999E-2</v>
      </c>
      <c r="D106" s="458">
        <v>1.7999999999999999E-2</v>
      </c>
      <c r="E106" s="458">
        <v>1.4E-2</v>
      </c>
      <c r="F106" s="458">
        <v>0.06</v>
      </c>
      <c r="G106" s="458"/>
      <c r="H106" s="458"/>
      <c r="I106" s="457">
        <v>3.7999999999999999E-2</v>
      </c>
      <c r="J106" s="458">
        <v>0.05</v>
      </c>
      <c r="K106" s="458">
        <v>0.04</v>
      </c>
      <c r="L106" s="459">
        <v>7.0000000000000007E-2</v>
      </c>
      <c r="M106" s="460"/>
      <c r="N106" s="458">
        <v>1.7999999999999999E-2</v>
      </c>
      <c r="O106" s="458">
        <v>3.705145892840167E-2</v>
      </c>
      <c r="P106" s="458">
        <v>4.7512754442582024E-2</v>
      </c>
      <c r="Q106" s="458"/>
      <c r="R106" s="458">
        <v>0.53100000000000003</v>
      </c>
      <c r="S106" s="458">
        <v>0.11527377521613834</v>
      </c>
      <c r="T106" s="461">
        <v>1.7999999999999999E-2</v>
      </c>
      <c r="U106" s="458">
        <v>6.6000000000000003E-2</v>
      </c>
      <c r="V106" s="459">
        <v>0.04</v>
      </c>
      <c r="W106" s="459">
        <v>7.4999999999999997E-2</v>
      </c>
      <c r="X106" s="87"/>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c r="CB106" s="36"/>
      <c r="CC106" s="36"/>
      <c r="CD106" s="36"/>
      <c r="CE106" s="36"/>
      <c r="CF106" s="36"/>
      <c r="CG106" s="36"/>
      <c r="CH106" s="36"/>
      <c r="CI106" s="36"/>
      <c r="CJ106" s="36"/>
      <c r="CK106" s="36"/>
      <c r="CL106" s="36"/>
      <c r="CM106" s="36"/>
      <c r="CN106" s="36"/>
      <c r="CO106" s="36"/>
      <c r="CP106" s="36"/>
      <c r="CQ106" s="36"/>
      <c r="CR106" s="36"/>
      <c r="CS106" s="36"/>
      <c r="CT106" s="36"/>
      <c r="CU106" s="36"/>
      <c r="CV106" s="36"/>
      <c r="CW106" s="36"/>
      <c r="CX106" s="36"/>
      <c r="CY106" s="36"/>
      <c r="CZ106" s="36"/>
      <c r="DA106" s="36"/>
      <c r="DB106" s="36"/>
      <c r="DC106" s="36"/>
      <c r="DD106" s="36"/>
      <c r="DE106" s="36"/>
      <c r="DF106" s="36"/>
      <c r="DG106" s="36"/>
      <c r="DH106" s="36"/>
      <c r="DI106" s="36"/>
      <c r="DJ106" s="36"/>
      <c r="DK106" s="36"/>
      <c r="DL106" s="36"/>
      <c r="DM106" s="36"/>
      <c r="DN106" s="36"/>
      <c r="DO106" s="36"/>
      <c r="DP106" s="36"/>
      <c r="DQ106" s="36"/>
      <c r="DR106" s="36"/>
      <c r="DS106" s="36"/>
      <c r="DT106" s="36"/>
      <c r="DU106" s="36"/>
      <c r="DV106" s="36"/>
      <c r="DW106" s="36"/>
      <c r="DX106" s="36"/>
      <c r="DY106" s="36"/>
      <c r="DZ106" s="36"/>
      <c r="EA106" s="36"/>
      <c r="EB106" s="36"/>
      <c r="EC106" s="36"/>
      <c r="ED106" s="36"/>
      <c r="EE106" s="36"/>
      <c r="EF106" s="36"/>
      <c r="EG106" s="36"/>
      <c r="EH106" s="36"/>
      <c r="EI106" s="36"/>
      <c r="EJ106" s="36"/>
      <c r="EK106" s="36"/>
      <c r="EL106" s="36"/>
      <c r="EM106" s="36"/>
      <c r="EN106" s="36"/>
      <c r="EO106" s="36"/>
      <c r="EP106" s="36"/>
      <c r="EQ106" s="36"/>
      <c r="ER106" s="36"/>
      <c r="ES106" s="36"/>
      <c r="ET106" s="36"/>
      <c r="EU106" s="36"/>
      <c r="EV106" s="36"/>
      <c r="EW106" s="36"/>
      <c r="EX106" s="36"/>
      <c r="EY106" s="36"/>
      <c r="EZ106" s="36"/>
      <c r="FA106" s="36"/>
      <c r="FB106" s="36"/>
      <c r="FC106" s="36"/>
      <c r="FD106" s="36"/>
      <c r="FE106" s="36"/>
    </row>
    <row r="107" spans="1:161" s="37" customFormat="1" ht="26.25" customHeight="1" x14ac:dyDescent="0.2">
      <c r="A107" s="69" t="s">
        <v>194</v>
      </c>
      <c r="B107" s="454">
        <v>3.3000000000000002E-2</v>
      </c>
      <c r="C107" s="451">
        <v>3.4000000000000002E-2</v>
      </c>
      <c r="D107" s="451">
        <v>3.4000000000000002E-2</v>
      </c>
      <c r="E107" s="451">
        <v>2.8000000000000001E-2</v>
      </c>
      <c r="F107" s="451">
        <v>0.06</v>
      </c>
      <c r="G107" s="451"/>
      <c r="H107" s="451"/>
      <c r="I107" s="454">
        <v>3.3000000000000002E-2</v>
      </c>
      <c r="J107" s="451">
        <v>0.03</v>
      </c>
      <c r="K107" s="451">
        <v>0.03</v>
      </c>
      <c r="L107" s="452">
        <v>7.0000000000000007E-2</v>
      </c>
      <c r="M107" s="453"/>
      <c r="N107" s="451">
        <v>3.4000000000000002E-2</v>
      </c>
      <c r="O107" s="451">
        <v>3.2176266964138292E-2</v>
      </c>
      <c r="P107" s="451">
        <v>4.1261076226452816E-2</v>
      </c>
      <c r="Q107" s="451">
        <v>4.7E-2</v>
      </c>
      <c r="R107" s="451">
        <v>0.64300000000000002</v>
      </c>
      <c r="S107" s="451">
        <v>0.11527377521613834</v>
      </c>
      <c r="T107" s="455">
        <v>3.4000000000000002E-2</v>
      </c>
      <c r="U107" s="451">
        <v>1.6E-2</v>
      </c>
      <c r="V107" s="452">
        <v>0.03</v>
      </c>
      <c r="W107" s="452"/>
      <c r="X107" s="87"/>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c r="CB107" s="36"/>
      <c r="CC107" s="36"/>
      <c r="CD107" s="36"/>
      <c r="CE107" s="36"/>
      <c r="CF107" s="36"/>
      <c r="CG107" s="36"/>
      <c r="CH107" s="36"/>
      <c r="CI107" s="36"/>
      <c r="CJ107" s="36"/>
      <c r="CK107" s="36"/>
      <c r="CL107" s="36"/>
      <c r="CM107" s="36"/>
      <c r="CN107" s="36"/>
      <c r="CO107" s="36"/>
      <c r="CP107" s="36"/>
      <c r="CQ107" s="36"/>
      <c r="CR107" s="36"/>
      <c r="CS107" s="36"/>
      <c r="CT107" s="36"/>
      <c r="CU107" s="36"/>
      <c r="CV107" s="36"/>
      <c r="CW107" s="36"/>
      <c r="CX107" s="36"/>
      <c r="CY107" s="36"/>
      <c r="CZ107" s="36"/>
      <c r="DA107" s="36"/>
      <c r="DB107" s="36"/>
      <c r="DC107" s="36"/>
      <c r="DD107" s="36"/>
      <c r="DE107" s="36"/>
      <c r="DF107" s="36"/>
      <c r="DG107" s="36"/>
      <c r="DH107" s="36"/>
      <c r="DI107" s="36"/>
      <c r="DJ107" s="36"/>
      <c r="DK107" s="36"/>
      <c r="DL107" s="36"/>
      <c r="DM107" s="36"/>
      <c r="DN107" s="36"/>
      <c r="DO107" s="36"/>
      <c r="DP107" s="36"/>
      <c r="DQ107" s="36"/>
      <c r="DR107" s="36"/>
      <c r="DS107" s="36"/>
      <c r="DT107" s="36"/>
      <c r="DU107" s="36"/>
      <c r="DV107" s="36"/>
      <c r="DW107" s="36"/>
      <c r="DX107" s="36"/>
      <c r="DY107" s="36"/>
      <c r="DZ107" s="36"/>
      <c r="EA107" s="36"/>
      <c r="EB107" s="36"/>
      <c r="EC107" s="36"/>
      <c r="ED107" s="36"/>
      <c r="EE107" s="36"/>
      <c r="EF107" s="36"/>
      <c r="EG107" s="36"/>
      <c r="EH107" s="36"/>
      <c r="EI107" s="36"/>
      <c r="EJ107" s="36"/>
      <c r="EK107" s="36"/>
      <c r="EL107" s="36"/>
      <c r="EM107" s="36"/>
      <c r="EN107" s="36"/>
      <c r="EO107" s="36"/>
      <c r="EP107" s="36"/>
      <c r="EQ107" s="36"/>
      <c r="ER107" s="36"/>
      <c r="ES107" s="36"/>
      <c r="ET107" s="36"/>
      <c r="EU107" s="36"/>
      <c r="EV107" s="36"/>
      <c r="EW107" s="36"/>
      <c r="EX107" s="36"/>
      <c r="EY107" s="36"/>
      <c r="EZ107" s="36"/>
      <c r="FA107" s="36"/>
      <c r="FB107" s="36"/>
      <c r="FC107" s="36"/>
      <c r="FD107" s="36"/>
      <c r="FE107" s="36"/>
    </row>
    <row r="108" spans="1:161" s="37" customFormat="1" ht="26.25" customHeight="1" x14ac:dyDescent="0.2">
      <c r="A108" s="456" t="s">
        <v>195</v>
      </c>
      <c r="B108" s="457">
        <v>1E-3</v>
      </c>
      <c r="C108" s="458">
        <v>1E-3</v>
      </c>
      <c r="D108" s="458">
        <v>1E-3</v>
      </c>
      <c r="E108" s="458">
        <v>1E-3</v>
      </c>
      <c r="F108" s="458">
        <v>0.06</v>
      </c>
      <c r="G108" s="458"/>
      <c r="H108" s="458"/>
      <c r="I108" s="457">
        <v>1E-3</v>
      </c>
      <c r="J108" s="458"/>
      <c r="K108" s="458"/>
      <c r="L108" s="459">
        <v>0.02</v>
      </c>
      <c r="M108" s="460"/>
      <c r="N108" s="458">
        <v>1E-3</v>
      </c>
      <c r="O108" s="458">
        <v>1E-3</v>
      </c>
      <c r="P108" s="458">
        <v>1.2503356432258428E-3</v>
      </c>
      <c r="Q108" s="458">
        <v>1E-3</v>
      </c>
      <c r="R108" s="458">
        <v>0.222</v>
      </c>
      <c r="S108" s="458">
        <v>5.7636887608069169E-2</v>
      </c>
      <c r="T108" s="461">
        <v>1E-3</v>
      </c>
      <c r="U108" s="458">
        <v>8.0000000000000002E-3</v>
      </c>
      <c r="V108" s="459">
        <v>0.02</v>
      </c>
      <c r="W108" s="459">
        <v>1.4999999999999999E-2</v>
      </c>
      <c r="X108" s="87"/>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c r="DG108" s="36"/>
      <c r="DH108" s="36"/>
      <c r="DI108" s="36"/>
      <c r="DJ108" s="36"/>
      <c r="DK108" s="36"/>
      <c r="DL108" s="36"/>
      <c r="DM108" s="36"/>
      <c r="DN108" s="36"/>
      <c r="DO108" s="36"/>
      <c r="DP108" s="36"/>
      <c r="DQ108" s="36"/>
      <c r="DR108" s="36"/>
      <c r="DS108" s="36"/>
      <c r="DT108" s="36"/>
      <c r="DU108" s="36"/>
      <c r="DV108" s="36"/>
      <c r="DW108" s="36"/>
      <c r="DX108" s="36"/>
      <c r="DY108" s="36"/>
      <c r="DZ108" s="36"/>
      <c r="EA108" s="36"/>
      <c r="EB108" s="36"/>
      <c r="EC108" s="36"/>
      <c r="ED108" s="36"/>
      <c r="EE108" s="36"/>
      <c r="EF108" s="36"/>
      <c r="EG108" s="36"/>
      <c r="EH108" s="36"/>
      <c r="EI108" s="36"/>
      <c r="EJ108" s="36"/>
      <c r="EK108" s="36"/>
      <c r="EL108" s="36"/>
      <c r="EM108" s="36"/>
      <c r="EN108" s="36"/>
      <c r="EO108" s="36"/>
      <c r="EP108" s="36"/>
      <c r="EQ108" s="36"/>
      <c r="ER108" s="36"/>
      <c r="ES108" s="36"/>
      <c r="ET108" s="36"/>
      <c r="EU108" s="36"/>
      <c r="EV108" s="36"/>
      <c r="EW108" s="36"/>
      <c r="EX108" s="36"/>
      <c r="EY108" s="36"/>
      <c r="EZ108" s="36"/>
      <c r="FA108" s="36"/>
      <c r="FB108" s="36"/>
      <c r="FC108" s="36"/>
      <c r="FD108" s="36"/>
      <c r="FE108" s="36"/>
    </row>
    <row r="109" spans="1:161" s="37" customFormat="1" ht="26.25" customHeight="1" x14ac:dyDescent="0.2">
      <c r="A109" s="69" t="s">
        <v>196</v>
      </c>
      <c r="B109" s="454">
        <v>1E-3</v>
      </c>
      <c r="C109" s="451">
        <v>1E-3</v>
      </c>
      <c r="D109" s="451">
        <v>1E-3</v>
      </c>
      <c r="E109" s="451">
        <v>1E-3</v>
      </c>
      <c r="F109" s="451">
        <v>0.06</v>
      </c>
      <c r="G109" s="451">
        <v>0.39640797040843601</v>
      </c>
      <c r="H109" s="451"/>
      <c r="I109" s="454">
        <v>1E-3</v>
      </c>
      <c r="J109" s="451">
        <v>8.86</v>
      </c>
      <c r="K109" s="451">
        <v>8.61</v>
      </c>
      <c r="L109" s="452">
        <v>0.02</v>
      </c>
      <c r="M109" s="453"/>
      <c r="N109" s="451">
        <v>1E-3</v>
      </c>
      <c r="O109" s="451">
        <v>1E-3</v>
      </c>
      <c r="P109" s="451">
        <v>1.2503356432258428E-3</v>
      </c>
      <c r="Q109" s="451">
        <v>1E-3</v>
      </c>
      <c r="R109" s="451"/>
      <c r="S109" s="451">
        <v>0.11527377521613834</v>
      </c>
      <c r="T109" s="455">
        <v>1E-3</v>
      </c>
      <c r="U109" s="451">
        <v>8.0000000000000002E-3</v>
      </c>
      <c r="V109" s="452">
        <v>0.02</v>
      </c>
      <c r="W109" s="452"/>
      <c r="X109" s="87"/>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6"/>
      <c r="CU109" s="36"/>
      <c r="CV109" s="36"/>
      <c r="CW109" s="36"/>
      <c r="CX109" s="36"/>
      <c r="CY109" s="36"/>
      <c r="CZ109" s="36"/>
      <c r="DA109" s="36"/>
      <c r="DB109" s="36"/>
      <c r="DC109" s="36"/>
      <c r="DD109" s="36"/>
      <c r="DE109" s="36"/>
      <c r="DF109" s="36"/>
      <c r="DG109" s="36"/>
      <c r="DH109" s="36"/>
      <c r="DI109" s="36"/>
      <c r="DJ109" s="36"/>
      <c r="DK109" s="36"/>
      <c r="DL109" s="36"/>
      <c r="DM109" s="36"/>
      <c r="DN109" s="36"/>
      <c r="DO109" s="36"/>
      <c r="DP109" s="36"/>
      <c r="DQ109" s="36"/>
      <c r="DR109" s="36"/>
      <c r="DS109" s="36"/>
      <c r="DT109" s="36"/>
      <c r="DU109" s="36"/>
      <c r="DV109" s="36"/>
      <c r="DW109" s="36"/>
      <c r="DX109" s="36"/>
      <c r="DY109" s="36"/>
      <c r="DZ109" s="36"/>
      <c r="EA109" s="36"/>
      <c r="EB109" s="36"/>
      <c r="EC109" s="36"/>
      <c r="ED109" s="36"/>
      <c r="EE109" s="36"/>
      <c r="EF109" s="36"/>
      <c r="EG109" s="36"/>
      <c r="EH109" s="36"/>
      <c r="EI109" s="36"/>
      <c r="EJ109" s="36"/>
      <c r="EK109" s="36"/>
      <c r="EL109" s="36"/>
      <c r="EM109" s="36"/>
      <c r="EN109" s="36"/>
      <c r="EO109" s="36"/>
      <c r="EP109" s="36"/>
      <c r="EQ109" s="36"/>
      <c r="ER109" s="36"/>
      <c r="ES109" s="36"/>
      <c r="ET109" s="36"/>
      <c r="EU109" s="36"/>
      <c r="EV109" s="36"/>
      <c r="EW109" s="36"/>
      <c r="EX109" s="36"/>
      <c r="EY109" s="36"/>
      <c r="EZ109" s="36"/>
      <c r="FA109" s="36"/>
      <c r="FB109" s="36"/>
      <c r="FC109" s="36"/>
      <c r="FD109" s="36"/>
      <c r="FE109" s="36"/>
    </row>
    <row r="110" spans="1:161" s="37" customFormat="1" ht="26.25" customHeight="1" x14ac:dyDescent="0.2">
      <c r="A110" s="456" t="s">
        <v>303</v>
      </c>
      <c r="B110" s="457">
        <v>0.129</v>
      </c>
      <c r="C110" s="458">
        <v>6.3E-2</v>
      </c>
      <c r="D110" s="458">
        <v>6.2E-2</v>
      </c>
      <c r="E110" s="458">
        <v>5.0999999999999997E-2</v>
      </c>
      <c r="F110" s="458">
        <v>0.06</v>
      </c>
      <c r="G110" s="458"/>
      <c r="H110" s="458"/>
      <c r="I110" s="457">
        <v>0.129</v>
      </c>
      <c r="J110" s="458">
        <v>0.09</v>
      </c>
      <c r="K110" s="458">
        <v>0.05</v>
      </c>
      <c r="L110" s="459">
        <v>0.28999999999999998</v>
      </c>
      <c r="M110" s="460"/>
      <c r="N110" s="458">
        <v>6.2E-2</v>
      </c>
      <c r="O110" s="458">
        <v>0.12577995267799516</v>
      </c>
      <c r="P110" s="458">
        <v>0.16129329797613373</v>
      </c>
      <c r="Q110" s="458">
        <v>8.5999999999999993E-2</v>
      </c>
      <c r="R110" s="458">
        <v>0.53200000000000003</v>
      </c>
      <c r="S110" s="458">
        <v>0.57636887608069165</v>
      </c>
      <c r="T110" s="461">
        <v>6.2E-2</v>
      </c>
      <c r="U110" s="458">
        <v>3.3000000000000002E-2</v>
      </c>
      <c r="V110" s="459">
        <v>0.12</v>
      </c>
      <c r="W110" s="459"/>
      <c r="X110" s="87"/>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c r="CB110" s="36"/>
      <c r="CC110" s="36"/>
      <c r="CD110" s="36"/>
      <c r="CE110" s="36"/>
      <c r="CF110" s="36"/>
      <c r="CG110" s="36"/>
      <c r="CH110" s="36"/>
      <c r="CI110" s="36"/>
      <c r="CJ110" s="36"/>
      <c r="CK110" s="36"/>
      <c r="CL110" s="36"/>
      <c r="CM110" s="36"/>
      <c r="CN110" s="36"/>
      <c r="CO110" s="36"/>
      <c r="CP110" s="36"/>
      <c r="CQ110" s="36"/>
      <c r="CR110" s="36"/>
      <c r="CS110" s="36"/>
      <c r="CT110" s="36"/>
      <c r="CU110" s="36"/>
      <c r="CV110" s="36"/>
      <c r="CW110" s="36"/>
      <c r="CX110" s="36"/>
      <c r="CY110" s="36"/>
      <c r="CZ110" s="36"/>
      <c r="DA110" s="36"/>
      <c r="DB110" s="36"/>
      <c r="DC110" s="36"/>
      <c r="DD110" s="36"/>
      <c r="DE110" s="36"/>
      <c r="DF110" s="36"/>
      <c r="DG110" s="36"/>
      <c r="DH110" s="36"/>
      <c r="DI110" s="36"/>
      <c r="DJ110" s="36"/>
      <c r="DK110" s="36"/>
      <c r="DL110" s="36"/>
      <c r="DM110" s="36"/>
      <c r="DN110" s="36"/>
      <c r="DO110" s="36"/>
      <c r="DP110" s="36"/>
      <c r="DQ110" s="36"/>
      <c r="DR110" s="36"/>
      <c r="DS110" s="36"/>
      <c r="DT110" s="36"/>
      <c r="DU110" s="36"/>
      <c r="DV110" s="36"/>
      <c r="DW110" s="36"/>
      <c r="DX110" s="36"/>
      <c r="DY110" s="36"/>
      <c r="DZ110" s="36"/>
      <c r="EA110" s="36"/>
      <c r="EB110" s="36"/>
      <c r="EC110" s="36"/>
      <c r="ED110" s="36"/>
      <c r="EE110" s="36"/>
      <c r="EF110" s="36"/>
      <c r="EG110" s="36"/>
      <c r="EH110" s="36"/>
      <c r="EI110" s="36"/>
      <c r="EJ110" s="36"/>
      <c r="EK110" s="36"/>
      <c r="EL110" s="36"/>
      <c r="EM110" s="36"/>
      <c r="EN110" s="36"/>
      <c r="EO110" s="36"/>
      <c r="EP110" s="36"/>
      <c r="EQ110" s="36"/>
      <c r="ER110" s="36"/>
      <c r="ES110" s="36"/>
      <c r="ET110" s="36"/>
      <c r="EU110" s="36"/>
      <c r="EV110" s="36"/>
      <c r="EW110" s="36"/>
      <c r="EX110" s="36"/>
      <c r="EY110" s="36"/>
      <c r="EZ110" s="36"/>
      <c r="FA110" s="36"/>
      <c r="FB110" s="36"/>
      <c r="FC110" s="36"/>
      <c r="FD110" s="36"/>
      <c r="FE110" s="36"/>
    </row>
    <row r="111" spans="1:161" s="37" customFormat="1" ht="26.25" customHeight="1" x14ac:dyDescent="0.2">
      <c r="A111" s="69" t="s">
        <v>197</v>
      </c>
      <c r="B111" s="454">
        <v>8.9999999999999993E-3</v>
      </c>
      <c r="C111" s="451">
        <v>0.01</v>
      </c>
      <c r="D111" s="451"/>
      <c r="E111" s="451">
        <v>0.01</v>
      </c>
      <c r="F111" s="451"/>
      <c r="G111" s="451"/>
      <c r="H111" s="451"/>
      <c r="I111" s="454"/>
      <c r="J111" s="451"/>
      <c r="K111" s="451"/>
      <c r="L111" s="452">
        <v>0.14000000000000001</v>
      </c>
      <c r="M111" s="453"/>
      <c r="N111" s="451"/>
      <c r="O111" s="451">
        <v>8.7753455356740801E-3</v>
      </c>
      <c r="P111" s="451">
        <v>1.1253020789032585E-2</v>
      </c>
      <c r="Q111" s="451"/>
      <c r="R111" s="451"/>
      <c r="S111" s="451">
        <v>0.11527377521613834</v>
      </c>
      <c r="T111" s="455"/>
      <c r="U111" s="451">
        <v>0.13100000000000001</v>
      </c>
      <c r="V111" s="452"/>
      <c r="W111" s="452">
        <v>2.4E-2</v>
      </c>
      <c r="X111" s="87"/>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c r="CB111" s="36"/>
      <c r="CC111" s="36"/>
      <c r="CD111" s="36"/>
      <c r="CE111" s="36"/>
      <c r="CF111" s="36"/>
      <c r="CG111" s="36"/>
      <c r="CH111" s="36"/>
      <c r="CI111" s="36"/>
      <c r="CJ111" s="36"/>
      <c r="CK111" s="36"/>
      <c r="CL111" s="36"/>
      <c r="CM111" s="36"/>
      <c r="CN111" s="36"/>
      <c r="CO111" s="36"/>
      <c r="CP111" s="36"/>
      <c r="CQ111" s="36"/>
      <c r="CR111" s="36"/>
      <c r="CS111" s="36"/>
      <c r="CT111" s="36"/>
      <c r="CU111" s="36"/>
      <c r="CV111" s="36"/>
      <c r="CW111" s="36"/>
      <c r="CX111" s="36"/>
      <c r="CY111" s="36"/>
      <c r="CZ111" s="36"/>
      <c r="DA111" s="36"/>
      <c r="DB111" s="36"/>
      <c r="DC111" s="36"/>
      <c r="DD111" s="36"/>
      <c r="DE111" s="36"/>
      <c r="DF111" s="36"/>
      <c r="DG111" s="36"/>
      <c r="DH111" s="36"/>
      <c r="DI111" s="36"/>
      <c r="DJ111" s="36"/>
      <c r="DK111" s="36"/>
      <c r="DL111" s="36"/>
      <c r="DM111" s="36"/>
      <c r="DN111" s="36"/>
      <c r="DO111" s="36"/>
      <c r="DP111" s="36"/>
      <c r="DQ111" s="36"/>
      <c r="DR111" s="36"/>
      <c r="DS111" s="36"/>
      <c r="DT111" s="36"/>
      <c r="DU111" s="36"/>
      <c r="DV111" s="36"/>
      <c r="DW111" s="36"/>
      <c r="DX111" s="36"/>
      <c r="DY111" s="36"/>
      <c r="DZ111" s="36"/>
      <c r="EA111" s="36"/>
      <c r="EB111" s="36"/>
      <c r="EC111" s="36"/>
      <c r="ED111" s="36"/>
      <c r="EE111" s="36"/>
      <c r="EF111" s="36"/>
      <c r="EG111" s="36"/>
      <c r="EH111" s="36"/>
      <c r="EI111" s="36"/>
      <c r="EJ111" s="36"/>
      <c r="EK111" s="36"/>
      <c r="EL111" s="36"/>
      <c r="EM111" s="36"/>
      <c r="EN111" s="36"/>
      <c r="EO111" s="36"/>
      <c r="EP111" s="36"/>
      <c r="EQ111" s="36"/>
      <c r="ER111" s="36"/>
      <c r="ES111" s="36"/>
      <c r="ET111" s="36"/>
      <c r="EU111" s="36"/>
      <c r="EV111" s="36"/>
      <c r="EW111" s="36"/>
      <c r="EX111" s="36"/>
      <c r="EY111" s="36"/>
      <c r="EZ111" s="36"/>
      <c r="FA111" s="36"/>
      <c r="FB111" s="36"/>
      <c r="FC111" s="36"/>
      <c r="FD111" s="36"/>
      <c r="FE111" s="36"/>
    </row>
    <row r="112" spans="1:161" s="37" customFormat="1" ht="26.25" customHeight="1" x14ac:dyDescent="0.2">
      <c r="A112" s="456" t="s">
        <v>198</v>
      </c>
      <c r="B112" s="457">
        <v>6.5000000000000002E-2</v>
      </c>
      <c r="C112" s="458">
        <v>3.1E-2</v>
      </c>
      <c r="D112" s="458">
        <v>3.1E-2</v>
      </c>
      <c r="E112" s="458">
        <v>2.5000000000000001E-2</v>
      </c>
      <c r="F112" s="458">
        <v>0.06</v>
      </c>
      <c r="G112" s="458"/>
      <c r="H112" s="458"/>
      <c r="I112" s="457">
        <v>6.5000000000000002E-2</v>
      </c>
      <c r="J112" s="458">
        <v>0.06</v>
      </c>
      <c r="K112" s="458">
        <v>7.0000000000000007E-2</v>
      </c>
      <c r="L112" s="459">
        <v>0.14000000000000001</v>
      </c>
      <c r="M112" s="460"/>
      <c r="N112" s="458">
        <v>3.1E-2</v>
      </c>
      <c r="O112" s="458">
        <v>6.3377495535423919E-2</v>
      </c>
      <c r="P112" s="458">
        <v>8.1271816809679778E-2</v>
      </c>
      <c r="Q112" s="458">
        <v>4.2999999999999997E-2</v>
      </c>
      <c r="R112" s="458">
        <v>0.53200000000000003</v>
      </c>
      <c r="S112" s="458">
        <v>0.11527377521613834</v>
      </c>
      <c r="T112" s="461">
        <v>3.1E-2</v>
      </c>
      <c r="U112" s="458">
        <v>6.6000000000000003E-2</v>
      </c>
      <c r="V112" s="459">
        <v>0.06</v>
      </c>
      <c r="W112" s="459">
        <v>0.13100000000000001</v>
      </c>
      <c r="X112" s="87"/>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36"/>
      <c r="DL112" s="36"/>
      <c r="DM112" s="36"/>
      <c r="DN112" s="36"/>
      <c r="DO112" s="36"/>
      <c r="DP112" s="36"/>
      <c r="DQ112" s="36"/>
      <c r="DR112" s="36"/>
      <c r="DS112" s="36"/>
      <c r="DT112" s="36"/>
      <c r="DU112" s="36"/>
      <c r="DV112" s="36"/>
      <c r="DW112" s="36"/>
      <c r="DX112" s="36"/>
      <c r="DY112" s="36"/>
      <c r="DZ112" s="36"/>
      <c r="EA112" s="36"/>
      <c r="EB112" s="36"/>
      <c r="EC112" s="36"/>
      <c r="ED112" s="36"/>
      <c r="EE112" s="36"/>
      <c r="EF112" s="36"/>
      <c r="EG112" s="36"/>
      <c r="EH112" s="36"/>
      <c r="EI112" s="36"/>
      <c r="EJ112" s="36"/>
      <c r="EK112" s="36"/>
      <c r="EL112" s="36"/>
      <c r="EM112" s="36"/>
      <c r="EN112" s="36"/>
      <c r="EO112" s="36"/>
      <c r="EP112" s="36"/>
      <c r="EQ112" s="36"/>
      <c r="ER112" s="36"/>
      <c r="ES112" s="36"/>
      <c r="ET112" s="36"/>
      <c r="EU112" s="36"/>
      <c r="EV112" s="36"/>
      <c r="EW112" s="36"/>
      <c r="EX112" s="36"/>
      <c r="EY112" s="36"/>
      <c r="EZ112" s="36"/>
      <c r="FA112" s="36"/>
      <c r="FB112" s="36"/>
      <c r="FC112" s="36"/>
      <c r="FD112" s="36"/>
      <c r="FE112" s="36"/>
    </row>
    <row r="113" spans="1:161" s="37" customFormat="1" ht="26.25" customHeight="1" x14ac:dyDescent="0.2">
      <c r="A113" s="69" t="s">
        <v>199</v>
      </c>
      <c r="B113" s="454">
        <v>0.09</v>
      </c>
      <c r="C113" s="451">
        <v>8.5999999999999993E-2</v>
      </c>
      <c r="D113" s="451">
        <v>8.6000000000000007E-2</v>
      </c>
      <c r="E113" s="451">
        <v>8.4000000000000005E-2</v>
      </c>
      <c r="F113" s="451">
        <v>0.36</v>
      </c>
      <c r="G113" s="451"/>
      <c r="H113" s="451"/>
      <c r="I113" s="454">
        <v>0.09</v>
      </c>
      <c r="J113" s="451">
        <v>0.12</v>
      </c>
      <c r="K113" s="451">
        <v>0.14000000000000001</v>
      </c>
      <c r="L113" s="452">
        <v>0.14000000000000001</v>
      </c>
      <c r="M113" s="453"/>
      <c r="N113" s="451">
        <v>8.5000000000000006E-2</v>
      </c>
      <c r="O113" s="451">
        <v>8.7753455356740798E-2</v>
      </c>
      <c r="P113" s="451">
        <v>0.11253020789032585</v>
      </c>
      <c r="Q113" s="451">
        <v>0.11799999999999999</v>
      </c>
      <c r="R113" s="451"/>
      <c r="S113" s="451">
        <v>0.345821325648415</v>
      </c>
      <c r="T113" s="455">
        <v>8.5000000000000006E-2</v>
      </c>
      <c r="U113" s="451">
        <v>0.26200000000000001</v>
      </c>
      <c r="V113" s="452">
        <v>0.09</v>
      </c>
      <c r="W113" s="452">
        <v>0.41199999999999998</v>
      </c>
      <c r="X113" s="87"/>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c r="CB113" s="36"/>
      <c r="CC113" s="36"/>
      <c r="CD113" s="36"/>
      <c r="CE113" s="36"/>
      <c r="CF113" s="36"/>
      <c r="CG113" s="36"/>
      <c r="CH113" s="36"/>
      <c r="CI113" s="36"/>
      <c r="CJ113" s="36"/>
      <c r="CK113" s="36"/>
      <c r="CL113" s="36"/>
      <c r="CM113" s="36"/>
      <c r="CN113" s="36"/>
      <c r="CO113" s="36"/>
      <c r="CP113" s="36"/>
      <c r="CQ113" s="36"/>
      <c r="CR113" s="36"/>
      <c r="CS113" s="36"/>
      <c r="CT113" s="36"/>
      <c r="CU113" s="36"/>
      <c r="CV113" s="36"/>
      <c r="CW113" s="36"/>
      <c r="CX113" s="36"/>
      <c r="CY113" s="36"/>
      <c r="CZ113" s="36"/>
      <c r="DA113" s="36"/>
      <c r="DB113" s="36"/>
      <c r="DC113" s="36"/>
      <c r="DD113" s="36"/>
      <c r="DE113" s="36"/>
      <c r="DF113" s="36"/>
      <c r="DG113" s="36"/>
      <c r="DH113" s="36"/>
      <c r="DI113" s="36"/>
      <c r="DJ113" s="36"/>
      <c r="DK113" s="36"/>
      <c r="DL113" s="36"/>
      <c r="DM113" s="36"/>
      <c r="DN113" s="36"/>
      <c r="DO113" s="36"/>
      <c r="DP113" s="36"/>
      <c r="DQ113" s="36"/>
      <c r="DR113" s="36"/>
      <c r="DS113" s="36"/>
      <c r="DT113" s="36"/>
      <c r="DU113" s="36"/>
      <c r="DV113" s="36"/>
      <c r="DW113" s="36"/>
      <c r="DX113" s="36"/>
      <c r="DY113" s="36"/>
      <c r="DZ113" s="36"/>
      <c r="EA113" s="36"/>
      <c r="EB113" s="36"/>
      <c r="EC113" s="36"/>
      <c r="ED113" s="36"/>
      <c r="EE113" s="36"/>
      <c r="EF113" s="36"/>
      <c r="EG113" s="36"/>
      <c r="EH113" s="36"/>
      <c r="EI113" s="36"/>
      <c r="EJ113" s="36"/>
      <c r="EK113" s="36"/>
      <c r="EL113" s="36"/>
      <c r="EM113" s="36"/>
      <c r="EN113" s="36"/>
      <c r="EO113" s="36"/>
      <c r="EP113" s="36"/>
      <c r="EQ113" s="36"/>
      <c r="ER113" s="36"/>
      <c r="ES113" s="36"/>
      <c r="ET113" s="36"/>
      <c r="EU113" s="36"/>
      <c r="EV113" s="36"/>
      <c r="EW113" s="36"/>
      <c r="EX113" s="36"/>
      <c r="EY113" s="36"/>
      <c r="EZ113" s="36"/>
      <c r="FA113" s="36"/>
      <c r="FB113" s="36"/>
      <c r="FC113" s="36"/>
      <c r="FD113" s="36"/>
      <c r="FE113" s="36"/>
    </row>
    <row r="114" spans="1:161" s="37" customFormat="1" ht="26.25" customHeight="1" x14ac:dyDescent="0.2">
      <c r="A114" s="456" t="s">
        <v>647</v>
      </c>
      <c r="B114" s="457"/>
      <c r="C114" s="458"/>
      <c r="D114" s="458"/>
      <c r="E114" s="458"/>
      <c r="F114" s="458"/>
      <c r="G114" s="458"/>
      <c r="H114" s="458"/>
      <c r="I114" s="457"/>
      <c r="J114" s="458">
        <v>0.01</v>
      </c>
      <c r="K114" s="458">
        <v>0.01</v>
      </c>
      <c r="L114" s="459"/>
      <c r="M114" s="460"/>
      <c r="N114" s="458">
        <v>5.9999999999999995E-4</v>
      </c>
      <c r="O114" s="458"/>
      <c r="P114" s="458"/>
      <c r="Q114" s="458"/>
      <c r="R114" s="458">
        <v>0.24099999999999999</v>
      </c>
      <c r="S114" s="458"/>
      <c r="T114" s="461"/>
      <c r="U114" s="458"/>
      <c r="V114" s="459">
        <v>0.02</v>
      </c>
      <c r="W114" s="459">
        <v>7.8E-2</v>
      </c>
      <c r="X114" s="87"/>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c r="CB114" s="36"/>
      <c r="CC114" s="36"/>
      <c r="CD114" s="36"/>
      <c r="CE114" s="36"/>
      <c r="CF114" s="36"/>
      <c r="CG114" s="36"/>
      <c r="CH114" s="36"/>
      <c r="CI114" s="36"/>
      <c r="CJ114" s="36"/>
      <c r="CK114" s="36"/>
      <c r="CL114" s="36"/>
      <c r="CM114" s="36"/>
      <c r="CN114" s="36"/>
      <c r="CO114" s="36"/>
      <c r="CP114" s="36"/>
      <c r="CQ114" s="36"/>
      <c r="CR114" s="36"/>
      <c r="CS114" s="36"/>
      <c r="CT114" s="36"/>
      <c r="CU114" s="36"/>
      <c r="CV114" s="36"/>
      <c r="CW114" s="36"/>
      <c r="CX114" s="36"/>
      <c r="CY114" s="36"/>
      <c r="CZ114" s="36"/>
      <c r="DA114" s="36"/>
      <c r="DB114" s="36"/>
      <c r="DC114" s="36"/>
      <c r="DD114" s="36"/>
      <c r="DE114" s="36"/>
      <c r="DF114" s="36"/>
      <c r="DG114" s="36"/>
      <c r="DH114" s="36"/>
      <c r="DI114" s="36"/>
      <c r="DJ114" s="36"/>
      <c r="DK114" s="36"/>
      <c r="DL114" s="36"/>
      <c r="DM114" s="36"/>
      <c r="DN114" s="36"/>
      <c r="DO114" s="36"/>
      <c r="DP114" s="36"/>
      <c r="DQ114" s="36"/>
      <c r="DR114" s="36"/>
      <c r="DS114" s="36"/>
      <c r="DT114" s="36"/>
      <c r="DU114" s="36"/>
      <c r="DV114" s="36"/>
      <c r="DW114" s="36"/>
      <c r="DX114" s="36"/>
      <c r="DY114" s="36"/>
      <c r="DZ114" s="36"/>
      <c r="EA114" s="36"/>
      <c r="EB114" s="36"/>
      <c r="EC114" s="36"/>
      <c r="ED114" s="36"/>
      <c r="EE114" s="36"/>
      <c r="EF114" s="36"/>
      <c r="EG114" s="36"/>
      <c r="EH114" s="36"/>
      <c r="EI114" s="36"/>
      <c r="EJ114" s="36"/>
      <c r="EK114" s="36"/>
      <c r="EL114" s="36"/>
      <c r="EM114" s="36"/>
      <c r="EN114" s="36"/>
      <c r="EO114" s="36"/>
      <c r="EP114" s="36"/>
      <c r="EQ114" s="36"/>
      <c r="ER114" s="36"/>
      <c r="ES114" s="36"/>
      <c r="ET114" s="36"/>
      <c r="EU114" s="36"/>
      <c r="EV114" s="36"/>
      <c r="EW114" s="36"/>
      <c r="EX114" s="36"/>
      <c r="EY114" s="36"/>
      <c r="EZ114" s="36"/>
      <c r="FA114" s="36"/>
      <c r="FB114" s="36"/>
      <c r="FC114" s="36"/>
      <c r="FD114" s="36"/>
      <c r="FE114" s="36"/>
    </row>
    <row r="115" spans="1:161" s="37" customFormat="1" ht="26.25" customHeight="1" x14ac:dyDescent="0.2">
      <c r="A115" s="69" t="s">
        <v>201</v>
      </c>
      <c r="B115" s="454">
        <v>3.0000000000000001E-3</v>
      </c>
      <c r="C115" s="451">
        <v>2E-3</v>
      </c>
      <c r="D115" s="451">
        <v>2E-3</v>
      </c>
      <c r="E115" s="451">
        <v>2E-3</v>
      </c>
      <c r="F115" s="451">
        <v>0.06</v>
      </c>
      <c r="G115" s="451"/>
      <c r="H115" s="451"/>
      <c r="I115" s="454">
        <v>3.0000000000000001E-3</v>
      </c>
      <c r="J115" s="451">
        <v>0.02</v>
      </c>
      <c r="K115" s="451">
        <v>0.02</v>
      </c>
      <c r="L115" s="452">
        <v>0.04</v>
      </c>
      <c r="M115" s="453"/>
      <c r="N115" s="451">
        <v>2E-3</v>
      </c>
      <c r="O115" s="451">
        <v>2.9251151785580267E-3</v>
      </c>
      <c r="P115" s="451">
        <v>3.7510069296775284E-3</v>
      </c>
      <c r="Q115" s="451">
        <v>3.0000000000000001E-3</v>
      </c>
      <c r="R115" s="451">
        <v>0.222</v>
      </c>
      <c r="S115" s="451">
        <v>0.11527377521613834</v>
      </c>
      <c r="T115" s="455">
        <v>2E-3</v>
      </c>
      <c r="U115" s="451">
        <v>8.0000000000000002E-3</v>
      </c>
      <c r="V115" s="452">
        <v>0.02</v>
      </c>
      <c r="W115" s="452">
        <v>1.4999999999999999E-2</v>
      </c>
      <c r="X115" s="87"/>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c r="CB115" s="36"/>
      <c r="CC115" s="36"/>
      <c r="CD115" s="36"/>
      <c r="CE115" s="36"/>
      <c r="CF115" s="36"/>
      <c r="CG115" s="36"/>
      <c r="CH115" s="36"/>
      <c r="CI115" s="36"/>
      <c r="CJ115" s="36"/>
      <c r="CK115" s="36"/>
      <c r="CL115" s="36"/>
      <c r="CM115" s="36"/>
      <c r="CN115" s="36"/>
      <c r="CO115" s="36"/>
      <c r="CP115" s="36"/>
      <c r="CQ115" s="36"/>
      <c r="CR115" s="36"/>
      <c r="CS115" s="36"/>
      <c r="CT115" s="36"/>
      <c r="CU115" s="36"/>
      <c r="CV115" s="36"/>
      <c r="CW115" s="36"/>
      <c r="CX115" s="36"/>
      <c r="CY115" s="36"/>
      <c r="CZ115" s="36"/>
      <c r="DA115" s="36"/>
      <c r="DB115" s="36"/>
      <c r="DC115" s="36"/>
      <c r="DD115" s="36"/>
      <c r="DE115" s="36"/>
      <c r="DF115" s="36"/>
      <c r="DG115" s="36"/>
      <c r="DH115" s="36"/>
      <c r="DI115" s="36"/>
      <c r="DJ115" s="36"/>
      <c r="DK115" s="36"/>
      <c r="DL115" s="36"/>
      <c r="DM115" s="36"/>
      <c r="DN115" s="36"/>
      <c r="DO115" s="36"/>
      <c r="DP115" s="36"/>
      <c r="DQ115" s="36"/>
      <c r="DR115" s="36"/>
      <c r="DS115" s="36"/>
      <c r="DT115" s="36"/>
      <c r="DU115" s="36"/>
      <c r="DV115" s="36"/>
      <c r="DW115" s="36"/>
      <c r="DX115" s="36"/>
      <c r="DY115" s="36"/>
      <c r="DZ115" s="36"/>
      <c r="EA115" s="36"/>
      <c r="EB115" s="36"/>
      <c r="EC115" s="36"/>
      <c r="ED115" s="36"/>
      <c r="EE115" s="36"/>
      <c r="EF115" s="36"/>
      <c r="EG115" s="36"/>
      <c r="EH115" s="36"/>
      <c r="EI115" s="36"/>
      <c r="EJ115" s="36"/>
      <c r="EK115" s="36"/>
      <c r="EL115" s="36"/>
      <c r="EM115" s="36"/>
      <c r="EN115" s="36"/>
      <c r="EO115" s="36"/>
      <c r="EP115" s="36"/>
      <c r="EQ115" s="36"/>
      <c r="ER115" s="36"/>
      <c r="ES115" s="36"/>
      <c r="ET115" s="36"/>
      <c r="EU115" s="36"/>
      <c r="EV115" s="36"/>
      <c r="EW115" s="36"/>
      <c r="EX115" s="36"/>
      <c r="EY115" s="36"/>
      <c r="EZ115" s="36"/>
      <c r="FA115" s="36"/>
      <c r="FB115" s="36"/>
      <c r="FC115" s="36"/>
      <c r="FD115" s="36"/>
      <c r="FE115" s="36"/>
    </row>
    <row r="116" spans="1:161" s="37" customFormat="1" ht="26.25" customHeight="1" x14ac:dyDescent="0.2">
      <c r="A116" s="456" t="s">
        <v>648</v>
      </c>
      <c r="B116" s="457"/>
      <c r="C116" s="458"/>
      <c r="D116" s="458"/>
      <c r="E116" s="458"/>
      <c r="F116" s="458"/>
      <c r="G116" s="458"/>
      <c r="H116" s="458"/>
      <c r="I116" s="457"/>
      <c r="J116" s="458"/>
      <c r="K116" s="458"/>
      <c r="L116" s="459"/>
      <c r="M116" s="460"/>
      <c r="N116" s="458"/>
      <c r="O116" s="458"/>
      <c r="P116" s="458"/>
      <c r="Q116" s="458"/>
      <c r="R116" s="458">
        <v>0.19900000000000001</v>
      </c>
      <c r="S116" s="458"/>
      <c r="T116" s="461"/>
      <c r="U116" s="458"/>
      <c r="V116" s="459"/>
      <c r="W116" s="459"/>
      <c r="X116" s="87"/>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c r="DG116" s="36"/>
      <c r="DH116" s="36"/>
      <c r="DI116" s="36"/>
      <c r="DJ116" s="36"/>
      <c r="DK116" s="36"/>
      <c r="DL116" s="36"/>
      <c r="DM116" s="36"/>
      <c r="DN116" s="36"/>
      <c r="DO116" s="36"/>
      <c r="DP116" s="36"/>
      <c r="DQ116" s="36"/>
      <c r="DR116" s="36"/>
      <c r="DS116" s="36"/>
      <c r="DT116" s="36"/>
      <c r="DU116" s="36"/>
      <c r="DV116" s="36"/>
      <c r="DW116" s="36"/>
      <c r="DX116" s="36"/>
      <c r="DY116" s="36"/>
      <c r="DZ116" s="36"/>
      <c r="EA116" s="36"/>
      <c r="EB116" s="36"/>
      <c r="EC116" s="36"/>
      <c r="ED116" s="36"/>
      <c r="EE116" s="36"/>
      <c r="EF116" s="36"/>
      <c r="EG116" s="36"/>
      <c r="EH116" s="36"/>
      <c r="EI116" s="36"/>
      <c r="EJ116" s="36"/>
      <c r="EK116" s="36"/>
      <c r="EL116" s="36"/>
      <c r="EM116" s="36"/>
      <c r="EN116" s="36"/>
      <c r="EO116" s="36"/>
      <c r="EP116" s="36"/>
      <c r="EQ116" s="36"/>
      <c r="ER116" s="36"/>
      <c r="ES116" s="36"/>
      <c r="ET116" s="36"/>
      <c r="EU116" s="36"/>
      <c r="EV116" s="36"/>
      <c r="EW116" s="36"/>
      <c r="EX116" s="36"/>
      <c r="EY116" s="36"/>
      <c r="EZ116" s="36"/>
      <c r="FA116" s="36"/>
      <c r="FB116" s="36"/>
      <c r="FC116" s="36"/>
      <c r="FD116" s="36"/>
      <c r="FE116" s="36"/>
    </row>
    <row r="117" spans="1:161" s="37" customFormat="1" ht="26.25" customHeight="1" x14ac:dyDescent="0.2">
      <c r="A117" s="69" t="s">
        <v>202</v>
      </c>
      <c r="B117" s="454">
        <v>1E-3</v>
      </c>
      <c r="C117" s="451">
        <v>1E-3</v>
      </c>
      <c r="D117" s="451">
        <v>1E-3</v>
      </c>
      <c r="E117" s="451">
        <v>1E-3</v>
      </c>
      <c r="F117" s="451">
        <v>0.06</v>
      </c>
      <c r="G117" s="451"/>
      <c r="H117" s="451"/>
      <c r="I117" s="454">
        <v>1E-3</v>
      </c>
      <c r="J117" s="451">
        <v>0.02</v>
      </c>
      <c r="K117" s="451">
        <v>0.02</v>
      </c>
      <c r="L117" s="452">
        <v>0.02</v>
      </c>
      <c r="M117" s="453"/>
      <c r="N117" s="451">
        <v>1E-3</v>
      </c>
      <c r="O117" s="451">
        <v>1E-3</v>
      </c>
      <c r="P117" s="451">
        <v>1.2503356432258428E-3</v>
      </c>
      <c r="Q117" s="451">
        <v>1E-3</v>
      </c>
      <c r="R117" s="451">
        <v>0.222</v>
      </c>
      <c r="S117" s="451">
        <v>5.7636887608069169E-2</v>
      </c>
      <c r="T117" s="455">
        <v>1E-3</v>
      </c>
      <c r="U117" s="451">
        <v>8.0000000000000002E-3</v>
      </c>
      <c r="V117" s="452">
        <v>0.02</v>
      </c>
      <c r="W117" s="452">
        <v>1.4999999999999999E-2</v>
      </c>
      <c r="X117" s="87"/>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c r="CB117" s="36"/>
      <c r="CC117" s="36"/>
      <c r="CD117" s="36"/>
      <c r="CE117" s="36"/>
      <c r="CF117" s="36"/>
      <c r="CG117" s="36"/>
      <c r="CH117" s="36"/>
      <c r="CI117" s="36"/>
      <c r="CJ117" s="36"/>
      <c r="CK117" s="36"/>
      <c r="CL117" s="36"/>
      <c r="CM117" s="36"/>
      <c r="CN117" s="36"/>
      <c r="CO117" s="36"/>
      <c r="CP117" s="36"/>
      <c r="CQ117" s="36"/>
      <c r="CR117" s="36"/>
      <c r="CS117" s="36"/>
      <c r="CT117" s="36"/>
      <c r="CU117" s="36"/>
      <c r="CV117" s="36"/>
      <c r="CW117" s="36"/>
      <c r="CX117" s="36"/>
      <c r="CY117" s="36"/>
      <c r="CZ117" s="36"/>
      <c r="DA117" s="36"/>
      <c r="DB117" s="36"/>
      <c r="DC117" s="36"/>
      <c r="DD117" s="36"/>
      <c r="DE117" s="36"/>
      <c r="DF117" s="36"/>
      <c r="DG117" s="36"/>
      <c r="DH117" s="36"/>
      <c r="DI117" s="36"/>
      <c r="DJ117" s="36"/>
      <c r="DK117" s="36"/>
      <c r="DL117" s="36"/>
      <c r="DM117" s="36"/>
      <c r="DN117" s="36"/>
      <c r="DO117" s="36"/>
      <c r="DP117" s="36"/>
      <c r="DQ117" s="36"/>
      <c r="DR117" s="36"/>
      <c r="DS117" s="36"/>
      <c r="DT117" s="36"/>
      <c r="DU117" s="36"/>
      <c r="DV117" s="36"/>
      <c r="DW117" s="36"/>
      <c r="DX117" s="36"/>
      <c r="DY117" s="36"/>
      <c r="DZ117" s="36"/>
      <c r="EA117" s="36"/>
      <c r="EB117" s="36"/>
      <c r="EC117" s="36"/>
      <c r="ED117" s="36"/>
      <c r="EE117" s="36"/>
      <c r="EF117" s="36"/>
      <c r="EG117" s="36"/>
      <c r="EH117" s="36"/>
      <c r="EI117" s="36"/>
      <c r="EJ117" s="36"/>
      <c r="EK117" s="36"/>
      <c r="EL117" s="36"/>
      <c r="EM117" s="36"/>
      <c r="EN117" s="36"/>
      <c r="EO117" s="36"/>
      <c r="EP117" s="36"/>
      <c r="EQ117" s="36"/>
      <c r="ER117" s="36"/>
      <c r="ES117" s="36"/>
      <c r="ET117" s="36"/>
      <c r="EU117" s="36"/>
      <c r="EV117" s="36"/>
      <c r="EW117" s="36"/>
      <c r="EX117" s="36"/>
      <c r="EY117" s="36"/>
      <c r="EZ117" s="36"/>
      <c r="FA117" s="36"/>
      <c r="FB117" s="36"/>
      <c r="FC117" s="36"/>
      <c r="FD117" s="36"/>
      <c r="FE117" s="36"/>
    </row>
    <row r="118" spans="1:161" s="37" customFormat="1" ht="26.25" customHeight="1" x14ac:dyDescent="0.2">
      <c r="A118" s="456" t="s">
        <v>203</v>
      </c>
      <c r="B118" s="457">
        <v>0.253</v>
      </c>
      <c r="C118" s="458">
        <v>0.193</v>
      </c>
      <c r="D118" s="458">
        <v>0.191</v>
      </c>
      <c r="E118" s="458">
        <v>0.156</v>
      </c>
      <c r="F118" s="458">
        <v>0.55000000000000004</v>
      </c>
      <c r="G118" s="458"/>
      <c r="H118" s="458"/>
      <c r="I118" s="457">
        <v>0.253</v>
      </c>
      <c r="J118" s="458">
        <v>0.83</v>
      </c>
      <c r="K118" s="458">
        <v>0.83</v>
      </c>
      <c r="L118" s="459">
        <v>0.28999999999999998</v>
      </c>
      <c r="M118" s="460"/>
      <c r="N118" s="458">
        <v>0.19</v>
      </c>
      <c r="O118" s="458">
        <v>0.24668471339172693</v>
      </c>
      <c r="P118" s="458">
        <v>0.31633491773613825</v>
      </c>
      <c r="Q118" s="458">
        <v>0.26400000000000001</v>
      </c>
      <c r="R118" s="458">
        <v>1.329</v>
      </c>
      <c r="S118" s="458">
        <v>0.345821325648415</v>
      </c>
      <c r="T118" s="461">
        <v>0.19</v>
      </c>
      <c r="U118" s="458">
        <v>0.13100000000000001</v>
      </c>
      <c r="V118" s="459">
        <v>0.25</v>
      </c>
      <c r="W118" s="459">
        <v>1.179</v>
      </c>
      <c r="X118" s="87"/>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c r="CB118" s="36"/>
      <c r="CC118" s="36"/>
      <c r="CD118" s="36"/>
      <c r="CE118" s="36"/>
      <c r="CF118" s="36"/>
      <c r="CG118" s="36"/>
      <c r="CH118" s="36"/>
      <c r="CI118" s="36"/>
      <c r="CJ118" s="36"/>
      <c r="CK118" s="36"/>
      <c r="CL118" s="36"/>
      <c r="CM118" s="36"/>
      <c r="CN118" s="36"/>
      <c r="CO118" s="36"/>
      <c r="CP118" s="36"/>
      <c r="CQ118" s="36"/>
      <c r="CR118" s="36"/>
      <c r="CS118" s="36"/>
      <c r="CT118" s="36"/>
      <c r="CU118" s="36"/>
      <c r="CV118" s="36"/>
      <c r="CW118" s="36"/>
      <c r="CX118" s="36"/>
      <c r="CY118" s="36"/>
      <c r="CZ118" s="36"/>
      <c r="DA118" s="36"/>
      <c r="DB118" s="36"/>
      <c r="DC118" s="36"/>
      <c r="DD118" s="36"/>
      <c r="DE118" s="36"/>
      <c r="DF118" s="36"/>
      <c r="DG118" s="36"/>
      <c r="DH118" s="36"/>
      <c r="DI118" s="36"/>
      <c r="DJ118" s="36"/>
      <c r="DK118" s="36"/>
      <c r="DL118" s="36"/>
      <c r="DM118" s="36"/>
      <c r="DN118" s="36"/>
      <c r="DO118" s="36"/>
      <c r="DP118" s="36"/>
      <c r="DQ118" s="36"/>
      <c r="DR118" s="36"/>
      <c r="DS118" s="36"/>
      <c r="DT118" s="36"/>
      <c r="DU118" s="36"/>
      <c r="DV118" s="36"/>
      <c r="DW118" s="36"/>
      <c r="DX118" s="36"/>
      <c r="DY118" s="36"/>
      <c r="DZ118" s="36"/>
      <c r="EA118" s="36"/>
      <c r="EB118" s="36"/>
      <c r="EC118" s="36"/>
      <c r="ED118" s="36"/>
      <c r="EE118" s="36"/>
      <c r="EF118" s="36"/>
      <c r="EG118" s="36"/>
      <c r="EH118" s="36"/>
      <c r="EI118" s="36"/>
      <c r="EJ118" s="36"/>
      <c r="EK118" s="36"/>
      <c r="EL118" s="36"/>
      <c r="EM118" s="36"/>
      <c r="EN118" s="36"/>
      <c r="EO118" s="36"/>
      <c r="EP118" s="36"/>
      <c r="EQ118" s="36"/>
      <c r="ER118" s="36"/>
      <c r="ES118" s="36"/>
      <c r="ET118" s="36"/>
      <c r="EU118" s="36"/>
      <c r="EV118" s="36"/>
      <c r="EW118" s="36"/>
      <c r="EX118" s="36"/>
      <c r="EY118" s="36"/>
      <c r="EZ118" s="36"/>
      <c r="FA118" s="36"/>
      <c r="FB118" s="36"/>
      <c r="FC118" s="36"/>
      <c r="FD118" s="36"/>
      <c r="FE118" s="36"/>
    </row>
    <row r="119" spans="1:161" s="37" customFormat="1" ht="26.25" customHeight="1" x14ac:dyDescent="0.2">
      <c r="A119" s="69" t="s">
        <v>204</v>
      </c>
      <c r="B119" s="454">
        <v>1E-3</v>
      </c>
      <c r="C119" s="451">
        <v>1E-3</v>
      </c>
      <c r="D119" s="451">
        <v>1E-3</v>
      </c>
      <c r="E119" s="451"/>
      <c r="F119" s="451">
        <v>0.06</v>
      </c>
      <c r="G119" s="451"/>
      <c r="H119" s="451"/>
      <c r="I119" s="454">
        <v>1E-3</v>
      </c>
      <c r="J119" s="451">
        <v>0.03</v>
      </c>
      <c r="K119" s="451">
        <v>0.03</v>
      </c>
      <c r="L119" s="452">
        <v>0.04</v>
      </c>
      <c r="M119" s="453"/>
      <c r="N119" s="451">
        <v>1E-3</v>
      </c>
      <c r="O119" s="451">
        <v>1E-3</v>
      </c>
      <c r="P119" s="451">
        <v>1.2503356432258428E-3</v>
      </c>
      <c r="Q119" s="451">
        <v>1E-3</v>
      </c>
      <c r="R119" s="451">
        <v>0.222</v>
      </c>
      <c r="S119" s="451">
        <v>0.11527377521613834</v>
      </c>
      <c r="T119" s="455">
        <v>1E-3</v>
      </c>
      <c r="U119" s="451">
        <v>8.0000000000000002E-3</v>
      </c>
      <c r="V119" s="452">
        <v>0.02</v>
      </c>
      <c r="W119" s="452">
        <v>1.4999999999999999E-2</v>
      </c>
      <c r="X119" s="87"/>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c r="CB119" s="36"/>
      <c r="CC119" s="36"/>
      <c r="CD119" s="36"/>
      <c r="CE119" s="36"/>
      <c r="CF119" s="36"/>
      <c r="CG119" s="36"/>
      <c r="CH119" s="36"/>
      <c r="CI119" s="36"/>
      <c r="CJ119" s="36"/>
      <c r="CK119" s="36"/>
      <c r="CL119" s="36"/>
      <c r="CM119" s="36"/>
      <c r="CN119" s="36"/>
      <c r="CO119" s="36"/>
      <c r="CP119" s="36"/>
      <c r="CQ119" s="36"/>
      <c r="CR119" s="36"/>
      <c r="CS119" s="36"/>
      <c r="CT119" s="36"/>
      <c r="CU119" s="36"/>
      <c r="CV119" s="36"/>
      <c r="CW119" s="36"/>
      <c r="CX119" s="36"/>
      <c r="CY119" s="36"/>
      <c r="CZ119" s="36"/>
      <c r="DA119" s="36"/>
      <c r="DB119" s="36"/>
      <c r="DC119" s="36"/>
      <c r="DD119" s="36"/>
      <c r="DE119" s="36"/>
      <c r="DF119" s="36"/>
      <c r="DG119" s="36"/>
      <c r="DH119" s="36"/>
      <c r="DI119" s="36"/>
      <c r="DJ119" s="36"/>
      <c r="DK119" s="36"/>
      <c r="DL119" s="36"/>
      <c r="DM119" s="36"/>
      <c r="DN119" s="36"/>
      <c r="DO119" s="36"/>
      <c r="DP119" s="36"/>
      <c r="DQ119" s="36"/>
      <c r="DR119" s="36"/>
      <c r="DS119" s="36"/>
      <c r="DT119" s="36"/>
      <c r="DU119" s="36"/>
      <c r="DV119" s="36"/>
      <c r="DW119" s="36"/>
      <c r="DX119" s="36"/>
      <c r="DY119" s="36"/>
      <c r="DZ119" s="36"/>
      <c r="EA119" s="36"/>
      <c r="EB119" s="36"/>
      <c r="EC119" s="36"/>
      <c r="ED119" s="36"/>
      <c r="EE119" s="36"/>
      <c r="EF119" s="36"/>
      <c r="EG119" s="36"/>
      <c r="EH119" s="36"/>
      <c r="EI119" s="36"/>
      <c r="EJ119" s="36"/>
      <c r="EK119" s="36"/>
      <c r="EL119" s="36"/>
      <c r="EM119" s="36"/>
      <c r="EN119" s="36"/>
      <c r="EO119" s="36"/>
      <c r="EP119" s="36"/>
      <c r="EQ119" s="36"/>
      <c r="ER119" s="36"/>
      <c r="ES119" s="36"/>
      <c r="ET119" s="36"/>
      <c r="EU119" s="36"/>
      <c r="EV119" s="36"/>
      <c r="EW119" s="36"/>
      <c r="EX119" s="36"/>
      <c r="EY119" s="36"/>
      <c r="EZ119" s="36"/>
      <c r="FA119" s="36"/>
      <c r="FB119" s="36"/>
      <c r="FC119" s="36"/>
      <c r="FD119" s="36"/>
      <c r="FE119" s="36"/>
    </row>
    <row r="120" spans="1:161" s="37" customFormat="1" ht="26.25" customHeight="1" x14ac:dyDescent="0.2">
      <c r="A120" s="456" t="s">
        <v>205</v>
      </c>
      <c r="B120" s="457">
        <v>3.0000000000000001E-3</v>
      </c>
      <c r="C120" s="458">
        <v>1E-3</v>
      </c>
      <c r="D120" s="458">
        <v>1E-3</v>
      </c>
      <c r="E120" s="458">
        <v>1E-3</v>
      </c>
      <c r="F120" s="458">
        <v>0.06</v>
      </c>
      <c r="G120" s="458"/>
      <c r="H120" s="458"/>
      <c r="I120" s="457">
        <v>3.0000000000000001E-3</v>
      </c>
      <c r="J120" s="458"/>
      <c r="K120" s="458"/>
      <c r="L120" s="459">
        <v>7.0000000000000007E-2</v>
      </c>
      <c r="M120" s="460"/>
      <c r="N120" s="458">
        <v>1E-3</v>
      </c>
      <c r="O120" s="458">
        <v>2.9251151785580267E-3</v>
      </c>
      <c r="P120" s="458">
        <v>3.7510069296775284E-3</v>
      </c>
      <c r="Q120" s="458">
        <v>1E-3</v>
      </c>
      <c r="R120" s="458">
        <v>0.222</v>
      </c>
      <c r="S120" s="458">
        <v>5.7636887608069169E-2</v>
      </c>
      <c r="T120" s="461">
        <v>1E-3</v>
      </c>
      <c r="U120" s="458">
        <v>8.0000000000000002E-3</v>
      </c>
      <c r="V120" s="459">
        <v>0.02</v>
      </c>
      <c r="W120" s="459">
        <v>1.4999999999999999E-2</v>
      </c>
      <c r="X120" s="87"/>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c r="CB120" s="36"/>
      <c r="CC120" s="36"/>
      <c r="CD120" s="36"/>
      <c r="CE120" s="36"/>
      <c r="CF120" s="36"/>
      <c r="CG120" s="36"/>
      <c r="CH120" s="36"/>
      <c r="CI120" s="36"/>
      <c r="CJ120" s="36"/>
      <c r="CK120" s="36"/>
      <c r="CL120" s="36"/>
      <c r="CM120" s="36"/>
      <c r="CN120" s="36"/>
      <c r="CO120" s="36"/>
      <c r="CP120" s="36"/>
      <c r="CQ120" s="36"/>
      <c r="CR120" s="36"/>
      <c r="CS120" s="36"/>
      <c r="CT120" s="36"/>
      <c r="CU120" s="36"/>
      <c r="CV120" s="36"/>
      <c r="CW120" s="36"/>
      <c r="CX120" s="36"/>
      <c r="CY120" s="36"/>
      <c r="CZ120" s="36"/>
      <c r="DA120" s="36"/>
      <c r="DB120" s="36"/>
      <c r="DC120" s="36"/>
      <c r="DD120" s="36"/>
      <c r="DE120" s="36"/>
      <c r="DF120" s="36"/>
      <c r="DG120" s="36"/>
      <c r="DH120" s="36"/>
      <c r="DI120" s="36"/>
      <c r="DJ120" s="36"/>
      <c r="DK120" s="36"/>
      <c r="DL120" s="36"/>
      <c r="DM120" s="36"/>
      <c r="DN120" s="36"/>
      <c r="DO120" s="36"/>
      <c r="DP120" s="36"/>
      <c r="DQ120" s="36"/>
      <c r="DR120" s="36"/>
      <c r="DS120" s="36"/>
      <c r="DT120" s="36"/>
      <c r="DU120" s="36"/>
      <c r="DV120" s="36"/>
      <c r="DW120" s="36"/>
      <c r="DX120" s="36"/>
      <c r="DY120" s="36"/>
      <c r="DZ120" s="36"/>
      <c r="EA120" s="36"/>
      <c r="EB120" s="36"/>
      <c r="EC120" s="36"/>
      <c r="ED120" s="36"/>
      <c r="EE120" s="36"/>
      <c r="EF120" s="36"/>
      <c r="EG120" s="36"/>
      <c r="EH120" s="36"/>
      <c r="EI120" s="36"/>
      <c r="EJ120" s="36"/>
      <c r="EK120" s="36"/>
      <c r="EL120" s="36"/>
      <c r="EM120" s="36"/>
      <c r="EN120" s="36"/>
      <c r="EO120" s="36"/>
      <c r="EP120" s="36"/>
      <c r="EQ120" s="36"/>
      <c r="ER120" s="36"/>
      <c r="ES120" s="36"/>
      <c r="ET120" s="36"/>
      <c r="EU120" s="36"/>
      <c r="EV120" s="36"/>
      <c r="EW120" s="36"/>
      <c r="EX120" s="36"/>
      <c r="EY120" s="36"/>
      <c r="EZ120" s="36"/>
      <c r="FA120" s="36"/>
      <c r="FB120" s="36"/>
      <c r="FC120" s="36"/>
      <c r="FD120" s="36"/>
      <c r="FE120" s="36"/>
    </row>
    <row r="121" spans="1:161" s="37" customFormat="1" ht="26.25" customHeight="1" x14ac:dyDescent="0.2">
      <c r="A121" s="69" t="s">
        <v>206</v>
      </c>
      <c r="B121" s="454">
        <v>1.7000000000000001E-2</v>
      </c>
      <c r="C121" s="451">
        <v>1.7000000000000001E-2</v>
      </c>
      <c r="D121" s="451">
        <v>1.7000000000000001E-2</v>
      </c>
      <c r="E121" s="451">
        <v>1.4E-2</v>
      </c>
      <c r="F121" s="451">
        <v>0.06</v>
      </c>
      <c r="G121" s="451"/>
      <c r="H121" s="451"/>
      <c r="I121" s="454">
        <v>1.7000000000000001E-2</v>
      </c>
      <c r="J121" s="451">
        <v>3.48</v>
      </c>
      <c r="K121" s="451">
        <v>3.03</v>
      </c>
      <c r="L121" s="452">
        <v>7.0000000000000007E-2</v>
      </c>
      <c r="M121" s="453"/>
      <c r="N121" s="451">
        <v>1.7000000000000001E-2</v>
      </c>
      <c r="O121" s="451">
        <v>1.6575652678495485E-2</v>
      </c>
      <c r="P121" s="451">
        <v>2.1255705934839327E-2</v>
      </c>
      <c r="Q121" s="451">
        <v>2.4E-2</v>
      </c>
      <c r="R121" s="451">
        <v>0.35499999999999998</v>
      </c>
      <c r="S121" s="451">
        <v>0.11527377521613834</v>
      </c>
      <c r="T121" s="455">
        <v>1.7000000000000001E-2</v>
      </c>
      <c r="U121" s="451">
        <v>1.6E-2</v>
      </c>
      <c r="V121" s="452">
        <v>0.02</v>
      </c>
      <c r="W121" s="452">
        <v>4.1000000000000002E-2</v>
      </c>
      <c r="X121" s="87"/>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c r="CB121" s="36"/>
      <c r="CC121" s="36"/>
      <c r="CD121" s="36"/>
      <c r="CE121" s="36"/>
      <c r="CF121" s="36"/>
      <c r="CG121" s="36"/>
      <c r="CH121" s="36"/>
      <c r="CI121" s="36"/>
      <c r="CJ121" s="36"/>
      <c r="CK121" s="36"/>
      <c r="CL121" s="36"/>
      <c r="CM121" s="36"/>
      <c r="CN121" s="36"/>
      <c r="CO121" s="36"/>
      <c r="CP121" s="36"/>
      <c r="CQ121" s="36"/>
      <c r="CR121" s="36"/>
      <c r="CS121" s="36"/>
      <c r="CT121" s="36"/>
      <c r="CU121" s="36"/>
      <c r="CV121" s="36"/>
      <c r="CW121" s="36"/>
      <c r="CX121" s="36"/>
      <c r="CY121" s="36"/>
      <c r="CZ121" s="36"/>
      <c r="DA121" s="36"/>
      <c r="DB121" s="36"/>
      <c r="DC121" s="36"/>
      <c r="DD121" s="36"/>
      <c r="DE121" s="36"/>
      <c r="DF121" s="36"/>
      <c r="DG121" s="36"/>
      <c r="DH121" s="36"/>
      <c r="DI121" s="36"/>
      <c r="DJ121" s="36"/>
      <c r="DK121" s="36"/>
      <c r="DL121" s="36"/>
      <c r="DM121" s="36"/>
      <c r="DN121" s="36"/>
      <c r="DO121" s="36"/>
      <c r="DP121" s="36"/>
      <c r="DQ121" s="36"/>
      <c r="DR121" s="36"/>
      <c r="DS121" s="36"/>
      <c r="DT121" s="36"/>
      <c r="DU121" s="36"/>
      <c r="DV121" s="36"/>
      <c r="DW121" s="36"/>
      <c r="DX121" s="36"/>
      <c r="DY121" s="36"/>
      <c r="DZ121" s="36"/>
      <c r="EA121" s="36"/>
      <c r="EB121" s="36"/>
      <c r="EC121" s="36"/>
      <c r="ED121" s="36"/>
      <c r="EE121" s="36"/>
      <c r="EF121" s="36"/>
      <c r="EG121" s="36"/>
      <c r="EH121" s="36"/>
      <c r="EI121" s="36"/>
      <c r="EJ121" s="36"/>
      <c r="EK121" s="36"/>
      <c r="EL121" s="36"/>
      <c r="EM121" s="36"/>
      <c r="EN121" s="36"/>
      <c r="EO121" s="36"/>
      <c r="EP121" s="36"/>
      <c r="EQ121" s="36"/>
      <c r="ER121" s="36"/>
      <c r="ES121" s="36"/>
      <c r="ET121" s="36"/>
      <c r="EU121" s="36"/>
      <c r="EV121" s="36"/>
      <c r="EW121" s="36"/>
      <c r="EX121" s="36"/>
      <c r="EY121" s="36"/>
      <c r="EZ121" s="36"/>
      <c r="FA121" s="36"/>
      <c r="FB121" s="36"/>
      <c r="FC121" s="36"/>
      <c r="FD121" s="36"/>
      <c r="FE121" s="36"/>
    </row>
    <row r="122" spans="1:161" s="37" customFormat="1" ht="26.25" customHeight="1" x14ac:dyDescent="0.2">
      <c r="A122" s="456" t="s">
        <v>207</v>
      </c>
      <c r="B122" s="457">
        <v>1E-3</v>
      </c>
      <c r="C122" s="458">
        <v>1E-3</v>
      </c>
      <c r="D122" s="458">
        <v>1E-3</v>
      </c>
      <c r="E122" s="458">
        <v>1E-3</v>
      </c>
      <c r="F122" s="458">
        <v>0.06</v>
      </c>
      <c r="G122" s="458"/>
      <c r="H122" s="458"/>
      <c r="I122" s="457">
        <v>1E-3</v>
      </c>
      <c r="J122" s="458">
        <v>4.8</v>
      </c>
      <c r="K122" s="458">
        <v>4.08</v>
      </c>
      <c r="L122" s="459">
        <v>7.0000000000000007E-2</v>
      </c>
      <c r="M122" s="460"/>
      <c r="N122" s="458">
        <v>1E-3</v>
      </c>
      <c r="O122" s="458">
        <v>1E-3</v>
      </c>
      <c r="P122" s="458">
        <v>1.2503356432258428E-3</v>
      </c>
      <c r="Q122" s="458"/>
      <c r="R122" s="458"/>
      <c r="S122" s="458"/>
      <c r="T122" s="461">
        <v>1E-3</v>
      </c>
      <c r="U122" s="458"/>
      <c r="V122" s="459"/>
      <c r="W122" s="459"/>
      <c r="X122" s="87"/>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c r="CB122" s="36"/>
      <c r="CC122" s="36"/>
      <c r="CD122" s="36"/>
      <c r="CE122" s="36"/>
      <c r="CF122" s="36"/>
      <c r="CG122" s="36"/>
      <c r="CH122" s="36"/>
      <c r="CI122" s="36"/>
      <c r="CJ122" s="36"/>
      <c r="CK122" s="36"/>
      <c r="CL122" s="36"/>
      <c r="CM122" s="36"/>
      <c r="CN122" s="36"/>
      <c r="CO122" s="36"/>
      <c r="CP122" s="36"/>
      <c r="CQ122" s="36"/>
      <c r="CR122" s="36"/>
      <c r="CS122" s="36"/>
      <c r="CT122" s="36"/>
      <c r="CU122" s="36"/>
      <c r="CV122" s="36"/>
      <c r="CW122" s="36"/>
      <c r="CX122" s="36"/>
      <c r="CY122" s="36"/>
      <c r="CZ122" s="36"/>
      <c r="DA122" s="36"/>
      <c r="DB122" s="36"/>
      <c r="DC122" s="36"/>
      <c r="DD122" s="36"/>
      <c r="DE122" s="36"/>
      <c r="DF122" s="36"/>
      <c r="DG122" s="36"/>
      <c r="DH122" s="36"/>
      <c r="DI122" s="36"/>
      <c r="DJ122" s="36"/>
      <c r="DK122" s="36"/>
      <c r="DL122" s="36"/>
      <c r="DM122" s="36"/>
      <c r="DN122" s="36"/>
      <c r="DO122" s="36"/>
      <c r="DP122" s="36"/>
      <c r="DQ122" s="36"/>
      <c r="DR122" s="36"/>
      <c r="DS122" s="36"/>
      <c r="DT122" s="36"/>
      <c r="DU122" s="36"/>
      <c r="DV122" s="36"/>
      <c r="DW122" s="36"/>
      <c r="DX122" s="36"/>
      <c r="DY122" s="36"/>
      <c r="DZ122" s="36"/>
      <c r="EA122" s="36"/>
      <c r="EB122" s="36"/>
      <c r="EC122" s="36"/>
      <c r="ED122" s="36"/>
      <c r="EE122" s="36"/>
      <c r="EF122" s="36"/>
      <c r="EG122" s="36"/>
      <c r="EH122" s="36"/>
      <c r="EI122" s="36"/>
      <c r="EJ122" s="36"/>
      <c r="EK122" s="36"/>
      <c r="EL122" s="36"/>
      <c r="EM122" s="36"/>
      <c r="EN122" s="36"/>
      <c r="EO122" s="36"/>
      <c r="EP122" s="36"/>
      <c r="EQ122" s="36"/>
      <c r="ER122" s="36"/>
      <c r="ES122" s="36"/>
      <c r="ET122" s="36"/>
      <c r="EU122" s="36"/>
      <c r="EV122" s="36"/>
      <c r="EW122" s="36"/>
      <c r="EX122" s="36"/>
      <c r="EY122" s="36"/>
      <c r="EZ122" s="36"/>
      <c r="FA122" s="36"/>
      <c r="FB122" s="36"/>
      <c r="FC122" s="36"/>
      <c r="FD122" s="36"/>
      <c r="FE122" s="36"/>
    </row>
    <row r="123" spans="1:161" s="37" customFormat="1" ht="26.25" customHeight="1" x14ac:dyDescent="0.2">
      <c r="A123" s="69" t="s">
        <v>208</v>
      </c>
      <c r="B123" s="454">
        <v>1E-3</v>
      </c>
      <c r="C123" s="451">
        <v>1E-3</v>
      </c>
      <c r="D123" s="451">
        <v>1E-3</v>
      </c>
      <c r="E123" s="451">
        <v>1E-3</v>
      </c>
      <c r="F123" s="451">
        <v>0.06</v>
      </c>
      <c r="G123" s="451"/>
      <c r="H123" s="451"/>
      <c r="I123" s="454">
        <v>1E-3</v>
      </c>
      <c r="J123" s="451">
        <v>0.02</v>
      </c>
      <c r="K123" s="451">
        <v>0.02</v>
      </c>
      <c r="L123" s="452">
        <v>0.02</v>
      </c>
      <c r="M123" s="453"/>
      <c r="N123" s="451">
        <v>1E-3</v>
      </c>
      <c r="O123" s="451">
        <v>1E-3</v>
      </c>
      <c r="P123" s="451">
        <v>1.2503356432258428E-3</v>
      </c>
      <c r="Q123" s="451">
        <v>1E-3</v>
      </c>
      <c r="R123" s="451">
        <v>0.222</v>
      </c>
      <c r="S123" s="451">
        <v>0.11527377521613834</v>
      </c>
      <c r="T123" s="455">
        <v>1E-3</v>
      </c>
      <c r="U123" s="451">
        <v>8.0000000000000002E-3</v>
      </c>
      <c r="V123" s="452">
        <v>0.02</v>
      </c>
      <c r="W123" s="452">
        <v>1.4999999999999999E-2</v>
      </c>
      <c r="X123" s="87"/>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c r="CB123" s="36"/>
      <c r="CC123" s="36"/>
      <c r="CD123" s="36"/>
      <c r="CE123" s="36"/>
      <c r="CF123" s="36"/>
      <c r="CG123" s="36"/>
      <c r="CH123" s="36"/>
      <c r="CI123" s="36"/>
      <c r="CJ123" s="36"/>
      <c r="CK123" s="36"/>
      <c r="CL123" s="36"/>
      <c r="CM123" s="36"/>
      <c r="CN123" s="36"/>
      <c r="CO123" s="36"/>
      <c r="CP123" s="36"/>
      <c r="CQ123" s="36"/>
      <c r="CR123" s="36"/>
      <c r="CS123" s="36"/>
      <c r="CT123" s="36"/>
      <c r="CU123" s="36"/>
      <c r="CV123" s="36"/>
      <c r="CW123" s="36"/>
      <c r="CX123" s="36"/>
      <c r="CY123" s="36"/>
      <c r="CZ123" s="36"/>
      <c r="DA123" s="36"/>
      <c r="DB123" s="36"/>
      <c r="DC123" s="36"/>
      <c r="DD123" s="36"/>
      <c r="DE123" s="36"/>
      <c r="DF123" s="36"/>
      <c r="DG123" s="36"/>
      <c r="DH123" s="36"/>
      <c r="DI123" s="36"/>
      <c r="DJ123" s="36"/>
      <c r="DK123" s="36"/>
      <c r="DL123" s="36"/>
      <c r="DM123" s="36"/>
      <c r="DN123" s="36"/>
      <c r="DO123" s="36"/>
      <c r="DP123" s="36"/>
      <c r="DQ123" s="36"/>
      <c r="DR123" s="36"/>
      <c r="DS123" s="36"/>
      <c r="DT123" s="36"/>
      <c r="DU123" s="36"/>
      <c r="DV123" s="36"/>
      <c r="DW123" s="36"/>
      <c r="DX123" s="36"/>
      <c r="DY123" s="36"/>
      <c r="DZ123" s="36"/>
      <c r="EA123" s="36"/>
      <c r="EB123" s="36"/>
      <c r="EC123" s="36"/>
      <c r="ED123" s="36"/>
      <c r="EE123" s="36"/>
      <c r="EF123" s="36"/>
      <c r="EG123" s="36"/>
      <c r="EH123" s="36"/>
      <c r="EI123" s="36"/>
      <c r="EJ123" s="36"/>
      <c r="EK123" s="36"/>
      <c r="EL123" s="36"/>
      <c r="EM123" s="36"/>
      <c r="EN123" s="36"/>
      <c r="EO123" s="36"/>
      <c r="EP123" s="36"/>
      <c r="EQ123" s="36"/>
      <c r="ER123" s="36"/>
      <c r="ES123" s="36"/>
      <c r="ET123" s="36"/>
      <c r="EU123" s="36"/>
      <c r="EV123" s="36"/>
      <c r="EW123" s="36"/>
      <c r="EX123" s="36"/>
      <c r="EY123" s="36"/>
      <c r="EZ123" s="36"/>
      <c r="FA123" s="36"/>
      <c r="FB123" s="36"/>
      <c r="FC123" s="36"/>
      <c r="FD123" s="36"/>
      <c r="FE123" s="36"/>
    </row>
    <row r="124" spans="1:161" s="37" customFormat="1" ht="26.25" customHeight="1" x14ac:dyDescent="0.2">
      <c r="A124" s="456" t="s">
        <v>209</v>
      </c>
      <c r="B124" s="457">
        <v>1.0999999999999999E-2</v>
      </c>
      <c r="C124" s="458"/>
      <c r="D124" s="458">
        <v>1.0999999999999999E-2</v>
      </c>
      <c r="E124" s="458">
        <v>8.9999999999999993E-3</v>
      </c>
      <c r="F124" s="458">
        <v>0.06</v>
      </c>
      <c r="G124" s="458">
        <v>0.39640797040843601</v>
      </c>
      <c r="H124" s="458"/>
      <c r="I124" s="457">
        <v>1.0999999999999999E-2</v>
      </c>
      <c r="J124" s="458">
        <v>0.02</v>
      </c>
      <c r="K124" s="458">
        <v>0.02</v>
      </c>
      <c r="L124" s="459">
        <v>7.0000000000000007E-2</v>
      </c>
      <c r="M124" s="460"/>
      <c r="N124" s="458">
        <v>1.0999999999999999E-2</v>
      </c>
      <c r="O124" s="458">
        <v>1.072542232137943E-2</v>
      </c>
      <c r="P124" s="458">
        <v>1.375369207548427E-2</v>
      </c>
      <c r="Q124" s="458">
        <v>1.4999999999999999E-2</v>
      </c>
      <c r="R124" s="458">
        <v>0.53200000000000003</v>
      </c>
      <c r="S124" s="458">
        <v>0.11527377521613834</v>
      </c>
      <c r="T124" s="461">
        <v>1.0999999999999999E-2</v>
      </c>
      <c r="U124" s="458">
        <v>1.6E-2</v>
      </c>
      <c r="V124" s="459">
        <v>0.02</v>
      </c>
      <c r="W124" s="459">
        <v>3.2000000000000001E-2</v>
      </c>
      <c r="X124" s="87"/>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c r="CM124" s="36"/>
      <c r="CN124" s="36"/>
      <c r="CO124" s="36"/>
      <c r="CP124" s="36"/>
      <c r="CQ124" s="36"/>
      <c r="CR124" s="36"/>
      <c r="CS124" s="36"/>
      <c r="CT124" s="36"/>
      <c r="CU124" s="36"/>
      <c r="CV124" s="36"/>
      <c r="CW124" s="36"/>
      <c r="CX124" s="36"/>
      <c r="CY124" s="36"/>
      <c r="CZ124" s="36"/>
      <c r="DA124" s="36"/>
      <c r="DB124" s="36"/>
      <c r="DC124" s="36"/>
      <c r="DD124" s="36"/>
      <c r="DE124" s="36"/>
      <c r="DF124" s="36"/>
      <c r="DG124" s="36"/>
      <c r="DH124" s="36"/>
      <c r="DI124" s="36"/>
      <c r="DJ124" s="36"/>
      <c r="DK124" s="36"/>
      <c r="DL124" s="36"/>
      <c r="DM124" s="36"/>
      <c r="DN124" s="36"/>
      <c r="DO124" s="36"/>
      <c r="DP124" s="36"/>
      <c r="DQ124" s="36"/>
      <c r="DR124" s="36"/>
      <c r="DS124" s="36"/>
      <c r="DT124" s="36"/>
      <c r="DU124" s="36"/>
      <c r="DV124" s="36"/>
      <c r="DW124" s="36"/>
      <c r="DX124" s="36"/>
      <c r="DY124" s="36"/>
      <c r="DZ124" s="36"/>
      <c r="EA124" s="36"/>
      <c r="EB124" s="36"/>
      <c r="EC124" s="36"/>
      <c r="ED124" s="36"/>
      <c r="EE124" s="36"/>
      <c r="EF124" s="36"/>
      <c r="EG124" s="36"/>
      <c r="EH124" s="36"/>
      <c r="EI124" s="36"/>
      <c r="EJ124" s="36"/>
      <c r="EK124" s="36"/>
      <c r="EL124" s="36"/>
      <c r="EM124" s="36"/>
      <c r="EN124" s="36"/>
      <c r="EO124" s="36"/>
      <c r="EP124" s="36"/>
      <c r="EQ124" s="36"/>
      <c r="ER124" s="36"/>
      <c r="ES124" s="36"/>
      <c r="ET124" s="36"/>
      <c r="EU124" s="36"/>
      <c r="EV124" s="36"/>
      <c r="EW124" s="36"/>
      <c r="EX124" s="36"/>
      <c r="EY124" s="36"/>
      <c r="EZ124" s="36"/>
      <c r="FA124" s="36"/>
      <c r="FB124" s="36"/>
      <c r="FC124" s="36"/>
      <c r="FD124" s="36"/>
      <c r="FE124" s="36"/>
    </row>
    <row r="125" spans="1:161" s="37" customFormat="1" ht="26.25" customHeight="1" x14ac:dyDescent="0.2">
      <c r="A125" s="69" t="s">
        <v>210</v>
      </c>
      <c r="B125" s="454">
        <v>2.3559999999999999</v>
      </c>
      <c r="C125" s="451">
        <v>2.2879999999999998</v>
      </c>
      <c r="D125" s="451">
        <v>2.2679999999999998</v>
      </c>
      <c r="E125" s="451">
        <v>1.8580000000000001</v>
      </c>
      <c r="F125" s="451">
        <v>1.63</v>
      </c>
      <c r="G125" s="451">
        <v>7.8475413652471557</v>
      </c>
      <c r="H125" s="451">
        <v>0.76484760411488006</v>
      </c>
      <c r="I125" s="454">
        <v>2.3570000000000002</v>
      </c>
      <c r="J125" s="451">
        <v>0.56999999999999995</v>
      </c>
      <c r="K125" s="451">
        <v>0.57999999999999996</v>
      </c>
      <c r="L125" s="452">
        <v>0.28999999999999998</v>
      </c>
      <c r="M125" s="453">
        <v>8.141</v>
      </c>
      <c r="N125" s="451">
        <v>2.2570000000000001</v>
      </c>
      <c r="O125" s="451">
        <v>2.2971904535609036</v>
      </c>
      <c r="P125" s="451">
        <v>2.9457907754400856</v>
      </c>
      <c r="Q125" s="451">
        <v>3.137</v>
      </c>
      <c r="R125" s="451">
        <v>1.772</v>
      </c>
      <c r="S125" s="451">
        <v>1.1527377521613833</v>
      </c>
      <c r="T125" s="455">
        <v>2.2572000000000001</v>
      </c>
      <c r="U125" s="451">
        <v>1.964</v>
      </c>
      <c r="V125" s="452">
        <v>2.3199999999999998</v>
      </c>
      <c r="W125" s="452">
        <v>1.925</v>
      </c>
      <c r="X125" s="87"/>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c r="CB125" s="36"/>
      <c r="CC125" s="36"/>
      <c r="CD125" s="36"/>
      <c r="CE125" s="36"/>
      <c r="CF125" s="36"/>
      <c r="CG125" s="36"/>
      <c r="CH125" s="36"/>
      <c r="CI125" s="36"/>
      <c r="CJ125" s="36"/>
      <c r="CK125" s="36"/>
      <c r="CL125" s="36"/>
      <c r="CM125" s="36"/>
      <c r="CN125" s="36"/>
      <c r="CO125" s="36"/>
      <c r="CP125" s="36"/>
      <c r="CQ125" s="36"/>
      <c r="CR125" s="36"/>
      <c r="CS125" s="36"/>
      <c r="CT125" s="36"/>
      <c r="CU125" s="36"/>
      <c r="CV125" s="36"/>
      <c r="CW125" s="36"/>
      <c r="CX125" s="36"/>
      <c r="CY125" s="36"/>
      <c r="CZ125" s="36"/>
      <c r="DA125" s="36"/>
      <c r="DB125" s="36"/>
      <c r="DC125" s="36"/>
      <c r="DD125" s="36"/>
      <c r="DE125" s="36"/>
      <c r="DF125" s="36"/>
      <c r="DG125" s="36"/>
      <c r="DH125" s="36"/>
      <c r="DI125" s="36"/>
      <c r="DJ125" s="36"/>
      <c r="DK125" s="36"/>
      <c r="DL125" s="36"/>
      <c r="DM125" s="36"/>
      <c r="DN125" s="36"/>
      <c r="DO125" s="36"/>
      <c r="DP125" s="36"/>
      <c r="DQ125" s="36"/>
      <c r="DR125" s="36"/>
      <c r="DS125" s="36"/>
      <c r="DT125" s="36"/>
      <c r="DU125" s="36"/>
      <c r="DV125" s="36"/>
      <c r="DW125" s="36"/>
      <c r="DX125" s="36"/>
      <c r="DY125" s="36"/>
      <c r="DZ125" s="36"/>
      <c r="EA125" s="36"/>
      <c r="EB125" s="36"/>
      <c r="EC125" s="36"/>
      <c r="ED125" s="36"/>
      <c r="EE125" s="36"/>
      <c r="EF125" s="36"/>
      <c r="EG125" s="36"/>
      <c r="EH125" s="36"/>
      <c r="EI125" s="36"/>
      <c r="EJ125" s="36"/>
      <c r="EK125" s="36"/>
      <c r="EL125" s="36"/>
      <c r="EM125" s="36"/>
      <c r="EN125" s="36"/>
      <c r="EO125" s="36"/>
      <c r="EP125" s="36"/>
      <c r="EQ125" s="36"/>
      <c r="ER125" s="36"/>
      <c r="ES125" s="36"/>
      <c r="ET125" s="36"/>
      <c r="EU125" s="36"/>
      <c r="EV125" s="36"/>
      <c r="EW125" s="36"/>
      <c r="EX125" s="36"/>
      <c r="EY125" s="36"/>
      <c r="EZ125" s="36"/>
      <c r="FA125" s="36"/>
      <c r="FB125" s="36"/>
      <c r="FC125" s="36"/>
      <c r="FD125" s="36"/>
      <c r="FE125" s="36"/>
    </row>
    <row r="126" spans="1:161" s="37" customFormat="1" ht="26.25" customHeight="1" x14ac:dyDescent="0.2">
      <c r="A126" s="456" t="s">
        <v>309</v>
      </c>
      <c r="B126" s="457">
        <v>1E-3</v>
      </c>
      <c r="C126" s="458">
        <v>1E-3</v>
      </c>
      <c r="D126" s="458">
        <v>1E-3</v>
      </c>
      <c r="E126" s="458"/>
      <c r="F126" s="458">
        <v>0.06</v>
      </c>
      <c r="G126" s="458"/>
      <c r="H126" s="458"/>
      <c r="I126" s="457"/>
      <c r="J126" s="458"/>
      <c r="K126" s="458"/>
      <c r="L126" s="459">
        <v>7.0000000000000007E-2</v>
      </c>
      <c r="M126" s="460"/>
      <c r="N126" s="458">
        <v>1E-3</v>
      </c>
      <c r="O126" s="458">
        <v>1E-3</v>
      </c>
      <c r="P126" s="458">
        <v>1.2503356432258428E-3</v>
      </c>
      <c r="Q126" s="458"/>
      <c r="R126" s="458"/>
      <c r="S126" s="458"/>
      <c r="T126" s="461">
        <v>1E-3</v>
      </c>
      <c r="U126" s="458">
        <v>1.6E-2</v>
      </c>
      <c r="V126" s="459">
        <v>0.02</v>
      </c>
      <c r="W126" s="459"/>
      <c r="X126" s="87"/>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c r="DG126" s="36"/>
      <c r="DH126" s="36"/>
      <c r="DI126" s="36"/>
      <c r="DJ126" s="36"/>
      <c r="DK126" s="36"/>
      <c r="DL126" s="36"/>
      <c r="DM126" s="36"/>
      <c r="DN126" s="36"/>
      <c r="DO126" s="36"/>
      <c r="DP126" s="36"/>
      <c r="DQ126" s="36"/>
      <c r="DR126" s="36"/>
      <c r="DS126" s="36"/>
      <c r="DT126" s="36"/>
      <c r="DU126" s="36"/>
      <c r="DV126" s="36"/>
      <c r="DW126" s="36"/>
      <c r="DX126" s="36"/>
      <c r="DY126" s="36"/>
      <c r="DZ126" s="36"/>
      <c r="EA126" s="36"/>
      <c r="EB126" s="36"/>
      <c r="EC126" s="36"/>
      <c r="ED126" s="36"/>
      <c r="EE126" s="36"/>
      <c r="EF126" s="36"/>
      <c r="EG126" s="36"/>
      <c r="EH126" s="36"/>
      <c r="EI126" s="36"/>
      <c r="EJ126" s="36"/>
      <c r="EK126" s="36"/>
      <c r="EL126" s="36"/>
      <c r="EM126" s="36"/>
      <c r="EN126" s="36"/>
      <c r="EO126" s="36"/>
      <c r="EP126" s="36"/>
      <c r="EQ126" s="36"/>
      <c r="ER126" s="36"/>
      <c r="ES126" s="36"/>
      <c r="ET126" s="36"/>
      <c r="EU126" s="36"/>
      <c r="EV126" s="36"/>
      <c r="EW126" s="36"/>
      <c r="EX126" s="36"/>
      <c r="EY126" s="36"/>
      <c r="EZ126" s="36"/>
      <c r="FA126" s="36"/>
      <c r="FB126" s="36"/>
      <c r="FC126" s="36"/>
      <c r="FD126" s="36"/>
      <c r="FE126" s="36"/>
    </row>
    <row r="127" spans="1:161" s="37" customFormat="1" ht="26.25" customHeight="1" x14ac:dyDescent="0.2">
      <c r="A127" s="69" t="s">
        <v>211</v>
      </c>
      <c r="B127" s="454">
        <v>3.0000000000000001E-3</v>
      </c>
      <c r="C127" s="451">
        <v>3.0000000000000001E-3</v>
      </c>
      <c r="D127" s="451">
        <v>3.0000000000000001E-3</v>
      </c>
      <c r="E127" s="451">
        <v>3.0000000000000001E-3</v>
      </c>
      <c r="F127" s="451">
        <v>0.06</v>
      </c>
      <c r="G127" s="451"/>
      <c r="H127" s="451"/>
      <c r="I127" s="454"/>
      <c r="J127" s="451">
        <v>0.02</v>
      </c>
      <c r="K127" s="451">
        <v>0.02</v>
      </c>
      <c r="L127" s="452">
        <v>7.0000000000000007E-2</v>
      </c>
      <c r="M127" s="453"/>
      <c r="N127" s="451">
        <v>3.0000000000000001E-3</v>
      </c>
      <c r="O127" s="451">
        <v>2.9251151785580267E-3</v>
      </c>
      <c r="P127" s="451">
        <v>3.7510069296775284E-3</v>
      </c>
      <c r="Q127" s="451">
        <v>4.0000000000000001E-3</v>
      </c>
      <c r="R127" s="451">
        <v>0.35499999999999998</v>
      </c>
      <c r="S127" s="451">
        <v>0.11527377521613834</v>
      </c>
      <c r="T127" s="455">
        <v>3.0000000000000001E-3</v>
      </c>
      <c r="U127" s="451">
        <v>0.26200000000000001</v>
      </c>
      <c r="V127" s="452">
        <v>0.02</v>
      </c>
      <c r="W127" s="452"/>
      <c r="X127" s="87"/>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c r="CB127" s="36"/>
      <c r="CC127" s="36"/>
      <c r="CD127" s="36"/>
      <c r="CE127" s="36"/>
      <c r="CF127" s="36"/>
      <c r="CG127" s="36"/>
      <c r="CH127" s="36"/>
      <c r="CI127" s="36"/>
      <c r="CJ127" s="36"/>
      <c r="CK127" s="36"/>
      <c r="CL127" s="36"/>
      <c r="CM127" s="36"/>
      <c r="CN127" s="36"/>
      <c r="CO127" s="36"/>
      <c r="CP127" s="36"/>
      <c r="CQ127" s="36"/>
      <c r="CR127" s="36"/>
      <c r="CS127" s="36"/>
      <c r="CT127" s="36"/>
      <c r="CU127" s="36"/>
      <c r="CV127" s="36"/>
      <c r="CW127" s="36"/>
      <c r="CX127" s="36"/>
      <c r="CY127" s="36"/>
      <c r="CZ127" s="36"/>
      <c r="DA127" s="36"/>
      <c r="DB127" s="36"/>
      <c r="DC127" s="36"/>
      <c r="DD127" s="36"/>
      <c r="DE127" s="36"/>
      <c r="DF127" s="36"/>
      <c r="DG127" s="36"/>
      <c r="DH127" s="36"/>
      <c r="DI127" s="36"/>
      <c r="DJ127" s="36"/>
      <c r="DK127" s="36"/>
      <c r="DL127" s="36"/>
      <c r="DM127" s="36"/>
      <c r="DN127" s="36"/>
      <c r="DO127" s="36"/>
      <c r="DP127" s="36"/>
      <c r="DQ127" s="36"/>
      <c r="DR127" s="36"/>
      <c r="DS127" s="36"/>
      <c r="DT127" s="36"/>
      <c r="DU127" s="36"/>
      <c r="DV127" s="36"/>
      <c r="DW127" s="36"/>
      <c r="DX127" s="36"/>
      <c r="DY127" s="36"/>
      <c r="DZ127" s="36"/>
      <c r="EA127" s="36"/>
      <c r="EB127" s="36"/>
      <c r="EC127" s="36"/>
      <c r="ED127" s="36"/>
      <c r="EE127" s="36"/>
      <c r="EF127" s="36"/>
      <c r="EG127" s="36"/>
      <c r="EH127" s="36"/>
      <c r="EI127" s="36"/>
      <c r="EJ127" s="36"/>
      <c r="EK127" s="36"/>
      <c r="EL127" s="36"/>
      <c r="EM127" s="36"/>
      <c r="EN127" s="36"/>
      <c r="EO127" s="36"/>
      <c r="EP127" s="36"/>
      <c r="EQ127" s="36"/>
      <c r="ER127" s="36"/>
      <c r="ES127" s="36"/>
      <c r="ET127" s="36"/>
      <c r="EU127" s="36"/>
      <c r="EV127" s="36"/>
      <c r="EW127" s="36"/>
      <c r="EX127" s="36"/>
      <c r="EY127" s="36"/>
      <c r="EZ127" s="36"/>
      <c r="FA127" s="36"/>
      <c r="FB127" s="36"/>
      <c r="FC127" s="36"/>
      <c r="FD127" s="36"/>
      <c r="FE127" s="36"/>
    </row>
    <row r="128" spans="1:161" s="37" customFormat="1" ht="26.25" customHeight="1" x14ac:dyDescent="0.2">
      <c r="A128" s="456" t="s">
        <v>212</v>
      </c>
      <c r="B128" s="457">
        <v>2E-3</v>
      </c>
      <c r="C128" s="458">
        <v>1E-3</v>
      </c>
      <c r="D128" s="458">
        <v>1E-3</v>
      </c>
      <c r="E128" s="458">
        <v>1E-3</v>
      </c>
      <c r="F128" s="458">
        <v>0.06</v>
      </c>
      <c r="G128" s="458"/>
      <c r="H128" s="458"/>
      <c r="I128" s="457">
        <v>2E-3</v>
      </c>
      <c r="J128" s="458">
        <v>0.09</v>
      </c>
      <c r="K128" s="458">
        <v>7.0000000000000007E-2</v>
      </c>
      <c r="L128" s="459">
        <v>7.0000000000000007E-2</v>
      </c>
      <c r="M128" s="460"/>
      <c r="N128" s="458">
        <v>1E-3</v>
      </c>
      <c r="O128" s="458">
        <v>1.9500767857053513E-3</v>
      </c>
      <c r="P128" s="458">
        <v>2.5006712864516856E-3</v>
      </c>
      <c r="Q128" s="458">
        <v>1E-3</v>
      </c>
      <c r="R128" s="458">
        <v>0.222</v>
      </c>
      <c r="S128" s="458">
        <v>0.11527377521613834</v>
      </c>
      <c r="T128" s="461">
        <v>1E-3</v>
      </c>
      <c r="U128" s="458">
        <v>1.6E-2</v>
      </c>
      <c r="V128" s="459">
        <v>0.02</v>
      </c>
      <c r="W128" s="459">
        <v>1.4999999999999999E-2</v>
      </c>
      <c r="X128" s="87"/>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36"/>
      <c r="CY128" s="36"/>
      <c r="CZ128" s="36"/>
      <c r="DA128" s="36"/>
      <c r="DB128" s="36"/>
      <c r="DC128" s="36"/>
      <c r="DD128" s="36"/>
      <c r="DE128" s="36"/>
      <c r="DF128" s="36"/>
      <c r="DG128" s="36"/>
      <c r="DH128" s="36"/>
      <c r="DI128" s="36"/>
      <c r="DJ128" s="36"/>
      <c r="DK128" s="36"/>
      <c r="DL128" s="36"/>
      <c r="DM128" s="36"/>
      <c r="DN128" s="36"/>
      <c r="DO128" s="36"/>
      <c r="DP128" s="36"/>
      <c r="DQ128" s="36"/>
      <c r="DR128" s="36"/>
      <c r="DS128" s="36"/>
      <c r="DT128" s="36"/>
      <c r="DU128" s="36"/>
      <c r="DV128" s="36"/>
      <c r="DW128" s="36"/>
      <c r="DX128" s="36"/>
      <c r="DY128" s="36"/>
      <c r="DZ128" s="36"/>
      <c r="EA128" s="36"/>
      <c r="EB128" s="36"/>
      <c r="EC128" s="36"/>
      <c r="ED128" s="36"/>
      <c r="EE128" s="36"/>
      <c r="EF128" s="36"/>
      <c r="EG128" s="36"/>
      <c r="EH128" s="36"/>
      <c r="EI128" s="36"/>
      <c r="EJ128" s="36"/>
      <c r="EK128" s="36"/>
      <c r="EL128" s="36"/>
      <c r="EM128" s="36"/>
      <c r="EN128" s="36"/>
      <c r="EO128" s="36"/>
      <c r="EP128" s="36"/>
      <c r="EQ128" s="36"/>
      <c r="ER128" s="36"/>
      <c r="ES128" s="36"/>
      <c r="ET128" s="36"/>
      <c r="EU128" s="36"/>
      <c r="EV128" s="36"/>
      <c r="EW128" s="36"/>
      <c r="EX128" s="36"/>
      <c r="EY128" s="36"/>
      <c r="EZ128" s="36"/>
      <c r="FA128" s="36"/>
      <c r="FB128" s="36"/>
      <c r="FC128" s="36"/>
      <c r="FD128" s="36"/>
      <c r="FE128" s="36"/>
    </row>
    <row r="129" spans="1:161" s="37" customFormat="1" ht="26.25" customHeight="1" x14ac:dyDescent="0.2">
      <c r="A129" s="69" t="s">
        <v>655</v>
      </c>
      <c r="B129" s="454">
        <v>4.0000000000000001E-3</v>
      </c>
      <c r="C129" s="451">
        <v>1E-3</v>
      </c>
      <c r="D129" s="451">
        <v>1E-3</v>
      </c>
      <c r="E129" s="451">
        <v>1E-3</v>
      </c>
      <c r="F129" s="451">
        <v>0.06</v>
      </c>
      <c r="G129" s="451"/>
      <c r="H129" s="451"/>
      <c r="I129" s="454">
        <v>4.0000000000000001E-3</v>
      </c>
      <c r="J129" s="451">
        <v>0.02</v>
      </c>
      <c r="K129" s="451">
        <v>0.02</v>
      </c>
      <c r="L129" s="452">
        <v>0.04</v>
      </c>
      <c r="M129" s="453"/>
      <c r="N129" s="451">
        <v>1E-3</v>
      </c>
      <c r="O129" s="451">
        <v>3.9001535714107026E-3</v>
      </c>
      <c r="P129" s="451">
        <v>5.0013425729033712E-3</v>
      </c>
      <c r="Q129" s="451">
        <v>1E-3</v>
      </c>
      <c r="R129" s="451">
        <v>0.24</v>
      </c>
      <c r="S129" s="451">
        <v>0.11527377521613834</v>
      </c>
      <c r="T129" s="455">
        <v>1E-3</v>
      </c>
      <c r="U129" s="451">
        <v>6.6000000000000003E-2</v>
      </c>
      <c r="V129" s="452">
        <v>0.02</v>
      </c>
      <c r="W129" s="452"/>
      <c r="X129" s="87"/>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c r="CB129" s="36"/>
      <c r="CC129" s="36"/>
      <c r="CD129" s="36"/>
      <c r="CE129" s="36"/>
      <c r="CF129" s="36"/>
      <c r="CG129" s="36"/>
      <c r="CH129" s="36"/>
      <c r="CI129" s="36"/>
      <c r="CJ129" s="36"/>
      <c r="CK129" s="36"/>
      <c r="CL129" s="36"/>
      <c r="CM129" s="36"/>
      <c r="CN129" s="36"/>
      <c r="CO129" s="36"/>
      <c r="CP129" s="36"/>
      <c r="CQ129" s="36"/>
      <c r="CR129" s="36"/>
      <c r="CS129" s="36"/>
      <c r="CT129" s="36"/>
      <c r="CU129" s="36"/>
      <c r="CV129" s="36"/>
      <c r="CW129" s="36"/>
      <c r="CX129" s="36"/>
      <c r="CY129" s="36"/>
      <c r="CZ129" s="36"/>
      <c r="DA129" s="36"/>
      <c r="DB129" s="36"/>
      <c r="DC129" s="36"/>
      <c r="DD129" s="36"/>
      <c r="DE129" s="36"/>
      <c r="DF129" s="36"/>
      <c r="DG129" s="36"/>
      <c r="DH129" s="36"/>
      <c r="DI129" s="36"/>
      <c r="DJ129" s="36"/>
      <c r="DK129" s="36"/>
      <c r="DL129" s="36"/>
      <c r="DM129" s="36"/>
      <c r="DN129" s="36"/>
      <c r="DO129" s="36"/>
      <c r="DP129" s="36"/>
      <c r="DQ129" s="36"/>
      <c r="DR129" s="36"/>
      <c r="DS129" s="36"/>
      <c r="DT129" s="36"/>
      <c r="DU129" s="36"/>
      <c r="DV129" s="36"/>
      <c r="DW129" s="36"/>
      <c r="DX129" s="36"/>
      <c r="DY129" s="36"/>
      <c r="DZ129" s="36"/>
      <c r="EA129" s="36"/>
      <c r="EB129" s="36"/>
      <c r="EC129" s="36"/>
      <c r="ED129" s="36"/>
      <c r="EE129" s="36"/>
      <c r="EF129" s="36"/>
      <c r="EG129" s="36"/>
      <c r="EH129" s="36"/>
      <c r="EI129" s="36"/>
      <c r="EJ129" s="36"/>
      <c r="EK129" s="36"/>
      <c r="EL129" s="36"/>
      <c r="EM129" s="36"/>
      <c r="EN129" s="36"/>
      <c r="EO129" s="36"/>
      <c r="EP129" s="36"/>
      <c r="EQ129" s="36"/>
      <c r="ER129" s="36"/>
      <c r="ES129" s="36"/>
      <c r="ET129" s="36"/>
      <c r="EU129" s="36"/>
      <c r="EV129" s="36"/>
      <c r="EW129" s="36"/>
      <c r="EX129" s="36"/>
      <c r="EY129" s="36"/>
      <c r="EZ129" s="36"/>
      <c r="FA129" s="36"/>
      <c r="FB129" s="36"/>
      <c r="FC129" s="36"/>
      <c r="FD129" s="36"/>
      <c r="FE129" s="36"/>
    </row>
    <row r="130" spans="1:161" s="37" customFormat="1" ht="26.25" customHeight="1" x14ac:dyDescent="0.2">
      <c r="A130" s="456" t="s">
        <v>213</v>
      </c>
      <c r="B130" s="457">
        <v>5.8000000000000003E-2</v>
      </c>
      <c r="C130" s="458">
        <v>4.2999999999999997E-2</v>
      </c>
      <c r="D130" s="458">
        <v>4.2000000000000003E-2</v>
      </c>
      <c r="E130" s="458">
        <v>3.4000000000000002E-2</v>
      </c>
      <c r="F130" s="458">
        <v>0.08</v>
      </c>
      <c r="G130" s="458">
        <v>0.39640797040843601</v>
      </c>
      <c r="H130" s="458"/>
      <c r="I130" s="457">
        <v>5.8000000000000003E-2</v>
      </c>
      <c r="J130" s="458">
        <v>0.06</v>
      </c>
      <c r="K130" s="458">
        <v>7.0000000000000007E-2</v>
      </c>
      <c r="L130" s="459">
        <v>0.28999999999999998</v>
      </c>
      <c r="M130" s="460"/>
      <c r="N130" s="458">
        <v>4.2000000000000003E-2</v>
      </c>
      <c r="O130" s="458">
        <v>5.6552226785455184E-2</v>
      </c>
      <c r="P130" s="458">
        <v>7.2519467307098892E-2</v>
      </c>
      <c r="Q130" s="458">
        <v>5.8000000000000003E-2</v>
      </c>
      <c r="R130" s="458">
        <v>0.747</v>
      </c>
      <c r="S130" s="458">
        <v>0.57636887608069165</v>
      </c>
      <c r="T130" s="461">
        <v>4.2000000000000003E-2</v>
      </c>
      <c r="U130" s="458">
        <v>3.3000000000000002E-2</v>
      </c>
      <c r="V130" s="459">
        <v>0.06</v>
      </c>
      <c r="W130" s="459">
        <v>0.17</v>
      </c>
      <c r="X130" s="87"/>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c r="DG130" s="36"/>
      <c r="DH130" s="36"/>
      <c r="DI130" s="36"/>
      <c r="DJ130" s="36"/>
      <c r="DK130" s="36"/>
      <c r="DL130" s="36"/>
      <c r="DM130" s="36"/>
      <c r="DN130" s="36"/>
      <c r="DO130" s="36"/>
      <c r="DP130" s="36"/>
      <c r="DQ130" s="36"/>
      <c r="DR130" s="36"/>
      <c r="DS130" s="36"/>
      <c r="DT130" s="36"/>
      <c r="DU130" s="36"/>
      <c r="DV130" s="36"/>
      <c r="DW130" s="36"/>
      <c r="DX130" s="36"/>
      <c r="DY130" s="36"/>
      <c r="DZ130" s="36"/>
      <c r="EA130" s="36"/>
      <c r="EB130" s="36"/>
      <c r="EC130" s="36"/>
      <c r="ED130" s="36"/>
      <c r="EE130" s="36"/>
      <c r="EF130" s="36"/>
      <c r="EG130" s="36"/>
      <c r="EH130" s="36"/>
      <c r="EI130" s="36"/>
      <c r="EJ130" s="36"/>
      <c r="EK130" s="36"/>
      <c r="EL130" s="36"/>
      <c r="EM130" s="36"/>
      <c r="EN130" s="36"/>
      <c r="EO130" s="36"/>
      <c r="EP130" s="36"/>
      <c r="EQ130" s="36"/>
      <c r="ER130" s="36"/>
      <c r="ES130" s="36"/>
      <c r="ET130" s="36"/>
      <c r="EU130" s="36"/>
      <c r="EV130" s="36"/>
      <c r="EW130" s="36"/>
      <c r="EX130" s="36"/>
      <c r="EY130" s="36"/>
      <c r="EZ130" s="36"/>
      <c r="FA130" s="36"/>
      <c r="FB130" s="36"/>
      <c r="FC130" s="36"/>
      <c r="FD130" s="36"/>
      <c r="FE130" s="36"/>
    </row>
    <row r="131" spans="1:161" s="37" customFormat="1" ht="26.25" customHeight="1" x14ac:dyDescent="0.2">
      <c r="A131" s="69" t="s">
        <v>214</v>
      </c>
      <c r="B131" s="454">
        <v>3.0000000000000001E-3</v>
      </c>
      <c r="C131" s="451">
        <v>1E-3</v>
      </c>
      <c r="D131" s="451">
        <v>1E-3</v>
      </c>
      <c r="E131" s="451">
        <v>1E-3</v>
      </c>
      <c r="F131" s="451">
        <v>0.06</v>
      </c>
      <c r="G131" s="451"/>
      <c r="H131" s="451"/>
      <c r="I131" s="454">
        <v>3.0000000000000001E-3</v>
      </c>
      <c r="J131" s="451">
        <v>0.02</v>
      </c>
      <c r="K131" s="451">
        <v>0.02</v>
      </c>
      <c r="L131" s="452">
        <v>0.02</v>
      </c>
      <c r="M131" s="453"/>
      <c r="N131" s="451">
        <v>1E-3</v>
      </c>
      <c r="O131" s="451">
        <v>2.9251151785580267E-3</v>
      </c>
      <c r="P131" s="451">
        <v>3.7510069296775284E-3</v>
      </c>
      <c r="Q131" s="451">
        <v>1E-3</v>
      </c>
      <c r="R131" s="451">
        <v>0.222</v>
      </c>
      <c r="S131" s="451">
        <v>5.7636887608069169E-2</v>
      </c>
      <c r="T131" s="455">
        <v>1E-3</v>
      </c>
      <c r="U131" s="451">
        <v>8.0000000000000002E-3</v>
      </c>
      <c r="V131" s="452">
        <v>0.02</v>
      </c>
      <c r="W131" s="452">
        <v>0.02</v>
      </c>
      <c r="X131" s="87"/>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c r="CB131" s="36"/>
      <c r="CC131" s="36"/>
      <c r="CD131" s="36"/>
      <c r="CE131" s="36"/>
      <c r="CF131" s="36"/>
      <c r="CG131" s="36"/>
      <c r="CH131" s="36"/>
      <c r="CI131" s="36"/>
      <c r="CJ131" s="36"/>
      <c r="CK131" s="36"/>
      <c r="CL131" s="36"/>
      <c r="CM131" s="36"/>
      <c r="CN131" s="36"/>
      <c r="CO131" s="36"/>
      <c r="CP131" s="36"/>
      <c r="CQ131" s="36"/>
      <c r="CR131" s="36"/>
      <c r="CS131" s="36"/>
      <c r="CT131" s="36"/>
      <c r="CU131" s="36"/>
      <c r="CV131" s="36"/>
      <c r="CW131" s="36"/>
      <c r="CX131" s="36"/>
      <c r="CY131" s="36"/>
      <c r="CZ131" s="36"/>
      <c r="DA131" s="36"/>
      <c r="DB131" s="36"/>
      <c r="DC131" s="36"/>
      <c r="DD131" s="36"/>
      <c r="DE131" s="36"/>
      <c r="DF131" s="36"/>
      <c r="DG131" s="36"/>
      <c r="DH131" s="36"/>
      <c r="DI131" s="36"/>
      <c r="DJ131" s="36"/>
      <c r="DK131" s="36"/>
      <c r="DL131" s="36"/>
      <c r="DM131" s="36"/>
      <c r="DN131" s="36"/>
      <c r="DO131" s="36"/>
      <c r="DP131" s="36"/>
      <c r="DQ131" s="36"/>
      <c r="DR131" s="36"/>
      <c r="DS131" s="36"/>
      <c r="DT131" s="36"/>
      <c r="DU131" s="36"/>
      <c r="DV131" s="36"/>
      <c r="DW131" s="36"/>
      <c r="DX131" s="36"/>
      <c r="DY131" s="36"/>
      <c r="DZ131" s="36"/>
      <c r="EA131" s="36"/>
      <c r="EB131" s="36"/>
      <c r="EC131" s="36"/>
      <c r="ED131" s="36"/>
      <c r="EE131" s="36"/>
      <c r="EF131" s="36"/>
      <c r="EG131" s="36"/>
      <c r="EH131" s="36"/>
      <c r="EI131" s="36"/>
      <c r="EJ131" s="36"/>
      <c r="EK131" s="36"/>
      <c r="EL131" s="36"/>
      <c r="EM131" s="36"/>
      <c r="EN131" s="36"/>
      <c r="EO131" s="36"/>
      <c r="EP131" s="36"/>
      <c r="EQ131" s="36"/>
      <c r="ER131" s="36"/>
      <c r="ES131" s="36"/>
      <c r="ET131" s="36"/>
      <c r="EU131" s="36"/>
      <c r="EV131" s="36"/>
      <c r="EW131" s="36"/>
      <c r="EX131" s="36"/>
      <c r="EY131" s="36"/>
      <c r="EZ131" s="36"/>
      <c r="FA131" s="36"/>
      <c r="FB131" s="36"/>
      <c r="FC131" s="36"/>
      <c r="FD131" s="36"/>
      <c r="FE131" s="36"/>
    </row>
    <row r="132" spans="1:161" s="37" customFormat="1" ht="26.25" customHeight="1" x14ac:dyDescent="0.2">
      <c r="A132" s="456" t="s">
        <v>215</v>
      </c>
      <c r="B132" s="457">
        <v>6.0000000000000001E-3</v>
      </c>
      <c r="C132" s="458">
        <v>5.0000000000000001E-3</v>
      </c>
      <c r="D132" s="458">
        <v>5.0000000000000001E-3</v>
      </c>
      <c r="E132" s="458">
        <v>4.0000000000000001E-3</v>
      </c>
      <c r="F132" s="458">
        <v>0.06</v>
      </c>
      <c r="G132" s="458"/>
      <c r="H132" s="458"/>
      <c r="I132" s="457">
        <v>6.0000000000000001E-3</v>
      </c>
      <c r="J132" s="458">
        <v>0.03</v>
      </c>
      <c r="K132" s="458">
        <v>0.06</v>
      </c>
      <c r="L132" s="459">
        <v>0.04</v>
      </c>
      <c r="M132" s="460"/>
      <c r="N132" s="458">
        <v>5.0000000000000001E-3</v>
      </c>
      <c r="O132" s="458">
        <v>5.8502303571160534E-3</v>
      </c>
      <c r="P132" s="458">
        <v>7.5020138593550568E-3</v>
      </c>
      <c r="Q132" s="458">
        <v>7.0000000000000001E-3</v>
      </c>
      <c r="R132" s="458"/>
      <c r="S132" s="458">
        <v>0.11527377521613834</v>
      </c>
      <c r="T132" s="461">
        <v>5.0000000000000001E-3</v>
      </c>
      <c r="U132" s="458">
        <v>8.0000000000000002E-3</v>
      </c>
      <c r="V132" s="459">
        <v>0.02</v>
      </c>
      <c r="W132" s="459">
        <v>2.4E-2</v>
      </c>
      <c r="X132" s="87"/>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c r="CB132" s="36"/>
      <c r="CC132" s="36"/>
      <c r="CD132" s="36"/>
      <c r="CE132" s="36"/>
      <c r="CF132" s="36"/>
      <c r="CG132" s="36"/>
      <c r="CH132" s="36"/>
      <c r="CI132" s="36"/>
      <c r="CJ132" s="36"/>
      <c r="CK132" s="36"/>
      <c r="CL132" s="36"/>
      <c r="CM132" s="36"/>
      <c r="CN132" s="36"/>
      <c r="CO132" s="36"/>
      <c r="CP132" s="36"/>
      <c r="CQ132" s="36"/>
      <c r="CR132" s="36"/>
      <c r="CS132" s="36"/>
      <c r="CT132" s="36"/>
      <c r="CU132" s="36"/>
      <c r="CV132" s="36"/>
      <c r="CW132" s="36"/>
      <c r="CX132" s="36"/>
      <c r="CY132" s="36"/>
      <c r="CZ132" s="36"/>
      <c r="DA132" s="36"/>
      <c r="DB132" s="36"/>
      <c r="DC132" s="36"/>
      <c r="DD132" s="36"/>
      <c r="DE132" s="36"/>
      <c r="DF132" s="36"/>
      <c r="DG132" s="36"/>
      <c r="DH132" s="36"/>
      <c r="DI132" s="36"/>
      <c r="DJ132" s="36"/>
      <c r="DK132" s="36"/>
      <c r="DL132" s="36"/>
      <c r="DM132" s="36"/>
      <c r="DN132" s="36"/>
      <c r="DO132" s="36"/>
      <c r="DP132" s="36"/>
      <c r="DQ132" s="36"/>
      <c r="DR132" s="36"/>
      <c r="DS132" s="36"/>
      <c r="DT132" s="36"/>
      <c r="DU132" s="36"/>
      <c r="DV132" s="36"/>
      <c r="DW132" s="36"/>
      <c r="DX132" s="36"/>
      <c r="DY132" s="36"/>
      <c r="DZ132" s="36"/>
      <c r="EA132" s="36"/>
      <c r="EB132" s="36"/>
      <c r="EC132" s="36"/>
      <c r="ED132" s="36"/>
      <c r="EE132" s="36"/>
      <c r="EF132" s="36"/>
      <c r="EG132" s="36"/>
      <c r="EH132" s="36"/>
      <c r="EI132" s="36"/>
      <c r="EJ132" s="36"/>
      <c r="EK132" s="36"/>
      <c r="EL132" s="36"/>
      <c r="EM132" s="36"/>
      <c r="EN132" s="36"/>
      <c r="EO132" s="36"/>
      <c r="EP132" s="36"/>
      <c r="EQ132" s="36"/>
      <c r="ER132" s="36"/>
      <c r="ES132" s="36"/>
      <c r="ET132" s="36"/>
      <c r="EU132" s="36"/>
      <c r="EV132" s="36"/>
      <c r="EW132" s="36"/>
      <c r="EX132" s="36"/>
      <c r="EY132" s="36"/>
      <c r="EZ132" s="36"/>
      <c r="FA132" s="36"/>
      <c r="FB132" s="36"/>
      <c r="FC132" s="36"/>
      <c r="FD132" s="36"/>
      <c r="FE132" s="36"/>
    </row>
    <row r="133" spans="1:161" s="37" customFormat="1" ht="26.25" customHeight="1" x14ac:dyDescent="0.2">
      <c r="A133" s="69" t="s">
        <v>216</v>
      </c>
      <c r="B133" s="454">
        <v>8.0000000000000002E-3</v>
      </c>
      <c r="C133" s="451">
        <v>6.0000000000000001E-3</v>
      </c>
      <c r="D133" s="451">
        <v>6.0000000000000001E-3</v>
      </c>
      <c r="E133" s="451">
        <v>5.0000000000000001E-3</v>
      </c>
      <c r="F133" s="451">
        <v>0.06</v>
      </c>
      <c r="G133" s="451"/>
      <c r="H133" s="451"/>
      <c r="I133" s="454">
        <v>8.0000000000000002E-3</v>
      </c>
      <c r="J133" s="451">
        <v>0.03</v>
      </c>
      <c r="K133" s="451">
        <v>0.02</v>
      </c>
      <c r="L133" s="452">
        <v>7.0000000000000007E-2</v>
      </c>
      <c r="M133" s="453"/>
      <c r="N133" s="451">
        <v>6.0000000000000001E-3</v>
      </c>
      <c r="O133" s="451">
        <v>7.8003071428214051E-3</v>
      </c>
      <c r="P133" s="451">
        <v>1.0002685145806742E-2</v>
      </c>
      <c r="Q133" s="451">
        <v>8.0000000000000002E-3</v>
      </c>
      <c r="R133" s="451">
        <v>0.39900000000000002</v>
      </c>
      <c r="S133" s="451">
        <v>0.11527377521613834</v>
      </c>
      <c r="T133" s="455">
        <v>6.0000000000000001E-3</v>
      </c>
      <c r="U133" s="451">
        <v>1.6E-2</v>
      </c>
      <c r="V133" s="452">
        <v>0.02</v>
      </c>
      <c r="W133" s="452">
        <v>2.1999999999999999E-2</v>
      </c>
      <c r="X133" s="87"/>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c r="CB133" s="36"/>
      <c r="CC133" s="36"/>
      <c r="CD133" s="36"/>
      <c r="CE133" s="36"/>
      <c r="CF133" s="36"/>
      <c r="CG133" s="36"/>
      <c r="CH133" s="36"/>
      <c r="CI133" s="36"/>
      <c r="CJ133" s="36"/>
      <c r="CK133" s="36"/>
      <c r="CL133" s="36"/>
      <c r="CM133" s="36"/>
      <c r="CN133" s="36"/>
      <c r="CO133" s="36"/>
      <c r="CP133" s="36"/>
      <c r="CQ133" s="36"/>
      <c r="CR133" s="36"/>
      <c r="CS133" s="36"/>
      <c r="CT133" s="36"/>
      <c r="CU133" s="36"/>
      <c r="CV133" s="36"/>
      <c r="CW133" s="36"/>
      <c r="CX133" s="36"/>
      <c r="CY133" s="36"/>
      <c r="CZ133" s="36"/>
      <c r="DA133" s="36"/>
      <c r="DB133" s="36"/>
      <c r="DC133" s="36"/>
      <c r="DD133" s="36"/>
      <c r="DE133" s="36"/>
      <c r="DF133" s="36"/>
      <c r="DG133" s="36"/>
      <c r="DH133" s="36"/>
      <c r="DI133" s="36"/>
      <c r="DJ133" s="36"/>
      <c r="DK133" s="36"/>
      <c r="DL133" s="36"/>
      <c r="DM133" s="36"/>
      <c r="DN133" s="36"/>
      <c r="DO133" s="36"/>
      <c r="DP133" s="36"/>
      <c r="DQ133" s="36"/>
      <c r="DR133" s="36"/>
      <c r="DS133" s="36"/>
      <c r="DT133" s="36"/>
      <c r="DU133" s="36"/>
      <c r="DV133" s="36"/>
      <c r="DW133" s="36"/>
      <c r="DX133" s="36"/>
      <c r="DY133" s="36"/>
      <c r="DZ133" s="36"/>
      <c r="EA133" s="36"/>
      <c r="EB133" s="36"/>
      <c r="EC133" s="36"/>
      <c r="ED133" s="36"/>
      <c r="EE133" s="36"/>
      <c r="EF133" s="36"/>
      <c r="EG133" s="36"/>
      <c r="EH133" s="36"/>
      <c r="EI133" s="36"/>
      <c r="EJ133" s="36"/>
      <c r="EK133" s="36"/>
      <c r="EL133" s="36"/>
      <c r="EM133" s="36"/>
      <c r="EN133" s="36"/>
      <c r="EO133" s="36"/>
      <c r="EP133" s="36"/>
      <c r="EQ133" s="36"/>
      <c r="ER133" s="36"/>
      <c r="ES133" s="36"/>
      <c r="ET133" s="36"/>
      <c r="EU133" s="36"/>
      <c r="EV133" s="36"/>
      <c r="EW133" s="36"/>
      <c r="EX133" s="36"/>
      <c r="EY133" s="36"/>
      <c r="EZ133" s="36"/>
      <c r="FA133" s="36"/>
      <c r="FB133" s="36"/>
      <c r="FC133" s="36"/>
      <c r="FD133" s="36"/>
      <c r="FE133" s="36"/>
    </row>
    <row r="134" spans="1:161" s="37" customFormat="1" ht="26.25" customHeight="1" x14ac:dyDescent="0.2">
      <c r="A134" s="456" t="s">
        <v>217</v>
      </c>
      <c r="B134" s="457">
        <v>1E-3</v>
      </c>
      <c r="C134" s="458">
        <v>1E-3</v>
      </c>
      <c r="D134" s="458">
        <v>1E-3</v>
      </c>
      <c r="E134" s="458"/>
      <c r="F134" s="458">
        <v>0.06</v>
      </c>
      <c r="G134" s="458"/>
      <c r="H134" s="458"/>
      <c r="I134" s="457"/>
      <c r="J134" s="458"/>
      <c r="K134" s="458"/>
      <c r="L134" s="459">
        <v>0.02</v>
      </c>
      <c r="M134" s="460"/>
      <c r="N134" s="458">
        <v>1E-3</v>
      </c>
      <c r="O134" s="458">
        <v>1E-3</v>
      </c>
      <c r="P134" s="458">
        <v>1.2503356432258428E-3</v>
      </c>
      <c r="Q134" s="458"/>
      <c r="R134" s="458"/>
      <c r="S134" s="458">
        <v>0.11527377521613834</v>
      </c>
      <c r="T134" s="461">
        <v>1E-3</v>
      </c>
      <c r="U134" s="458"/>
      <c r="V134" s="459"/>
      <c r="W134" s="459"/>
      <c r="X134" s="87"/>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c r="CB134" s="36"/>
      <c r="CC134" s="36"/>
      <c r="CD134" s="36"/>
      <c r="CE134" s="36"/>
      <c r="CF134" s="36"/>
      <c r="CG134" s="36"/>
      <c r="CH134" s="36"/>
      <c r="CI134" s="36"/>
      <c r="CJ134" s="36"/>
      <c r="CK134" s="36"/>
      <c r="CL134" s="36"/>
      <c r="CM134" s="36"/>
      <c r="CN134" s="36"/>
      <c r="CO134" s="36"/>
      <c r="CP134" s="36"/>
      <c r="CQ134" s="36"/>
      <c r="CR134" s="36"/>
      <c r="CS134" s="36"/>
      <c r="CT134" s="36"/>
      <c r="CU134" s="36"/>
      <c r="CV134" s="36"/>
      <c r="CW134" s="36"/>
      <c r="CX134" s="36"/>
      <c r="CY134" s="36"/>
      <c r="CZ134" s="36"/>
      <c r="DA134" s="36"/>
      <c r="DB134" s="36"/>
      <c r="DC134" s="36"/>
      <c r="DD134" s="36"/>
      <c r="DE134" s="36"/>
      <c r="DF134" s="36"/>
      <c r="DG134" s="36"/>
      <c r="DH134" s="36"/>
      <c r="DI134" s="36"/>
      <c r="DJ134" s="36"/>
      <c r="DK134" s="36"/>
      <c r="DL134" s="36"/>
      <c r="DM134" s="36"/>
      <c r="DN134" s="36"/>
      <c r="DO134" s="36"/>
      <c r="DP134" s="36"/>
      <c r="DQ134" s="36"/>
      <c r="DR134" s="36"/>
      <c r="DS134" s="36"/>
      <c r="DT134" s="36"/>
      <c r="DU134" s="36"/>
      <c r="DV134" s="36"/>
      <c r="DW134" s="36"/>
      <c r="DX134" s="36"/>
      <c r="DY134" s="36"/>
      <c r="DZ134" s="36"/>
      <c r="EA134" s="36"/>
      <c r="EB134" s="36"/>
      <c r="EC134" s="36"/>
      <c r="ED134" s="36"/>
      <c r="EE134" s="36"/>
      <c r="EF134" s="36"/>
      <c r="EG134" s="36"/>
      <c r="EH134" s="36"/>
      <c r="EI134" s="36"/>
      <c r="EJ134" s="36"/>
      <c r="EK134" s="36"/>
      <c r="EL134" s="36"/>
      <c r="EM134" s="36"/>
      <c r="EN134" s="36"/>
      <c r="EO134" s="36"/>
      <c r="EP134" s="36"/>
      <c r="EQ134" s="36"/>
      <c r="ER134" s="36"/>
      <c r="ES134" s="36"/>
      <c r="ET134" s="36"/>
      <c r="EU134" s="36"/>
      <c r="EV134" s="36"/>
      <c r="EW134" s="36"/>
      <c r="EX134" s="36"/>
      <c r="EY134" s="36"/>
      <c r="EZ134" s="36"/>
      <c r="FA134" s="36"/>
      <c r="FB134" s="36"/>
      <c r="FC134" s="36"/>
      <c r="FD134" s="36"/>
      <c r="FE134" s="36"/>
    </row>
    <row r="135" spans="1:161" s="37" customFormat="1" ht="26.25" customHeight="1" x14ac:dyDescent="0.2">
      <c r="A135" s="69" t="s">
        <v>218</v>
      </c>
      <c r="B135" s="454">
        <v>6.0000000000000001E-3</v>
      </c>
      <c r="C135" s="451">
        <v>3.0000000000000001E-3</v>
      </c>
      <c r="D135" s="451">
        <v>3.0000000000000001E-3</v>
      </c>
      <c r="E135" s="451">
        <v>2E-3</v>
      </c>
      <c r="F135" s="451">
        <v>0.06</v>
      </c>
      <c r="G135" s="451"/>
      <c r="H135" s="451"/>
      <c r="I135" s="454">
        <v>6.0000000000000001E-3</v>
      </c>
      <c r="J135" s="451">
        <v>0.02</v>
      </c>
      <c r="K135" s="451">
        <v>0.02</v>
      </c>
      <c r="L135" s="452">
        <v>0.02</v>
      </c>
      <c r="M135" s="453"/>
      <c r="N135" s="451">
        <v>3.0000000000000001E-3</v>
      </c>
      <c r="O135" s="451">
        <v>5.8502303571160534E-3</v>
      </c>
      <c r="P135" s="451">
        <v>7.5020138593550568E-3</v>
      </c>
      <c r="Q135" s="451">
        <v>4.0000000000000001E-3</v>
      </c>
      <c r="R135" s="451">
        <v>0.222</v>
      </c>
      <c r="S135" s="451">
        <v>5.7636887608069169E-2</v>
      </c>
      <c r="T135" s="455">
        <v>3.0000000000000001E-3</v>
      </c>
      <c r="U135" s="451">
        <v>8.0000000000000002E-3</v>
      </c>
      <c r="V135" s="452">
        <v>0.02</v>
      </c>
      <c r="W135" s="452">
        <v>1.4999999999999999E-2</v>
      </c>
      <c r="X135" s="87"/>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6"/>
      <c r="CU135" s="36"/>
      <c r="CV135" s="36"/>
      <c r="CW135" s="36"/>
      <c r="CX135" s="36"/>
      <c r="CY135" s="36"/>
      <c r="CZ135" s="36"/>
      <c r="DA135" s="36"/>
      <c r="DB135" s="36"/>
      <c r="DC135" s="36"/>
      <c r="DD135" s="36"/>
      <c r="DE135" s="36"/>
      <c r="DF135" s="36"/>
      <c r="DG135" s="36"/>
      <c r="DH135" s="36"/>
      <c r="DI135" s="36"/>
      <c r="DJ135" s="36"/>
      <c r="DK135" s="36"/>
      <c r="DL135" s="36"/>
      <c r="DM135" s="36"/>
      <c r="DN135" s="36"/>
      <c r="DO135" s="36"/>
      <c r="DP135" s="36"/>
      <c r="DQ135" s="36"/>
      <c r="DR135" s="36"/>
      <c r="DS135" s="36"/>
      <c r="DT135" s="36"/>
      <c r="DU135" s="36"/>
      <c r="DV135" s="36"/>
      <c r="DW135" s="36"/>
      <c r="DX135" s="36"/>
      <c r="DY135" s="36"/>
      <c r="DZ135" s="36"/>
      <c r="EA135" s="36"/>
      <c r="EB135" s="36"/>
      <c r="EC135" s="36"/>
      <c r="ED135" s="36"/>
      <c r="EE135" s="36"/>
      <c r="EF135" s="36"/>
      <c r="EG135" s="36"/>
      <c r="EH135" s="36"/>
      <c r="EI135" s="36"/>
      <c r="EJ135" s="36"/>
      <c r="EK135" s="36"/>
      <c r="EL135" s="36"/>
      <c r="EM135" s="36"/>
      <c r="EN135" s="36"/>
      <c r="EO135" s="36"/>
      <c r="EP135" s="36"/>
      <c r="EQ135" s="36"/>
      <c r="ER135" s="36"/>
      <c r="ES135" s="36"/>
      <c r="ET135" s="36"/>
      <c r="EU135" s="36"/>
      <c r="EV135" s="36"/>
      <c r="EW135" s="36"/>
      <c r="EX135" s="36"/>
      <c r="EY135" s="36"/>
      <c r="EZ135" s="36"/>
      <c r="FA135" s="36"/>
      <c r="FB135" s="36"/>
      <c r="FC135" s="36"/>
      <c r="FD135" s="36"/>
      <c r="FE135" s="36"/>
    </row>
    <row r="136" spans="1:161" s="37" customFormat="1" ht="26.25" customHeight="1" x14ac:dyDescent="0.2">
      <c r="A136" s="456" t="s">
        <v>219</v>
      </c>
      <c r="B136" s="457">
        <v>1.855</v>
      </c>
      <c r="C136" s="458">
        <v>1.8979999999999999</v>
      </c>
      <c r="D136" s="458">
        <v>1.8819999999999999</v>
      </c>
      <c r="E136" s="458">
        <v>1.8440000000000001</v>
      </c>
      <c r="F136" s="458">
        <v>1.9</v>
      </c>
      <c r="G136" s="458"/>
      <c r="H136" s="458"/>
      <c r="I136" s="457">
        <v>1.8560000000000001</v>
      </c>
      <c r="J136" s="458">
        <v>1.1299999999999999</v>
      </c>
      <c r="K136" s="458">
        <v>1.1299999999999999</v>
      </c>
      <c r="L136" s="459">
        <v>1.44</v>
      </c>
      <c r="M136" s="460">
        <v>0.09</v>
      </c>
      <c r="N136" s="458">
        <v>1.873</v>
      </c>
      <c r="O136" s="458">
        <v>1.8086962187417133</v>
      </c>
      <c r="P136" s="458">
        <v>2.3193726181839383</v>
      </c>
      <c r="Q136" s="458">
        <v>2.6030000000000002</v>
      </c>
      <c r="R136" s="458">
        <v>1.921</v>
      </c>
      <c r="S136" s="458">
        <v>1.7291066282420751</v>
      </c>
      <c r="T136" s="461">
        <v>1.8731</v>
      </c>
      <c r="U136" s="458">
        <v>3.927</v>
      </c>
      <c r="V136" s="459">
        <v>1.83</v>
      </c>
      <c r="W136" s="459">
        <v>3.274</v>
      </c>
      <c r="X136" s="87"/>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c r="CB136" s="36"/>
      <c r="CC136" s="36"/>
      <c r="CD136" s="36"/>
      <c r="CE136" s="36"/>
      <c r="CF136" s="36"/>
      <c r="CG136" s="36"/>
      <c r="CH136" s="36"/>
      <c r="CI136" s="36"/>
      <c r="CJ136" s="36"/>
      <c r="CK136" s="36"/>
      <c r="CL136" s="36"/>
      <c r="CM136" s="36"/>
      <c r="CN136" s="36"/>
      <c r="CO136" s="36"/>
      <c r="CP136" s="36"/>
      <c r="CQ136" s="36"/>
      <c r="CR136" s="36"/>
      <c r="CS136" s="36"/>
      <c r="CT136" s="36"/>
      <c r="CU136" s="36"/>
      <c r="CV136" s="36"/>
      <c r="CW136" s="36"/>
      <c r="CX136" s="36"/>
      <c r="CY136" s="36"/>
      <c r="CZ136" s="36"/>
      <c r="DA136" s="36"/>
      <c r="DB136" s="36"/>
      <c r="DC136" s="36"/>
      <c r="DD136" s="36"/>
      <c r="DE136" s="36"/>
      <c r="DF136" s="36"/>
      <c r="DG136" s="36"/>
      <c r="DH136" s="36"/>
      <c r="DI136" s="36"/>
      <c r="DJ136" s="36"/>
      <c r="DK136" s="36"/>
      <c r="DL136" s="36"/>
      <c r="DM136" s="36"/>
      <c r="DN136" s="36"/>
      <c r="DO136" s="36"/>
      <c r="DP136" s="36"/>
      <c r="DQ136" s="36"/>
      <c r="DR136" s="36"/>
      <c r="DS136" s="36"/>
      <c r="DT136" s="36"/>
      <c r="DU136" s="36"/>
      <c r="DV136" s="36"/>
      <c r="DW136" s="36"/>
      <c r="DX136" s="36"/>
      <c r="DY136" s="36"/>
      <c r="DZ136" s="36"/>
      <c r="EA136" s="36"/>
      <c r="EB136" s="36"/>
      <c r="EC136" s="36"/>
      <c r="ED136" s="36"/>
      <c r="EE136" s="36"/>
      <c r="EF136" s="36"/>
      <c r="EG136" s="36"/>
      <c r="EH136" s="36"/>
      <c r="EI136" s="36"/>
      <c r="EJ136" s="36"/>
      <c r="EK136" s="36"/>
      <c r="EL136" s="36"/>
      <c r="EM136" s="36"/>
      <c r="EN136" s="36"/>
      <c r="EO136" s="36"/>
      <c r="EP136" s="36"/>
      <c r="EQ136" s="36"/>
      <c r="ER136" s="36"/>
      <c r="ES136" s="36"/>
      <c r="ET136" s="36"/>
      <c r="EU136" s="36"/>
      <c r="EV136" s="36"/>
      <c r="EW136" s="36"/>
      <c r="EX136" s="36"/>
      <c r="EY136" s="36"/>
      <c r="EZ136" s="36"/>
      <c r="FA136" s="36"/>
      <c r="FB136" s="36"/>
      <c r="FC136" s="36"/>
      <c r="FD136" s="36"/>
      <c r="FE136" s="36"/>
    </row>
    <row r="137" spans="1:161" s="37" customFormat="1" ht="26.25" customHeight="1" x14ac:dyDescent="0.2">
      <c r="A137" s="69" t="s">
        <v>649</v>
      </c>
      <c r="B137" s="454"/>
      <c r="C137" s="451"/>
      <c r="D137" s="451"/>
      <c r="E137" s="451"/>
      <c r="F137" s="451"/>
      <c r="G137" s="451"/>
      <c r="H137" s="451"/>
      <c r="I137" s="454"/>
      <c r="J137" s="451"/>
      <c r="K137" s="451"/>
      <c r="L137" s="452"/>
      <c r="M137" s="453"/>
      <c r="N137" s="451">
        <v>5.9999999999999995E-4</v>
      </c>
      <c r="O137" s="451"/>
      <c r="P137" s="451"/>
      <c r="Q137" s="451"/>
      <c r="R137" s="451">
        <v>0.19900000000000001</v>
      </c>
      <c r="S137" s="451"/>
      <c r="T137" s="455"/>
      <c r="U137" s="451"/>
      <c r="V137" s="452">
        <v>0.02</v>
      </c>
      <c r="W137" s="452"/>
      <c r="X137" s="87"/>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c r="CB137" s="36"/>
      <c r="CC137" s="36"/>
      <c r="CD137" s="36"/>
      <c r="CE137" s="36"/>
      <c r="CF137" s="36"/>
      <c r="CG137" s="36"/>
      <c r="CH137" s="36"/>
      <c r="CI137" s="36"/>
      <c r="CJ137" s="36"/>
      <c r="CK137" s="36"/>
      <c r="CL137" s="36"/>
      <c r="CM137" s="36"/>
      <c r="CN137" s="36"/>
      <c r="CO137" s="36"/>
      <c r="CP137" s="36"/>
      <c r="CQ137" s="36"/>
      <c r="CR137" s="36"/>
      <c r="CS137" s="36"/>
      <c r="CT137" s="36"/>
      <c r="CU137" s="36"/>
      <c r="CV137" s="36"/>
      <c r="CW137" s="36"/>
      <c r="CX137" s="36"/>
      <c r="CY137" s="36"/>
      <c r="CZ137" s="36"/>
      <c r="DA137" s="36"/>
      <c r="DB137" s="36"/>
      <c r="DC137" s="36"/>
      <c r="DD137" s="36"/>
      <c r="DE137" s="36"/>
      <c r="DF137" s="36"/>
      <c r="DG137" s="36"/>
      <c r="DH137" s="36"/>
      <c r="DI137" s="36"/>
      <c r="DJ137" s="36"/>
      <c r="DK137" s="36"/>
      <c r="DL137" s="36"/>
      <c r="DM137" s="36"/>
      <c r="DN137" s="36"/>
      <c r="DO137" s="36"/>
      <c r="DP137" s="36"/>
      <c r="DQ137" s="36"/>
      <c r="DR137" s="36"/>
      <c r="DS137" s="36"/>
      <c r="DT137" s="36"/>
      <c r="DU137" s="36"/>
      <c r="DV137" s="36"/>
      <c r="DW137" s="36"/>
      <c r="DX137" s="36"/>
      <c r="DY137" s="36"/>
      <c r="DZ137" s="36"/>
      <c r="EA137" s="36"/>
      <c r="EB137" s="36"/>
      <c r="EC137" s="36"/>
      <c r="ED137" s="36"/>
      <c r="EE137" s="36"/>
      <c r="EF137" s="36"/>
      <c r="EG137" s="36"/>
      <c r="EH137" s="36"/>
      <c r="EI137" s="36"/>
      <c r="EJ137" s="36"/>
      <c r="EK137" s="36"/>
      <c r="EL137" s="36"/>
      <c r="EM137" s="36"/>
      <c r="EN137" s="36"/>
      <c r="EO137" s="36"/>
      <c r="EP137" s="36"/>
      <c r="EQ137" s="36"/>
      <c r="ER137" s="36"/>
      <c r="ES137" s="36"/>
      <c r="ET137" s="36"/>
      <c r="EU137" s="36"/>
      <c r="EV137" s="36"/>
      <c r="EW137" s="36"/>
      <c r="EX137" s="36"/>
      <c r="EY137" s="36"/>
      <c r="EZ137" s="36"/>
      <c r="FA137" s="36"/>
      <c r="FB137" s="36"/>
      <c r="FC137" s="36"/>
      <c r="FD137" s="36"/>
      <c r="FE137" s="36"/>
    </row>
    <row r="138" spans="1:161" s="37" customFormat="1" ht="26.25" customHeight="1" x14ac:dyDescent="0.2">
      <c r="A138" s="456" t="s">
        <v>221</v>
      </c>
      <c r="B138" s="457"/>
      <c r="C138" s="458"/>
      <c r="D138" s="458"/>
      <c r="E138" s="458"/>
      <c r="F138" s="458"/>
      <c r="G138" s="458"/>
      <c r="H138" s="458"/>
      <c r="I138" s="457"/>
      <c r="J138" s="458"/>
      <c r="K138" s="458"/>
      <c r="L138" s="459"/>
      <c r="M138" s="460"/>
      <c r="N138" s="458"/>
      <c r="O138" s="458"/>
      <c r="P138" s="458"/>
      <c r="Q138" s="458"/>
      <c r="R138" s="458"/>
      <c r="S138" s="458"/>
      <c r="T138" s="461"/>
      <c r="U138" s="458"/>
      <c r="V138" s="459">
        <v>0.02</v>
      </c>
      <c r="W138" s="459"/>
      <c r="X138" s="87"/>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c r="CB138" s="36"/>
      <c r="CC138" s="36"/>
      <c r="CD138" s="36"/>
      <c r="CE138" s="36"/>
      <c r="CF138" s="36"/>
      <c r="CG138" s="36"/>
      <c r="CH138" s="36"/>
      <c r="CI138" s="36"/>
      <c r="CJ138" s="36"/>
      <c r="CK138" s="36"/>
      <c r="CL138" s="36"/>
      <c r="CM138" s="36"/>
      <c r="CN138" s="36"/>
      <c r="CO138" s="36"/>
      <c r="CP138" s="36"/>
      <c r="CQ138" s="36"/>
      <c r="CR138" s="36"/>
      <c r="CS138" s="36"/>
      <c r="CT138" s="36"/>
      <c r="CU138" s="36"/>
      <c r="CV138" s="36"/>
      <c r="CW138" s="36"/>
      <c r="CX138" s="36"/>
      <c r="CY138" s="36"/>
      <c r="CZ138" s="36"/>
      <c r="DA138" s="36"/>
      <c r="DB138" s="36"/>
      <c r="DC138" s="36"/>
      <c r="DD138" s="36"/>
      <c r="DE138" s="36"/>
      <c r="DF138" s="36"/>
      <c r="DG138" s="36"/>
      <c r="DH138" s="36"/>
      <c r="DI138" s="36"/>
      <c r="DJ138" s="36"/>
      <c r="DK138" s="36"/>
      <c r="DL138" s="36"/>
      <c r="DM138" s="36"/>
      <c r="DN138" s="36"/>
      <c r="DO138" s="36"/>
      <c r="DP138" s="36"/>
      <c r="DQ138" s="36"/>
      <c r="DR138" s="36"/>
      <c r="DS138" s="36"/>
      <c r="DT138" s="36"/>
      <c r="DU138" s="36"/>
      <c r="DV138" s="36"/>
      <c r="DW138" s="36"/>
      <c r="DX138" s="36"/>
      <c r="DY138" s="36"/>
      <c r="DZ138" s="36"/>
      <c r="EA138" s="36"/>
      <c r="EB138" s="36"/>
      <c r="EC138" s="36"/>
      <c r="ED138" s="36"/>
      <c r="EE138" s="36"/>
      <c r="EF138" s="36"/>
      <c r="EG138" s="36"/>
      <c r="EH138" s="36"/>
      <c r="EI138" s="36"/>
      <c r="EJ138" s="36"/>
      <c r="EK138" s="36"/>
      <c r="EL138" s="36"/>
      <c r="EM138" s="36"/>
      <c r="EN138" s="36"/>
      <c r="EO138" s="36"/>
      <c r="EP138" s="36"/>
      <c r="EQ138" s="36"/>
      <c r="ER138" s="36"/>
      <c r="ES138" s="36"/>
      <c r="ET138" s="36"/>
      <c r="EU138" s="36"/>
      <c r="EV138" s="36"/>
      <c r="EW138" s="36"/>
      <c r="EX138" s="36"/>
      <c r="EY138" s="36"/>
      <c r="EZ138" s="36"/>
      <c r="FA138" s="36"/>
      <c r="FB138" s="36"/>
      <c r="FC138" s="36"/>
      <c r="FD138" s="36"/>
      <c r="FE138" s="36"/>
    </row>
    <row r="139" spans="1:161" s="37" customFormat="1" ht="26.25" customHeight="1" x14ac:dyDescent="0.2">
      <c r="A139" s="69" t="s">
        <v>222</v>
      </c>
      <c r="B139" s="454">
        <v>0.27300000000000002</v>
      </c>
      <c r="C139" s="451">
        <v>0.26</v>
      </c>
      <c r="D139" s="451">
        <v>0.25700000000000001</v>
      </c>
      <c r="E139" s="451">
        <v>0.253</v>
      </c>
      <c r="F139" s="451">
        <v>0.36</v>
      </c>
      <c r="G139" s="451"/>
      <c r="H139" s="451"/>
      <c r="I139" s="454">
        <v>0.27300000000000002</v>
      </c>
      <c r="J139" s="451">
        <v>0.11</v>
      </c>
      <c r="K139" s="451">
        <v>0.13</v>
      </c>
      <c r="L139" s="452">
        <v>0.56999999999999995</v>
      </c>
      <c r="M139" s="453"/>
      <c r="N139" s="451">
        <v>0.25600000000000001</v>
      </c>
      <c r="O139" s="451">
        <v>0.26618548124878044</v>
      </c>
      <c r="P139" s="451">
        <v>0.34134163060065509</v>
      </c>
      <c r="Q139" s="451">
        <v>0.35599999999999998</v>
      </c>
      <c r="R139" s="451"/>
      <c r="S139" s="451">
        <v>0.57636887608069165</v>
      </c>
      <c r="T139" s="455">
        <v>0.25600000000000001</v>
      </c>
      <c r="U139" s="451">
        <v>0.78600000000000003</v>
      </c>
      <c r="V139" s="452">
        <v>0.27</v>
      </c>
      <c r="W139" s="452">
        <v>0.24299999999999999</v>
      </c>
      <c r="X139" s="87"/>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c r="CB139" s="36"/>
      <c r="CC139" s="36"/>
      <c r="CD139" s="36"/>
      <c r="CE139" s="36"/>
      <c r="CF139" s="36"/>
      <c r="CG139" s="36"/>
      <c r="CH139" s="36"/>
      <c r="CI139" s="36"/>
      <c r="CJ139" s="36"/>
      <c r="CK139" s="36"/>
      <c r="CL139" s="36"/>
      <c r="CM139" s="36"/>
      <c r="CN139" s="36"/>
      <c r="CO139" s="36"/>
      <c r="CP139" s="36"/>
      <c r="CQ139" s="36"/>
      <c r="CR139" s="36"/>
      <c r="CS139" s="36"/>
      <c r="CT139" s="36"/>
      <c r="CU139" s="36"/>
      <c r="CV139" s="36"/>
      <c r="CW139" s="36"/>
      <c r="CX139" s="36"/>
      <c r="CY139" s="36"/>
      <c r="CZ139" s="36"/>
      <c r="DA139" s="36"/>
      <c r="DB139" s="36"/>
      <c r="DC139" s="36"/>
      <c r="DD139" s="36"/>
      <c r="DE139" s="36"/>
      <c r="DF139" s="36"/>
      <c r="DG139" s="36"/>
      <c r="DH139" s="36"/>
      <c r="DI139" s="36"/>
      <c r="DJ139" s="36"/>
      <c r="DK139" s="36"/>
      <c r="DL139" s="36"/>
      <c r="DM139" s="36"/>
      <c r="DN139" s="36"/>
      <c r="DO139" s="36"/>
      <c r="DP139" s="36"/>
      <c r="DQ139" s="36"/>
      <c r="DR139" s="36"/>
      <c r="DS139" s="36"/>
      <c r="DT139" s="36"/>
      <c r="DU139" s="36"/>
      <c r="DV139" s="36"/>
      <c r="DW139" s="36"/>
      <c r="DX139" s="36"/>
      <c r="DY139" s="36"/>
      <c r="DZ139" s="36"/>
      <c r="EA139" s="36"/>
      <c r="EB139" s="36"/>
      <c r="EC139" s="36"/>
      <c r="ED139" s="36"/>
      <c r="EE139" s="36"/>
      <c r="EF139" s="36"/>
      <c r="EG139" s="36"/>
      <c r="EH139" s="36"/>
      <c r="EI139" s="36"/>
      <c r="EJ139" s="36"/>
      <c r="EK139" s="36"/>
      <c r="EL139" s="36"/>
      <c r="EM139" s="36"/>
      <c r="EN139" s="36"/>
      <c r="EO139" s="36"/>
      <c r="EP139" s="36"/>
      <c r="EQ139" s="36"/>
      <c r="ER139" s="36"/>
      <c r="ES139" s="36"/>
      <c r="ET139" s="36"/>
      <c r="EU139" s="36"/>
      <c r="EV139" s="36"/>
      <c r="EW139" s="36"/>
      <c r="EX139" s="36"/>
      <c r="EY139" s="36"/>
      <c r="EZ139" s="36"/>
      <c r="FA139" s="36"/>
      <c r="FB139" s="36"/>
      <c r="FC139" s="36"/>
      <c r="FD139" s="36"/>
      <c r="FE139" s="36"/>
    </row>
    <row r="140" spans="1:161" s="37" customFormat="1" ht="26.25" customHeight="1" x14ac:dyDescent="0.2">
      <c r="A140" s="456" t="s">
        <v>223</v>
      </c>
      <c r="B140" s="457">
        <v>3.0000000000000001E-3</v>
      </c>
      <c r="C140" s="458">
        <v>2E-3</v>
      </c>
      <c r="D140" s="458">
        <v>2E-3</v>
      </c>
      <c r="E140" s="458">
        <v>2E-3</v>
      </c>
      <c r="F140" s="458">
        <v>0.06</v>
      </c>
      <c r="G140" s="458"/>
      <c r="H140" s="458"/>
      <c r="I140" s="457">
        <v>3.0000000000000001E-3</v>
      </c>
      <c r="J140" s="458">
        <v>0.02</v>
      </c>
      <c r="K140" s="458">
        <v>0.02</v>
      </c>
      <c r="L140" s="459">
        <v>7.0000000000000007E-2</v>
      </c>
      <c r="M140" s="460">
        <v>4.4999999999999998E-2</v>
      </c>
      <c r="N140" s="458">
        <v>2E-3</v>
      </c>
      <c r="O140" s="458">
        <v>2.9251151785580267E-3</v>
      </c>
      <c r="P140" s="458">
        <v>3.7510069296775284E-3</v>
      </c>
      <c r="Q140" s="458">
        <v>3.0000000000000001E-3</v>
      </c>
      <c r="R140" s="458">
        <v>0.222</v>
      </c>
      <c r="S140" s="458">
        <v>0.11527377521613834</v>
      </c>
      <c r="T140" s="461">
        <v>2E-3</v>
      </c>
      <c r="U140" s="458">
        <v>1.6E-2</v>
      </c>
      <c r="V140" s="459">
        <v>0.02</v>
      </c>
      <c r="W140" s="459">
        <v>2.1999999999999999E-2</v>
      </c>
      <c r="X140" s="87"/>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c r="CB140" s="36"/>
      <c r="CC140" s="36"/>
      <c r="CD140" s="36"/>
      <c r="CE140" s="36"/>
      <c r="CF140" s="36"/>
      <c r="CG140" s="36"/>
      <c r="CH140" s="36"/>
      <c r="CI140" s="36"/>
      <c r="CJ140" s="36"/>
      <c r="CK140" s="36"/>
      <c r="CL140" s="36"/>
      <c r="CM140" s="36"/>
      <c r="CN140" s="36"/>
      <c r="CO140" s="36"/>
      <c r="CP140" s="36"/>
      <c r="CQ140" s="36"/>
      <c r="CR140" s="36"/>
      <c r="CS140" s="36"/>
      <c r="CT140" s="36"/>
      <c r="CU140" s="36"/>
      <c r="CV140" s="36"/>
      <c r="CW140" s="36"/>
      <c r="CX140" s="36"/>
      <c r="CY140" s="36"/>
      <c r="CZ140" s="36"/>
      <c r="DA140" s="36"/>
      <c r="DB140" s="36"/>
      <c r="DC140" s="36"/>
      <c r="DD140" s="36"/>
      <c r="DE140" s="36"/>
      <c r="DF140" s="36"/>
      <c r="DG140" s="36"/>
      <c r="DH140" s="36"/>
      <c r="DI140" s="36"/>
      <c r="DJ140" s="36"/>
      <c r="DK140" s="36"/>
      <c r="DL140" s="36"/>
      <c r="DM140" s="36"/>
      <c r="DN140" s="36"/>
      <c r="DO140" s="36"/>
      <c r="DP140" s="36"/>
      <c r="DQ140" s="36"/>
      <c r="DR140" s="36"/>
      <c r="DS140" s="36"/>
      <c r="DT140" s="36"/>
      <c r="DU140" s="36"/>
      <c r="DV140" s="36"/>
      <c r="DW140" s="36"/>
      <c r="DX140" s="36"/>
      <c r="DY140" s="36"/>
      <c r="DZ140" s="36"/>
      <c r="EA140" s="36"/>
      <c r="EB140" s="36"/>
      <c r="EC140" s="36"/>
      <c r="ED140" s="36"/>
      <c r="EE140" s="36"/>
      <c r="EF140" s="36"/>
      <c r="EG140" s="36"/>
      <c r="EH140" s="36"/>
      <c r="EI140" s="36"/>
      <c r="EJ140" s="36"/>
      <c r="EK140" s="36"/>
      <c r="EL140" s="36"/>
      <c r="EM140" s="36"/>
      <c r="EN140" s="36"/>
      <c r="EO140" s="36"/>
      <c r="EP140" s="36"/>
      <c r="EQ140" s="36"/>
      <c r="ER140" s="36"/>
      <c r="ES140" s="36"/>
      <c r="ET140" s="36"/>
      <c r="EU140" s="36"/>
      <c r="EV140" s="36"/>
      <c r="EW140" s="36"/>
      <c r="EX140" s="36"/>
      <c r="EY140" s="36"/>
      <c r="EZ140" s="36"/>
      <c r="FA140" s="36"/>
      <c r="FB140" s="36"/>
      <c r="FC140" s="36"/>
      <c r="FD140" s="36"/>
      <c r="FE140" s="36"/>
    </row>
    <row r="141" spans="1:161" s="37" customFormat="1" ht="26.25" customHeight="1" x14ac:dyDescent="0.2">
      <c r="A141" s="69" t="s">
        <v>224</v>
      </c>
      <c r="B141" s="454">
        <v>2E-3</v>
      </c>
      <c r="C141" s="451">
        <v>1E-3</v>
      </c>
      <c r="D141" s="451">
        <v>1E-3</v>
      </c>
      <c r="E141" s="451">
        <v>1E-3</v>
      </c>
      <c r="F141" s="451">
        <v>0.06</v>
      </c>
      <c r="G141" s="451"/>
      <c r="H141" s="451">
        <v>3.8242380205744005E-2</v>
      </c>
      <c r="I141" s="454">
        <v>2E-3</v>
      </c>
      <c r="J141" s="451"/>
      <c r="K141" s="451"/>
      <c r="L141" s="452">
        <v>0.04</v>
      </c>
      <c r="M141" s="453"/>
      <c r="N141" s="451">
        <v>1E-3</v>
      </c>
      <c r="O141" s="451">
        <v>1.9500767857053513E-3</v>
      </c>
      <c r="P141" s="451">
        <v>2.5006712864516856E-3</v>
      </c>
      <c r="Q141" s="451">
        <v>1E-3</v>
      </c>
      <c r="R141" s="451">
        <v>0.222</v>
      </c>
      <c r="S141" s="451">
        <v>5.7636887608069169E-2</v>
      </c>
      <c r="T141" s="455">
        <v>1E-3</v>
      </c>
      <c r="U141" s="451">
        <v>8.0000000000000002E-3</v>
      </c>
      <c r="V141" s="452">
        <v>0.02</v>
      </c>
      <c r="W141" s="452">
        <v>1.4999999999999999E-2</v>
      </c>
      <c r="X141" s="87"/>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c r="CB141" s="36"/>
      <c r="CC141" s="36"/>
      <c r="CD141" s="36"/>
      <c r="CE141" s="36"/>
      <c r="CF141" s="36"/>
      <c r="CG141" s="36"/>
      <c r="CH141" s="36"/>
      <c r="CI141" s="36"/>
      <c r="CJ141" s="36"/>
      <c r="CK141" s="36"/>
      <c r="CL141" s="36"/>
      <c r="CM141" s="36"/>
      <c r="CN141" s="36"/>
      <c r="CO141" s="36"/>
      <c r="CP141" s="36"/>
      <c r="CQ141" s="36"/>
      <c r="CR141" s="36"/>
      <c r="CS141" s="36"/>
      <c r="CT141" s="36"/>
      <c r="CU141" s="36"/>
      <c r="CV141" s="36"/>
      <c r="CW141" s="36"/>
      <c r="CX141" s="36"/>
      <c r="CY141" s="36"/>
      <c r="CZ141" s="36"/>
      <c r="DA141" s="36"/>
      <c r="DB141" s="36"/>
      <c r="DC141" s="36"/>
      <c r="DD141" s="36"/>
      <c r="DE141" s="36"/>
      <c r="DF141" s="36"/>
      <c r="DG141" s="36"/>
      <c r="DH141" s="36"/>
      <c r="DI141" s="36"/>
      <c r="DJ141" s="36"/>
      <c r="DK141" s="36"/>
      <c r="DL141" s="36"/>
      <c r="DM141" s="36"/>
      <c r="DN141" s="36"/>
      <c r="DO141" s="36"/>
      <c r="DP141" s="36"/>
      <c r="DQ141" s="36"/>
      <c r="DR141" s="36"/>
      <c r="DS141" s="36"/>
      <c r="DT141" s="36"/>
      <c r="DU141" s="36"/>
      <c r="DV141" s="36"/>
      <c r="DW141" s="36"/>
      <c r="DX141" s="36"/>
      <c r="DY141" s="36"/>
      <c r="DZ141" s="36"/>
      <c r="EA141" s="36"/>
      <c r="EB141" s="36"/>
      <c r="EC141" s="36"/>
      <c r="ED141" s="36"/>
      <c r="EE141" s="36"/>
      <c r="EF141" s="36"/>
      <c r="EG141" s="36"/>
      <c r="EH141" s="36"/>
      <c r="EI141" s="36"/>
      <c r="EJ141" s="36"/>
      <c r="EK141" s="36"/>
      <c r="EL141" s="36"/>
      <c r="EM141" s="36"/>
      <c r="EN141" s="36"/>
      <c r="EO141" s="36"/>
      <c r="EP141" s="36"/>
      <c r="EQ141" s="36"/>
      <c r="ER141" s="36"/>
      <c r="ES141" s="36"/>
      <c r="ET141" s="36"/>
      <c r="EU141" s="36"/>
      <c r="EV141" s="36"/>
      <c r="EW141" s="36"/>
      <c r="EX141" s="36"/>
      <c r="EY141" s="36"/>
      <c r="EZ141" s="36"/>
      <c r="FA141" s="36"/>
      <c r="FB141" s="36"/>
      <c r="FC141" s="36"/>
      <c r="FD141" s="36"/>
      <c r="FE141" s="36"/>
    </row>
    <row r="142" spans="1:161" s="37" customFormat="1" ht="26.25" customHeight="1" x14ac:dyDescent="0.2">
      <c r="A142" s="456" t="s">
        <v>225</v>
      </c>
      <c r="B142" s="457">
        <v>7.8E-2</v>
      </c>
      <c r="C142" s="458">
        <v>4.9000000000000002E-2</v>
      </c>
      <c r="D142" s="458">
        <v>4.8000000000000001E-2</v>
      </c>
      <c r="E142" s="458">
        <v>3.9E-2</v>
      </c>
      <c r="F142" s="458">
        <v>0.06</v>
      </c>
      <c r="G142" s="458">
        <v>0.39640797040843601</v>
      </c>
      <c r="H142" s="458">
        <v>1.6910780526979998</v>
      </c>
      <c r="I142" s="457">
        <v>7.8E-2</v>
      </c>
      <c r="J142" s="458">
        <v>0.08</v>
      </c>
      <c r="K142" s="458">
        <v>0.06</v>
      </c>
      <c r="L142" s="459">
        <v>0.56999999999999995</v>
      </c>
      <c r="M142" s="460"/>
      <c r="N142" s="458">
        <v>4.8000000000000001E-2</v>
      </c>
      <c r="O142" s="458">
        <v>7.6052994642508698E-2</v>
      </c>
      <c r="P142" s="458">
        <v>9.7526180171615739E-2</v>
      </c>
      <c r="Q142" s="458">
        <v>6.7000000000000004E-2</v>
      </c>
      <c r="R142" s="458">
        <v>0.26600000000000001</v>
      </c>
      <c r="S142" s="458">
        <v>1.1527377521613833</v>
      </c>
      <c r="T142" s="461">
        <v>4.8000000000000001E-2</v>
      </c>
      <c r="U142" s="458">
        <v>3.3000000000000002E-2</v>
      </c>
      <c r="V142" s="459">
        <v>0.08</v>
      </c>
      <c r="W142" s="459">
        <v>0.26400000000000001</v>
      </c>
      <c r="X142" s="87"/>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c r="CB142" s="36"/>
      <c r="CC142" s="36"/>
      <c r="CD142" s="36"/>
      <c r="CE142" s="36"/>
      <c r="CF142" s="36"/>
      <c r="CG142" s="36"/>
      <c r="CH142" s="36"/>
      <c r="CI142" s="36"/>
      <c r="CJ142" s="36"/>
      <c r="CK142" s="36"/>
      <c r="CL142" s="36"/>
      <c r="CM142" s="36"/>
      <c r="CN142" s="36"/>
      <c r="CO142" s="36"/>
      <c r="CP142" s="36"/>
      <c r="CQ142" s="36"/>
      <c r="CR142" s="36"/>
      <c r="CS142" s="36"/>
      <c r="CT142" s="36"/>
      <c r="CU142" s="36"/>
      <c r="CV142" s="36"/>
      <c r="CW142" s="36"/>
      <c r="CX142" s="36"/>
      <c r="CY142" s="36"/>
      <c r="CZ142" s="36"/>
      <c r="DA142" s="36"/>
      <c r="DB142" s="36"/>
      <c r="DC142" s="36"/>
      <c r="DD142" s="36"/>
      <c r="DE142" s="36"/>
      <c r="DF142" s="36"/>
      <c r="DG142" s="36"/>
      <c r="DH142" s="36"/>
      <c r="DI142" s="36"/>
      <c r="DJ142" s="36"/>
      <c r="DK142" s="36"/>
      <c r="DL142" s="36"/>
      <c r="DM142" s="36"/>
      <c r="DN142" s="36"/>
      <c r="DO142" s="36"/>
      <c r="DP142" s="36"/>
      <c r="DQ142" s="36"/>
      <c r="DR142" s="36"/>
      <c r="DS142" s="36"/>
      <c r="DT142" s="36"/>
      <c r="DU142" s="36"/>
      <c r="DV142" s="36"/>
      <c r="DW142" s="36"/>
      <c r="DX142" s="36"/>
      <c r="DY142" s="36"/>
      <c r="DZ142" s="36"/>
      <c r="EA142" s="36"/>
      <c r="EB142" s="36"/>
      <c r="EC142" s="36"/>
      <c r="ED142" s="36"/>
      <c r="EE142" s="36"/>
      <c r="EF142" s="36"/>
      <c r="EG142" s="36"/>
      <c r="EH142" s="36"/>
      <c r="EI142" s="36"/>
      <c r="EJ142" s="36"/>
      <c r="EK142" s="36"/>
      <c r="EL142" s="36"/>
      <c r="EM142" s="36"/>
      <c r="EN142" s="36"/>
      <c r="EO142" s="36"/>
      <c r="EP142" s="36"/>
      <c r="EQ142" s="36"/>
      <c r="ER142" s="36"/>
      <c r="ES142" s="36"/>
      <c r="ET142" s="36"/>
      <c r="EU142" s="36"/>
      <c r="EV142" s="36"/>
      <c r="EW142" s="36"/>
      <c r="EX142" s="36"/>
      <c r="EY142" s="36"/>
      <c r="EZ142" s="36"/>
      <c r="FA142" s="36"/>
      <c r="FB142" s="36"/>
      <c r="FC142" s="36"/>
      <c r="FD142" s="36"/>
      <c r="FE142" s="36"/>
    </row>
    <row r="143" spans="1:161" s="37" customFormat="1" ht="26.25" customHeight="1" x14ac:dyDescent="0.2">
      <c r="A143" s="69" t="s">
        <v>226</v>
      </c>
      <c r="B143" s="454"/>
      <c r="C143" s="451"/>
      <c r="D143" s="451">
        <v>1E-3</v>
      </c>
      <c r="E143" s="451"/>
      <c r="F143" s="451"/>
      <c r="G143" s="451"/>
      <c r="H143" s="451"/>
      <c r="I143" s="454"/>
      <c r="J143" s="451"/>
      <c r="K143" s="451"/>
      <c r="L143" s="452"/>
      <c r="M143" s="453"/>
      <c r="N143" s="451">
        <v>1E-3</v>
      </c>
      <c r="O143" s="451">
        <v>1E-3</v>
      </c>
      <c r="P143" s="451">
        <v>1.2503356432258428E-3</v>
      </c>
      <c r="Q143" s="451"/>
      <c r="R143" s="451"/>
      <c r="S143" s="451"/>
      <c r="T143" s="455">
        <v>1E-3</v>
      </c>
      <c r="U143" s="451"/>
      <c r="V143" s="452">
        <v>0.02</v>
      </c>
      <c r="W143" s="452"/>
      <c r="X143" s="87"/>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c r="CB143" s="36"/>
      <c r="CC143" s="36"/>
      <c r="CD143" s="36"/>
      <c r="CE143" s="36"/>
      <c r="CF143" s="36"/>
      <c r="CG143" s="36"/>
      <c r="CH143" s="36"/>
      <c r="CI143" s="36"/>
      <c r="CJ143" s="36"/>
      <c r="CK143" s="36"/>
      <c r="CL143" s="36"/>
      <c r="CM143" s="36"/>
      <c r="CN143" s="36"/>
      <c r="CO143" s="36"/>
      <c r="CP143" s="36"/>
      <c r="CQ143" s="36"/>
      <c r="CR143" s="36"/>
      <c r="CS143" s="36"/>
      <c r="CT143" s="36"/>
      <c r="CU143" s="36"/>
      <c r="CV143" s="36"/>
      <c r="CW143" s="36"/>
      <c r="CX143" s="36"/>
      <c r="CY143" s="36"/>
      <c r="CZ143" s="36"/>
      <c r="DA143" s="36"/>
      <c r="DB143" s="36"/>
      <c r="DC143" s="36"/>
      <c r="DD143" s="36"/>
      <c r="DE143" s="36"/>
      <c r="DF143" s="36"/>
      <c r="DG143" s="36"/>
      <c r="DH143" s="36"/>
      <c r="DI143" s="36"/>
      <c r="DJ143" s="36"/>
      <c r="DK143" s="36"/>
      <c r="DL143" s="36"/>
      <c r="DM143" s="36"/>
      <c r="DN143" s="36"/>
      <c r="DO143" s="36"/>
      <c r="DP143" s="36"/>
      <c r="DQ143" s="36"/>
      <c r="DR143" s="36"/>
      <c r="DS143" s="36"/>
      <c r="DT143" s="36"/>
      <c r="DU143" s="36"/>
      <c r="DV143" s="36"/>
      <c r="DW143" s="36"/>
      <c r="DX143" s="36"/>
      <c r="DY143" s="36"/>
      <c r="DZ143" s="36"/>
      <c r="EA143" s="36"/>
      <c r="EB143" s="36"/>
      <c r="EC143" s="36"/>
      <c r="ED143" s="36"/>
      <c r="EE143" s="36"/>
      <c r="EF143" s="36"/>
      <c r="EG143" s="36"/>
      <c r="EH143" s="36"/>
      <c r="EI143" s="36"/>
      <c r="EJ143" s="36"/>
      <c r="EK143" s="36"/>
      <c r="EL143" s="36"/>
      <c r="EM143" s="36"/>
      <c r="EN143" s="36"/>
      <c r="EO143" s="36"/>
      <c r="EP143" s="36"/>
      <c r="EQ143" s="36"/>
      <c r="ER143" s="36"/>
      <c r="ES143" s="36"/>
      <c r="ET143" s="36"/>
      <c r="EU143" s="36"/>
      <c r="EV143" s="36"/>
      <c r="EW143" s="36"/>
      <c r="EX143" s="36"/>
      <c r="EY143" s="36"/>
      <c r="EZ143" s="36"/>
      <c r="FA143" s="36"/>
      <c r="FB143" s="36"/>
      <c r="FC143" s="36"/>
      <c r="FD143" s="36"/>
      <c r="FE143" s="36"/>
    </row>
    <row r="144" spans="1:161" s="37" customFormat="1" ht="26.25" customHeight="1" x14ac:dyDescent="0.2">
      <c r="A144" s="456" t="s">
        <v>227</v>
      </c>
      <c r="B144" s="457">
        <v>0.871</v>
      </c>
      <c r="C144" s="458">
        <v>0.79300000000000004</v>
      </c>
      <c r="D144" s="458">
        <v>0.78600000000000003</v>
      </c>
      <c r="E144" s="458">
        <v>0.77</v>
      </c>
      <c r="F144" s="458">
        <v>0.55000000000000004</v>
      </c>
      <c r="G144" s="458"/>
      <c r="H144" s="458">
        <v>7.6109985085471719</v>
      </c>
      <c r="I144" s="457">
        <v>0.872</v>
      </c>
      <c r="J144" s="458">
        <v>1.92</v>
      </c>
      <c r="K144" s="458">
        <v>2.2400000000000002</v>
      </c>
      <c r="L144" s="459">
        <v>1.44</v>
      </c>
      <c r="M144" s="460"/>
      <c r="N144" s="458">
        <v>0.78200000000000003</v>
      </c>
      <c r="O144" s="458">
        <v>0.84925844017468044</v>
      </c>
      <c r="P144" s="458">
        <v>1.0890423452497091</v>
      </c>
      <c r="Q144" s="458">
        <v>1.087</v>
      </c>
      <c r="R144" s="458">
        <v>1.772</v>
      </c>
      <c r="S144" s="458">
        <v>1.1527377521613833</v>
      </c>
      <c r="T144" s="461">
        <v>0.78210000000000002</v>
      </c>
      <c r="U144" s="458">
        <v>2.6179999999999999</v>
      </c>
      <c r="V144" s="459">
        <v>0.86</v>
      </c>
      <c r="W144" s="459">
        <v>0.878</v>
      </c>
      <c r="X144" s="87"/>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c r="CB144" s="36"/>
      <c r="CC144" s="36"/>
      <c r="CD144" s="36"/>
      <c r="CE144" s="36"/>
      <c r="CF144" s="36"/>
      <c r="CG144" s="36"/>
      <c r="CH144" s="36"/>
      <c r="CI144" s="36"/>
      <c r="CJ144" s="36"/>
      <c r="CK144" s="36"/>
      <c r="CL144" s="36"/>
      <c r="CM144" s="36"/>
      <c r="CN144" s="36"/>
      <c r="CO144" s="36"/>
      <c r="CP144" s="36"/>
      <c r="CQ144" s="36"/>
      <c r="CR144" s="36"/>
      <c r="CS144" s="36"/>
      <c r="CT144" s="36"/>
      <c r="CU144" s="36"/>
      <c r="CV144" s="36"/>
      <c r="CW144" s="36"/>
      <c r="CX144" s="36"/>
      <c r="CY144" s="36"/>
      <c r="CZ144" s="36"/>
      <c r="DA144" s="36"/>
      <c r="DB144" s="36"/>
      <c r="DC144" s="36"/>
      <c r="DD144" s="36"/>
      <c r="DE144" s="36"/>
      <c r="DF144" s="36"/>
      <c r="DG144" s="36"/>
      <c r="DH144" s="36"/>
      <c r="DI144" s="36"/>
      <c r="DJ144" s="36"/>
      <c r="DK144" s="36"/>
      <c r="DL144" s="36"/>
      <c r="DM144" s="36"/>
      <c r="DN144" s="36"/>
      <c r="DO144" s="36"/>
      <c r="DP144" s="36"/>
      <c r="DQ144" s="36"/>
      <c r="DR144" s="36"/>
      <c r="DS144" s="36"/>
      <c r="DT144" s="36"/>
      <c r="DU144" s="36"/>
      <c r="DV144" s="36"/>
      <c r="DW144" s="36"/>
      <c r="DX144" s="36"/>
      <c r="DY144" s="36"/>
      <c r="DZ144" s="36"/>
      <c r="EA144" s="36"/>
      <c r="EB144" s="36"/>
      <c r="EC144" s="36"/>
      <c r="ED144" s="36"/>
      <c r="EE144" s="36"/>
      <c r="EF144" s="36"/>
      <c r="EG144" s="36"/>
      <c r="EH144" s="36"/>
      <c r="EI144" s="36"/>
      <c r="EJ144" s="36"/>
      <c r="EK144" s="36"/>
      <c r="EL144" s="36"/>
      <c r="EM144" s="36"/>
      <c r="EN144" s="36"/>
      <c r="EO144" s="36"/>
      <c r="EP144" s="36"/>
      <c r="EQ144" s="36"/>
      <c r="ER144" s="36"/>
      <c r="ES144" s="36"/>
      <c r="ET144" s="36"/>
      <c r="EU144" s="36"/>
      <c r="EV144" s="36"/>
      <c r="EW144" s="36"/>
      <c r="EX144" s="36"/>
      <c r="EY144" s="36"/>
      <c r="EZ144" s="36"/>
      <c r="FA144" s="36"/>
      <c r="FB144" s="36"/>
      <c r="FC144" s="36"/>
      <c r="FD144" s="36"/>
      <c r="FE144" s="36"/>
    </row>
    <row r="145" spans="1:161" s="37" customFormat="1" ht="26.25" customHeight="1" x14ac:dyDescent="0.2">
      <c r="A145" s="69" t="s">
        <v>228</v>
      </c>
      <c r="B145" s="454">
        <v>8.5999999999999993E-2</v>
      </c>
      <c r="C145" s="451">
        <v>7.3999999999999996E-2</v>
      </c>
      <c r="D145" s="451">
        <v>7.2999999999999995E-2</v>
      </c>
      <c r="E145" s="451">
        <v>7.0000000000000007E-2</v>
      </c>
      <c r="F145" s="451">
        <v>0.11</v>
      </c>
      <c r="G145" s="451"/>
      <c r="H145" s="451"/>
      <c r="I145" s="454">
        <v>8.5999999999999993E-2</v>
      </c>
      <c r="J145" s="451">
        <v>0.05</v>
      </c>
      <c r="K145" s="451">
        <v>0.05</v>
      </c>
      <c r="L145" s="452">
        <v>0.28999999999999998</v>
      </c>
      <c r="M145" s="453"/>
      <c r="N145" s="451">
        <v>7.2999999999999995E-2</v>
      </c>
      <c r="O145" s="451">
        <v>8.3853301785330098E-2</v>
      </c>
      <c r="P145" s="451">
        <v>0.10752886531742246</v>
      </c>
      <c r="Q145" s="451">
        <v>0.10100000000000001</v>
      </c>
      <c r="R145" s="451">
        <v>0.60299999999999998</v>
      </c>
      <c r="S145" s="451">
        <v>0.11527377521613834</v>
      </c>
      <c r="T145" s="455">
        <v>7.2999999999999995E-2</v>
      </c>
      <c r="U145" s="451">
        <v>3.3000000000000002E-2</v>
      </c>
      <c r="V145" s="452">
        <v>0.09</v>
      </c>
      <c r="W145" s="452">
        <v>0.127</v>
      </c>
      <c r="X145" s="87"/>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c r="CB145" s="36"/>
      <c r="CC145" s="36"/>
      <c r="CD145" s="36"/>
      <c r="CE145" s="36"/>
      <c r="CF145" s="36"/>
      <c r="CG145" s="36"/>
      <c r="CH145" s="36"/>
      <c r="CI145" s="36"/>
      <c r="CJ145" s="36"/>
      <c r="CK145" s="36"/>
      <c r="CL145" s="36"/>
      <c r="CM145" s="36"/>
      <c r="CN145" s="36"/>
      <c r="CO145" s="36"/>
      <c r="CP145" s="36"/>
      <c r="CQ145" s="36"/>
      <c r="CR145" s="36"/>
      <c r="CS145" s="36"/>
      <c r="CT145" s="36"/>
      <c r="CU145" s="36"/>
      <c r="CV145" s="36"/>
      <c r="CW145" s="36"/>
      <c r="CX145" s="36"/>
      <c r="CY145" s="36"/>
      <c r="CZ145" s="36"/>
      <c r="DA145" s="36"/>
      <c r="DB145" s="36"/>
      <c r="DC145" s="36"/>
      <c r="DD145" s="36"/>
      <c r="DE145" s="36"/>
      <c r="DF145" s="36"/>
      <c r="DG145" s="36"/>
      <c r="DH145" s="36"/>
      <c r="DI145" s="36"/>
      <c r="DJ145" s="36"/>
      <c r="DK145" s="36"/>
      <c r="DL145" s="36"/>
      <c r="DM145" s="36"/>
      <c r="DN145" s="36"/>
      <c r="DO145" s="36"/>
      <c r="DP145" s="36"/>
      <c r="DQ145" s="36"/>
      <c r="DR145" s="36"/>
      <c r="DS145" s="36"/>
      <c r="DT145" s="36"/>
      <c r="DU145" s="36"/>
      <c r="DV145" s="36"/>
      <c r="DW145" s="36"/>
      <c r="DX145" s="36"/>
      <c r="DY145" s="36"/>
      <c r="DZ145" s="36"/>
      <c r="EA145" s="36"/>
      <c r="EB145" s="36"/>
      <c r="EC145" s="36"/>
      <c r="ED145" s="36"/>
      <c r="EE145" s="36"/>
      <c r="EF145" s="36"/>
      <c r="EG145" s="36"/>
      <c r="EH145" s="36"/>
      <c r="EI145" s="36"/>
      <c r="EJ145" s="36"/>
      <c r="EK145" s="36"/>
      <c r="EL145" s="36"/>
      <c r="EM145" s="36"/>
      <c r="EN145" s="36"/>
      <c r="EO145" s="36"/>
      <c r="EP145" s="36"/>
      <c r="EQ145" s="36"/>
      <c r="ER145" s="36"/>
      <c r="ES145" s="36"/>
      <c r="ET145" s="36"/>
      <c r="EU145" s="36"/>
      <c r="EV145" s="36"/>
      <c r="EW145" s="36"/>
      <c r="EX145" s="36"/>
      <c r="EY145" s="36"/>
      <c r="EZ145" s="36"/>
      <c r="FA145" s="36"/>
      <c r="FB145" s="36"/>
      <c r="FC145" s="36"/>
      <c r="FD145" s="36"/>
      <c r="FE145" s="36"/>
    </row>
    <row r="146" spans="1:161" s="37" customFormat="1" ht="26.25" customHeight="1" x14ac:dyDescent="0.2">
      <c r="A146" s="456" t="s">
        <v>229</v>
      </c>
      <c r="B146" s="457">
        <v>8.2000000000000003E-2</v>
      </c>
      <c r="C146" s="458"/>
      <c r="D146" s="458">
        <v>5.8999999999999997E-2</v>
      </c>
      <c r="E146" s="458">
        <v>4.8000000000000001E-2</v>
      </c>
      <c r="F146" s="458">
        <v>0.16</v>
      </c>
      <c r="G146" s="458">
        <v>0.43607032307572924</v>
      </c>
      <c r="H146" s="458"/>
      <c r="I146" s="457">
        <v>8.2000000000000003E-2</v>
      </c>
      <c r="J146" s="458">
        <v>7.0000000000000007E-2</v>
      </c>
      <c r="K146" s="458">
        <v>0.08</v>
      </c>
      <c r="L146" s="459">
        <v>0.56999999999999995</v>
      </c>
      <c r="M146" s="460"/>
      <c r="N146" s="458">
        <v>5.8999999999999997E-2</v>
      </c>
      <c r="O146" s="458">
        <v>7.9953148213919398E-2</v>
      </c>
      <c r="P146" s="458">
        <v>0.10252752274451911</v>
      </c>
      <c r="Q146" s="458">
        <v>8.2000000000000003E-2</v>
      </c>
      <c r="R146" s="458">
        <v>0.26600000000000001</v>
      </c>
      <c r="S146" s="458">
        <v>1.1527377521613833</v>
      </c>
      <c r="T146" s="461">
        <v>5.8999999999999997E-2</v>
      </c>
      <c r="U146" s="458">
        <v>3.3000000000000002E-2</v>
      </c>
      <c r="V146" s="459">
        <v>0.08</v>
      </c>
      <c r="W146" s="459">
        <v>0.17899999999999999</v>
      </c>
      <c r="X146" s="87"/>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c r="CB146" s="36"/>
      <c r="CC146" s="36"/>
      <c r="CD146" s="36"/>
      <c r="CE146" s="36"/>
      <c r="CF146" s="36"/>
      <c r="CG146" s="36"/>
      <c r="CH146" s="36"/>
      <c r="CI146" s="36"/>
      <c r="CJ146" s="36"/>
      <c r="CK146" s="36"/>
      <c r="CL146" s="36"/>
      <c r="CM146" s="36"/>
      <c r="CN146" s="36"/>
      <c r="CO146" s="36"/>
      <c r="CP146" s="36"/>
      <c r="CQ146" s="36"/>
      <c r="CR146" s="36"/>
      <c r="CS146" s="36"/>
      <c r="CT146" s="36"/>
      <c r="CU146" s="36"/>
      <c r="CV146" s="36"/>
      <c r="CW146" s="36"/>
      <c r="CX146" s="36"/>
      <c r="CY146" s="36"/>
      <c r="CZ146" s="36"/>
      <c r="DA146" s="36"/>
      <c r="DB146" s="36"/>
      <c r="DC146" s="36"/>
      <c r="DD146" s="36"/>
      <c r="DE146" s="36"/>
      <c r="DF146" s="36"/>
      <c r="DG146" s="36"/>
      <c r="DH146" s="36"/>
      <c r="DI146" s="36"/>
      <c r="DJ146" s="36"/>
      <c r="DK146" s="36"/>
      <c r="DL146" s="36"/>
      <c r="DM146" s="36"/>
      <c r="DN146" s="36"/>
      <c r="DO146" s="36"/>
      <c r="DP146" s="36"/>
      <c r="DQ146" s="36"/>
      <c r="DR146" s="36"/>
      <c r="DS146" s="36"/>
      <c r="DT146" s="36"/>
      <c r="DU146" s="36"/>
      <c r="DV146" s="36"/>
      <c r="DW146" s="36"/>
      <c r="DX146" s="36"/>
      <c r="DY146" s="36"/>
      <c r="DZ146" s="36"/>
      <c r="EA146" s="36"/>
      <c r="EB146" s="36"/>
      <c r="EC146" s="36"/>
      <c r="ED146" s="36"/>
      <c r="EE146" s="36"/>
      <c r="EF146" s="36"/>
      <c r="EG146" s="36"/>
      <c r="EH146" s="36"/>
      <c r="EI146" s="36"/>
      <c r="EJ146" s="36"/>
      <c r="EK146" s="36"/>
      <c r="EL146" s="36"/>
      <c r="EM146" s="36"/>
      <c r="EN146" s="36"/>
      <c r="EO146" s="36"/>
      <c r="EP146" s="36"/>
      <c r="EQ146" s="36"/>
      <c r="ER146" s="36"/>
      <c r="ES146" s="36"/>
      <c r="ET146" s="36"/>
      <c r="EU146" s="36"/>
      <c r="EV146" s="36"/>
      <c r="EW146" s="36"/>
      <c r="EX146" s="36"/>
      <c r="EY146" s="36"/>
      <c r="EZ146" s="36"/>
      <c r="FA146" s="36"/>
      <c r="FB146" s="36"/>
      <c r="FC146" s="36"/>
      <c r="FD146" s="36"/>
      <c r="FE146" s="36"/>
    </row>
    <row r="147" spans="1:161" s="37" customFormat="1" ht="26.25" customHeight="1" x14ac:dyDescent="0.2">
      <c r="A147" s="69" t="s">
        <v>230</v>
      </c>
      <c r="B147" s="454">
        <v>1E-3</v>
      </c>
      <c r="C147" s="451">
        <v>1E-3</v>
      </c>
      <c r="D147" s="451">
        <v>1E-3</v>
      </c>
      <c r="E147" s="451">
        <v>1E-3</v>
      </c>
      <c r="F147" s="451">
        <v>0.06</v>
      </c>
      <c r="G147" s="451"/>
      <c r="H147" s="451"/>
      <c r="I147" s="454"/>
      <c r="J147" s="451"/>
      <c r="K147" s="451"/>
      <c r="L147" s="452"/>
      <c r="M147" s="453"/>
      <c r="N147" s="451">
        <v>1E-3</v>
      </c>
      <c r="O147" s="451">
        <v>1E-3</v>
      </c>
      <c r="P147" s="451">
        <v>1.2503356432258428E-3</v>
      </c>
      <c r="Q147" s="451"/>
      <c r="R147" s="451"/>
      <c r="S147" s="451"/>
      <c r="T147" s="455">
        <v>1E-3</v>
      </c>
      <c r="U147" s="451"/>
      <c r="V147" s="452"/>
      <c r="W147" s="452"/>
      <c r="X147" s="87"/>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c r="CB147" s="36"/>
      <c r="CC147" s="36"/>
      <c r="CD147" s="36"/>
      <c r="CE147" s="36"/>
      <c r="CF147" s="36"/>
      <c r="CG147" s="36"/>
      <c r="CH147" s="36"/>
      <c r="CI147" s="36"/>
      <c r="CJ147" s="36"/>
      <c r="CK147" s="36"/>
      <c r="CL147" s="36"/>
      <c r="CM147" s="36"/>
      <c r="CN147" s="36"/>
      <c r="CO147" s="36"/>
      <c r="CP147" s="36"/>
      <c r="CQ147" s="36"/>
      <c r="CR147" s="36"/>
      <c r="CS147" s="36"/>
      <c r="CT147" s="36"/>
      <c r="CU147" s="36"/>
      <c r="CV147" s="36"/>
      <c r="CW147" s="36"/>
      <c r="CX147" s="36"/>
      <c r="CY147" s="36"/>
      <c r="CZ147" s="36"/>
      <c r="DA147" s="36"/>
      <c r="DB147" s="36"/>
      <c r="DC147" s="36"/>
      <c r="DD147" s="36"/>
      <c r="DE147" s="36"/>
      <c r="DF147" s="36"/>
      <c r="DG147" s="36"/>
      <c r="DH147" s="36"/>
      <c r="DI147" s="36"/>
      <c r="DJ147" s="36"/>
      <c r="DK147" s="36"/>
      <c r="DL147" s="36"/>
      <c r="DM147" s="36"/>
      <c r="DN147" s="36"/>
      <c r="DO147" s="36"/>
      <c r="DP147" s="36"/>
      <c r="DQ147" s="36"/>
      <c r="DR147" s="36"/>
      <c r="DS147" s="36"/>
      <c r="DT147" s="36"/>
      <c r="DU147" s="36"/>
      <c r="DV147" s="36"/>
      <c r="DW147" s="36"/>
      <c r="DX147" s="36"/>
      <c r="DY147" s="36"/>
      <c r="DZ147" s="36"/>
      <c r="EA147" s="36"/>
      <c r="EB147" s="36"/>
      <c r="EC147" s="36"/>
      <c r="ED147" s="36"/>
      <c r="EE147" s="36"/>
      <c r="EF147" s="36"/>
      <c r="EG147" s="36"/>
      <c r="EH147" s="36"/>
      <c r="EI147" s="36"/>
      <c r="EJ147" s="36"/>
      <c r="EK147" s="36"/>
      <c r="EL147" s="36"/>
      <c r="EM147" s="36"/>
      <c r="EN147" s="36"/>
      <c r="EO147" s="36"/>
      <c r="EP147" s="36"/>
      <c r="EQ147" s="36"/>
      <c r="ER147" s="36"/>
      <c r="ES147" s="36"/>
      <c r="ET147" s="36"/>
      <c r="EU147" s="36"/>
      <c r="EV147" s="36"/>
      <c r="EW147" s="36"/>
      <c r="EX147" s="36"/>
      <c r="EY147" s="36"/>
      <c r="EZ147" s="36"/>
      <c r="FA147" s="36"/>
      <c r="FB147" s="36"/>
      <c r="FC147" s="36"/>
      <c r="FD147" s="36"/>
      <c r="FE147" s="36"/>
    </row>
    <row r="148" spans="1:161" s="37" customFormat="1" ht="26.25" customHeight="1" x14ac:dyDescent="0.2">
      <c r="A148" s="456" t="s">
        <v>231</v>
      </c>
      <c r="B148" s="457">
        <v>2.1999999999999999E-2</v>
      </c>
      <c r="C148" s="458">
        <v>2.3E-2</v>
      </c>
      <c r="D148" s="458">
        <v>2.3E-2</v>
      </c>
      <c r="E148" s="458">
        <v>1.7999999999999999E-2</v>
      </c>
      <c r="F148" s="458">
        <v>0.06</v>
      </c>
      <c r="G148" s="458">
        <v>0.39640797040843601</v>
      </c>
      <c r="H148" s="458">
        <v>6.11878083291904E-3</v>
      </c>
      <c r="I148" s="457">
        <v>2.1999999999999999E-2</v>
      </c>
      <c r="J148" s="458">
        <v>19.34</v>
      </c>
      <c r="K148" s="458">
        <v>19.2</v>
      </c>
      <c r="L148" s="459">
        <v>0.14000000000000001</v>
      </c>
      <c r="M148" s="460">
        <v>0.16300000000000001</v>
      </c>
      <c r="N148" s="458">
        <v>2.3E-2</v>
      </c>
      <c r="O148" s="458">
        <v>2.145084464275886E-2</v>
      </c>
      <c r="P148" s="458">
        <v>2.7507384150968539E-2</v>
      </c>
      <c r="Q148" s="458">
        <v>3.2000000000000001E-2</v>
      </c>
      <c r="R148" s="458">
        <v>0.53200000000000003</v>
      </c>
      <c r="S148" s="458">
        <v>0.11527377521613834</v>
      </c>
      <c r="T148" s="461">
        <v>2.3E-2</v>
      </c>
      <c r="U148" s="458">
        <v>3.3000000000000002E-2</v>
      </c>
      <c r="V148" s="459">
        <v>0.02</v>
      </c>
      <c r="W148" s="459">
        <v>8.5999999999999993E-2</v>
      </c>
      <c r="X148" s="87"/>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c r="CB148" s="36"/>
      <c r="CC148" s="36"/>
      <c r="CD148" s="36"/>
      <c r="CE148" s="36"/>
      <c r="CF148" s="36"/>
      <c r="CG148" s="36"/>
      <c r="CH148" s="36"/>
      <c r="CI148" s="36"/>
      <c r="CJ148" s="36"/>
      <c r="CK148" s="36"/>
      <c r="CL148" s="36"/>
      <c r="CM148" s="36"/>
      <c r="CN148" s="36"/>
      <c r="CO148" s="36"/>
      <c r="CP148" s="36"/>
      <c r="CQ148" s="36"/>
      <c r="CR148" s="36"/>
      <c r="CS148" s="36"/>
      <c r="CT148" s="36"/>
      <c r="CU148" s="36"/>
      <c r="CV148" s="36"/>
      <c r="CW148" s="36"/>
      <c r="CX148" s="36"/>
      <c r="CY148" s="36"/>
      <c r="CZ148" s="36"/>
      <c r="DA148" s="36"/>
      <c r="DB148" s="36"/>
      <c r="DC148" s="36"/>
      <c r="DD148" s="36"/>
      <c r="DE148" s="36"/>
      <c r="DF148" s="36"/>
      <c r="DG148" s="36"/>
      <c r="DH148" s="36"/>
      <c r="DI148" s="36"/>
      <c r="DJ148" s="36"/>
      <c r="DK148" s="36"/>
      <c r="DL148" s="36"/>
      <c r="DM148" s="36"/>
      <c r="DN148" s="36"/>
      <c r="DO148" s="36"/>
      <c r="DP148" s="36"/>
      <c r="DQ148" s="36"/>
      <c r="DR148" s="36"/>
      <c r="DS148" s="36"/>
      <c r="DT148" s="36"/>
      <c r="DU148" s="36"/>
      <c r="DV148" s="36"/>
      <c r="DW148" s="36"/>
      <c r="DX148" s="36"/>
      <c r="DY148" s="36"/>
      <c r="DZ148" s="36"/>
      <c r="EA148" s="36"/>
      <c r="EB148" s="36"/>
      <c r="EC148" s="36"/>
      <c r="ED148" s="36"/>
      <c r="EE148" s="36"/>
      <c r="EF148" s="36"/>
      <c r="EG148" s="36"/>
      <c r="EH148" s="36"/>
      <c r="EI148" s="36"/>
      <c r="EJ148" s="36"/>
      <c r="EK148" s="36"/>
      <c r="EL148" s="36"/>
      <c r="EM148" s="36"/>
      <c r="EN148" s="36"/>
      <c r="EO148" s="36"/>
      <c r="EP148" s="36"/>
      <c r="EQ148" s="36"/>
      <c r="ER148" s="36"/>
      <c r="ES148" s="36"/>
      <c r="ET148" s="36"/>
      <c r="EU148" s="36"/>
      <c r="EV148" s="36"/>
      <c r="EW148" s="36"/>
      <c r="EX148" s="36"/>
      <c r="EY148" s="36"/>
      <c r="EZ148" s="36"/>
      <c r="FA148" s="36"/>
      <c r="FB148" s="36"/>
      <c r="FC148" s="36"/>
      <c r="FD148" s="36"/>
      <c r="FE148" s="36"/>
    </row>
    <row r="149" spans="1:161" s="37" customFormat="1" ht="26.25" customHeight="1" x14ac:dyDescent="0.2">
      <c r="A149" s="69" t="s">
        <v>232</v>
      </c>
      <c r="B149" s="454">
        <v>2E-3</v>
      </c>
      <c r="C149" s="451">
        <v>2E-3</v>
      </c>
      <c r="D149" s="451">
        <v>2E-3</v>
      </c>
      <c r="E149" s="451"/>
      <c r="F149" s="451">
        <v>0.06</v>
      </c>
      <c r="G149" s="451"/>
      <c r="H149" s="451"/>
      <c r="I149" s="454">
        <v>2E-3</v>
      </c>
      <c r="J149" s="451">
        <v>0.02</v>
      </c>
      <c r="K149" s="451">
        <v>0.02</v>
      </c>
      <c r="L149" s="452">
        <v>7.0000000000000007E-2</v>
      </c>
      <c r="M149" s="453"/>
      <c r="N149" s="451">
        <v>2E-3</v>
      </c>
      <c r="O149" s="451">
        <v>1.9500767857053513E-3</v>
      </c>
      <c r="P149" s="451">
        <v>2.5006712864516856E-3</v>
      </c>
      <c r="Q149" s="451">
        <v>3.0000000000000001E-3</v>
      </c>
      <c r="R149" s="451">
        <v>0.222</v>
      </c>
      <c r="S149" s="451">
        <v>0.11527377521613834</v>
      </c>
      <c r="T149" s="455">
        <v>2E-3</v>
      </c>
      <c r="U149" s="451">
        <v>1.6E-2</v>
      </c>
      <c r="V149" s="452">
        <v>0.02</v>
      </c>
      <c r="W149" s="452">
        <v>1.9E-2</v>
      </c>
      <c r="X149" s="87"/>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c r="CB149" s="36"/>
      <c r="CC149" s="36"/>
      <c r="CD149" s="36"/>
      <c r="CE149" s="36"/>
      <c r="CF149" s="36"/>
      <c r="CG149" s="36"/>
      <c r="CH149" s="36"/>
      <c r="CI149" s="36"/>
      <c r="CJ149" s="36"/>
      <c r="CK149" s="36"/>
      <c r="CL149" s="36"/>
      <c r="CM149" s="36"/>
      <c r="CN149" s="36"/>
      <c r="CO149" s="36"/>
      <c r="CP149" s="36"/>
      <c r="CQ149" s="36"/>
      <c r="CR149" s="36"/>
      <c r="CS149" s="36"/>
      <c r="CT149" s="36"/>
      <c r="CU149" s="36"/>
      <c r="CV149" s="36"/>
      <c r="CW149" s="36"/>
      <c r="CX149" s="36"/>
      <c r="CY149" s="36"/>
      <c r="CZ149" s="36"/>
      <c r="DA149" s="36"/>
      <c r="DB149" s="36"/>
      <c r="DC149" s="36"/>
      <c r="DD149" s="36"/>
      <c r="DE149" s="36"/>
      <c r="DF149" s="36"/>
      <c r="DG149" s="36"/>
      <c r="DH149" s="36"/>
      <c r="DI149" s="36"/>
      <c r="DJ149" s="36"/>
      <c r="DK149" s="36"/>
      <c r="DL149" s="36"/>
      <c r="DM149" s="36"/>
      <c r="DN149" s="36"/>
      <c r="DO149" s="36"/>
      <c r="DP149" s="36"/>
      <c r="DQ149" s="36"/>
      <c r="DR149" s="36"/>
      <c r="DS149" s="36"/>
      <c r="DT149" s="36"/>
      <c r="DU149" s="36"/>
      <c r="DV149" s="36"/>
      <c r="DW149" s="36"/>
      <c r="DX149" s="36"/>
      <c r="DY149" s="36"/>
      <c r="DZ149" s="36"/>
      <c r="EA149" s="36"/>
      <c r="EB149" s="36"/>
      <c r="EC149" s="36"/>
      <c r="ED149" s="36"/>
      <c r="EE149" s="36"/>
      <c r="EF149" s="36"/>
      <c r="EG149" s="36"/>
      <c r="EH149" s="36"/>
      <c r="EI149" s="36"/>
      <c r="EJ149" s="36"/>
      <c r="EK149" s="36"/>
      <c r="EL149" s="36"/>
      <c r="EM149" s="36"/>
      <c r="EN149" s="36"/>
      <c r="EO149" s="36"/>
      <c r="EP149" s="36"/>
      <c r="EQ149" s="36"/>
      <c r="ER149" s="36"/>
      <c r="ES149" s="36"/>
      <c r="ET149" s="36"/>
      <c r="EU149" s="36"/>
      <c r="EV149" s="36"/>
      <c r="EW149" s="36"/>
      <c r="EX149" s="36"/>
      <c r="EY149" s="36"/>
      <c r="EZ149" s="36"/>
      <c r="FA149" s="36"/>
      <c r="FB149" s="36"/>
      <c r="FC149" s="36"/>
      <c r="FD149" s="36"/>
      <c r="FE149" s="36"/>
    </row>
    <row r="150" spans="1:161" s="37" customFormat="1" ht="26.25" customHeight="1" x14ac:dyDescent="0.2">
      <c r="A150" s="456" t="s">
        <v>233</v>
      </c>
      <c r="B150" s="457">
        <v>7.0000000000000001E-3</v>
      </c>
      <c r="C150" s="458">
        <v>5.0000000000000001E-3</v>
      </c>
      <c r="D150" s="458">
        <v>5.0000000000000001E-3</v>
      </c>
      <c r="E150" s="458">
        <v>4.0000000000000001E-3</v>
      </c>
      <c r="F150" s="458">
        <v>0.06</v>
      </c>
      <c r="G150" s="458"/>
      <c r="H150" s="458"/>
      <c r="I150" s="457">
        <v>7.0000000000000001E-3</v>
      </c>
      <c r="J150" s="458">
        <v>0.02</v>
      </c>
      <c r="K150" s="458">
        <v>0.02</v>
      </c>
      <c r="L150" s="459">
        <v>7.0000000000000007E-2</v>
      </c>
      <c r="M150" s="460">
        <v>0.124</v>
      </c>
      <c r="N150" s="458">
        <v>5.0000000000000001E-3</v>
      </c>
      <c r="O150" s="458">
        <v>6.8252687499687293E-3</v>
      </c>
      <c r="P150" s="458">
        <v>8.7523495025809001E-3</v>
      </c>
      <c r="Q150" s="458">
        <v>7.0000000000000001E-3</v>
      </c>
      <c r="R150" s="458">
        <v>0.23699999999999999</v>
      </c>
      <c r="S150" s="458">
        <v>0.11527377521613834</v>
      </c>
      <c r="T150" s="461">
        <v>5.0000000000000001E-3</v>
      </c>
      <c r="U150" s="458">
        <v>1.6E-2</v>
      </c>
      <c r="V150" s="459">
        <v>0.02</v>
      </c>
      <c r="W150" s="459">
        <v>3.5000000000000003E-2</v>
      </c>
      <c r="X150" s="87"/>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c r="CB150" s="36"/>
      <c r="CC150" s="36"/>
      <c r="CD150" s="36"/>
      <c r="CE150" s="36"/>
      <c r="CF150" s="36"/>
      <c r="CG150" s="36"/>
      <c r="CH150" s="36"/>
      <c r="CI150" s="36"/>
      <c r="CJ150" s="36"/>
      <c r="CK150" s="36"/>
      <c r="CL150" s="36"/>
      <c r="CM150" s="36"/>
      <c r="CN150" s="36"/>
      <c r="CO150" s="36"/>
      <c r="CP150" s="36"/>
      <c r="CQ150" s="36"/>
      <c r="CR150" s="36"/>
      <c r="CS150" s="36"/>
      <c r="CT150" s="36"/>
      <c r="CU150" s="36"/>
      <c r="CV150" s="36"/>
      <c r="CW150" s="36"/>
      <c r="CX150" s="36"/>
      <c r="CY150" s="36"/>
      <c r="CZ150" s="36"/>
      <c r="DA150" s="36"/>
      <c r="DB150" s="36"/>
      <c r="DC150" s="36"/>
      <c r="DD150" s="36"/>
      <c r="DE150" s="36"/>
      <c r="DF150" s="36"/>
      <c r="DG150" s="36"/>
      <c r="DH150" s="36"/>
      <c r="DI150" s="36"/>
      <c r="DJ150" s="36"/>
      <c r="DK150" s="36"/>
      <c r="DL150" s="36"/>
      <c r="DM150" s="36"/>
      <c r="DN150" s="36"/>
      <c r="DO150" s="36"/>
      <c r="DP150" s="36"/>
      <c r="DQ150" s="36"/>
      <c r="DR150" s="36"/>
      <c r="DS150" s="36"/>
      <c r="DT150" s="36"/>
      <c r="DU150" s="36"/>
      <c r="DV150" s="36"/>
      <c r="DW150" s="36"/>
      <c r="DX150" s="36"/>
      <c r="DY150" s="36"/>
      <c r="DZ150" s="36"/>
      <c r="EA150" s="36"/>
      <c r="EB150" s="36"/>
      <c r="EC150" s="36"/>
      <c r="ED150" s="36"/>
      <c r="EE150" s="36"/>
      <c r="EF150" s="36"/>
      <c r="EG150" s="36"/>
      <c r="EH150" s="36"/>
      <c r="EI150" s="36"/>
      <c r="EJ150" s="36"/>
      <c r="EK150" s="36"/>
      <c r="EL150" s="36"/>
      <c r="EM150" s="36"/>
      <c r="EN150" s="36"/>
      <c r="EO150" s="36"/>
      <c r="EP150" s="36"/>
      <c r="EQ150" s="36"/>
      <c r="ER150" s="36"/>
      <c r="ES150" s="36"/>
      <c r="ET150" s="36"/>
      <c r="EU150" s="36"/>
      <c r="EV150" s="36"/>
      <c r="EW150" s="36"/>
      <c r="EX150" s="36"/>
      <c r="EY150" s="36"/>
      <c r="EZ150" s="36"/>
      <c r="FA150" s="36"/>
      <c r="FB150" s="36"/>
      <c r="FC150" s="36"/>
      <c r="FD150" s="36"/>
      <c r="FE150" s="36"/>
    </row>
    <row r="151" spans="1:161" s="37" customFormat="1" ht="26.25" customHeight="1" x14ac:dyDescent="0.2">
      <c r="A151" s="69" t="s">
        <v>234</v>
      </c>
      <c r="B151" s="454">
        <v>0.09</v>
      </c>
      <c r="C151" s="451">
        <v>7.9000000000000001E-2</v>
      </c>
      <c r="D151" s="451">
        <v>7.8E-2</v>
      </c>
      <c r="E151" s="451">
        <v>6.3E-2</v>
      </c>
      <c r="F151" s="451">
        <v>0.1</v>
      </c>
      <c r="G151" s="451">
        <v>0.87192508988696227</v>
      </c>
      <c r="H151" s="451"/>
      <c r="I151" s="454">
        <v>0.09</v>
      </c>
      <c r="J151" s="451">
        <v>7.0000000000000007E-2</v>
      </c>
      <c r="K151" s="451">
        <v>7.0000000000000007E-2</v>
      </c>
      <c r="L151" s="452">
        <v>7.0000000000000007E-2</v>
      </c>
      <c r="M151" s="453">
        <v>0.55300000000000005</v>
      </c>
      <c r="N151" s="451">
        <v>7.8E-2</v>
      </c>
      <c r="O151" s="451">
        <v>8.7753455356740798E-2</v>
      </c>
      <c r="P151" s="451">
        <v>0.11253020789032585</v>
      </c>
      <c r="Q151" s="451">
        <v>0.108</v>
      </c>
      <c r="R151" s="451">
        <v>0.53200000000000003</v>
      </c>
      <c r="S151" s="451">
        <v>0.11527377521613834</v>
      </c>
      <c r="T151" s="455">
        <v>7.8E-2</v>
      </c>
      <c r="U151" s="451">
        <v>3.3000000000000002E-2</v>
      </c>
      <c r="V151" s="452">
        <v>0.09</v>
      </c>
      <c r="W151" s="452">
        <v>0.14699999999999999</v>
      </c>
      <c r="X151" s="87"/>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c r="CB151" s="36"/>
      <c r="CC151" s="36"/>
      <c r="CD151" s="36"/>
      <c r="CE151" s="36"/>
      <c r="CF151" s="36"/>
      <c r="CG151" s="36"/>
      <c r="CH151" s="36"/>
      <c r="CI151" s="36"/>
      <c r="CJ151" s="36"/>
      <c r="CK151" s="36"/>
      <c r="CL151" s="36"/>
      <c r="CM151" s="36"/>
      <c r="CN151" s="36"/>
      <c r="CO151" s="36"/>
      <c r="CP151" s="36"/>
      <c r="CQ151" s="36"/>
      <c r="CR151" s="36"/>
      <c r="CS151" s="36"/>
      <c r="CT151" s="36"/>
      <c r="CU151" s="36"/>
      <c r="CV151" s="36"/>
      <c r="CW151" s="36"/>
      <c r="CX151" s="36"/>
      <c r="CY151" s="36"/>
      <c r="CZ151" s="36"/>
      <c r="DA151" s="36"/>
      <c r="DB151" s="36"/>
      <c r="DC151" s="36"/>
      <c r="DD151" s="36"/>
      <c r="DE151" s="36"/>
      <c r="DF151" s="36"/>
      <c r="DG151" s="36"/>
      <c r="DH151" s="36"/>
      <c r="DI151" s="36"/>
      <c r="DJ151" s="36"/>
      <c r="DK151" s="36"/>
      <c r="DL151" s="36"/>
      <c r="DM151" s="36"/>
      <c r="DN151" s="36"/>
      <c r="DO151" s="36"/>
      <c r="DP151" s="36"/>
      <c r="DQ151" s="36"/>
      <c r="DR151" s="36"/>
      <c r="DS151" s="36"/>
      <c r="DT151" s="36"/>
      <c r="DU151" s="36"/>
      <c r="DV151" s="36"/>
      <c r="DW151" s="36"/>
      <c r="DX151" s="36"/>
      <c r="DY151" s="36"/>
      <c r="DZ151" s="36"/>
      <c r="EA151" s="36"/>
      <c r="EB151" s="36"/>
      <c r="EC151" s="36"/>
      <c r="ED151" s="36"/>
      <c r="EE151" s="36"/>
      <c r="EF151" s="36"/>
      <c r="EG151" s="36"/>
      <c r="EH151" s="36"/>
      <c r="EI151" s="36"/>
      <c r="EJ151" s="36"/>
      <c r="EK151" s="36"/>
      <c r="EL151" s="36"/>
      <c r="EM151" s="36"/>
      <c r="EN151" s="36"/>
      <c r="EO151" s="36"/>
      <c r="EP151" s="36"/>
      <c r="EQ151" s="36"/>
      <c r="ER151" s="36"/>
      <c r="ES151" s="36"/>
      <c r="ET151" s="36"/>
      <c r="EU151" s="36"/>
      <c r="EV151" s="36"/>
      <c r="EW151" s="36"/>
      <c r="EX151" s="36"/>
      <c r="EY151" s="36"/>
      <c r="EZ151" s="36"/>
      <c r="FA151" s="36"/>
      <c r="FB151" s="36"/>
      <c r="FC151" s="36"/>
      <c r="FD151" s="36"/>
      <c r="FE151" s="36"/>
    </row>
    <row r="152" spans="1:161" s="37" customFormat="1" ht="26.25" customHeight="1" x14ac:dyDescent="0.2">
      <c r="A152" s="456" t="s">
        <v>235</v>
      </c>
      <c r="B152" s="457">
        <v>0.09</v>
      </c>
      <c r="C152" s="458">
        <v>7.9000000000000001E-2</v>
      </c>
      <c r="D152" s="458">
        <v>7.8E-2</v>
      </c>
      <c r="E152" s="458">
        <v>6.3E-2</v>
      </c>
      <c r="F152" s="458">
        <v>0.17</v>
      </c>
      <c r="G152" s="458"/>
      <c r="H152" s="458">
        <v>0.1346131783242189</v>
      </c>
      <c r="I152" s="457">
        <v>0.09</v>
      </c>
      <c r="J152" s="458">
        <v>0.57999999999999996</v>
      </c>
      <c r="K152" s="458">
        <v>0.65</v>
      </c>
      <c r="L152" s="459">
        <v>0.14000000000000001</v>
      </c>
      <c r="M152" s="460"/>
      <c r="N152" s="458">
        <v>7.8E-2</v>
      </c>
      <c r="O152" s="458">
        <v>8.7753455356740798E-2</v>
      </c>
      <c r="P152" s="458">
        <v>0.11253020789032585</v>
      </c>
      <c r="Q152" s="458">
        <v>0.108</v>
      </c>
      <c r="R152" s="458">
        <v>0.57599999999999996</v>
      </c>
      <c r="S152" s="458">
        <v>0.11527377521613834</v>
      </c>
      <c r="T152" s="461">
        <v>7.8E-2</v>
      </c>
      <c r="U152" s="458">
        <v>3.3000000000000002E-2</v>
      </c>
      <c r="V152" s="459">
        <v>0.09</v>
      </c>
      <c r="W152" s="459">
        <v>0.41299999999999998</v>
      </c>
      <c r="X152" s="87"/>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c r="DG152" s="36"/>
      <c r="DH152" s="36"/>
      <c r="DI152" s="36"/>
      <c r="DJ152" s="36"/>
      <c r="DK152" s="36"/>
      <c r="DL152" s="36"/>
      <c r="DM152" s="36"/>
      <c r="DN152" s="36"/>
      <c r="DO152" s="36"/>
      <c r="DP152" s="36"/>
      <c r="DQ152" s="36"/>
      <c r="DR152" s="36"/>
      <c r="DS152" s="36"/>
      <c r="DT152" s="36"/>
      <c r="DU152" s="36"/>
      <c r="DV152" s="36"/>
      <c r="DW152" s="36"/>
      <c r="DX152" s="36"/>
      <c r="DY152" s="36"/>
      <c r="DZ152" s="36"/>
      <c r="EA152" s="36"/>
      <c r="EB152" s="36"/>
      <c r="EC152" s="36"/>
      <c r="ED152" s="36"/>
      <c r="EE152" s="36"/>
      <c r="EF152" s="36"/>
      <c r="EG152" s="36"/>
      <c r="EH152" s="36"/>
      <c r="EI152" s="36"/>
      <c r="EJ152" s="36"/>
      <c r="EK152" s="36"/>
      <c r="EL152" s="36"/>
      <c r="EM152" s="36"/>
      <c r="EN152" s="36"/>
      <c r="EO152" s="36"/>
      <c r="EP152" s="36"/>
      <c r="EQ152" s="36"/>
      <c r="ER152" s="36"/>
      <c r="ES152" s="36"/>
      <c r="ET152" s="36"/>
      <c r="EU152" s="36"/>
      <c r="EV152" s="36"/>
      <c r="EW152" s="36"/>
      <c r="EX152" s="36"/>
      <c r="EY152" s="36"/>
      <c r="EZ152" s="36"/>
      <c r="FA152" s="36"/>
      <c r="FB152" s="36"/>
      <c r="FC152" s="36"/>
      <c r="FD152" s="36"/>
      <c r="FE152" s="36"/>
    </row>
    <row r="153" spans="1:161" s="37" customFormat="1" ht="26.25" customHeight="1" x14ac:dyDescent="0.2">
      <c r="A153" s="69" t="s">
        <v>236</v>
      </c>
      <c r="B153" s="454">
        <v>0.82799999999999996</v>
      </c>
      <c r="C153" s="451">
        <v>0.50800000000000001</v>
      </c>
      <c r="D153" s="451">
        <v>0.504</v>
      </c>
      <c r="E153" s="451">
        <v>0.40600000000000003</v>
      </c>
      <c r="F153" s="451">
        <v>0.41</v>
      </c>
      <c r="G153" s="451">
        <v>2.2989075608515335</v>
      </c>
      <c r="H153" s="451"/>
      <c r="I153" s="454">
        <v>0.82799999999999996</v>
      </c>
      <c r="J153" s="451">
        <v>0.11</v>
      </c>
      <c r="K153" s="451">
        <v>0.11</v>
      </c>
      <c r="L153" s="452">
        <v>0.28999999999999998</v>
      </c>
      <c r="M153" s="453"/>
      <c r="N153" s="451">
        <v>0.501</v>
      </c>
      <c r="O153" s="451">
        <v>0.80733178928201532</v>
      </c>
      <c r="P153" s="451">
        <v>1.0352779125909979</v>
      </c>
      <c r="Q153" s="451">
        <v>0.69599999999999995</v>
      </c>
      <c r="R153" s="451">
        <v>1.4410000000000001</v>
      </c>
      <c r="S153" s="451">
        <v>0.57636887608069165</v>
      </c>
      <c r="T153" s="455">
        <v>0.501</v>
      </c>
      <c r="U153" s="451">
        <v>0.78600000000000003</v>
      </c>
      <c r="V153" s="452">
        <v>0.82</v>
      </c>
      <c r="W153" s="452">
        <v>0.97399999999999998</v>
      </c>
      <c r="X153" s="87"/>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c r="CB153" s="36"/>
      <c r="CC153" s="36"/>
      <c r="CD153" s="36"/>
      <c r="CE153" s="36"/>
      <c r="CF153" s="36"/>
      <c r="CG153" s="36"/>
      <c r="CH153" s="36"/>
      <c r="CI153" s="36"/>
      <c r="CJ153" s="36"/>
      <c r="CK153" s="36"/>
      <c r="CL153" s="36"/>
      <c r="CM153" s="36"/>
      <c r="CN153" s="36"/>
      <c r="CO153" s="36"/>
      <c r="CP153" s="36"/>
      <c r="CQ153" s="36"/>
      <c r="CR153" s="36"/>
      <c r="CS153" s="36"/>
      <c r="CT153" s="36"/>
      <c r="CU153" s="36"/>
      <c r="CV153" s="36"/>
      <c r="CW153" s="36"/>
      <c r="CX153" s="36"/>
      <c r="CY153" s="36"/>
      <c r="CZ153" s="36"/>
      <c r="DA153" s="36"/>
      <c r="DB153" s="36"/>
      <c r="DC153" s="36"/>
      <c r="DD153" s="36"/>
      <c r="DE153" s="36"/>
      <c r="DF153" s="36"/>
      <c r="DG153" s="36"/>
      <c r="DH153" s="36"/>
      <c r="DI153" s="36"/>
      <c r="DJ153" s="36"/>
      <c r="DK153" s="36"/>
      <c r="DL153" s="36"/>
      <c r="DM153" s="36"/>
      <c r="DN153" s="36"/>
      <c r="DO153" s="36"/>
      <c r="DP153" s="36"/>
      <c r="DQ153" s="36"/>
      <c r="DR153" s="36"/>
      <c r="DS153" s="36"/>
      <c r="DT153" s="36"/>
      <c r="DU153" s="36"/>
      <c r="DV153" s="36"/>
      <c r="DW153" s="36"/>
      <c r="DX153" s="36"/>
      <c r="DY153" s="36"/>
      <c r="DZ153" s="36"/>
      <c r="EA153" s="36"/>
      <c r="EB153" s="36"/>
      <c r="EC153" s="36"/>
      <c r="ED153" s="36"/>
      <c r="EE153" s="36"/>
      <c r="EF153" s="36"/>
      <c r="EG153" s="36"/>
      <c r="EH153" s="36"/>
      <c r="EI153" s="36"/>
      <c r="EJ153" s="36"/>
      <c r="EK153" s="36"/>
      <c r="EL153" s="36"/>
      <c r="EM153" s="36"/>
      <c r="EN153" s="36"/>
      <c r="EO153" s="36"/>
      <c r="EP153" s="36"/>
      <c r="EQ153" s="36"/>
      <c r="ER153" s="36"/>
      <c r="ES153" s="36"/>
      <c r="ET153" s="36"/>
      <c r="EU153" s="36"/>
      <c r="EV153" s="36"/>
      <c r="EW153" s="36"/>
      <c r="EX153" s="36"/>
      <c r="EY153" s="36"/>
      <c r="EZ153" s="36"/>
      <c r="FA153" s="36"/>
      <c r="FB153" s="36"/>
      <c r="FC153" s="36"/>
      <c r="FD153" s="36"/>
      <c r="FE153" s="36"/>
    </row>
    <row r="154" spans="1:161" s="37" customFormat="1" ht="26.25" customHeight="1" x14ac:dyDescent="0.2">
      <c r="A154" s="456" t="s">
        <v>237</v>
      </c>
      <c r="B154" s="457">
        <v>0.51100000000000001</v>
      </c>
      <c r="C154" s="458">
        <v>0.53400000000000003</v>
      </c>
      <c r="D154" s="458">
        <v>0.53</v>
      </c>
      <c r="E154" s="458">
        <v>0.48</v>
      </c>
      <c r="F154" s="458">
        <v>0.45</v>
      </c>
      <c r="G154" s="458"/>
      <c r="H154" s="458"/>
      <c r="I154" s="457">
        <v>0.51100000000000001</v>
      </c>
      <c r="J154" s="458">
        <v>0.21</v>
      </c>
      <c r="K154" s="458">
        <v>0.23</v>
      </c>
      <c r="L154" s="459">
        <v>0.56999999999999995</v>
      </c>
      <c r="M154" s="460"/>
      <c r="N154" s="458">
        <v>0.52700000000000002</v>
      </c>
      <c r="O154" s="458">
        <v>0.49824461874771725</v>
      </c>
      <c r="P154" s="458">
        <v>0.63892151368840566</v>
      </c>
      <c r="Q154" s="458">
        <v>0.73199999999999998</v>
      </c>
      <c r="R154" s="458">
        <v>1.6839999999999999</v>
      </c>
      <c r="S154" s="458">
        <v>0.57636887608069165</v>
      </c>
      <c r="T154" s="461">
        <v>0.52700000000000002</v>
      </c>
      <c r="U154" s="458">
        <v>1.964</v>
      </c>
      <c r="V154" s="459">
        <v>0.5</v>
      </c>
      <c r="W154" s="459">
        <v>0.51500000000000001</v>
      </c>
      <c r="X154" s="87"/>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c r="CB154" s="36"/>
      <c r="CC154" s="36"/>
      <c r="CD154" s="36"/>
      <c r="CE154" s="36"/>
      <c r="CF154" s="36"/>
      <c r="CG154" s="36"/>
      <c r="CH154" s="36"/>
      <c r="CI154" s="36"/>
      <c r="CJ154" s="36"/>
      <c r="CK154" s="36"/>
      <c r="CL154" s="36"/>
      <c r="CM154" s="36"/>
      <c r="CN154" s="36"/>
      <c r="CO154" s="36"/>
      <c r="CP154" s="36"/>
      <c r="CQ154" s="36"/>
      <c r="CR154" s="36"/>
      <c r="CS154" s="36"/>
      <c r="CT154" s="36"/>
      <c r="CU154" s="36"/>
      <c r="CV154" s="36"/>
      <c r="CW154" s="36"/>
      <c r="CX154" s="36"/>
      <c r="CY154" s="36"/>
      <c r="CZ154" s="36"/>
      <c r="DA154" s="36"/>
      <c r="DB154" s="36"/>
      <c r="DC154" s="36"/>
      <c r="DD154" s="36"/>
      <c r="DE154" s="36"/>
      <c r="DF154" s="36"/>
      <c r="DG154" s="36"/>
      <c r="DH154" s="36"/>
      <c r="DI154" s="36"/>
      <c r="DJ154" s="36"/>
      <c r="DK154" s="36"/>
      <c r="DL154" s="36"/>
      <c r="DM154" s="36"/>
      <c r="DN154" s="36"/>
      <c r="DO154" s="36"/>
      <c r="DP154" s="36"/>
      <c r="DQ154" s="36"/>
      <c r="DR154" s="36"/>
      <c r="DS154" s="36"/>
      <c r="DT154" s="36"/>
      <c r="DU154" s="36"/>
      <c r="DV154" s="36"/>
      <c r="DW154" s="36"/>
      <c r="DX154" s="36"/>
      <c r="DY154" s="36"/>
      <c r="DZ154" s="36"/>
      <c r="EA154" s="36"/>
      <c r="EB154" s="36"/>
      <c r="EC154" s="36"/>
      <c r="ED154" s="36"/>
      <c r="EE154" s="36"/>
      <c r="EF154" s="36"/>
      <c r="EG154" s="36"/>
      <c r="EH154" s="36"/>
      <c r="EI154" s="36"/>
      <c r="EJ154" s="36"/>
      <c r="EK154" s="36"/>
      <c r="EL154" s="36"/>
      <c r="EM154" s="36"/>
      <c r="EN154" s="36"/>
      <c r="EO154" s="36"/>
      <c r="EP154" s="36"/>
      <c r="EQ154" s="36"/>
      <c r="ER154" s="36"/>
      <c r="ES154" s="36"/>
      <c r="ET154" s="36"/>
      <c r="EU154" s="36"/>
      <c r="EV154" s="36"/>
      <c r="EW154" s="36"/>
      <c r="EX154" s="36"/>
      <c r="EY154" s="36"/>
      <c r="EZ154" s="36"/>
      <c r="FA154" s="36"/>
      <c r="FB154" s="36"/>
      <c r="FC154" s="36"/>
      <c r="FD154" s="36"/>
      <c r="FE154" s="36"/>
    </row>
    <row r="155" spans="1:161" s="37" customFormat="1" ht="26.25" customHeight="1" x14ac:dyDescent="0.2">
      <c r="A155" s="69" t="s">
        <v>650</v>
      </c>
      <c r="B155" s="454"/>
      <c r="C155" s="451"/>
      <c r="D155" s="451"/>
      <c r="E155" s="451"/>
      <c r="F155" s="451"/>
      <c r="G155" s="451"/>
      <c r="H155" s="451"/>
      <c r="I155" s="454"/>
      <c r="J155" s="451"/>
      <c r="K155" s="451"/>
      <c r="L155" s="452"/>
      <c r="M155" s="453">
        <v>0.111</v>
      </c>
      <c r="N155" s="451"/>
      <c r="O155" s="451"/>
      <c r="P155" s="451"/>
      <c r="Q155" s="451"/>
      <c r="R155" s="451">
        <v>0.19900000000000001</v>
      </c>
      <c r="S155" s="451"/>
      <c r="T155" s="455">
        <v>1E-3</v>
      </c>
      <c r="U155" s="451"/>
      <c r="V155" s="452"/>
      <c r="W155" s="452"/>
      <c r="X155" s="87"/>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c r="CB155" s="36"/>
      <c r="CC155" s="36"/>
      <c r="CD155" s="36"/>
      <c r="CE155" s="36"/>
      <c r="CF155" s="36"/>
      <c r="CG155" s="36"/>
      <c r="CH155" s="36"/>
      <c r="CI155" s="36"/>
      <c r="CJ155" s="36"/>
      <c r="CK155" s="36"/>
      <c r="CL155" s="36"/>
      <c r="CM155" s="36"/>
      <c r="CN155" s="36"/>
      <c r="CO155" s="36"/>
      <c r="CP155" s="36"/>
      <c r="CQ155" s="36"/>
      <c r="CR155" s="36"/>
      <c r="CS155" s="36"/>
      <c r="CT155" s="36"/>
      <c r="CU155" s="36"/>
      <c r="CV155" s="36"/>
      <c r="CW155" s="36"/>
      <c r="CX155" s="36"/>
      <c r="CY155" s="36"/>
      <c r="CZ155" s="36"/>
      <c r="DA155" s="36"/>
      <c r="DB155" s="36"/>
      <c r="DC155" s="36"/>
      <c r="DD155" s="36"/>
      <c r="DE155" s="36"/>
      <c r="DF155" s="36"/>
      <c r="DG155" s="36"/>
      <c r="DH155" s="36"/>
      <c r="DI155" s="36"/>
      <c r="DJ155" s="36"/>
      <c r="DK155" s="36"/>
      <c r="DL155" s="36"/>
      <c r="DM155" s="36"/>
      <c r="DN155" s="36"/>
      <c r="DO155" s="36"/>
      <c r="DP155" s="36"/>
      <c r="DQ155" s="36"/>
      <c r="DR155" s="36"/>
      <c r="DS155" s="36"/>
      <c r="DT155" s="36"/>
      <c r="DU155" s="36"/>
      <c r="DV155" s="36"/>
      <c r="DW155" s="36"/>
      <c r="DX155" s="36"/>
      <c r="DY155" s="36"/>
      <c r="DZ155" s="36"/>
      <c r="EA155" s="36"/>
      <c r="EB155" s="36"/>
      <c r="EC155" s="36"/>
      <c r="ED155" s="36"/>
      <c r="EE155" s="36"/>
      <c r="EF155" s="36"/>
      <c r="EG155" s="36"/>
      <c r="EH155" s="36"/>
      <c r="EI155" s="36"/>
      <c r="EJ155" s="36"/>
      <c r="EK155" s="36"/>
      <c r="EL155" s="36"/>
      <c r="EM155" s="36"/>
      <c r="EN155" s="36"/>
      <c r="EO155" s="36"/>
      <c r="EP155" s="36"/>
      <c r="EQ155" s="36"/>
      <c r="ER155" s="36"/>
      <c r="ES155" s="36"/>
      <c r="ET155" s="36"/>
      <c r="EU155" s="36"/>
      <c r="EV155" s="36"/>
      <c r="EW155" s="36"/>
      <c r="EX155" s="36"/>
      <c r="EY155" s="36"/>
      <c r="EZ155" s="36"/>
      <c r="FA155" s="36"/>
      <c r="FB155" s="36"/>
      <c r="FC155" s="36"/>
      <c r="FD155" s="36"/>
      <c r="FE155" s="36"/>
    </row>
    <row r="156" spans="1:161" s="37" customFormat="1" ht="26.25" customHeight="1" x14ac:dyDescent="0.2">
      <c r="A156" s="456" t="s">
        <v>238</v>
      </c>
      <c r="B156" s="457">
        <v>0.13500000000000001</v>
      </c>
      <c r="C156" s="458">
        <v>8.5999999999999993E-2</v>
      </c>
      <c r="D156" s="458">
        <v>8.6000000000000007E-2</v>
      </c>
      <c r="E156" s="458">
        <v>8.4000000000000005E-2</v>
      </c>
      <c r="F156" s="458">
        <v>0.24</v>
      </c>
      <c r="G156" s="458"/>
      <c r="H156" s="458">
        <v>2.2945428123446403</v>
      </c>
      <c r="I156" s="457">
        <v>0.13500000000000001</v>
      </c>
      <c r="J156" s="458">
        <v>0.14000000000000001</v>
      </c>
      <c r="K156" s="458">
        <v>0.12</v>
      </c>
      <c r="L156" s="459">
        <v>0.28999999999999998</v>
      </c>
      <c r="M156" s="460"/>
      <c r="N156" s="458">
        <v>8.5000000000000006E-2</v>
      </c>
      <c r="O156" s="458">
        <v>0.1316301830351112</v>
      </c>
      <c r="P156" s="458">
        <v>0.16879531183548879</v>
      </c>
      <c r="Q156" s="458">
        <v>0.11799999999999999</v>
      </c>
      <c r="R156" s="458">
        <v>0.88400000000000001</v>
      </c>
      <c r="S156" s="458">
        <v>0.11527377521613834</v>
      </c>
      <c r="T156" s="461">
        <v>8.5000000000000006E-2</v>
      </c>
      <c r="U156" s="458">
        <v>3.3000000000000002E-2</v>
      </c>
      <c r="V156" s="459">
        <v>0.13</v>
      </c>
      <c r="W156" s="459">
        <v>0.18099999999999999</v>
      </c>
      <c r="X156" s="87"/>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c r="CB156" s="36"/>
      <c r="CC156" s="36"/>
      <c r="CD156" s="36"/>
      <c r="CE156" s="36"/>
      <c r="CF156" s="36"/>
      <c r="CG156" s="36"/>
      <c r="CH156" s="36"/>
      <c r="CI156" s="36"/>
      <c r="CJ156" s="36"/>
      <c r="CK156" s="36"/>
      <c r="CL156" s="36"/>
      <c r="CM156" s="36"/>
      <c r="CN156" s="36"/>
      <c r="CO156" s="36"/>
      <c r="CP156" s="36"/>
      <c r="CQ156" s="36"/>
      <c r="CR156" s="36"/>
      <c r="CS156" s="36"/>
      <c r="CT156" s="36"/>
      <c r="CU156" s="36"/>
      <c r="CV156" s="36"/>
      <c r="CW156" s="36"/>
      <c r="CX156" s="36"/>
      <c r="CY156" s="36"/>
      <c r="CZ156" s="36"/>
      <c r="DA156" s="36"/>
      <c r="DB156" s="36"/>
      <c r="DC156" s="36"/>
      <c r="DD156" s="36"/>
      <c r="DE156" s="36"/>
      <c r="DF156" s="36"/>
      <c r="DG156" s="36"/>
      <c r="DH156" s="36"/>
      <c r="DI156" s="36"/>
      <c r="DJ156" s="36"/>
      <c r="DK156" s="36"/>
      <c r="DL156" s="36"/>
      <c r="DM156" s="36"/>
      <c r="DN156" s="36"/>
      <c r="DO156" s="36"/>
      <c r="DP156" s="36"/>
      <c r="DQ156" s="36"/>
      <c r="DR156" s="36"/>
      <c r="DS156" s="36"/>
      <c r="DT156" s="36"/>
      <c r="DU156" s="36"/>
      <c r="DV156" s="36"/>
      <c r="DW156" s="36"/>
      <c r="DX156" s="36"/>
      <c r="DY156" s="36"/>
      <c r="DZ156" s="36"/>
      <c r="EA156" s="36"/>
      <c r="EB156" s="36"/>
      <c r="EC156" s="36"/>
      <c r="ED156" s="36"/>
      <c r="EE156" s="36"/>
      <c r="EF156" s="36"/>
      <c r="EG156" s="36"/>
      <c r="EH156" s="36"/>
      <c r="EI156" s="36"/>
      <c r="EJ156" s="36"/>
      <c r="EK156" s="36"/>
      <c r="EL156" s="36"/>
      <c r="EM156" s="36"/>
      <c r="EN156" s="36"/>
      <c r="EO156" s="36"/>
      <c r="EP156" s="36"/>
      <c r="EQ156" s="36"/>
      <c r="ER156" s="36"/>
      <c r="ES156" s="36"/>
      <c r="ET156" s="36"/>
      <c r="EU156" s="36"/>
      <c r="EV156" s="36"/>
      <c r="EW156" s="36"/>
      <c r="EX156" s="36"/>
      <c r="EY156" s="36"/>
      <c r="EZ156" s="36"/>
      <c r="FA156" s="36"/>
      <c r="FB156" s="36"/>
      <c r="FC156" s="36"/>
      <c r="FD156" s="36"/>
      <c r="FE156" s="36"/>
    </row>
    <row r="157" spans="1:161" s="37" customFormat="1" ht="26.25" customHeight="1" x14ac:dyDescent="0.2">
      <c r="A157" s="69" t="s">
        <v>239</v>
      </c>
      <c r="B157" s="454">
        <v>2.2599999999999998</v>
      </c>
      <c r="C157" s="451">
        <v>2.202</v>
      </c>
      <c r="D157" s="451">
        <v>2.1840000000000002</v>
      </c>
      <c r="E157" s="451">
        <v>1.9770000000000001</v>
      </c>
      <c r="F157" s="451">
        <v>2.37</v>
      </c>
      <c r="G157" s="451"/>
      <c r="H157" s="451"/>
      <c r="I157" s="454">
        <v>2.2610000000000001</v>
      </c>
      <c r="J157" s="451">
        <v>1.82</v>
      </c>
      <c r="K157" s="451">
        <v>1.77</v>
      </c>
      <c r="L157" s="452">
        <v>2.87</v>
      </c>
      <c r="M157" s="453"/>
      <c r="N157" s="451">
        <v>2.173</v>
      </c>
      <c r="O157" s="451">
        <v>2.2035867678470464</v>
      </c>
      <c r="P157" s="451">
        <v>2.8257585536904046</v>
      </c>
      <c r="Q157" s="451">
        <v>3.02</v>
      </c>
      <c r="R157" s="451">
        <v>1.772</v>
      </c>
      <c r="S157" s="451">
        <v>1.7291066282420751</v>
      </c>
      <c r="T157" s="455">
        <v>2.1732</v>
      </c>
      <c r="U157" s="451">
        <v>1.3089999999999999</v>
      </c>
      <c r="V157" s="452">
        <v>2.23</v>
      </c>
      <c r="W157" s="452">
        <v>2.6389999999999998</v>
      </c>
      <c r="X157" s="87"/>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c r="CB157" s="36"/>
      <c r="CC157" s="36"/>
      <c r="CD157" s="36"/>
      <c r="CE157" s="36"/>
      <c r="CF157" s="36"/>
      <c r="CG157" s="36"/>
      <c r="CH157" s="36"/>
      <c r="CI157" s="36"/>
      <c r="CJ157" s="36"/>
      <c r="CK157" s="36"/>
      <c r="CL157" s="36"/>
      <c r="CM157" s="36"/>
      <c r="CN157" s="36"/>
      <c r="CO157" s="36"/>
      <c r="CP157" s="36"/>
      <c r="CQ157" s="36"/>
      <c r="CR157" s="36"/>
      <c r="CS157" s="36"/>
      <c r="CT157" s="36"/>
      <c r="CU157" s="36"/>
      <c r="CV157" s="36"/>
      <c r="CW157" s="36"/>
      <c r="CX157" s="36"/>
      <c r="CY157" s="36"/>
      <c r="CZ157" s="36"/>
      <c r="DA157" s="36"/>
      <c r="DB157" s="36"/>
      <c r="DC157" s="36"/>
      <c r="DD157" s="36"/>
      <c r="DE157" s="36"/>
      <c r="DF157" s="36"/>
      <c r="DG157" s="36"/>
      <c r="DH157" s="36"/>
      <c r="DI157" s="36"/>
      <c r="DJ157" s="36"/>
      <c r="DK157" s="36"/>
      <c r="DL157" s="36"/>
      <c r="DM157" s="36"/>
      <c r="DN157" s="36"/>
      <c r="DO157" s="36"/>
      <c r="DP157" s="36"/>
      <c r="DQ157" s="36"/>
      <c r="DR157" s="36"/>
      <c r="DS157" s="36"/>
      <c r="DT157" s="36"/>
      <c r="DU157" s="36"/>
      <c r="DV157" s="36"/>
      <c r="DW157" s="36"/>
      <c r="DX157" s="36"/>
      <c r="DY157" s="36"/>
      <c r="DZ157" s="36"/>
      <c r="EA157" s="36"/>
      <c r="EB157" s="36"/>
      <c r="EC157" s="36"/>
      <c r="ED157" s="36"/>
      <c r="EE157" s="36"/>
      <c r="EF157" s="36"/>
      <c r="EG157" s="36"/>
      <c r="EH157" s="36"/>
      <c r="EI157" s="36"/>
      <c r="EJ157" s="36"/>
      <c r="EK157" s="36"/>
      <c r="EL157" s="36"/>
      <c r="EM157" s="36"/>
      <c r="EN157" s="36"/>
      <c r="EO157" s="36"/>
      <c r="EP157" s="36"/>
      <c r="EQ157" s="36"/>
      <c r="ER157" s="36"/>
      <c r="ES157" s="36"/>
      <c r="ET157" s="36"/>
      <c r="EU157" s="36"/>
      <c r="EV157" s="36"/>
      <c r="EW157" s="36"/>
      <c r="EX157" s="36"/>
      <c r="EY157" s="36"/>
      <c r="EZ157" s="36"/>
      <c r="FA157" s="36"/>
      <c r="FB157" s="36"/>
      <c r="FC157" s="36"/>
      <c r="FD157" s="36"/>
      <c r="FE157" s="36"/>
    </row>
    <row r="158" spans="1:161" s="37" customFormat="1" ht="26.25" customHeight="1" x14ac:dyDescent="0.2">
      <c r="A158" s="456" t="s">
        <v>305</v>
      </c>
      <c r="B158" s="457">
        <v>2E-3</v>
      </c>
      <c r="C158" s="458">
        <v>1E-3</v>
      </c>
      <c r="D158" s="458">
        <v>1E-3</v>
      </c>
      <c r="E158" s="458">
        <v>1E-3</v>
      </c>
      <c r="F158" s="458">
        <v>0.06</v>
      </c>
      <c r="G158" s="458"/>
      <c r="H158" s="458"/>
      <c r="I158" s="457">
        <v>2E-3</v>
      </c>
      <c r="J158" s="458">
        <v>0.04</v>
      </c>
      <c r="K158" s="458">
        <v>0.02</v>
      </c>
      <c r="L158" s="459">
        <v>7.0000000000000007E-2</v>
      </c>
      <c r="M158" s="460"/>
      <c r="N158" s="458">
        <v>1E-3</v>
      </c>
      <c r="O158" s="458">
        <v>1.9500767857053513E-3</v>
      </c>
      <c r="P158" s="458">
        <v>2.5006712864516856E-3</v>
      </c>
      <c r="Q158" s="458">
        <v>1E-3</v>
      </c>
      <c r="R158" s="458">
        <v>0.222</v>
      </c>
      <c r="S158" s="458">
        <v>0.11527377521613834</v>
      </c>
      <c r="T158" s="461">
        <v>1E-3</v>
      </c>
      <c r="U158" s="458">
        <v>6.6000000000000003E-2</v>
      </c>
      <c r="V158" s="459">
        <v>0.02</v>
      </c>
      <c r="W158" s="459"/>
      <c r="X158" s="87"/>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c r="CB158" s="36"/>
      <c r="CC158" s="36"/>
      <c r="CD158" s="36"/>
      <c r="CE158" s="36"/>
      <c r="CF158" s="36"/>
      <c r="CG158" s="36"/>
      <c r="CH158" s="36"/>
      <c r="CI158" s="36"/>
      <c r="CJ158" s="36"/>
      <c r="CK158" s="36"/>
      <c r="CL158" s="36"/>
      <c r="CM158" s="36"/>
      <c r="CN158" s="36"/>
      <c r="CO158" s="36"/>
      <c r="CP158" s="36"/>
      <c r="CQ158" s="36"/>
      <c r="CR158" s="36"/>
      <c r="CS158" s="36"/>
      <c r="CT158" s="36"/>
      <c r="CU158" s="36"/>
      <c r="CV158" s="36"/>
      <c r="CW158" s="36"/>
      <c r="CX158" s="36"/>
      <c r="CY158" s="36"/>
      <c r="CZ158" s="36"/>
      <c r="DA158" s="36"/>
      <c r="DB158" s="36"/>
      <c r="DC158" s="36"/>
      <c r="DD158" s="36"/>
      <c r="DE158" s="36"/>
      <c r="DF158" s="36"/>
      <c r="DG158" s="36"/>
      <c r="DH158" s="36"/>
      <c r="DI158" s="36"/>
      <c r="DJ158" s="36"/>
      <c r="DK158" s="36"/>
      <c r="DL158" s="36"/>
      <c r="DM158" s="36"/>
      <c r="DN158" s="36"/>
      <c r="DO158" s="36"/>
      <c r="DP158" s="36"/>
      <c r="DQ158" s="36"/>
      <c r="DR158" s="36"/>
      <c r="DS158" s="36"/>
      <c r="DT158" s="36"/>
      <c r="DU158" s="36"/>
      <c r="DV158" s="36"/>
      <c r="DW158" s="36"/>
      <c r="DX158" s="36"/>
      <c r="DY158" s="36"/>
      <c r="DZ158" s="36"/>
      <c r="EA158" s="36"/>
      <c r="EB158" s="36"/>
      <c r="EC158" s="36"/>
      <c r="ED158" s="36"/>
      <c r="EE158" s="36"/>
      <c r="EF158" s="36"/>
      <c r="EG158" s="36"/>
      <c r="EH158" s="36"/>
      <c r="EI158" s="36"/>
      <c r="EJ158" s="36"/>
      <c r="EK158" s="36"/>
      <c r="EL158" s="36"/>
      <c r="EM158" s="36"/>
      <c r="EN158" s="36"/>
      <c r="EO158" s="36"/>
      <c r="EP158" s="36"/>
      <c r="EQ158" s="36"/>
      <c r="ER158" s="36"/>
      <c r="ES158" s="36"/>
      <c r="ET158" s="36"/>
      <c r="EU158" s="36"/>
      <c r="EV158" s="36"/>
      <c r="EW158" s="36"/>
      <c r="EX158" s="36"/>
      <c r="EY158" s="36"/>
      <c r="EZ158" s="36"/>
      <c r="FA158" s="36"/>
      <c r="FB158" s="36"/>
      <c r="FC158" s="36"/>
      <c r="FD158" s="36"/>
      <c r="FE158" s="36"/>
    </row>
    <row r="159" spans="1:161" s="37" customFormat="1" ht="26.25" customHeight="1" x14ac:dyDescent="0.2">
      <c r="A159" s="69" t="s">
        <v>240</v>
      </c>
      <c r="B159" s="454">
        <v>0.17699999999999999</v>
      </c>
      <c r="C159" s="451">
        <v>7.0999999999999994E-2</v>
      </c>
      <c r="D159" s="451">
        <v>7.0000000000000007E-2</v>
      </c>
      <c r="E159" s="451">
        <v>5.6000000000000001E-2</v>
      </c>
      <c r="F159" s="451">
        <v>0.08</v>
      </c>
      <c r="G159" s="451">
        <v>0.42011915950301343</v>
      </c>
      <c r="H159" s="451">
        <v>3.8242380205744005E-2</v>
      </c>
      <c r="I159" s="454">
        <v>0.17699999999999999</v>
      </c>
      <c r="J159" s="451">
        <v>7.0000000000000007E-2</v>
      </c>
      <c r="K159" s="451">
        <v>7.0000000000000007E-2</v>
      </c>
      <c r="L159" s="452">
        <v>0.14000000000000001</v>
      </c>
      <c r="M159" s="453"/>
      <c r="N159" s="451">
        <v>7.0000000000000007E-2</v>
      </c>
      <c r="O159" s="451">
        <v>0.17258179553492356</v>
      </c>
      <c r="P159" s="451">
        <v>0.22130940885097417</v>
      </c>
      <c r="Q159" s="451">
        <v>9.7000000000000003E-2</v>
      </c>
      <c r="R159" s="451">
        <v>0.53200000000000003</v>
      </c>
      <c r="S159" s="451">
        <v>0.345821325648415</v>
      </c>
      <c r="T159" s="455">
        <v>7.0000000000000007E-2</v>
      </c>
      <c r="U159" s="451">
        <v>0.52400000000000002</v>
      </c>
      <c r="V159" s="452">
        <v>0.14000000000000001</v>
      </c>
      <c r="W159" s="452">
        <v>0.32100000000000001</v>
      </c>
      <c r="X159" s="87"/>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c r="CB159" s="36"/>
      <c r="CC159" s="36"/>
      <c r="CD159" s="36"/>
      <c r="CE159" s="36"/>
      <c r="CF159" s="36"/>
      <c r="CG159" s="36"/>
      <c r="CH159" s="36"/>
      <c r="CI159" s="36"/>
      <c r="CJ159" s="36"/>
      <c r="CK159" s="36"/>
      <c r="CL159" s="36"/>
      <c r="CM159" s="36"/>
      <c r="CN159" s="36"/>
      <c r="CO159" s="36"/>
      <c r="CP159" s="36"/>
      <c r="CQ159" s="36"/>
      <c r="CR159" s="36"/>
      <c r="CS159" s="36"/>
      <c r="CT159" s="36"/>
      <c r="CU159" s="36"/>
      <c r="CV159" s="36"/>
      <c r="CW159" s="36"/>
      <c r="CX159" s="36"/>
      <c r="CY159" s="36"/>
      <c r="CZ159" s="36"/>
      <c r="DA159" s="36"/>
      <c r="DB159" s="36"/>
      <c r="DC159" s="36"/>
      <c r="DD159" s="36"/>
      <c r="DE159" s="36"/>
      <c r="DF159" s="36"/>
      <c r="DG159" s="36"/>
      <c r="DH159" s="36"/>
      <c r="DI159" s="36"/>
      <c r="DJ159" s="36"/>
      <c r="DK159" s="36"/>
      <c r="DL159" s="36"/>
      <c r="DM159" s="36"/>
      <c r="DN159" s="36"/>
      <c r="DO159" s="36"/>
      <c r="DP159" s="36"/>
      <c r="DQ159" s="36"/>
      <c r="DR159" s="36"/>
      <c r="DS159" s="36"/>
      <c r="DT159" s="36"/>
      <c r="DU159" s="36"/>
      <c r="DV159" s="36"/>
      <c r="DW159" s="36"/>
      <c r="DX159" s="36"/>
      <c r="DY159" s="36"/>
      <c r="DZ159" s="36"/>
      <c r="EA159" s="36"/>
      <c r="EB159" s="36"/>
      <c r="EC159" s="36"/>
      <c r="ED159" s="36"/>
      <c r="EE159" s="36"/>
      <c r="EF159" s="36"/>
      <c r="EG159" s="36"/>
      <c r="EH159" s="36"/>
      <c r="EI159" s="36"/>
      <c r="EJ159" s="36"/>
      <c r="EK159" s="36"/>
      <c r="EL159" s="36"/>
      <c r="EM159" s="36"/>
      <c r="EN159" s="36"/>
      <c r="EO159" s="36"/>
      <c r="EP159" s="36"/>
      <c r="EQ159" s="36"/>
      <c r="ER159" s="36"/>
      <c r="ES159" s="36"/>
      <c r="ET159" s="36"/>
      <c r="EU159" s="36"/>
      <c r="EV159" s="36"/>
      <c r="EW159" s="36"/>
      <c r="EX159" s="36"/>
      <c r="EY159" s="36"/>
      <c r="EZ159" s="36"/>
      <c r="FA159" s="36"/>
      <c r="FB159" s="36"/>
      <c r="FC159" s="36"/>
      <c r="FD159" s="36"/>
      <c r="FE159" s="36"/>
    </row>
    <row r="160" spans="1:161" s="37" customFormat="1" ht="26.25" customHeight="1" x14ac:dyDescent="0.2">
      <c r="A160" s="456" t="s">
        <v>241</v>
      </c>
      <c r="B160" s="457">
        <v>1.6020000000000001</v>
      </c>
      <c r="C160" s="458">
        <v>1.2170000000000001</v>
      </c>
      <c r="D160" s="458">
        <v>1.206</v>
      </c>
      <c r="E160" s="458">
        <v>1.1819999999999999</v>
      </c>
      <c r="F160" s="458">
        <v>0.79</v>
      </c>
      <c r="G160" s="458">
        <v>8.7196820113986142</v>
      </c>
      <c r="H160" s="458"/>
      <c r="I160" s="457">
        <v>1.603</v>
      </c>
      <c r="J160" s="458">
        <v>0.94</v>
      </c>
      <c r="K160" s="458">
        <v>1.08</v>
      </c>
      <c r="L160" s="459">
        <v>2.87</v>
      </c>
      <c r="M160" s="460"/>
      <c r="N160" s="458">
        <v>1.2</v>
      </c>
      <c r="O160" s="458">
        <v>1.5620115053499863</v>
      </c>
      <c r="P160" s="458">
        <v>2.0030377004478002</v>
      </c>
      <c r="Q160" s="458">
        <v>1.6679999999999999</v>
      </c>
      <c r="R160" s="458">
        <v>1.6080000000000001</v>
      </c>
      <c r="S160" s="458">
        <v>1.7291066282420751</v>
      </c>
      <c r="T160" s="461">
        <v>1.2000999999999999</v>
      </c>
      <c r="U160" s="458">
        <v>2.6179999999999999</v>
      </c>
      <c r="V160" s="459">
        <v>1.58</v>
      </c>
      <c r="W160" s="459"/>
      <c r="X160" s="87"/>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c r="CB160" s="36"/>
      <c r="CC160" s="36"/>
      <c r="CD160" s="36"/>
      <c r="CE160" s="36"/>
      <c r="CF160" s="36"/>
      <c r="CG160" s="36"/>
      <c r="CH160" s="36"/>
      <c r="CI160" s="36"/>
      <c r="CJ160" s="36"/>
      <c r="CK160" s="36"/>
      <c r="CL160" s="36"/>
      <c r="CM160" s="36"/>
      <c r="CN160" s="36"/>
      <c r="CO160" s="36"/>
      <c r="CP160" s="36"/>
      <c r="CQ160" s="36"/>
      <c r="CR160" s="36"/>
      <c r="CS160" s="36"/>
      <c r="CT160" s="36"/>
      <c r="CU160" s="36"/>
      <c r="CV160" s="36"/>
      <c r="CW160" s="36"/>
      <c r="CX160" s="36"/>
      <c r="CY160" s="36"/>
      <c r="CZ160" s="36"/>
      <c r="DA160" s="36"/>
      <c r="DB160" s="36"/>
      <c r="DC160" s="36"/>
      <c r="DD160" s="36"/>
      <c r="DE160" s="36"/>
      <c r="DF160" s="36"/>
      <c r="DG160" s="36"/>
      <c r="DH160" s="36"/>
      <c r="DI160" s="36"/>
      <c r="DJ160" s="36"/>
      <c r="DK160" s="36"/>
      <c r="DL160" s="36"/>
      <c r="DM160" s="36"/>
      <c r="DN160" s="36"/>
      <c r="DO160" s="36"/>
      <c r="DP160" s="36"/>
      <c r="DQ160" s="36"/>
      <c r="DR160" s="36"/>
      <c r="DS160" s="36"/>
      <c r="DT160" s="36"/>
      <c r="DU160" s="36"/>
      <c r="DV160" s="36"/>
      <c r="DW160" s="36"/>
      <c r="DX160" s="36"/>
      <c r="DY160" s="36"/>
      <c r="DZ160" s="36"/>
      <c r="EA160" s="36"/>
      <c r="EB160" s="36"/>
      <c r="EC160" s="36"/>
      <c r="ED160" s="36"/>
      <c r="EE160" s="36"/>
      <c r="EF160" s="36"/>
      <c r="EG160" s="36"/>
      <c r="EH160" s="36"/>
      <c r="EI160" s="36"/>
      <c r="EJ160" s="36"/>
      <c r="EK160" s="36"/>
      <c r="EL160" s="36"/>
      <c r="EM160" s="36"/>
      <c r="EN160" s="36"/>
      <c r="EO160" s="36"/>
      <c r="EP160" s="36"/>
      <c r="EQ160" s="36"/>
      <c r="ER160" s="36"/>
      <c r="ES160" s="36"/>
      <c r="ET160" s="36"/>
      <c r="EU160" s="36"/>
      <c r="EV160" s="36"/>
      <c r="EW160" s="36"/>
      <c r="EX160" s="36"/>
      <c r="EY160" s="36"/>
      <c r="EZ160" s="36"/>
      <c r="FA160" s="36"/>
      <c r="FB160" s="36"/>
      <c r="FC160" s="36"/>
      <c r="FD160" s="36"/>
      <c r="FE160" s="36"/>
    </row>
    <row r="161" spans="1:161" s="37" customFormat="1" ht="26.25" customHeight="1" x14ac:dyDescent="0.2">
      <c r="A161" s="69" t="s">
        <v>242</v>
      </c>
      <c r="B161" s="454">
        <v>1E-3</v>
      </c>
      <c r="C161" s="451">
        <v>1E-3</v>
      </c>
      <c r="D161" s="451">
        <v>1E-3</v>
      </c>
      <c r="E161" s="451"/>
      <c r="F161" s="451">
        <v>0.06</v>
      </c>
      <c r="G161" s="451"/>
      <c r="H161" s="451">
        <v>5.3539332288041613E-3</v>
      </c>
      <c r="I161" s="454">
        <v>1E-3</v>
      </c>
      <c r="J161" s="451"/>
      <c r="K161" s="451"/>
      <c r="L161" s="452">
        <v>0.02</v>
      </c>
      <c r="M161" s="453"/>
      <c r="N161" s="451">
        <v>1E-3</v>
      </c>
      <c r="O161" s="451">
        <v>1E-3</v>
      </c>
      <c r="P161" s="451">
        <v>1.2503356432258428E-3</v>
      </c>
      <c r="Q161" s="451">
        <v>1E-3</v>
      </c>
      <c r="R161" s="451">
        <v>0.222</v>
      </c>
      <c r="S161" s="451">
        <v>5.7636887608069169E-2</v>
      </c>
      <c r="T161" s="455">
        <v>1E-3</v>
      </c>
      <c r="U161" s="451">
        <v>8.0000000000000002E-3</v>
      </c>
      <c r="V161" s="452">
        <v>0.02</v>
      </c>
      <c r="W161" s="452">
        <v>1.4999999999999999E-2</v>
      </c>
      <c r="X161" s="87"/>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c r="CB161" s="36"/>
      <c r="CC161" s="36"/>
      <c r="CD161" s="36"/>
      <c r="CE161" s="36"/>
      <c r="CF161" s="36"/>
      <c r="CG161" s="36"/>
      <c r="CH161" s="36"/>
      <c r="CI161" s="36"/>
      <c r="CJ161" s="36"/>
      <c r="CK161" s="36"/>
      <c r="CL161" s="36"/>
      <c r="CM161" s="36"/>
      <c r="CN161" s="36"/>
      <c r="CO161" s="36"/>
      <c r="CP161" s="36"/>
      <c r="CQ161" s="36"/>
      <c r="CR161" s="36"/>
      <c r="CS161" s="36"/>
      <c r="CT161" s="36"/>
      <c r="CU161" s="36"/>
      <c r="CV161" s="36"/>
      <c r="CW161" s="36"/>
      <c r="CX161" s="36"/>
      <c r="CY161" s="36"/>
      <c r="CZ161" s="36"/>
      <c r="DA161" s="36"/>
      <c r="DB161" s="36"/>
      <c r="DC161" s="36"/>
      <c r="DD161" s="36"/>
      <c r="DE161" s="36"/>
      <c r="DF161" s="36"/>
      <c r="DG161" s="36"/>
      <c r="DH161" s="36"/>
      <c r="DI161" s="36"/>
      <c r="DJ161" s="36"/>
      <c r="DK161" s="36"/>
      <c r="DL161" s="36"/>
      <c r="DM161" s="36"/>
      <c r="DN161" s="36"/>
      <c r="DO161" s="36"/>
      <c r="DP161" s="36"/>
      <c r="DQ161" s="36"/>
      <c r="DR161" s="36"/>
      <c r="DS161" s="36"/>
      <c r="DT161" s="36"/>
      <c r="DU161" s="36"/>
      <c r="DV161" s="36"/>
      <c r="DW161" s="36"/>
      <c r="DX161" s="36"/>
      <c r="DY161" s="36"/>
      <c r="DZ161" s="36"/>
      <c r="EA161" s="36"/>
      <c r="EB161" s="36"/>
      <c r="EC161" s="36"/>
      <c r="ED161" s="36"/>
      <c r="EE161" s="36"/>
      <c r="EF161" s="36"/>
      <c r="EG161" s="36"/>
      <c r="EH161" s="36"/>
      <c r="EI161" s="36"/>
      <c r="EJ161" s="36"/>
      <c r="EK161" s="36"/>
      <c r="EL161" s="36"/>
      <c r="EM161" s="36"/>
      <c r="EN161" s="36"/>
      <c r="EO161" s="36"/>
      <c r="EP161" s="36"/>
      <c r="EQ161" s="36"/>
      <c r="ER161" s="36"/>
      <c r="ES161" s="36"/>
      <c r="ET161" s="36"/>
      <c r="EU161" s="36"/>
      <c r="EV161" s="36"/>
      <c r="EW161" s="36"/>
      <c r="EX161" s="36"/>
      <c r="EY161" s="36"/>
      <c r="EZ161" s="36"/>
      <c r="FA161" s="36"/>
      <c r="FB161" s="36"/>
      <c r="FC161" s="36"/>
      <c r="FD161" s="36"/>
      <c r="FE161" s="36"/>
    </row>
    <row r="162" spans="1:161" s="37" customFormat="1" ht="26.25" customHeight="1" x14ac:dyDescent="0.2">
      <c r="A162" s="456" t="s">
        <v>243</v>
      </c>
      <c r="B162" s="457">
        <v>1E-3</v>
      </c>
      <c r="C162" s="458">
        <v>1E-3</v>
      </c>
      <c r="D162" s="458">
        <v>1E-3</v>
      </c>
      <c r="E162" s="458"/>
      <c r="F162" s="458">
        <v>0.06</v>
      </c>
      <c r="G162" s="458"/>
      <c r="H162" s="458"/>
      <c r="I162" s="457">
        <v>1E-3</v>
      </c>
      <c r="J162" s="458">
        <v>0.11</v>
      </c>
      <c r="K162" s="458">
        <v>7.0000000000000007E-2</v>
      </c>
      <c r="L162" s="459">
        <v>0.02</v>
      </c>
      <c r="M162" s="460">
        <v>2.1999999999999999E-2</v>
      </c>
      <c r="N162" s="458">
        <v>1E-3</v>
      </c>
      <c r="O162" s="458">
        <v>1E-3</v>
      </c>
      <c r="P162" s="458">
        <v>1.2503356432258428E-3</v>
      </c>
      <c r="Q162" s="458">
        <v>1E-3</v>
      </c>
      <c r="R162" s="458"/>
      <c r="S162" s="458">
        <v>0.11527377521613834</v>
      </c>
      <c r="T162" s="461">
        <v>1E-3</v>
      </c>
      <c r="U162" s="458">
        <v>1.6E-2</v>
      </c>
      <c r="V162" s="459"/>
      <c r="W162" s="459">
        <v>1.4999999999999999E-2</v>
      </c>
      <c r="X162" s="87"/>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c r="CB162" s="36"/>
      <c r="CC162" s="36"/>
      <c r="CD162" s="36"/>
      <c r="CE162" s="36"/>
      <c r="CF162" s="36"/>
      <c r="CG162" s="36"/>
      <c r="CH162" s="36"/>
      <c r="CI162" s="36"/>
      <c r="CJ162" s="36"/>
      <c r="CK162" s="36"/>
      <c r="CL162" s="36"/>
      <c r="CM162" s="36"/>
      <c r="CN162" s="36"/>
      <c r="CO162" s="36"/>
      <c r="CP162" s="36"/>
      <c r="CQ162" s="36"/>
      <c r="CR162" s="36"/>
      <c r="CS162" s="36"/>
      <c r="CT162" s="36"/>
      <c r="CU162" s="36"/>
      <c r="CV162" s="36"/>
      <c r="CW162" s="36"/>
      <c r="CX162" s="36"/>
      <c r="CY162" s="36"/>
      <c r="CZ162" s="36"/>
      <c r="DA162" s="36"/>
      <c r="DB162" s="36"/>
      <c r="DC162" s="36"/>
      <c r="DD162" s="36"/>
      <c r="DE162" s="36"/>
      <c r="DF162" s="36"/>
      <c r="DG162" s="36"/>
      <c r="DH162" s="36"/>
      <c r="DI162" s="36"/>
      <c r="DJ162" s="36"/>
      <c r="DK162" s="36"/>
      <c r="DL162" s="36"/>
      <c r="DM162" s="36"/>
      <c r="DN162" s="36"/>
      <c r="DO162" s="36"/>
      <c r="DP162" s="36"/>
      <c r="DQ162" s="36"/>
      <c r="DR162" s="36"/>
      <c r="DS162" s="36"/>
      <c r="DT162" s="36"/>
      <c r="DU162" s="36"/>
      <c r="DV162" s="36"/>
      <c r="DW162" s="36"/>
      <c r="DX162" s="36"/>
      <c r="DY162" s="36"/>
      <c r="DZ162" s="36"/>
      <c r="EA162" s="36"/>
      <c r="EB162" s="36"/>
      <c r="EC162" s="36"/>
      <c r="ED162" s="36"/>
      <c r="EE162" s="36"/>
      <c r="EF162" s="36"/>
      <c r="EG162" s="36"/>
      <c r="EH162" s="36"/>
      <c r="EI162" s="36"/>
      <c r="EJ162" s="36"/>
      <c r="EK162" s="36"/>
      <c r="EL162" s="36"/>
      <c r="EM162" s="36"/>
      <c r="EN162" s="36"/>
      <c r="EO162" s="36"/>
      <c r="EP162" s="36"/>
      <c r="EQ162" s="36"/>
      <c r="ER162" s="36"/>
      <c r="ES162" s="36"/>
      <c r="ET162" s="36"/>
      <c r="EU162" s="36"/>
      <c r="EV162" s="36"/>
      <c r="EW162" s="36"/>
      <c r="EX162" s="36"/>
      <c r="EY162" s="36"/>
      <c r="EZ162" s="36"/>
      <c r="FA162" s="36"/>
      <c r="FB162" s="36"/>
      <c r="FC162" s="36"/>
      <c r="FD162" s="36"/>
      <c r="FE162" s="36"/>
    </row>
    <row r="163" spans="1:161" s="37" customFormat="1" ht="26.25" customHeight="1" x14ac:dyDescent="0.2">
      <c r="A163" s="69" t="s">
        <v>244</v>
      </c>
      <c r="B163" s="454">
        <v>1E-3</v>
      </c>
      <c r="C163" s="451">
        <v>1E-3</v>
      </c>
      <c r="D163" s="451">
        <v>1E-3</v>
      </c>
      <c r="E163" s="451"/>
      <c r="F163" s="451">
        <v>0.06</v>
      </c>
      <c r="G163" s="451"/>
      <c r="H163" s="451"/>
      <c r="I163" s="454">
        <v>1E-3</v>
      </c>
      <c r="J163" s="451">
        <v>0.02</v>
      </c>
      <c r="K163" s="451">
        <v>0.02</v>
      </c>
      <c r="L163" s="452">
        <v>0.02</v>
      </c>
      <c r="M163" s="453">
        <v>2.1999999999999999E-2</v>
      </c>
      <c r="N163" s="451">
        <v>1E-3</v>
      </c>
      <c r="O163" s="451">
        <v>1E-3</v>
      </c>
      <c r="P163" s="451">
        <v>1.2503356432258428E-3</v>
      </c>
      <c r="Q163" s="451">
        <v>1E-3</v>
      </c>
      <c r="R163" s="451"/>
      <c r="S163" s="451">
        <v>0.11527377521613834</v>
      </c>
      <c r="T163" s="455">
        <v>1E-3</v>
      </c>
      <c r="U163" s="451">
        <v>1.6E-2</v>
      </c>
      <c r="V163" s="452">
        <v>0.02</v>
      </c>
      <c r="W163" s="452">
        <v>1.4999999999999999E-2</v>
      </c>
      <c r="X163" s="87"/>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c r="CB163" s="36"/>
      <c r="CC163" s="36"/>
      <c r="CD163" s="36"/>
      <c r="CE163" s="36"/>
      <c r="CF163" s="36"/>
      <c r="CG163" s="36"/>
      <c r="CH163" s="36"/>
      <c r="CI163" s="36"/>
      <c r="CJ163" s="36"/>
      <c r="CK163" s="36"/>
      <c r="CL163" s="36"/>
      <c r="CM163" s="36"/>
      <c r="CN163" s="36"/>
      <c r="CO163" s="36"/>
      <c r="CP163" s="36"/>
      <c r="CQ163" s="36"/>
      <c r="CR163" s="36"/>
      <c r="CS163" s="36"/>
      <c r="CT163" s="36"/>
      <c r="CU163" s="36"/>
      <c r="CV163" s="36"/>
      <c r="CW163" s="36"/>
      <c r="CX163" s="36"/>
      <c r="CY163" s="36"/>
      <c r="CZ163" s="36"/>
      <c r="DA163" s="36"/>
      <c r="DB163" s="36"/>
      <c r="DC163" s="36"/>
      <c r="DD163" s="36"/>
      <c r="DE163" s="36"/>
      <c r="DF163" s="36"/>
      <c r="DG163" s="36"/>
      <c r="DH163" s="36"/>
      <c r="DI163" s="36"/>
      <c r="DJ163" s="36"/>
      <c r="DK163" s="36"/>
      <c r="DL163" s="36"/>
      <c r="DM163" s="36"/>
      <c r="DN163" s="36"/>
      <c r="DO163" s="36"/>
      <c r="DP163" s="36"/>
      <c r="DQ163" s="36"/>
      <c r="DR163" s="36"/>
      <c r="DS163" s="36"/>
      <c r="DT163" s="36"/>
      <c r="DU163" s="36"/>
      <c r="DV163" s="36"/>
      <c r="DW163" s="36"/>
      <c r="DX163" s="36"/>
      <c r="DY163" s="36"/>
      <c r="DZ163" s="36"/>
      <c r="EA163" s="36"/>
      <c r="EB163" s="36"/>
      <c r="EC163" s="36"/>
      <c r="ED163" s="36"/>
      <c r="EE163" s="36"/>
      <c r="EF163" s="36"/>
      <c r="EG163" s="36"/>
      <c r="EH163" s="36"/>
      <c r="EI163" s="36"/>
      <c r="EJ163" s="36"/>
      <c r="EK163" s="36"/>
      <c r="EL163" s="36"/>
      <c r="EM163" s="36"/>
      <c r="EN163" s="36"/>
      <c r="EO163" s="36"/>
      <c r="EP163" s="36"/>
      <c r="EQ163" s="36"/>
      <c r="ER163" s="36"/>
      <c r="ES163" s="36"/>
      <c r="ET163" s="36"/>
      <c r="EU163" s="36"/>
      <c r="EV163" s="36"/>
      <c r="EW163" s="36"/>
      <c r="EX163" s="36"/>
      <c r="EY163" s="36"/>
      <c r="EZ163" s="36"/>
      <c r="FA163" s="36"/>
      <c r="FB163" s="36"/>
      <c r="FC163" s="36"/>
      <c r="FD163" s="36"/>
      <c r="FE163" s="36"/>
    </row>
    <row r="164" spans="1:161" s="37" customFormat="1" ht="26.25" customHeight="1" x14ac:dyDescent="0.2">
      <c r="A164" s="456" t="s">
        <v>329</v>
      </c>
      <c r="B164" s="457">
        <v>1E-3</v>
      </c>
      <c r="C164" s="458">
        <v>1E-3</v>
      </c>
      <c r="D164" s="458">
        <v>1E-3</v>
      </c>
      <c r="E164" s="458"/>
      <c r="F164" s="458">
        <v>0.06</v>
      </c>
      <c r="G164" s="458"/>
      <c r="H164" s="458"/>
      <c r="I164" s="457">
        <v>1E-3</v>
      </c>
      <c r="J164" s="458">
        <v>0.55000000000000004</v>
      </c>
      <c r="K164" s="458">
        <v>0.72</v>
      </c>
      <c r="L164" s="459">
        <v>0.02</v>
      </c>
      <c r="M164" s="460">
        <v>2.1999999999999999E-2</v>
      </c>
      <c r="N164" s="458">
        <v>1E-3</v>
      </c>
      <c r="O164" s="458">
        <v>1E-3</v>
      </c>
      <c r="P164" s="458">
        <v>1.2503356432258428E-3</v>
      </c>
      <c r="Q164" s="458">
        <v>1E-3</v>
      </c>
      <c r="R164" s="458"/>
      <c r="S164" s="458">
        <v>0.11527377521613834</v>
      </c>
      <c r="T164" s="461">
        <v>1E-3</v>
      </c>
      <c r="U164" s="458">
        <v>1.6E-2</v>
      </c>
      <c r="V164" s="459"/>
      <c r="W164" s="459">
        <v>1.4999999999999999E-2</v>
      </c>
      <c r="X164" s="87"/>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c r="CB164" s="36"/>
      <c r="CC164" s="36"/>
      <c r="CD164" s="36"/>
      <c r="CE164" s="36"/>
      <c r="CF164" s="36"/>
      <c r="CG164" s="36"/>
      <c r="CH164" s="36"/>
      <c r="CI164" s="36"/>
      <c r="CJ164" s="36"/>
      <c r="CK164" s="36"/>
      <c r="CL164" s="36"/>
      <c r="CM164" s="36"/>
      <c r="CN164" s="36"/>
      <c r="CO164" s="36"/>
      <c r="CP164" s="36"/>
      <c r="CQ164" s="36"/>
      <c r="CR164" s="36"/>
      <c r="CS164" s="36"/>
      <c r="CT164" s="36"/>
      <c r="CU164" s="36"/>
      <c r="CV164" s="36"/>
      <c r="CW164" s="36"/>
      <c r="CX164" s="36"/>
      <c r="CY164" s="36"/>
      <c r="CZ164" s="36"/>
      <c r="DA164" s="36"/>
      <c r="DB164" s="36"/>
      <c r="DC164" s="36"/>
      <c r="DD164" s="36"/>
      <c r="DE164" s="36"/>
      <c r="DF164" s="36"/>
      <c r="DG164" s="36"/>
      <c r="DH164" s="36"/>
      <c r="DI164" s="36"/>
      <c r="DJ164" s="36"/>
      <c r="DK164" s="36"/>
      <c r="DL164" s="36"/>
      <c r="DM164" s="36"/>
      <c r="DN164" s="36"/>
      <c r="DO164" s="36"/>
      <c r="DP164" s="36"/>
      <c r="DQ164" s="36"/>
      <c r="DR164" s="36"/>
      <c r="DS164" s="36"/>
      <c r="DT164" s="36"/>
      <c r="DU164" s="36"/>
      <c r="DV164" s="36"/>
      <c r="DW164" s="36"/>
      <c r="DX164" s="36"/>
      <c r="DY164" s="36"/>
      <c r="DZ164" s="36"/>
      <c r="EA164" s="36"/>
      <c r="EB164" s="36"/>
      <c r="EC164" s="36"/>
      <c r="ED164" s="36"/>
      <c r="EE164" s="36"/>
      <c r="EF164" s="36"/>
      <c r="EG164" s="36"/>
      <c r="EH164" s="36"/>
      <c r="EI164" s="36"/>
      <c r="EJ164" s="36"/>
      <c r="EK164" s="36"/>
      <c r="EL164" s="36"/>
      <c r="EM164" s="36"/>
      <c r="EN164" s="36"/>
      <c r="EO164" s="36"/>
      <c r="EP164" s="36"/>
      <c r="EQ164" s="36"/>
      <c r="ER164" s="36"/>
      <c r="ES164" s="36"/>
      <c r="ET164" s="36"/>
      <c r="EU164" s="36"/>
      <c r="EV164" s="36"/>
      <c r="EW164" s="36"/>
      <c r="EX164" s="36"/>
      <c r="EY164" s="36"/>
      <c r="EZ164" s="36"/>
      <c r="FA164" s="36"/>
      <c r="FB164" s="36"/>
      <c r="FC164" s="36"/>
      <c r="FD164" s="36"/>
      <c r="FE164" s="36"/>
    </row>
    <row r="165" spans="1:161" s="37" customFormat="1" ht="26.25" customHeight="1" x14ac:dyDescent="0.2">
      <c r="A165" s="69" t="s">
        <v>245</v>
      </c>
      <c r="B165" s="454">
        <v>1E-3</v>
      </c>
      <c r="C165" s="451">
        <v>1E-3</v>
      </c>
      <c r="D165" s="451">
        <v>1E-3</v>
      </c>
      <c r="E165" s="451"/>
      <c r="F165" s="451">
        <v>0.06</v>
      </c>
      <c r="G165" s="451"/>
      <c r="H165" s="451"/>
      <c r="I165" s="454">
        <v>1E-3</v>
      </c>
      <c r="J165" s="451">
        <v>0.02</v>
      </c>
      <c r="K165" s="451">
        <v>0.02</v>
      </c>
      <c r="L165" s="452">
        <v>0.02</v>
      </c>
      <c r="M165" s="453"/>
      <c r="N165" s="451">
        <v>1E-3</v>
      </c>
      <c r="O165" s="451">
        <v>1E-3</v>
      </c>
      <c r="P165" s="451">
        <v>1.2503356432258428E-3</v>
      </c>
      <c r="Q165" s="451">
        <v>1E-3</v>
      </c>
      <c r="R165" s="451"/>
      <c r="S165" s="451">
        <v>5.7636887608069169E-2</v>
      </c>
      <c r="T165" s="455">
        <v>1E-3</v>
      </c>
      <c r="U165" s="451">
        <v>8.0000000000000002E-3</v>
      </c>
      <c r="V165" s="452">
        <v>0.02</v>
      </c>
      <c r="W165" s="452"/>
      <c r="X165" s="87"/>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c r="CB165" s="36"/>
      <c r="CC165" s="36"/>
      <c r="CD165" s="36"/>
      <c r="CE165" s="36"/>
      <c r="CF165" s="36"/>
      <c r="CG165" s="36"/>
      <c r="CH165" s="36"/>
      <c r="CI165" s="36"/>
      <c r="CJ165" s="36"/>
      <c r="CK165" s="36"/>
      <c r="CL165" s="36"/>
      <c r="CM165" s="36"/>
      <c r="CN165" s="36"/>
      <c r="CO165" s="36"/>
      <c r="CP165" s="36"/>
      <c r="CQ165" s="36"/>
      <c r="CR165" s="36"/>
      <c r="CS165" s="36"/>
      <c r="CT165" s="36"/>
      <c r="CU165" s="36"/>
      <c r="CV165" s="36"/>
      <c r="CW165" s="36"/>
      <c r="CX165" s="36"/>
      <c r="CY165" s="36"/>
      <c r="CZ165" s="36"/>
      <c r="DA165" s="36"/>
      <c r="DB165" s="36"/>
      <c r="DC165" s="36"/>
      <c r="DD165" s="36"/>
      <c r="DE165" s="36"/>
      <c r="DF165" s="36"/>
      <c r="DG165" s="36"/>
      <c r="DH165" s="36"/>
      <c r="DI165" s="36"/>
      <c r="DJ165" s="36"/>
      <c r="DK165" s="36"/>
      <c r="DL165" s="36"/>
      <c r="DM165" s="36"/>
      <c r="DN165" s="36"/>
      <c r="DO165" s="36"/>
      <c r="DP165" s="36"/>
      <c r="DQ165" s="36"/>
      <c r="DR165" s="36"/>
      <c r="DS165" s="36"/>
      <c r="DT165" s="36"/>
      <c r="DU165" s="36"/>
      <c r="DV165" s="36"/>
      <c r="DW165" s="36"/>
      <c r="DX165" s="36"/>
      <c r="DY165" s="36"/>
      <c r="DZ165" s="36"/>
      <c r="EA165" s="36"/>
      <c r="EB165" s="36"/>
      <c r="EC165" s="36"/>
      <c r="ED165" s="36"/>
      <c r="EE165" s="36"/>
      <c r="EF165" s="36"/>
      <c r="EG165" s="36"/>
      <c r="EH165" s="36"/>
      <c r="EI165" s="36"/>
      <c r="EJ165" s="36"/>
      <c r="EK165" s="36"/>
      <c r="EL165" s="36"/>
      <c r="EM165" s="36"/>
      <c r="EN165" s="36"/>
      <c r="EO165" s="36"/>
      <c r="EP165" s="36"/>
      <c r="EQ165" s="36"/>
      <c r="ER165" s="36"/>
      <c r="ES165" s="36"/>
      <c r="ET165" s="36"/>
      <c r="EU165" s="36"/>
      <c r="EV165" s="36"/>
      <c r="EW165" s="36"/>
      <c r="EX165" s="36"/>
      <c r="EY165" s="36"/>
      <c r="EZ165" s="36"/>
      <c r="FA165" s="36"/>
      <c r="FB165" s="36"/>
      <c r="FC165" s="36"/>
      <c r="FD165" s="36"/>
      <c r="FE165" s="36"/>
    </row>
    <row r="166" spans="1:161" s="37" customFormat="1" ht="26.25" customHeight="1" x14ac:dyDescent="0.2">
      <c r="A166" s="456" t="s">
        <v>246</v>
      </c>
      <c r="B166" s="457">
        <v>3.0000000000000001E-3</v>
      </c>
      <c r="C166" s="458">
        <v>3.0000000000000001E-3</v>
      </c>
      <c r="D166" s="458">
        <v>3.0000000000000001E-3</v>
      </c>
      <c r="E166" s="458"/>
      <c r="F166" s="458">
        <v>0.06</v>
      </c>
      <c r="G166" s="458"/>
      <c r="H166" s="458"/>
      <c r="I166" s="457">
        <v>3.0000000000000001E-3</v>
      </c>
      <c r="J166" s="458">
        <v>0.02</v>
      </c>
      <c r="K166" s="458">
        <v>0.02</v>
      </c>
      <c r="L166" s="459">
        <v>7.0000000000000007E-2</v>
      </c>
      <c r="M166" s="460"/>
      <c r="N166" s="458">
        <v>3.0000000000000001E-3</v>
      </c>
      <c r="O166" s="458">
        <v>2.9251151785580267E-3</v>
      </c>
      <c r="P166" s="458">
        <v>0</v>
      </c>
      <c r="Q166" s="458"/>
      <c r="R166" s="458">
        <v>0.40400000000000003</v>
      </c>
      <c r="S166" s="458">
        <v>0.11527377521613834</v>
      </c>
      <c r="T166" s="461">
        <v>3.0000000000000001E-3</v>
      </c>
      <c r="U166" s="458">
        <v>6.6000000000000003E-2</v>
      </c>
      <c r="V166" s="459"/>
      <c r="W166" s="459"/>
      <c r="X166" s="87"/>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c r="CB166" s="36"/>
      <c r="CC166" s="36"/>
      <c r="CD166" s="36"/>
      <c r="CE166" s="36"/>
      <c r="CF166" s="36"/>
      <c r="CG166" s="36"/>
      <c r="CH166" s="36"/>
      <c r="CI166" s="36"/>
      <c r="CJ166" s="36"/>
      <c r="CK166" s="36"/>
      <c r="CL166" s="36"/>
      <c r="CM166" s="36"/>
      <c r="CN166" s="36"/>
      <c r="CO166" s="36"/>
      <c r="CP166" s="36"/>
      <c r="CQ166" s="36"/>
      <c r="CR166" s="36"/>
      <c r="CS166" s="36"/>
      <c r="CT166" s="36"/>
      <c r="CU166" s="36"/>
      <c r="CV166" s="36"/>
      <c r="CW166" s="36"/>
      <c r="CX166" s="36"/>
      <c r="CY166" s="36"/>
      <c r="CZ166" s="36"/>
      <c r="DA166" s="36"/>
      <c r="DB166" s="36"/>
      <c r="DC166" s="36"/>
      <c r="DD166" s="36"/>
      <c r="DE166" s="36"/>
      <c r="DF166" s="36"/>
      <c r="DG166" s="36"/>
      <c r="DH166" s="36"/>
      <c r="DI166" s="36"/>
      <c r="DJ166" s="36"/>
      <c r="DK166" s="36"/>
      <c r="DL166" s="36"/>
      <c r="DM166" s="36"/>
      <c r="DN166" s="36"/>
      <c r="DO166" s="36"/>
      <c r="DP166" s="36"/>
      <c r="DQ166" s="36"/>
      <c r="DR166" s="36"/>
      <c r="DS166" s="36"/>
      <c r="DT166" s="36"/>
      <c r="DU166" s="36"/>
      <c r="DV166" s="36"/>
      <c r="DW166" s="36"/>
      <c r="DX166" s="36"/>
      <c r="DY166" s="36"/>
      <c r="DZ166" s="36"/>
      <c r="EA166" s="36"/>
      <c r="EB166" s="36"/>
      <c r="EC166" s="36"/>
      <c r="ED166" s="36"/>
      <c r="EE166" s="36"/>
      <c r="EF166" s="36"/>
      <c r="EG166" s="36"/>
      <c r="EH166" s="36"/>
      <c r="EI166" s="36"/>
      <c r="EJ166" s="36"/>
      <c r="EK166" s="36"/>
      <c r="EL166" s="36"/>
      <c r="EM166" s="36"/>
      <c r="EN166" s="36"/>
      <c r="EO166" s="36"/>
      <c r="EP166" s="36"/>
      <c r="EQ166" s="36"/>
      <c r="ER166" s="36"/>
      <c r="ES166" s="36"/>
      <c r="ET166" s="36"/>
      <c r="EU166" s="36"/>
      <c r="EV166" s="36"/>
      <c r="EW166" s="36"/>
      <c r="EX166" s="36"/>
      <c r="EY166" s="36"/>
      <c r="EZ166" s="36"/>
      <c r="FA166" s="36"/>
      <c r="FB166" s="36"/>
      <c r="FC166" s="36"/>
      <c r="FD166" s="36"/>
      <c r="FE166" s="36"/>
    </row>
    <row r="167" spans="1:161" s="37" customFormat="1" ht="26.25" customHeight="1" x14ac:dyDescent="0.2">
      <c r="A167" s="69" t="s">
        <v>247</v>
      </c>
      <c r="B167" s="454">
        <v>1E-3</v>
      </c>
      <c r="C167" s="451">
        <v>1E-3</v>
      </c>
      <c r="D167" s="451">
        <v>1E-3</v>
      </c>
      <c r="E167" s="451"/>
      <c r="F167" s="451">
        <v>0.06</v>
      </c>
      <c r="G167" s="451"/>
      <c r="H167" s="451"/>
      <c r="I167" s="454">
        <v>1E-3</v>
      </c>
      <c r="J167" s="451">
        <v>0.02</v>
      </c>
      <c r="K167" s="451">
        <v>0.02</v>
      </c>
      <c r="L167" s="452">
        <v>0.02</v>
      </c>
      <c r="M167" s="453"/>
      <c r="N167" s="451">
        <v>1E-3</v>
      </c>
      <c r="O167" s="451">
        <v>1E-3</v>
      </c>
      <c r="P167" s="451">
        <v>1.2503356432258428E-3</v>
      </c>
      <c r="Q167" s="451">
        <v>1E-3</v>
      </c>
      <c r="R167" s="451">
        <v>0.17699999999999999</v>
      </c>
      <c r="S167" s="451">
        <v>5.7636887608069169E-2</v>
      </c>
      <c r="T167" s="455">
        <v>1E-3</v>
      </c>
      <c r="U167" s="451">
        <v>8.0000000000000002E-3</v>
      </c>
      <c r="V167" s="452">
        <v>0.02</v>
      </c>
      <c r="W167" s="452"/>
      <c r="X167" s="87"/>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c r="CB167" s="36"/>
      <c r="CC167" s="36"/>
      <c r="CD167" s="36"/>
      <c r="CE167" s="36"/>
      <c r="CF167" s="36"/>
      <c r="CG167" s="36"/>
      <c r="CH167" s="36"/>
      <c r="CI167" s="36"/>
      <c r="CJ167" s="36"/>
      <c r="CK167" s="36"/>
      <c r="CL167" s="36"/>
      <c r="CM167" s="36"/>
      <c r="CN167" s="36"/>
      <c r="CO167" s="36"/>
      <c r="CP167" s="36"/>
      <c r="CQ167" s="36"/>
      <c r="CR167" s="36"/>
      <c r="CS167" s="36"/>
      <c r="CT167" s="36"/>
      <c r="CU167" s="36"/>
      <c r="CV167" s="36"/>
      <c r="CW167" s="36"/>
      <c r="CX167" s="36"/>
      <c r="CY167" s="36"/>
      <c r="CZ167" s="36"/>
      <c r="DA167" s="36"/>
      <c r="DB167" s="36"/>
      <c r="DC167" s="36"/>
      <c r="DD167" s="36"/>
      <c r="DE167" s="36"/>
      <c r="DF167" s="36"/>
      <c r="DG167" s="36"/>
      <c r="DH167" s="36"/>
      <c r="DI167" s="36"/>
      <c r="DJ167" s="36"/>
      <c r="DK167" s="36"/>
      <c r="DL167" s="36"/>
      <c r="DM167" s="36"/>
      <c r="DN167" s="36"/>
      <c r="DO167" s="36"/>
      <c r="DP167" s="36"/>
      <c r="DQ167" s="36"/>
      <c r="DR167" s="36"/>
      <c r="DS167" s="36"/>
      <c r="DT167" s="36"/>
      <c r="DU167" s="36"/>
      <c r="DV167" s="36"/>
      <c r="DW167" s="36"/>
      <c r="DX167" s="36"/>
      <c r="DY167" s="36"/>
      <c r="DZ167" s="36"/>
      <c r="EA167" s="36"/>
      <c r="EB167" s="36"/>
      <c r="EC167" s="36"/>
      <c r="ED167" s="36"/>
      <c r="EE167" s="36"/>
      <c r="EF167" s="36"/>
      <c r="EG167" s="36"/>
      <c r="EH167" s="36"/>
      <c r="EI167" s="36"/>
      <c r="EJ167" s="36"/>
      <c r="EK167" s="36"/>
      <c r="EL167" s="36"/>
      <c r="EM167" s="36"/>
      <c r="EN167" s="36"/>
      <c r="EO167" s="36"/>
      <c r="EP167" s="36"/>
      <c r="EQ167" s="36"/>
      <c r="ER167" s="36"/>
      <c r="ES167" s="36"/>
      <c r="ET167" s="36"/>
      <c r="EU167" s="36"/>
      <c r="EV167" s="36"/>
      <c r="EW167" s="36"/>
      <c r="EX167" s="36"/>
      <c r="EY167" s="36"/>
      <c r="EZ167" s="36"/>
      <c r="FA167" s="36"/>
      <c r="FB167" s="36"/>
      <c r="FC167" s="36"/>
      <c r="FD167" s="36"/>
      <c r="FE167" s="36"/>
    </row>
    <row r="168" spans="1:161" s="37" customFormat="1" ht="26.25" customHeight="1" x14ac:dyDescent="0.2">
      <c r="A168" s="456" t="s">
        <v>248</v>
      </c>
      <c r="B168" s="457">
        <v>0.83</v>
      </c>
      <c r="C168" s="458"/>
      <c r="D168" s="458">
        <v>0.752</v>
      </c>
      <c r="E168" s="458">
        <v>0.61499999999999999</v>
      </c>
      <c r="F168" s="458">
        <v>0.69</v>
      </c>
      <c r="G168" s="458">
        <v>3.9871442243854487</v>
      </c>
      <c r="H168" s="458"/>
      <c r="I168" s="457">
        <v>0.83099999999999996</v>
      </c>
      <c r="J168" s="458">
        <v>0.24</v>
      </c>
      <c r="K168" s="458">
        <v>0.21</v>
      </c>
      <c r="L168" s="459">
        <v>2.87</v>
      </c>
      <c r="M168" s="460"/>
      <c r="N168" s="458">
        <v>0.748</v>
      </c>
      <c r="O168" s="458">
        <v>0.80928186606772068</v>
      </c>
      <c r="P168" s="458">
        <v>1.0377785838774494</v>
      </c>
      <c r="Q168" s="458">
        <v>1.04</v>
      </c>
      <c r="R168" s="458">
        <v>1.329</v>
      </c>
      <c r="S168" s="458">
        <v>2.3054755043227666</v>
      </c>
      <c r="T168" s="461">
        <v>0.74809999999999999</v>
      </c>
      <c r="U168" s="458">
        <v>0.26200000000000001</v>
      </c>
      <c r="V168" s="459">
        <v>0.82</v>
      </c>
      <c r="W168" s="459">
        <v>0.995</v>
      </c>
      <c r="X168" s="87"/>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c r="CB168" s="36"/>
      <c r="CC168" s="36"/>
      <c r="CD168" s="36"/>
      <c r="CE168" s="36"/>
      <c r="CF168" s="36"/>
      <c r="CG168" s="36"/>
      <c r="CH168" s="36"/>
      <c r="CI168" s="36"/>
      <c r="CJ168" s="36"/>
      <c r="CK168" s="36"/>
      <c r="CL168" s="36"/>
      <c r="CM168" s="36"/>
      <c r="CN168" s="36"/>
      <c r="CO168" s="36"/>
      <c r="CP168" s="36"/>
      <c r="CQ168" s="36"/>
      <c r="CR168" s="36"/>
      <c r="CS168" s="36"/>
      <c r="CT168" s="36"/>
      <c r="CU168" s="36"/>
      <c r="CV168" s="36"/>
      <c r="CW168" s="36"/>
      <c r="CX168" s="36"/>
      <c r="CY168" s="36"/>
      <c r="CZ168" s="36"/>
      <c r="DA168" s="36"/>
      <c r="DB168" s="36"/>
      <c r="DC168" s="36"/>
      <c r="DD168" s="36"/>
      <c r="DE168" s="36"/>
      <c r="DF168" s="36"/>
      <c r="DG168" s="36"/>
      <c r="DH168" s="36"/>
      <c r="DI168" s="36"/>
      <c r="DJ168" s="36"/>
      <c r="DK168" s="36"/>
      <c r="DL168" s="36"/>
      <c r="DM168" s="36"/>
      <c r="DN168" s="36"/>
      <c r="DO168" s="36"/>
      <c r="DP168" s="36"/>
      <c r="DQ168" s="36"/>
      <c r="DR168" s="36"/>
      <c r="DS168" s="36"/>
      <c r="DT168" s="36"/>
      <c r="DU168" s="36"/>
      <c r="DV168" s="36"/>
      <c r="DW168" s="36"/>
      <c r="DX168" s="36"/>
      <c r="DY168" s="36"/>
      <c r="DZ168" s="36"/>
      <c r="EA168" s="36"/>
      <c r="EB168" s="36"/>
      <c r="EC168" s="36"/>
      <c r="ED168" s="36"/>
      <c r="EE168" s="36"/>
      <c r="EF168" s="36"/>
      <c r="EG168" s="36"/>
      <c r="EH168" s="36"/>
      <c r="EI168" s="36"/>
      <c r="EJ168" s="36"/>
      <c r="EK168" s="36"/>
      <c r="EL168" s="36"/>
      <c r="EM168" s="36"/>
      <c r="EN168" s="36"/>
      <c r="EO168" s="36"/>
      <c r="EP168" s="36"/>
      <c r="EQ168" s="36"/>
      <c r="ER168" s="36"/>
      <c r="ES168" s="36"/>
      <c r="ET168" s="36"/>
      <c r="EU168" s="36"/>
      <c r="EV168" s="36"/>
      <c r="EW168" s="36"/>
      <c r="EX168" s="36"/>
      <c r="EY168" s="36"/>
      <c r="EZ168" s="36"/>
      <c r="FA168" s="36"/>
      <c r="FB168" s="36"/>
      <c r="FC168" s="36"/>
      <c r="FD168" s="36"/>
      <c r="FE168" s="36"/>
    </row>
    <row r="169" spans="1:161" s="37" customFormat="1" ht="26.25" customHeight="1" x14ac:dyDescent="0.2">
      <c r="A169" s="69" t="s">
        <v>249</v>
      </c>
      <c r="B169" s="454">
        <v>6.0000000000000001E-3</v>
      </c>
      <c r="C169" s="451">
        <v>4.0000000000000001E-3</v>
      </c>
      <c r="D169" s="451">
        <v>4.0000000000000001E-3</v>
      </c>
      <c r="E169" s="451">
        <v>3.0000000000000001E-3</v>
      </c>
      <c r="F169" s="451">
        <v>0.06</v>
      </c>
      <c r="G169" s="451">
        <v>0.39640797040843601</v>
      </c>
      <c r="H169" s="451"/>
      <c r="I169" s="454">
        <v>6.0000000000000001E-3</v>
      </c>
      <c r="J169" s="451">
        <v>0.02</v>
      </c>
      <c r="K169" s="451">
        <v>0.02</v>
      </c>
      <c r="L169" s="452">
        <v>0.28999999999999998</v>
      </c>
      <c r="M169" s="453"/>
      <c r="N169" s="451">
        <v>4.0000000000000001E-3</v>
      </c>
      <c r="O169" s="451">
        <v>5.8502303571160534E-3</v>
      </c>
      <c r="P169" s="451">
        <v>7.5020138593550568E-3</v>
      </c>
      <c r="Q169" s="451">
        <v>6.0000000000000001E-3</v>
      </c>
      <c r="R169" s="451">
        <v>0.222</v>
      </c>
      <c r="S169" s="451">
        <v>0.11527377521613834</v>
      </c>
      <c r="T169" s="455">
        <v>4.0000000000000001E-3</v>
      </c>
      <c r="U169" s="451">
        <v>8.9999999999999993E-3</v>
      </c>
      <c r="V169" s="452">
        <v>0.02</v>
      </c>
      <c r="W169" s="452">
        <v>2.4E-2</v>
      </c>
      <c r="X169" s="87"/>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c r="CB169" s="36"/>
      <c r="CC169" s="36"/>
      <c r="CD169" s="36"/>
      <c r="CE169" s="36"/>
      <c r="CF169" s="36"/>
      <c r="CG169" s="36"/>
      <c r="CH169" s="36"/>
      <c r="CI169" s="36"/>
      <c r="CJ169" s="36"/>
      <c r="CK169" s="36"/>
      <c r="CL169" s="36"/>
      <c r="CM169" s="36"/>
      <c r="CN169" s="36"/>
      <c r="CO169" s="36"/>
      <c r="CP169" s="36"/>
      <c r="CQ169" s="36"/>
      <c r="CR169" s="36"/>
      <c r="CS169" s="36"/>
      <c r="CT169" s="36"/>
      <c r="CU169" s="36"/>
      <c r="CV169" s="36"/>
      <c r="CW169" s="36"/>
      <c r="CX169" s="36"/>
      <c r="CY169" s="36"/>
      <c r="CZ169" s="36"/>
      <c r="DA169" s="36"/>
      <c r="DB169" s="36"/>
      <c r="DC169" s="36"/>
      <c r="DD169" s="36"/>
      <c r="DE169" s="36"/>
      <c r="DF169" s="36"/>
      <c r="DG169" s="36"/>
      <c r="DH169" s="36"/>
      <c r="DI169" s="36"/>
      <c r="DJ169" s="36"/>
      <c r="DK169" s="36"/>
      <c r="DL169" s="36"/>
      <c r="DM169" s="36"/>
      <c r="DN169" s="36"/>
      <c r="DO169" s="36"/>
      <c r="DP169" s="36"/>
      <c r="DQ169" s="36"/>
      <c r="DR169" s="36"/>
      <c r="DS169" s="36"/>
      <c r="DT169" s="36"/>
      <c r="DU169" s="36"/>
      <c r="DV169" s="36"/>
      <c r="DW169" s="36"/>
      <c r="DX169" s="36"/>
      <c r="DY169" s="36"/>
      <c r="DZ169" s="36"/>
      <c r="EA169" s="36"/>
      <c r="EB169" s="36"/>
      <c r="EC169" s="36"/>
      <c r="ED169" s="36"/>
      <c r="EE169" s="36"/>
      <c r="EF169" s="36"/>
      <c r="EG169" s="36"/>
      <c r="EH169" s="36"/>
      <c r="EI169" s="36"/>
      <c r="EJ169" s="36"/>
      <c r="EK169" s="36"/>
      <c r="EL169" s="36"/>
      <c r="EM169" s="36"/>
      <c r="EN169" s="36"/>
      <c r="EO169" s="36"/>
      <c r="EP169" s="36"/>
      <c r="EQ169" s="36"/>
      <c r="ER169" s="36"/>
      <c r="ES169" s="36"/>
      <c r="ET169" s="36"/>
      <c r="EU169" s="36"/>
      <c r="EV169" s="36"/>
      <c r="EW169" s="36"/>
      <c r="EX169" s="36"/>
      <c r="EY169" s="36"/>
      <c r="EZ169" s="36"/>
      <c r="FA169" s="36"/>
      <c r="FB169" s="36"/>
      <c r="FC169" s="36"/>
      <c r="FD169" s="36"/>
      <c r="FE169" s="36"/>
    </row>
    <row r="170" spans="1:161" s="37" customFormat="1" ht="26.25" customHeight="1" x14ac:dyDescent="0.2">
      <c r="A170" s="456" t="s">
        <v>657</v>
      </c>
      <c r="B170" s="457">
        <v>3.6999999999999998E-2</v>
      </c>
      <c r="C170" s="458">
        <v>2.1000000000000001E-2</v>
      </c>
      <c r="D170" s="458">
        <v>2.1000000000000001E-2</v>
      </c>
      <c r="E170" s="458">
        <v>1.7000000000000001E-2</v>
      </c>
      <c r="F170" s="458">
        <v>0.06</v>
      </c>
      <c r="G170" s="458">
        <v>0.39640797040843601</v>
      </c>
      <c r="H170" s="458"/>
      <c r="I170" s="457">
        <v>3.6999999999999998E-2</v>
      </c>
      <c r="J170" s="458">
        <v>0.02</v>
      </c>
      <c r="K170" s="458">
        <v>0.02</v>
      </c>
      <c r="L170" s="459">
        <v>0.02</v>
      </c>
      <c r="M170" s="460"/>
      <c r="N170" s="458">
        <v>2.1000000000000001E-2</v>
      </c>
      <c r="O170" s="458">
        <v>3.6076420535548992E-2</v>
      </c>
      <c r="P170" s="458">
        <v>4.6262418799356178E-2</v>
      </c>
      <c r="Q170" s="458">
        <v>2.9000000000000001E-2</v>
      </c>
      <c r="R170" s="458">
        <v>0.32200000000000001</v>
      </c>
      <c r="S170" s="458">
        <v>0.11527377521613834</v>
      </c>
      <c r="T170" s="461">
        <v>2.1000000000000001E-2</v>
      </c>
      <c r="U170" s="458">
        <v>0.13100000000000001</v>
      </c>
      <c r="V170" s="459">
        <v>0.04</v>
      </c>
      <c r="W170" s="459"/>
      <c r="X170" s="87"/>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c r="CB170" s="36"/>
      <c r="CC170" s="36"/>
      <c r="CD170" s="36"/>
      <c r="CE170" s="36"/>
      <c r="CF170" s="36"/>
      <c r="CG170" s="36"/>
      <c r="CH170" s="36"/>
      <c r="CI170" s="36"/>
      <c r="CJ170" s="36"/>
      <c r="CK170" s="36"/>
      <c r="CL170" s="36"/>
      <c r="CM170" s="36"/>
      <c r="CN170" s="36"/>
      <c r="CO170" s="36"/>
      <c r="CP170" s="36"/>
      <c r="CQ170" s="36"/>
      <c r="CR170" s="36"/>
      <c r="CS170" s="36"/>
      <c r="CT170" s="36"/>
      <c r="CU170" s="36"/>
      <c r="CV170" s="36"/>
      <c r="CW170" s="36"/>
      <c r="CX170" s="36"/>
      <c r="CY170" s="36"/>
      <c r="CZ170" s="36"/>
      <c r="DA170" s="36"/>
      <c r="DB170" s="36"/>
      <c r="DC170" s="36"/>
      <c r="DD170" s="36"/>
      <c r="DE170" s="36"/>
      <c r="DF170" s="36"/>
      <c r="DG170" s="36"/>
      <c r="DH170" s="36"/>
      <c r="DI170" s="36"/>
      <c r="DJ170" s="36"/>
      <c r="DK170" s="36"/>
      <c r="DL170" s="36"/>
      <c r="DM170" s="36"/>
      <c r="DN170" s="36"/>
      <c r="DO170" s="36"/>
      <c r="DP170" s="36"/>
      <c r="DQ170" s="36"/>
      <c r="DR170" s="36"/>
      <c r="DS170" s="36"/>
      <c r="DT170" s="36"/>
      <c r="DU170" s="36"/>
      <c r="DV170" s="36"/>
      <c r="DW170" s="36"/>
      <c r="DX170" s="36"/>
      <c r="DY170" s="36"/>
      <c r="DZ170" s="36"/>
      <c r="EA170" s="36"/>
      <c r="EB170" s="36"/>
      <c r="EC170" s="36"/>
      <c r="ED170" s="36"/>
      <c r="EE170" s="36"/>
      <c r="EF170" s="36"/>
      <c r="EG170" s="36"/>
      <c r="EH170" s="36"/>
      <c r="EI170" s="36"/>
      <c r="EJ170" s="36"/>
      <c r="EK170" s="36"/>
      <c r="EL170" s="36"/>
      <c r="EM170" s="36"/>
      <c r="EN170" s="36"/>
      <c r="EO170" s="36"/>
      <c r="EP170" s="36"/>
      <c r="EQ170" s="36"/>
      <c r="ER170" s="36"/>
      <c r="ES170" s="36"/>
      <c r="ET170" s="36"/>
      <c r="EU170" s="36"/>
      <c r="EV170" s="36"/>
      <c r="EW170" s="36"/>
      <c r="EX170" s="36"/>
      <c r="EY170" s="36"/>
      <c r="EZ170" s="36"/>
      <c r="FA170" s="36"/>
      <c r="FB170" s="36"/>
      <c r="FC170" s="36"/>
      <c r="FD170" s="36"/>
      <c r="FE170" s="36"/>
    </row>
    <row r="171" spans="1:161" s="37" customFormat="1" ht="26.25" customHeight="1" x14ac:dyDescent="0.2">
      <c r="A171" s="69" t="s">
        <v>250</v>
      </c>
      <c r="B171" s="454">
        <v>2E-3</v>
      </c>
      <c r="C171" s="451">
        <v>2E-3</v>
      </c>
      <c r="D171" s="451">
        <v>2E-3</v>
      </c>
      <c r="E171" s="451">
        <v>2E-3</v>
      </c>
      <c r="F171" s="451">
        <v>0.06</v>
      </c>
      <c r="G171" s="451"/>
      <c r="H171" s="451"/>
      <c r="I171" s="454">
        <v>2E-3</v>
      </c>
      <c r="J171" s="451">
        <v>0.04</v>
      </c>
      <c r="K171" s="451">
        <v>0.03</v>
      </c>
      <c r="L171" s="452">
        <v>0.02</v>
      </c>
      <c r="M171" s="453"/>
      <c r="N171" s="451">
        <v>2E-3</v>
      </c>
      <c r="O171" s="451">
        <v>1.9500767857053513E-3</v>
      </c>
      <c r="P171" s="451">
        <v>2.5006712864516856E-3</v>
      </c>
      <c r="Q171" s="451">
        <v>3.0000000000000001E-3</v>
      </c>
      <c r="R171" s="451">
        <v>0.222</v>
      </c>
      <c r="S171" s="451">
        <v>0.11527377521613834</v>
      </c>
      <c r="T171" s="455">
        <v>2E-3</v>
      </c>
      <c r="U171" s="451">
        <v>1.6E-2</v>
      </c>
      <c r="V171" s="452">
        <v>0.02</v>
      </c>
      <c r="W171" s="452"/>
      <c r="X171" s="87"/>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c r="CB171" s="36"/>
      <c r="CC171" s="36"/>
      <c r="CD171" s="36"/>
      <c r="CE171" s="36"/>
      <c r="CF171" s="36"/>
      <c r="CG171" s="36"/>
      <c r="CH171" s="36"/>
      <c r="CI171" s="36"/>
      <c r="CJ171" s="36"/>
      <c r="CK171" s="36"/>
      <c r="CL171" s="36"/>
      <c r="CM171" s="36"/>
      <c r="CN171" s="36"/>
      <c r="CO171" s="36"/>
      <c r="CP171" s="36"/>
      <c r="CQ171" s="36"/>
      <c r="CR171" s="36"/>
      <c r="CS171" s="36"/>
      <c r="CT171" s="36"/>
      <c r="CU171" s="36"/>
      <c r="CV171" s="36"/>
      <c r="CW171" s="36"/>
      <c r="CX171" s="36"/>
      <c r="CY171" s="36"/>
      <c r="CZ171" s="36"/>
      <c r="DA171" s="36"/>
      <c r="DB171" s="36"/>
      <c r="DC171" s="36"/>
      <c r="DD171" s="36"/>
      <c r="DE171" s="36"/>
      <c r="DF171" s="36"/>
      <c r="DG171" s="36"/>
      <c r="DH171" s="36"/>
      <c r="DI171" s="36"/>
      <c r="DJ171" s="36"/>
      <c r="DK171" s="36"/>
      <c r="DL171" s="36"/>
      <c r="DM171" s="36"/>
      <c r="DN171" s="36"/>
      <c r="DO171" s="36"/>
      <c r="DP171" s="36"/>
      <c r="DQ171" s="36"/>
      <c r="DR171" s="36"/>
      <c r="DS171" s="36"/>
      <c r="DT171" s="36"/>
      <c r="DU171" s="36"/>
      <c r="DV171" s="36"/>
      <c r="DW171" s="36"/>
      <c r="DX171" s="36"/>
      <c r="DY171" s="36"/>
      <c r="DZ171" s="36"/>
      <c r="EA171" s="36"/>
      <c r="EB171" s="36"/>
      <c r="EC171" s="36"/>
      <c r="ED171" s="36"/>
      <c r="EE171" s="36"/>
      <c r="EF171" s="36"/>
      <c r="EG171" s="36"/>
      <c r="EH171" s="36"/>
      <c r="EI171" s="36"/>
      <c r="EJ171" s="36"/>
      <c r="EK171" s="36"/>
      <c r="EL171" s="36"/>
      <c r="EM171" s="36"/>
      <c r="EN171" s="36"/>
      <c r="EO171" s="36"/>
      <c r="EP171" s="36"/>
      <c r="EQ171" s="36"/>
      <c r="ER171" s="36"/>
      <c r="ES171" s="36"/>
      <c r="ET171" s="36"/>
      <c r="EU171" s="36"/>
      <c r="EV171" s="36"/>
      <c r="EW171" s="36"/>
      <c r="EX171" s="36"/>
      <c r="EY171" s="36"/>
      <c r="EZ171" s="36"/>
      <c r="FA171" s="36"/>
      <c r="FB171" s="36"/>
      <c r="FC171" s="36"/>
      <c r="FD171" s="36"/>
      <c r="FE171" s="36"/>
    </row>
    <row r="172" spans="1:161" s="37" customFormat="1" ht="26.25" customHeight="1" x14ac:dyDescent="0.2">
      <c r="A172" s="456" t="s">
        <v>251</v>
      </c>
      <c r="B172" s="457">
        <v>1E-3</v>
      </c>
      <c r="C172" s="458">
        <v>1E-3</v>
      </c>
      <c r="D172" s="458">
        <v>1E-3</v>
      </c>
      <c r="E172" s="458">
        <v>1E-3</v>
      </c>
      <c r="F172" s="458">
        <v>0.06</v>
      </c>
      <c r="G172" s="458"/>
      <c r="H172" s="458"/>
      <c r="I172" s="457">
        <v>1E-3</v>
      </c>
      <c r="J172" s="458">
        <v>0.08</v>
      </c>
      <c r="K172" s="458">
        <v>0.06</v>
      </c>
      <c r="L172" s="459">
        <v>0.04</v>
      </c>
      <c r="M172" s="460"/>
      <c r="N172" s="458">
        <v>1E-3</v>
      </c>
      <c r="O172" s="458">
        <v>1E-3</v>
      </c>
      <c r="P172" s="458">
        <v>1.2503356432258428E-3</v>
      </c>
      <c r="Q172" s="458">
        <v>1E-3</v>
      </c>
      <c r="R172" s="458">
        <v>0.222</v>
      </c>
      <c r="S172" s="458">
        <v>5.7636887608069169E-2</v>
      </c>
      <c r="T172" s="461">
        <v>1E-3</v>
      </c>
      <c r="U172" s="458">
        <v>8.0000000000000002E-3</v>
      </c>
      <c r="V172" s="459">
        <v>0.02</v>
      </c>
      <c r="W172" s="459">
        <v>1.4999999999999999E-2</v>
      </c>
      <c r="X172" s="87"/>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c r="CB172" s="36"/>
      <c r="CC172" s="36"/>
      <c r="CD172" s="36"/>
      <c r="CE172" s="36"/>
      <c r="CF172" s="36"/>
      <c r="CG172" s="36"/>
      <c r="CH172" s="36"/>
      <c r="CI172" s="36"/>
      <c r="CJ172" s="36"/>
      <c r="CK172" s="36"/>
      <c r="CL172" s="36"/>
      <c r="CM172" s="36"/>
      <c r="CN172" s="36"/>
      <c r="CO172" s="36"/>
      <c r="CP172" s="36"/>
      <c r="CQ172" s="36"/>
      <c r="CR172" s="36"/>
      <c r="CS172" s="36"/>
      <c r="CT172" s="36"/>
      <c r="CU172" s="36"/>
      <c r="CV172" s="36"/>
      <c r="CW172" s="36"/>
      <c r="CX172" s="36"/>
      <c r="CY172" s="36"/>
      <c r="CZ172" s="36"/>
      <c r="DA172" s="36"/>
      <c r="DB172" s="36"/>
      <c r="DC172" s="36"/>
      <c r="DD172" s="36"/>
      <c r="DE172" s="36"/>
      <c r="DF172" s="36"/>
      <c r="DG172" s="36"/>
      <c r="DH172" s="36"/>
      <c r="DI172" s="36"/>
      <c r="DJ172" s="36"/>
      <c r="DK172" s="36"/>
      <c r="DL172" s="36"/>
      <c r="DM172" s="36"/>
      <c r="DN172" s="36"/>
      <c r="DO172" s="36"/>
      <c r="DP172" s="36"/>
      <c r="DQ172" s="36"/>
      <c r="DR172" s="36"/>
      <c r="DS172" s="36"/>
      <c r="DT172" s="36"/>
      <c r="DU172" s="36"/>
      <c r="DV172" s="36"/>
      <c r="DW172" s="36"/>
      <c r="DX172" s="36"/>
      <c r="DY172" s="36"/>
      <c r="DZ172" s="36"/>
      <c r="EA172" s="36"/>
      <c r="EB172" s="36"/>
      <c r="EC172" s="36"/>
      <c r="ED172" s="36"/>
      <c r="EE172" s="36"/>
      <c r="EF172" s="36"/>
      <c r="EG172" s="36"/>
      <c r="EH172" s="36"/>
      <c r="EI172" s="36"/>
      <c r="EJ172" s="36"/>
      <c r="EK172" s="36"/>
      <c r="EL172" s="36"/>
      <c r="EM172" s="36"/>
      <c r="EN172" s="36"/>
      <c r="EO172" s="36"/>
      <c r="EP172" s="36"/>
      <c r="EQ172" s="36"/>
      <c r="ER172" s="36"/>
      <c r="ES172" s="36"/>
      <c r="ET172" s="36"/>
      <c r="EU172" s="36"/>
      <c r="EV172" s="36"/>
      <c r="EW172" s="36"/>
      <c r="EX172" s="36"/>
      <c r="EY172" s="36"/>
      <c r="EZ172" s="36"/>
      <c r="FA172" s="36"/>
      <c r="FB172" s="36"/>
      <c r="FC172" s="36"/>
      <c r="FD172" s="36"/>
      <c r="FE172" s="36"/>
    </row>
    <row r="173" spans="1:161" s="37" customFormat="1" ht="26.25" customHeight="1" x14ac:dyDescent="0.2">
      <c r="A173" s="69" t="s">
        <v>252</v>
      </c>
      <c r="B173" s="454">
        <v>0.33500000000000002</v>
      </c>
      <c r="C173" s="451">
        <v>0.35199999999999998</v>
      </c>
      <c r="D173" s="451"/>
      <c r="E173" s="451">
        <v>0.34100000000000003</v>
      </c>
      <c r="F173" s="451">
        <v>1.2</v>
      </c>
      <c r="G173" s="451"/>
      <c r="H173" s="451"/>
      <c r="I173" s="454">
        <v>0.33500000000000002</v>
      </c>
      <c r="J173" s="451">
        <v>4.34</v>
      </c>
      <c r="K173" s="451">
        <v>4.08</v>
      </c>
      <c r="L173" s="452">
        <v>0.28999999999999998</v>
      </c>
      <c r="M173" s="453"/>
      <c r="N173" s="451">
        <v>0.34699999999999998</v>
      </c>
      <c r="O173" s="451">
        <v>0.32663786160564634</v>
      </c>
      <c r="P173" s="451">
        <v>0.41886244048065735</v>
      </c>
      <c r="Q173" s="451"/>
      <c r="R173" s="451"/>
      <c r="S173" s="451">
        <v>0.11527377521613834</v>
      </c>
      <c r="T173" s="455">
        <v>0.34699999999999998</v>
      </c>
      <c r="U173" s="451">
        <v>6.6000000000000003E-2</v>
      </c>
      <c r="V173" s="452">
        <v>0.33</v>
      </c>
      <c r="W173" s="452">
        <v>2.1709999999999998</v>
      </c>
      <c r="X173" s="87"/>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c r="CB173" s="36"/>
      <c r="CC173" s="36"/>
      <c r="CD173" s="36"/>
      <c r="CE173" s="36"/>
      <c r="CF173" s="36"/>
      <c r="CG173" s="36"/>
      <c r="CH173" s="36"/>
      <c r="CI173" s="36"/>
      <c r="CJ173" s="36"/>
      <c r="CK173" s="36"/>
      <c r="CL173" s="36"/>
      <c r="CM173" s="36"/>
      <c r="CN173" s="36"/>
      <c r="CO173" s="36"/>
      <c r="CP173" s="36"/>
      <c r="CQ173" s="36"/>
      <c r="CR173" s="36"/>
      <c r="CS173" s="36"/>
      <c r="CT173" s="36"/>
      <c r="CU173" s="36"/>
      <c r="CV173" s="36"/>
      <c r="CW173" s="36"/>
      <c r="CX173" s="36"/>
      <c r="CY173" s="36"/>
      <c r="CZ173" s="36"/>
      <c r="DA173" s="36"/>
      <c r="DB173" s="36"/>
      <c r="DC173" s="36"/>
      <c r="DD173" s="36"/>
      <c r="DE173" s="36"/>
      <c r="DF173" s="36"/>
      <c r="DG173" s="36"/>
      <c r="DH173" s="36"/>
      <c r="DI173" s="36"/>
      <c r="DJ173" s="36"/>
      <c r="DK173" s="36"/>
      <c r="DL173" s="36"/>
      <c r="DM173" s="36"/>
      <c r="DN173" s="36"/>
      <c r="DO173" s="36"/>
      <c r="DP173" s="36"/>
      <c r="DQ173" s="36"/>
      <c r="DR173" s="36"/>
      <c r="DS173" s="36"/>
      <c r="DT173" s="36"/>
      <c r="DU173" s="36"/>
      <c r="DV173" s="36"/>
      <c r="DW173" s="36"/>
      <c r="DX173" s="36"/>
      <c r="DY173" s="36"/>
      <c r="DZ173" s="36"/>
      <c r="EA173" s="36"/>
      <c r="EB173" s="36"/>
      <c r="EC173" s="36"/>
      <c r="ED173" s="36"/>
      <c r="EE173" s="36"/>
      <c r="EF173" s="36"/>
      <c r="EG173" s="36"/>
      <c r="EH173" s="36"/>
      <c r="EI173" s="36"/>
      <c r="EJ173" s="36"/>
      <c r="EK173" s="36"/>
      <c r="EL173" s="36"/>
      <c r="EM173" s="36"/>
      <c r="EN173" s="36"/>
      <c r="EO173" s="36"/>
      <c r="EP173" s="36"/>
      <c r="EQ173" s="36"/>
      <c r="ER173" s="36"/>
      <c r="ES173" s="36"/>
      <c r="ET173" s="36"/>
      <c r="EU173" s="36"/>
      <c r="EV173" s="36"/>
      <c r="EW173" s="36"/>
      <c r="EX173" s="36"/>
      <c r="EY173" s="36"/>
      <c r="EZ173" s="36"/>
      <c r="FA173" s="36"/>
      <c r="FB173" s="36"/>
      <c r="FC173" s="36"/>
      <c r="FD173" s="36"/>
      <c r="FE173" s="36"/>
    </row>
    <row r="174" spans="1:161" s="37" customFormat="1" ht="26.25" customHeight="1" x14ac:dyDescent="0.2">
      <c r="A174" s="456" t="s">
        <v>306</v>
      </c>
      <c r="B174" s="457">
        <v>0.14199999999999999</v>
      </c>
      <c r="C174" s="458">
        <v>6.4000000000000001E-2</v>
      </c>
      <c r="D174" s="458">
        <v>6.3E-2</v>
      </c>
      <c r="E174" s="458">
        <v>5.0999999999999997E-2</v>
      </c>
      <c r="F174" s="458">
        <v>0.06</v>
      </c>
      <c r="G174" s="458">
        <v>0.39640797040843601</v>
      </c>
      <c r="H174" s="458"/>
      <c r="I174" s="457">
        <v>0.14199999999999999</v>
      </c>
      <c r="J174" s="458">
        <v>0.06</v>
      </c>
      <c r="K174" s="458">
        <v>7.0000000000000007E-2</v>
      </c>
      <c r="L174" s="459">
        <v>0.14000000000000001</v>
      </c>
      <c r="M174" s="460"/>
      <c r="N174" s="458">
        <v>6.3E-2</v>
      </c>
      <c r="O174" s="458">
        <v>0.13845545178507992</v>
      </c>
      <c r="P174" s="458">
        <v>0.17754766133806965</v>
      </c>
      <c r="Q174" s="458">
        <v>8.7999999999999995E-2</v>
      </c>
      <c r="R174" s="458">
        <v>0.60299999999999998</v>
      </c>
      <c r="S174" s="458">
        <v>0.345821325648415</v>
      </c>
      <c r="T174" s="461">
        <v>6.3E-2</v>
      </c>
      <c r="U174" s="458">
        <v>0.78600000000000003</v>
      </c>
      <c r="V174" s="459">
        <v>0.12</v>
      </c>
      <c r="W174" s="459">
        <v>0.33400000000000002</v>
      </c>
      <c r="X174" s="87"/>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c r="CB174" s="36"/>
      <c r="CC174" s="36"/>
      <c r="CD174" s="36"/>
      <c r="CE174" s="36"/>
      <c r="CF174" s="36"/>
      <c r="CG174" s="36"/>
      <c r="CH174" s="36"/>
      <c r="CI174" s="36"/>
      <c r="CJ174" s="36"/>
      <c r="CK174" s="36"/>
      <c r="CL174" s="36"/>
      <c r="CM174" s="36"/>
      <c r="CN174" s="36"/>
      <c r="CO174" s="36"/>
      <c r="CP174" s="36"/>
      <c r="CQ174" s="36"/>
      <c r="CR174" s="36"/>
      <c r="CS174" s="36"/>
      <c r="CT174" s="36"/>
      <c r="CU174" s="36"/>
      <c r="CV174" s="36"/>
      <c r="CW174" s="36"/>
      <c r="CX174" s="36"/>
      <c r="CY174" s="36"/>
      <c r="CZ174" s="36"/>
      <c r="DA174" s="36"/>
      <c r="DB174" s="36"/>
      <c r="DC174" s="36"/>
      <c r="DD174" s="36"/>
      <c r="DE174" s="36"/>
      <c r="DF174" s="36"/>
      <c r="DG174" s="36"/>
      <c r="DH174" s="36"/>
      <c r="DI174" s="36"/>
      <c r="DJ174" s="36"/>
      <c r="DK174" s="36"/>
      <c r="DL174" s="36"/>
      <c r="DM174" s="36"/>
      <c r="DN174" s="36"/>
      <c r="DO174" s="36"/>
      <c r="DP174" s="36"/>
      <c r="DQ174" s="36"/>
      <c r="DR174" s="36"/>
      <c r="DS174" s="36"/>
      <c r="DT174" s="36"/>
      <c r="DU174" s="36"/>
      <c r="DV174" s="36"/>
      <c r="DW174" s="36"/>
      <c r="DX174" s="36"/>
      <c r="DY174" s="36"/>
      <c r="DZ174" s="36"/>
      <c r="EA174" s="36"/>
      <c r="EB174" s="36"/>
      <c r="EC174" s="36"/>
      <c r="ED174" s="36"/>
      <c r="EE174" s="36"/>
      <c r="EF174" s="36"/>
      <c r="EG174" s="36"/>
      <c r="EH174" s="36"/>
      <c r="EI174" s="36"/>
      <c r="EJ174" s="36"/>
      <c r="EK174" s="36"/>
      <c r="EL174" s="36"/>
      <c r="EM174" s="36"/>
      <c r="EN174" s="36"/>
      <c r="EO174" s="36"/>
      <c r="EP174" s="36"/>
      <c r="EQ174" s="36"/>
      <c r="ER174" s="36"/>
      <c r="ES174" s="36"/>
      <c r="ET174" s="36"/>
      <c r="EU174" s="36"/>
      <c r="EV174" s="36"/>
      <c r="EW174" s="36"/>
      <c r="EX174" s="36"/>
      <c r="EY174" s="36"/>
      <c r="EZ174" s="36"/>
      <c r="FA174" s="36"/>
      <c r="FB174" s="36"/>
      <c r="FC174" s="36"/>
      <c r="FD174" s="36"/>
      <c r="FE174" s="36"/>
    </row>
    <row r="175" spans="1:161" s="37" customFormat="1" ht="26.25" customHeight="1" x14ac:dyDescent="0.2">
      <c r="A175" s="69" t="s">
        <v>253</v>
      </c>
      <c r="B175" s="454">
        <v>0.10299999999999999</v>
      </c>
      <c r="C175" s="451">
        <v>9.7000000000000003E-2</v>
      </c>
      <c r="D175" s="451">
        <v>9.7000000000000003E-2</v>
      </c>
      <c r="E175" s="451">
        <v>9.4E-2</v>
      </c>
      <c r="F175" s="451">
        <v>7.0000000000000007E-2</v>
      </c>
      <c r="G175" s="451">
        <v>0.5787685701721863</v>
      </c>
      <c r="H175" s="451"/>
      <c r="I175" s="454">
        <v>0.10299999999999999</v>
      </c>
      <c r="J175" s="451">
        <v>0.05</v>
      </c>
      <c r="K175" s="451">
        <v>0.05</v>
      </c>
      <c r="L175" s="452">
        <v>7.0000000000000007E-2</v>
      </c>
      <c r="M175" s="453"/>
      <c r="N175" s="451">
        <v>9.6000000000000002E-2</v>
      </c>
      <c r="O175" s="451">
        <v>0.10042895446382558</v>
      </c>
      <c r="P175" s="451">
        <v>0.12878457125226181</v>
      </c>
      <c r="Q175" s="451">
        <v>0.13300000000000001</v>
      </c>
      <c r="R175" s="451">
        <v>0.96099999999999997</v>
      </c>
      <c r="S175" s="451">
        <v>0.11527377521613834</v>
      </c>
      <c r="T175" s="455">
        <v>9.6000000000000002E-2</v>
      </c>
      <c r="U175" s="451">
        <v>0.26200000000000001</v>
      </c>
      <c r="V175" s="452">
        <v>0.1</v>
      </c>
      <c r="W175" s="452">
        <v>0.188</v>
      </c>
      <c r="X175" s="87"/>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c r="CB175" s="36"/>
      <c r="CC175" s="36"/>
      <c r="CD175" s="36"/>
      <c r="CE175" s="36"/>
      <c r="CF175" s="36"/>
      <c r="CG175" s="36"/>
      <c r="CH175" s="36"/>
      <c r="CI175" s="36"/>
      <c r="CJ175" s="36"/>
      <c r="CK175" s="36"/>
      <c r="CL175" s="36"/>
      <c r="CM175" s="36"/>
      <c r="CN175" s="36"/>
      <c r="CO175" s="36"/>
      <c r="CP175" s="36"/>
      <c r="CQ175" s="36"/>
      <c r="CR175" s="36"/>
      <c r="CS175" s="36"/>
      <c r="CT175" s="36"/>
      <c r="CU175" s="36"/>
      <c r="CV175" s="36"/>
      <c r="CW175" s="36"/>
      <c r="CX175" s="36"/>
      <c r="CY175" s="36"/>
      <c r="CZ175" s="36"/>
      <c r="DA175" s="36"/>
      <c r="DB175" s="36"/>
      <c r="DC175" s="36"/>
      <c r="DD175" s="36"/>
      <c r="DE175" s="36"/>
      <c r="DF175" s="36"/>
      <c r="DG175" s="36"/>
      <c r="DH175" s="36"/>
      <c r="DI175" s="36"/>
      <c r="DJ175" s="36"/>
      <c r="DK175" s="36"/>
      <c r="DL175" s="36"/>
      <c r="DM175" s="36"/>
      <c r="DN175" s="36"/>
      <c r="DO175" s="36"/>
      <c r="DP175" s="36"/>
      <c r="DQ175" s="36"/>
      <c r="DR175" s="36"/>
      <c r="DS175" s="36"/>
      <c r="DT175" s="36"/>
      <c r="DU175" s="36"/>
      <c r="DV175" s="36"/>
      <c r="DW175" s="36"/>
      <c r="DX175" s="36"/>
      <c r="DY175" s="36"/>
      <c r="DZ175" s="36"/>
      <c r="EA175" s="36"/>
      <c r="EB175" s="36"/>
      <c r="EC175" s="36"/>
      <c r="ED175" s="36"/>
      <c r="EE175" s="36"/>
      <c r="EF175" s="36"/>
      <c r="EG175" s="36"/>
      <c r="EH175" s="36"/>
      <c r="EI175" s="36"/>
      <c r="EJ175" s="36"/>
      <c r="EK175" s="36"/>
      <c r="EL175" s="36"/>
      <c r="EM175" s="36"/>
      <c r="EN175" s="36"/>
      <c r="EO175" s="36"/>
      <c r="EP175" s="36"/>
      <c r="EQ175" s="36"/>
      <c r="ER175" s="36"/>
      <c r="ES175" s="36"/>
      <c r="ET175" s="36"/>
      <c r="EU175" s="36"/>
      <c r="EV175" s="36"/>
      <c r="EW175" s="36"/>
      <c r="EX175" s="36"/>
      <c r="EY175" s="36"/>
      <c r="EZ175" s="36"/>
      <c r="FA175" s="36"/>
      <c r="FB175" s="36"/>
      <c r="FC175" s="36"/>
      <c r="FD175" s="36"/>
      <c r="FE175" s="36"/>
    </row>
    <row r="176" spans="1:161" s="37" customFormat="1" ht="26.25" customHeight="1" x14ac:dyDescent="0.2">
      <c r="A176" s="456" t="s">
        <v>254</v>
      </c>
      <c r="B176" s="457">
        <v>1E-3</v>
      </c>
      <c r="C176" s="458">
        <v>1E-3</v>
      </c>
      <c r="D176" s="458">
        <v>1E-3</v>
      </c>
      <c r="E176" s="458"/>
      <c r="F176" s="458">
        <v>0.06</v>
      </c>
      <c r="G176" s="458"/>
      <c r="H176" s="458"/>
      <c r="I176" s="457">
        <v>1E-3</v>
      </c>
      <c r="J176" s="458">
        <v>0.02</v>
      </c>
      <c r="K176" s="458">
        <v>0.02</v>
      </c>
      <c r="L176" s="459">
        <v>0.02</v>
      </c>
      <c r="M176" s="460"/>
      <c r="N176" s="458">
        <v>1E-3</v>
      </c>
      <c r="O176" s="458">
        <v>1E-3</v>
      </c>
      <c r="P176" s="458">
        <v>1.2503356432258428E-3</v>
      </c>
      <c r="Q176" s="458"/>
      <c r="R176" s="458"/>
      <c r="S176" s="458">
        <v>5.7636887608069169E-2</v>
      </c>
      <c r="T176" s="461">
        <v>1E-3</v>
      </c>
      <c r="U176" s="458"/>
      <c r="V176" s="459">
        <v>0.02</v>
      </c>
      <c r="W176" s="459">
        <v>1.4999999999999999E-2</v>
      </c>
      <c r="X176" s="87"/>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c r="CB176" s="36"/>
      <c r="CC176" s="36"/>
      <c r="CD176" s="36"/>
      <c r="CE176" s="36"/>
      <c r="CF176" s="36"/>
      <c r="CG176" s="36"/>
      <c r="CH176" s="36"/>
      <c r="CI176" s="36"/>
      <c r="CJ176" s="36"/>
      <c r="CK176" s="36"/>
      <c r="CL176" s="36"/>
      <c r="CM176" s="36"/>
      <c r="CN176" s="36"/>
      <c r="CO176" s="36"/>
      <c r="CP176" s="36"/>
      <c r="CQ176" s="36"/>
      <c r="CR176" s="36"/>
      <c r="CS176" s="36"/>
      <c r="CT176" s="36"/>
      <c r="CU176" s="36"/>
      <c r="CV176" s="36"/>
      <c r="CW176" s="36"/>
      <c r="CX176" s="36"/>
      <c r="CY176" s="36"/>
      <c r="CZ176" s="36"/>
      <c r="DA176" s="36"/>
      <c r="DB176" s="36"/>
      <c r="DC176" s="36"/>
      <c r="DD176" s="36"/>
      <c r="DE176" s="36"/>
      <c r="DF176" s="36"/>
      <c r="DG176" s="36"/>
      <c r="DH176" s="36"/>
      <c r="DI176" s="36"/>
      <c r="DJ176" s="36"/>
      <c r="DK176" s="36"/>
      <c r="DL176" s="36"/>
      <c r="DM176" s="36"/>
      <c r="DN176" s="36"/>
      <c r="DO176" s="36"/>
      <c r="DP176" s="36"/>
      <c r="DQ176" s="36"/>
      <c r="DR176" s="36"/>
      <c r="DS176" s="36"/>
      <c r="DT176" s="36"/>
      <c r="DU176" s="36"/>
      <c r="DV176" s="36"/>
      <c r="DW176" s="36"/>
      <c r="DX176" s="36"/>
      <c r="DY176" s="36"/>
      <c r="DZ176" s="36"/>
      <c r="EA176" s="36"/>
      <c r="EB176" s="36"/>
      <c r="EC176" s="36"/>
      <c r="ED176" s="36"/>
      <c r="EE176" s="36"/>
      <c r="EF176" s="36"/>
      <c r="EG176" s="36"/>
      <c r="EH176" s="36"/>
      <c r="EI176" s="36"/>
      <c r="EJ176" s="36"/>
      <c r="EK176" s="36"/>
      <c r="EL176" s="36"/>
      <c r="EM176" s="36"/>
      <c r="EN176" s="36"/>
      <c r="EO176" s="36"/>
      <c r="EP176" s="36"/>
      <c r="EQ176" s="36"/>
      <c r="ER176" s="36"/>
      <c r="ES176" s="36"/>
      <c r="ET176" s="36"/>
      <c r="EU176" s="36"/>
      <c r="EV176" s="36"/>
      <c r="EW176" s="36"/>
      <c r="EX176" s="36"/>
      <c r="EY176" s="36"/>
      <c r="EZ176" s="36"/>
      <c r="FA176" s="36"/>
      <c r="FB176" s="36"/>
      <c r="FC176" s="36"/>
      <c r="FD176" s="36"/>
      <c r="FE176" s="36"/>
    </row>
    <row r="177" spans="1:161" s="37" customFormat="1" ht="26.25" customHeight="1" x14ac:dyDescent="0.2">
      <c r="A177" s="69" t="s">
        <v>255</v>
      </c>
      <c r="B177" s="454">
        <v>1E-3</v>
      </c>
      <c r="C177" s="451"/>
      <c r="D177" s="451">
        <v>1E-3</v>
      </c>
      <c r="E177" s="451"/>
      <c r="F177" s="451">
        <v>0.06</v>
      </c>
      <c r="G177" s="451"/>
      <c r="H177" s="451"/>
      <c r="I177" s="454">
        <v>1E-3</v>
      </c>
      <c r="J177" s="451">
        <v>0.02</v>
      </c>
      <c r="K177" s="451">
        <v>0.02</v>
      </c>
      <c r="L177" s="452">
        <v>0.04</v>
      </c>
      <c r="M177" s="453"/>
      <c r="N177" s="451">
        <v>1E-3</v>
      </c>
      <c r="O177" s="451">
        <v>1E-3</v>
      </c>
      <c r="P177" s="451"/>
      <c r="Q177" s="451">
        <v>1E-3</v>
      </c>
      <c r="R177" s="451"/>
      <c r="S177" s="451">
        <v>5.7636887608069169E-2</v>
      </c>
      <c r="T177" s="455">
        <v>1E-3</v>
      </c>
      <c r="U177" s="451">
        <v>8.0000000000000002E-3</v>
      </c>
      <c r="V177" s="452">
        <v>0.02</v>
      </c>
      <c r="W177" s="452"/>
      <c r="X177" s="87"/>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c r="CB177" s="36"/>
      <c r="CC177" s="36"/>
      <c r="CD177" s="36"/>
      <c r="CE177" s="36"/>
      <c r="CF177" s="36"/>
      <c r="CG177" s="36"/>
      <c r="CH177" s="36"/>
      <c r="CI177" s="36"/>
      <c r="CJ177" s="36"/>
      <c r="CK177" s="36"/>
      <c r="CL177" s="36"/>
      <c r="CM177" s="36"/>
      <c r="CN177" s="36"/>
      <c r="CO177" s="36"/>
      <c r="CP177" s="36"/>
      <c r="CQ177" s="36"/>
      <c r="CR177" s="36"/>
      <c r="CS177" s="36"/>
      <c r="CT177" s="36"/>
      <c r="CU177" s="36"/>
      <c r="CV177" s="36"/>
      <c r="CW177" s="36"/>
      <c r="CX177" s="36"/>
      <c r="CY177" s="36"/>
      <c r="CZ177" s="36"/>
      <c r="DA177" s="36"/>
      <c r="DB177" s="36"/>
      <c r="DC177" s="36"/>
      <c r="DD177" s="36"/>
      <c r="DE177" s="36"/>
      <c r="DF177" s="36"/>
      <c r="DG177" s="36"/>
      <c r="DH177" s="36"/>
      <c r="DI177" s="36"/>
      <c r="DJ177" s="36"/>
      <c r="DK177" s="36"/>
      <c r="DL177" s="36"/>
      <c r="DM177" s="36"/>
      <c r="DN177" s="36"/>
      <c r="DO177" s="36"/>
      <c r="DP177" s="36"/>
      <c r="DQ177" s="36"/>
      <c r="DR177" s="36"/>
      <c r="DS177" s="36"/>
      <c r="DT177" s="36"/>
      <c r="DU177" s="36"/>
      <c r="DV177" s="36"/>
      <c r="DW177" s="36"/>
      <c r="DX177" s="36"/>
      <c r="DY177" s="36"/>
      <c r="DZ177" s="36"/>
      <c r="EA177" s="36"/>
      <c r="EB177" s="36"/>
      <c r="EC177" s="36"/>
      <c r="ED177" s="36"/>
      <c r="EE177" s="36"/>
      <c r="EF177" s="36"/>
      <c r="EG177" s="36"/>
      <c r="EH177" s="36"/>
      <c r="EI177" s="36"/>
      <c r="EJ177" s="36"/>
      <c r="EK177" s="36"/>
      <c r="EL177" s="36"/>
      <c r="EM177" s="36"/>
      <c r="EN177" s="36"/>
      <c r="EO177" s="36"/>
      <c r="EP177" s="36"/>
      <c r="EQ177" s="36"/>
      <c r="ER177" s="36"/>
      <c r="ES177" s="36"/>
      <c r="ET177" s="36"/>
      <c r="EU177" s="36"/>
      <c r="EV177" s="36"/>
      <c r="EW177" s="36"/>
      <c r="EX177" s="36"/>
      <c r="EY177" s="36"/>
      <c r="EZ177" s="36"/>
      <c r="FA177" s="36"/>
      <c r="FB177" s="36"/>
      <c r="FC177" s="36"/>
      <c r="FD177" s="36"/>
      <c r="FE177" s="36"/>
    </row>
    <row r="178" spans="1:161" s="37" customFormat="1" ht="26.25" customHeight="1" x14ac:dyDescent="0.2">
      <c r="A178" s="456" t="s">
        <v>256</v>
      </c>
      <c r="B178" s="457">
        <v>0.38500000000000001</v>
      </c>
      <c r="C178" s="458">
        <v>0.29399999999999998</v>
      </c>
      <c r="D178" s="458">
        <v>0.29199999999999998</v>
      </c>
      <c r="E178" s="458">
        <v>0.23499999999999999</v>
      </c>
      <c r="F178" s="458">
        <v>0.45</v>
      </c>
      <c r="G178" s="458">
        <v>2.932858534734736</v>
      </c>
      <c r="H178" s="458"/>
      <c r="I178" s="457">
        <v>0.38500000000000001</v>
      </c>
      <c r="J178" s="458">
        <v>0.11</v>
      </c>
      <c r="K178" s="458">
        <v>0.11</v>
      </c>
      <c r="L178" s="459">
        <v>1.1499999999999999</v>
      </c>
      <c r="M178" s="460"/>
      <c r="N178" s="458">
        <v>0.28999999999999998</v>
      </c>
      <c r="O178" s="458">
        <v>0.3753897812482801</v>
      </c>
      <c r="P178" s="458">
        <v>0.48137922264194949</v>
      </c>
      <c r="Q178" s="458">
        <v>0.40300000000000002</v>
      </c>
      <c r="R178" s="458">
        <v>1.2869999999999999</v>
      </c>
      <c r="S178" s="458">
        <v>1.1527377521613833</v>
      </c>
      <c r="T178" s="461">
        <v>0.28999999999999998</v>
      </c>
      <c r="U178" s="458">
        <v>1.964</v>
      </c>
      <c r="V178" s="459">
        <v>0.38</v>
      </c>
      <c r="W178" s="459">
        <v>0.55200000000000005</v>
      </c>
      <c r="X178" s="87"/>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c r="CB178" s="36"/>
      <c r="CC178" s="36"/>
      <c r="CD178" s="36"/>
      <c r="CE178" s="36"/>
      <c r="CF178" s="36"/>
      <c r="CG178" s="36"/>
      <c r="CH178" s="36"/>
      <c r="CI178" s="36"/>
      <c r="CJ178" s="36"/>
      <c r="CK178" s="36"/>
      <c r="CL178" s="36"/>
      <c r="CM178" s="36"/>
      <c r="CN178" s="36"/>
      <c r="CO178" s="36"/>
      <c r="CP178" s="36"/>
      <c r="CQ178" s="36"/>
      <c r="CR178" s="36"/>
      <c r="CS178" s="36"/>
      <c r="CT178" s="36"/>
      <c r="CU178" s="36"/>
      <c r="CV178" s="36"/>
      <c r="CW178" s="36"/>
      <c r="CX178" s="36"/>
      <c r="CY178" s="36"/>
      <c r="CZ178" s="36"/>
      <c r="DA178" s="36"/>
      <c r="DB178" s="36"/>
      <c r="DC178" s="36"/>
      <c r="DD178" s="36"/>
      <c r="DE178" s="36"/>
      <c r="DF178" s="36"/>
      <c r="DG178" s="36"/>
      <c r="DH178" s="36"/>
      <c r="DI178" s="36"/>
      <c r="DJ178" s="36"/>
      <c r="DK178" s="36"/>
      <c r="DL178" s="36"/>
      <c r="DM178" s="36"/>
      <c r="DN178" s="36"/>
      <c r="DO178" s="36"/>
      <c r="DP178" s="36"/>
      <c r="DQ178" s="36"/>
      <c r="DR178" s="36"/>
      <c r="DS178" s="36"/>
      <c r="DT178" s="36"/>
      <c r="DU178" s="36"/>
      <c r="DV178" s="36"/>
      <c r="DW178" s="36"/>
      <c r="DX178" s="36"/>
      <c r="DY178" s="36"/>
      <c r="DZ178" s="36"/>
      <c r="EA178" s="36"/>
      <c r="EB178" s="36"/>
      <c r="EC178" s="36"/>
      <c r="ED178" s="36"/>
      <c r="EE178" s="36"/>
      <c r="EF178" s="36"/>
      <c r="EG178" s="36"/>
      <c r="EH178" s="36"/>
      <c r="EI178" s="36"/>
      <c r="EJ178" s="36"/>
      <c r="EK178" s="36"/>
      <c r="EL178" s="36"/>
      <c r="EM178" s="36"/>
      <c r="EN178" s="36"/>
      <c r="EO178" s="36"/>
      <c r="EP178" s="36"/>
      <c r="EQ178" s="36"/>
      <c r="ER178" s="36"/>
      <c r="ES178" s="36"/>
      <c r="ET178" s="36"/>
      <c r="EU178" s="36"/>
      <c r="EV178" s="36"/>
      <c r="EW178" s="36"/>
      <c r="EX178" s="36"/>
      <c r="EY178" s="36"/>
      <c r="EZ178" s="36"/>
      <c r="FA178" s="36"/>
      <c r="FB178" s="36"/>
      <c r="FC178" s="36"/>
      <c r="FD178" s="36"/>
      <c r="FE178" s="36"/>
    </row>
    <row r="179" spans="1:161" s="37" customFormat="1" ht="26.25" customHeight="1" x14ac:dyDescent="0.2">
      <c r="A179" s="69" t="s">
        <v>257</v>
      </c>
      <c r="B179" s="454">
        <v>3.177</v>
      </c>
      <c r="C179" s="451">
        <v>3.0089999999999999</v>
      </c>
      <c r="D179" s="451">
        <v>2.9830000000000001</v>
      </c>
      <c r="E179" s="451">
        <v>2.923</v>
      </c>
      <c r="F179" s="451">
        <v>2.2999999999999998</v>
      </c>
      <c r="G179" s="451"/>
      <c r="H179" s="451"/>
      <c r="I179" s="454">
        <v>3.1779999999999999</v>
      </c>
      <c r="J179" s="451">
        <v>0.75</v>
      </c>
      <c r="K179" s="451">
        <v>0.8</v>
      </c>
      <c r="L179" s="452">
        <v>2.87</v>
      </c>
      <c r="M179" s="453"/>
      <c r="N179" s="451">
        <v>2.9689999999999999</v>
      </c>
      <c r="O179" s="451">
        <v>3.0976969740929503</v>
      </c>
      <c r="P179" s="451">
        <v>3.9723163385285027</v>
      </c>
      <c r="Q179" s="451">
        <v>4.125</v>
      </c>
      <c r="R179" s="451">
        <v>2.8359999999999999</v>
      </c>
      <c r="S179" s="451">
        <v>2.8818443804034581</v>
      </c>
      <c r="T179" s="455">
        <v>2.9681999999999999</v>
      </c>
      <c r="U179" s="451">
        <v>2.6179999999999999</v>
      </c>
      <c r="V179" s="452">
        <v>3.13</v>
      </c>
      <c r="W179" s="452">
        <v>2.649</v>
      </c>
      <c r="X179" s="87"/>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c r="CB179" s="36"/>
      <c r="CC179" s="36"/>
      <c r="CD179" s="36"/>
      <c r="CE179" s="36"/>
      <c r="CF179" s="36"/>
      <c r="CG179" s="36"/>
      <c r="CH179" s="36"/>
      <c r="CI179" s="36"/>
      <c r="CJ179" s="36"/>
      <c r="CK179" s="36"/>
      <c r="CL179" s="36"/>
      <c r="CM179" s="36"/>
      <c r="CN179" s="36"/>
      <c r="CO179" s="36"/>
      <c r="CP179" s="36"/>
      <c r="CQ179" s="36"/>
      <c r="CR179" s="36"/>
      <c r="CS179" s="36"/>
      <c r="CT179" s="36"/>
      <c r="CU179" s="36"/>
      <c r="CV179" s="36"/>
      <c r="CW179" s="36"/>
      <c r="CX179" s="36"/>
      <c r="CY179" s="36"/>
      <c r="CZ179" s="36"/>
      <c r="DA179" s="36"/>
      <c r="DB179" s="36"/>
      <c r="DC179" s="36"/>
      <c r="DD179" s="36"/>
      <c r="DE179" s="36"/>
      <c r="DF179" s="36"/>
      <c r="DG179" s="36"/>
      <c r="DH179" s="36"/>
      <c r="DI179" s="36"/>
      <c r="DJ179" s="36"/>
      <c r="DK179" s="36"/>
      <c r="DL179" s="36"/>
      <c r="DM179" s="36"/>
      <c r="DN179" s="36"/>
      <c r="DO179" s="36"/>
      <c r="DP179" s="36"/>
      <c r="DQ179" s="36"/>
      <c r="DR179" s="36"/>
      <c r="DS179" s="36"/>
      <c r="DT179" s="36"/>
      <c r="DU179" s="36"/>
      <c r="DV179" s="36"/>
      <c r="DW179" s="36"/>
      <c r="DX179" s="36"/>
      <c r="DY179" s="36"/>
      <c r="DZ179" s="36"/>
      <c r="EA179" s="36"/>
      <c r="EB179" s="36"/>
      <c r="EC179" s="36"/>
      <c r="ED179" s="36"/>
      <c r="EE179" s="36"/>
      <c r="EF179" s="36"/>
      <c r="EG179" s="36"/>
      <c r="EH179" s="36"/>
      <c r="EI179" s="36"/>
      <c r="EJ179" s="36"/>
      <c r="EK179" s="36"/>
      <c r="EL179" s="36"/>
      <c r="EM179" s="36"/>
      <c r="EN179" s="36"/>
      <c r="EO179" s="36"/>
      <c r="EP179" s="36"/>
      <c r="EQ179" s="36"/>
      <c r="ER179" s="36"/>
      <c r="ES179" s="36"/>
      <c r="ET179" s="36"/>
      <c r="EU179" s="36"/>
      <c r="EV179" s="36"/>
      <c r="EW179" s="36"/>
      <c r="EX179" s="36"/>
      <c r="EY179" s="36"/>
      <c r="EZ179" s="36"/>
      <c r="FA179" s="36"/>
      <c r="FB179" s="36"/>
      <c r="FC179" s="36"/>
      <c r="FD179" s="36"/>
      <c r="FE179" s="36"/>
    </row>
    <row r="180" spans="1:161" s="37" customFormat="1" ht="26.25" customHeight="1" x14ac:dyDescent="0.2">
      <c r="A180" s="456" t="s">
        <v>258</v>
      </c>
      <c r="B180" s="457">
        <v>1.9E-2</v>
      </c>
      <c r="C180" s="458">
        <v>1.6E-2</v>
      </c>
      <c r="D180" s="458">
        <v>1.6E-2</v>
      </c>
      <c r="E180" s="458">
        <v>1.2999999999999999E-2</v>
      </c>
      <c r="F180" s="458">
        <v>0.08</v>
      </c>
      <c r="G180" s="458">
        <v>0.39640797040843601</v>
      </c>
      <c r="H180" s="458">
        <v>0.51091819954873996</v>
      </c>
      <c r="I180" s="457">
        <v>1.9E-2</v>
      </c>
      <c r="J180" s="458">
        <v>0.03</v>
      </c>
      <c r="K180" s="458">
        <v>0.04</v>
      </c>
      <c r="L180" s="459">
        <v>0.14000000000000001</v>
      </c>
      <c r="M180" s="460"/>
      <c r="N180" s="458">
        <v>1.6E-2</v>
      </c>
      <c r="O180" s="458">
        <v>1.8525729464200835E-2</v>
      </c>
      <c r="P180" s="458">
        <v>2.3756377221291012E-2</v>
      </c>
      <c r="Q180" s="458">
        <v>2.1999999999999999E-2</v>
      </c>
      <c r="R180" s="458">
        <v>0.26600000000000001</v>
      </c>
      <c r="S180" s="458">
        <v>0.345821325648415</v>
      </c>
      <c r="T180" s="461">
        <v>1.6E-2</v>
      </c>
      <c r="U180" s="458">
        <v>1.6E-2</v>
      </c>
      <c r="V180" s="459">
        <v>0.02</v>
      </c>
      <c r="W180" s="459">
        <v>7.2999999999999995E-2</v>
      </c>
      <c r="X180" s="87"/>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c r="CM180" s="36"/>
      <c r="CN180" s="36"/>
      <c r="CO180" s="36"/>
      <c r="CP180" s="36"/>
      <c r="CQ180" s="36"/>
      <c r="CR180" s="36"/>
      <c r="CS180" s="36"/>
      <c r="CT180" s="36"/>
      <c r="CU180" s="36"/>
      <c r="CV180" s="36"/>
      <c r="CW180" s="36"/>
      <c r="CX180" s="36"/>
      <c r="CY180" s="36"/>
      <c r="CZ180" s="36"/>
      <c r="DA180" s="36"/>
      <c r="DB180" s="36"/>
      <c r="DC180" s="36"/>
      <c r="DD180" s="36"/>
      <c r="DE180" s="36"/>
      <c r="DF180" s="36"/>
      <c r="DG180" s="36"/>
      <c r="DH180" s="36"/>
      <c r="DI180" s="36"/>
      <c r="DJ180" s="36"/>
      <c r="DK180" s="36"/>
      <c r="DL180" s="36"/>
      <c r="DM180" s="36"/>
      <c r="DN180" s="36"/>
      <c r="DO180" s="36"/>
      <c r="DP180" s="36"/>
      <c r="DQ180" s="36"/>
      <c r="DR180" s="36"/>
      <c r="DS180" s="36"/>
      <c r="DT180" s="36"/>
      <c r="DU180" s="36"/>
      <c r="DV180" s="36"/>
      <c r="DW180" s="36"/>
      <c r="DX180" s="36"/>
      <c r="DY180" s="36"/>
      <c r="DZ180" s="36"/>
      <c r="EA180" s="36"/>
      <c r="EB180" s="36"/>
      <c r="EC180" s="36"/>
      <c r="ED180" s="36"/>
      <c r="EE180" s="36"/>
      <c r="EF180" s="36"/>
      <c r="EG180" s="36"/>
      <c r="EH180" s="36"/>
      <c r="EI180" s="36"/>
      <c r="EJ180" s="36"/>
      <c r="EK180" s="36"/>
      <c r="EL180" s="36"/>
      <c r="EM180" s="36"/>
      <c r="EN180" s="36"/>
      <c r="EO180" s="36"/>
      <c r="EP180" s="36"/>
      <c r="EQ180" s="36"/>
      <c r="ER180" s="36"/>
      <c r="ES180" s="36"/>
      <c r="ET180" s="36"/>
      <c r="EU180" s="36"/>
      <c r="EV180" s="36"/>
      <c r="EW180" s="36"/>
      <c r="EX180" s="36"/>
      <c r="EY180" s="36"/>
      <c r="EZ180" s="36"/>
      <c r="FA180" s="36"/>
      <c r="FB180" s="36"/>
      <c r="FC180" s="36"/>
      <c r="FD180" s="36"/>
      <c r="FE180" s="36"/>
    </row>
    <row r="181" spans="1:161" s="37" customFormat="1" ht="26.25" customHeight="1" x14ac:dyDescent="0.2">
      <c r="A181" s="69" t="s">
        <v>259</v>
      </c>
      <c r="B181" s="454">
        <v>0.01</v>
      </c>
      <c r="C181" s="451">
        <v>0.01</v>
      </c>
      <c r="D181" s="451">
        <v>0.01</v>
      </c>
      <c r="E181" s="451">
        <v>8.0000000000000002E-3</v>
      </c>
      <c r="F181" s="451">
        <v>0.06</v>
      </c>
      <c r="G181" s="451">
        <v>0.39640797040843601</v>
      </c>
      <c r="H181" s="451">
        <v>0.19121190102872002</v>
      </c>
      <c r="I181" s="454">
        <v>0.01</v>
      </c>
      <c r="J181" s="451">
        <v>0.02</v>
      </c>
      <c r="K181" s="451">
        <v>0.02</v>
      </c>
      <c r="L181" s="452">
        <v>0.02</v>
      </c>
      <c r="M181" s="453"/>
      <c r="N181" s="451">
        <v>0.01</v>
      </c>
      <c r="O181" s="451">
        <v>9.7503839285267551E-3</v>
      </c>
      <c r="P181" s="451">
        <v>0.01</v>
      </c>
      <c r="Q181" s="451">
        <v>0.01</v>
      </c>
      <c r="R181" s="451">
        <v>0.222</v>
      </c>
      <c r="S181" s="451">
        <v>5.7636887608069169E-2</v>
      </c>
      <c r="T181" s="455">
        <v>0.01</v>
      </c>
      <c r="U181" s="451">
        <v>8.0000000000000002E-3</v>
      </c>
      <c r="V181" s="452">
        <v>0.02</v>
      </c>
      <c r="W181" s="452"/>
      <c r="X181" s="87"/>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c r="CB181" s="36"/>
      <c r="CC181" s="36"/>
      <c r="CD181" s="36"/>
      <c r="CE181" s="36"/>
      <c r="CF181" s="36"/>
      <c r="CG181" s="36"/>
      <c r="CH181" s="36"/>
      <c r="CI181" s="36"/>
      <c r="CJ181" s="36"/>
      <c r="CK181" s="36"/>
      <c r="CL181" s="36"/>
      <c r="CM181" s="36"/>
      <c r="CN181" s="36"/>
      <c r="CO181" s="36"/>
      <c r="CP181" s="36"/>
      <c r="CQ181" s="36"/>
      <c r="CR181" s="36"/>
      <c r="CS181" s="36"/>
      <c r="CT181" s="36"/>
      <c r="CU181" s="36"/>
      <c r="CV181" s="36"/>
      <c r="CW181" s="36"/>
      <c r="CX181" s="36"/>
      <c r="CY181" s="36"/>
      <c r="CZ181" s="36"/>
      <c r="DA181" s="36"/>
      <c r="DB181" s="36"/>
      <c r="DC181" s="36"/>
      <c r="DD181" s="36"/>
      <c r="DE181" s="36"/>
      <c r="DF181" s="36"/>
      <c r="DG181" s="36"/>
      <c r="DH181" s="36"/>
      <c r="DI181" s="36"/>
      <c r="DJ181" s="36"/>
      <c r="DK181" s="36"/>
      <c r="DL181" s="36"/>
      <c r="DM181" s="36"/>
      <c r="DN181" s="36"/>
      <c r="DO181" s="36"/>
      <c r="DP181" s="36"/>
      <c r="DQ181" s="36"/>
      <c r="DR181" s="36"/>
      <c r="DS181" s="36"/>
      <c r="DT181" s="36"/>
      <c r="DU181" s="36"/>
      <c r="DV181" s="36"/>
      <c r="DW181" s="36"/>
      <c r="DX181" s="36"/>
      <c r="DY181" s="36"/>
      <c r="DZ181" s="36"/>
      <c r="EA181" s="36"/>
      <c r="EB181" s="36"/>
      <c r="EC181" s="36"/>
      <c r="ED181" s="36"/>
      <c r="EE181" s="36"/>
      <c r="EF181" s="36"/>
      <c r="EG181" s="36"/>
      <c r="EH181" s="36"/>
      <c r="EI181" s="36"/>
      <c r="EJ181" s="36"/>
      <c r="EK181" s="36"/>
      <c r="EL181" s="36"/>
      <c r="EM181" s="36"/>
      <c r="EN181" s="36"/>
      <c r="EO181" s="36"/>
      <c r="EP181" s="36"/>
      <c r="EQ181" s="36"/>
      <c r="ER181" s="36"/>
      <c r="ES181" s="36"/>
      <c r="ET181" s="36"/>
      <c r="EU181" s="36"/>
      <c r="EV181" s="36"/>
      <c r="EW181" s="36"/>
      <c r="EX181" s="36"/>
      <c r="EY181" s="36"/>
      <c r="EZ181" s="36"/>
      <c r="FA181" s="36"/>
      <c r="FB181" s="36"/>
      <c r="FC181" s="36"/>
      <c r="FD181" s="36"/>
      <c r="FE181" s="36"/>
    </row>
    <row r="182" spans="1:161" s="37" customFormat="1" ht="26.25" customHeight="1" x14ac:dyDescent="0.2">
      <c r="A182" s="456" t="s">
        <v>260</v>
      </c>
      <c r="B182" s="457">
        <v>3.0000000000000001E-3</v>
      </c>
      <c r="C182" s="458">
        <v>1E-3</v>
      </c>
      <c r="D182" s="458">
        <v>1E-3</v>
      </c>
      <c r="E182" s="458"/>
      <c r="F182" s="458">
        <v>0.06</v>
      </c>
      <c r="G182" s="458"/>
      <c r="H182" s="458"/>
      <c r="I182" s="457">
        <v>3.0000000000000001E-3</v>
      </c>
      <c r="J182" s="458">
        <v>0.02</v>
      </c>
      <c r="K182" s="458">
        <v>0.02</v>
      </c>
      <c r="L182" s="459">
        <v>7.0000000000000007E-2</v>
      </c>
      <c r="M182" s="460">
        <v>4.4999999999999998E-2</v>
      </c>
      <c r="N182" s="458">
        <v>1E-3</v>
      </c>
      <c r="O182" s="458">
        <v>2.9251151785580267E-3</v>
      </c>
      <c r="P182" s="458">
        <v>3.7510069296775284E-3</v>
      </c>
      <c r="Q182" s="458">
        <v>1E-3</v>
      </c>
      <c r="R182" s="458"/>
      <c r="S182" s="458">
        <v>0.11527377521613834</v>
      </c>
      <c r="T182" s="461">
        <v>1E-3</v>
      </c>
      <c r="U182" s="458">
        <v>1.6E-2</v>
      </c>
      <c r="V182" s="459">
        <v>0.02</v>
      </c>
      <c r="W182" s="459">
        <v>1.4999999999999999E-2</v>
      </c>
      <c r="X182" s="87"/>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c r="CB182" s="36"/>
      <c r="CC182" s="36"/>
      <c r="CD182" s="36"/>
      <c r="CE182" s="36"/>
      <c r="CF182" s="36"/>
      <c r="CG182" s="36"/>
      <c r="CH182" s="36"/>
      <c r="CI182" s="36"/>
      <c r="CJ182" s="36"/>
      <c r="CK182" s="36"/>
      <c r="CL182" s="36"/>
      <c r="CM182" s="36"/>
      <c r="CN182" s="36"/>
      <c r="CO182" s="36"/>
      <c r="CP182" s="36"/>
      <c r="CQ182" s="36"/>
      <c r="CR182" s="36"/>
      <c r="CS182" s="36"/>
      <c r="CT182" s="36"/>
      <c r="CU182" s="36"/>
      <c r="CV182" s="36"/>
      <c r="CW182" s="36"/>
      <c r="CX182" s="36"/>
      <c r="CY182" s="36"/>
      <c r="CZ182" s="36"/>
      <c r="DA182" s="36"/>
      <c r="DB182" s="36"/>
      <c r="DC182" s="36"/>
      <c r="DD182" s="36"/>
      <c r="DE182" s="36"/>
      <c r="DF182" s="36"/>
      <c r="DG182" s="36"/>
      <c r="DH182" s="36"/>
      <c r="DI182" s="36"/>
      <c r="DJ182" s="36"/>
      <c r="DK182" s="36"/>
      <c r="DL182" s="36"/>
      <c r="DM182" s="36"/>
      <c r="DN182" s="36"/>
      <c r="DO182" s="36"/>
      <c r="DP182" s="36"/>
      <c r="DQ182" s="36"/>
      <c r="DR182" s="36"/>
      <c r="DS182" s="36"/>
      <c r="DT182" s="36"/>
      <c r="DU182" s="36"/>
      <c r="DV182" s="36"/>
      <c r="DW182" s="36"/>
      <c r="DX182" s="36"/>
      <c r="DY182" s="36"/>
      <c r="DZ182" s="36"/>
      <c r="EA182" s="36"/>
      <c r="EB182" s="36"/>
      <c r="EC182" s="36"/>
      <c r="ED182" s="36"/>
      <c r="EE182" s="36"/>
      <c r="EF182" s="36"/>
      <c r="EG182" s="36"/>
      <c r="EH182" s="36"/>
      <c r="EI182" s="36"/>
      <c r="EJ182" s="36"/>
      <c r="EK182" s="36"/>
      <c r="EL182" s="36"/>
      <c r="EM182" s="36"/>
      <c r="EN182" s="36"/>
      <c r="EO182" s="36"/>
      <c r="EP182" s="36"/>
      <c r="EQ182" s="36"/>
      <c r="ER182" s="36"/>
      <c r="ES182" s="36"/>
      <c r="ET182" s="36"/>
      <c r="EU182" s="36"/>
      <c r="EV182" s="36"/>
      <c r="EW182" s="36"/>
      <c r="EX182" s="36"/>
      <c r="EY182" s="36"/>
      <c r="EZ182" s="36"/>
      <c r="FA182" s="36"/>
      <c r="FB182" s="36"/>
      <c r="FC182" s="36"/>
      <c r="FD182" s="36"/>
      <c r="FE182" s="36"/>
    </row>
    <row r="183" spans="1:161" s="37" customFormat="1" ht="26.25" customHeight="1" x14ac:dyDescent="0.2">
      <c r="A183" s="69" t="s">
        <v>261</v>
      </c>
      <c r="B183" s="454">
        <v>3.0000000000000001E-3</v>
      </c>
      <c r="C183" s="451">
        <v>2E-3</v>
      </c>
      <c r="D183" s="451">
        <v>2E-3</v>
      </c>
      <c r="E183" s="451"/>
      <c r="F183" s="451">
        <v>0.06</v>
      </c>
      <c r="G183" s="451"/>
      <c r="H183" s="451"/>
      <c r="I183" s="454">
        <v>3.0000000000000001E-3</v>
      </c>
      <c r="J183" s="451"/>
      <c r="K183" s="451"/>
      <c r="L183" s="452">
        <v>0.04</v>
      </c>
      <c r="M183" s="453"/>
      <c r="N183" s="451">
        <v>2E-3</v>
      </c>
      <c r="O183" s="451">
        <v>2.9251151785580267E-3</v>
      </c>
      <c r="P183" s="451">
        <v>3.7510069296775284E-3</v>
      </c>
      <c r="Q183" s="451">
        <v>3.0000000000000001E-3</v>
      </c>
      <c r="R183" s="451">
        <v>0.23699999999999999</v>
      </c>
      <c r="S183" s="451">
        <v>0.11527377521613834</v>
      </c>
      <c r="T183" s="455">
        <v>2E-3</v>
      </c>
      <c r="U183" s="451">
        <v>1.6E-2</v>
      </c>
      <c r="V183" s="452">
        <v>0.02</v>
      </c>
      <c r="W183" s="452">
        <v>1.7000000000000001E-2</v>
      </c>
      <c r="X183" s="87"/>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c r="CB183" s="36"/>
      <c r="CC183" s="36"/>
      <c r="CD183" s="36"/>
      <c r="CE183" s="36"/>
      <c r="CF183" s="36"/>
      <c r="CG183" s="36"/>
      <c r="CH183" s="36"/>
      <c r="CI183" s="36"/>
      <c r="CJ183" s="36"/>
      <c r="CK183" s="36"/>
      <c r="CL183" s="36"/>
      <c r="CM183" s="36"/>
      <c r="CN183" s="36"/>
      <c r="CO183" s="36"/>
      <c r="CP183" s="36"/>
      <c r="CQ183" s="36"/>
      <c r="CR183" s="36"/>
      <c r="CS183" s="36"/>
      <c r="CT183" s="36"/>
      <c r="CU183" s="36"/>
      <c r="CV183" s="36"/>
      <c r="CW183" s="36"/>
      <c r="CX183" s="36"/>
      <c r="CY183" s="36"/>
      <c r="CZ183" s="36"/>
      <c r="DA183" s="36"/>
      <c r="DB183" s="36"/>
      <c r="DC183" s="36"/>
      <c r="DD183" s="36"/>
      <c r="DE183" s="36"/>
      <c r="DF183" s="36"/>
      <c r="DG183" s="36"/>
      <c r="DH183" s="36"/>
      <c r="DI183" s="36"/>
      <c r="DJ183" s="36"/>
      <c r="DK183" s="36"/>
      <c r="DL183" s="36"/>
      <c r="DM183" s="36"/>
      <c r="DN183" s="36"/>
      <c r="DO183" s="36"/>
      <c r="DP183" s="36"/>
      <c r="DQ183" s="36"/>
      <c r="DR183" s="36"/>
      <c r="DS183" s="36"/>
      <c r="DT183" s="36"/>
      <c r="DU183" s="36"/>
      <c r="DV183" s="36"/>
      <c r="DW183" s="36"/>
      <c r="DX183" s="36"/>
      <c r="DY183" s="36"/>
      <c r="DZ183" s="36"/>
      <c r="EA183" s="36"/>
      <c r="EB183" s="36"/>
      <c r="EC183" s="36"/>
      <c r="ED183" s="36"/>
      <c r="EE183" s="36"/>
      <c r="EF183" s="36"/>
      <c r="EG183" s="36"/>
      <c r="EH183" s="36"/>
      <c r="EI183" s="36"/>
      <c r="EJ183" s="36"/>
      <c r="EK183" s="36"/>
      <c r="EL183" s="36"/>
      <c r="EM183" s="36"/>
      <c r="EN183" s="36"/>
      <c r="EO183" s="36"/>
      <c r="EP183" s="36"/>
      <c r="EQ183" s="36"/>
      <c r="ER183" s="36"/>
      <c r="ES183" s="36"/>
      <c r="ET183" s="36"/>
      <c r="EU183" s="36"/>
      <c r="EV183" s="36"/>
      <c r="EW183" s="36"/>
      <c r="EX183" s="36"/>
      <c r="EY183" s="36"/>
      <c r="EZ183" s="36"/>
      <c r="FA183" s="36"/>
      <c r="FB183" s="36"/>
      <c r="FC183" s="36"/>
      <c r="FD183" s="36"/>
      <c r="FE183" s="36"/>
    </row>
    <row r="184" spans="1:161" s="37" customFormat="1" ht="26.25" customHeight="1" x14ac:dyDescent="0.2">
      <c r="A184" s="456" t="s">
        <v>262</v>
      </c>
      <c r="B184" s="457">
        <v>1.0640000000000001</v>
      </c>
      <c r="C184" s="458">
        <v>1.0860000000000001</v>
      </c>
      <c r="D184" s="458">
        <v>1.0760000000000001</v>
      </c>
      <c r="E184" s="458">
        <v>1.0549999999999999</v>
      </c>
      <c r="F184" s="458">
        <v>0.75</v>
      </c>
      <c r="G184" s="458"/>
      <c r="H184" s="458"/>
      <c r="I184" s="457">
        <v>1.0649999999999999</v>
      </c>
      <c r="J184" s="458">
        <v>0.61</v>
      </c>
      <c r="K184" s="458">
        <v>0.64</v>
      </c>
      <c r="L184" s="459">
        <v>1.44</v>
      </c>
      <c r="M184" s="460"/>
      <c r="N184" s="458">
        <v>1.071</v>
      </c>
      <c r="O184" s="458">
        <v>1.0374408499952468</v>
      </c>
      <c r="P184" s="458">
        <v>1.3303571243922967</v>
      </c>
      <c r="Q184" s="458">
        <v>1.4890000000000001</v>
      </c>
      <c r="R184" s="458"/>
      <c r="S184" s="458">
        <v>1.7291066282420751</v>
      </c>
      <c r="T184" s="461">
        <v>1.0710999999999999</v>
      </c>
      <c r="U184" s="458">
        <v>3.927</v>
      </c>
      <c r="V184" s="459">
        <v>1.05</v>
      </c>
      <c r="W184" s="459">
        <v>1.335</v>
      </c>
      <c r="X184" s="87"/>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c r="CB184" s="36"/>
      <c r="CC184" s="36"/>
      <c r="CD184" s="36"/>
      <c r="CE184" s="36"/>
      <c r="CF184" s="36"/>
      <c r="CG184" s="36"/>
      <c r="CH184" s="36"/>
      <c r="CI184" s="36"/>
      <c r="CJ184" s="36"/>
      <c r="CK184" s="36"/>
      <c r="CL184" s="36"/>
      <c r="CM184" s="36"/>
      <c r="CN184" s="36"/>
      <c r="CO184" s="36"/>
      <c r="CP184" s="36"/>
      <c r="CQ184" s="36"/>
      <c r="CR184" s="36"/>
      <c r="CS184" s="36"/>
      <c r="CT184" s="36"/>
      <c r="CU184" s="36"/>
      <c r="CV184" s="36"/>
      <c r="CW184" s="36"/>
      <c r="CX184" s="36"/>
      <c r="CY184" s="36"/>
      <c r="CZ184" s="36"/>
      <c r="DA184" s="36"/>
      <c r="DB184" s="36"/>
      <c r="DC184" s="36"/>
      <c r="DD184" s="36"/>
      <c r="DE184" s="36"/>
      <c r="DF184" s="36"/>
      <c r="DG184" s="36"/>
      <c r="DH184" s="36"/>
      <c r="DI184" s="36"/>
      <c r="DJ184" s="36"/>
      <c r="DK184" s="36"/>
      <c r="DL184" s="36"/>
      <c r="DM184" s="36"/>
      <c r="DN184" s="36"/>
      <c r="DO184" s="36"/>
      <c r="DP184" s="36"/>
      <c r="DQ184" s="36"/>
      <c r="DR184" s="36"/>
      <c r="DS184" s="36"/>
      <c r="DT184" s="36"/>
      <c r="DU184" s="36"/>
      <c r="DV184" s="36"/>
      <c r="DW184" s="36"/>
      <c r="DX184" s="36"/>
      <c r="DY184" s="36"/>
      <c r="DZ184" s="36"/>
      <c r="EA184" s="36"/>
      <c r="EB184" s="36"/>
      <c r="EC184" s="36"/>
      <c r="ED184" s="36"/>
      <c r="EE184" s="36"/>
      <c r="EF184" s="36"/>
      <c r="EG184" s="36"/>
      <c r="EH184" s="36"/>
      <c r="EI184" s="36"/>
      <c r="EJ184" s="36"/>
      <c r="EK184" s="36"/>
      <c r="EL184" s="36"/>
      <c r="EM184" s="36"/>
      <c r="EN184" s="36"/>
      <c r="EO184" s="36"/>
      <c r="EP184" s="36"/>
      <c r="EQ184" s="36"/>
      <c r="ER184" s="36"/>
      <c r="ES184" s="36"/>
      <c r="ET184" s="36"/>
      <c r="EU184" s="36"/>
      <c r="EV184" s="36"/>
      <c r="EW184" s="36"/>
      <c r="EX184" s="36"/>
      <c r="EY184" s="36"/>
      <c r="EZ184" s="36"/>
      <c r="FA184" s="36"/>
      <c r="FB184" s="36"/>
      <c r="FC184" s="36"/>
      <c r="FD184" s="36"/>
      <c r="FE184" s="36"/>
    </row>
    <row r="185" spans="1:161" s="37" customFormat="1" ht="26.25" customHeight="1" x14ac:dyDescent="0.2">
      <c r="A185" s="69" t="s">
        <v>263</v>
      </c>
      <c r="B185" s="454">
        <v>1.1299999999999999</v>
      </c>
      <c r="C185" s="451">
        <v>1.2330000000000001</v>
      </c>
      <c r="D185" s="451">
        <v>1.222</v>
      </c>
      <c r="E185" s="451">
        <v>1.1970000000000001</v>
      </c>
      <c r="F185" s="451">
        <v>0.97</v>
      </c>
      <c r="G185" s="451"/>
      <c r="H185" s="451">
        <v>4.8950246663352326</v>
      </c>
      <c r="I185" s="454">
        <v>1.131</v>
      </c>
      <c r="J185" s="451">
        <v>0.22</v>
      </c>
      <c r="K185" s="451">
        <v>0.22</v>
      </c>
      <c r="L185" s="452">
        <v>2.87</v>
      </c>
      <c r="M185" s="453"/>
      <c r="N185" s="451">
        <v>1.216</v>
      </c>
      <c r="O185" s="451">
        <v>1.1017933839235232</v>
      </c>
      <c r="P185" s="451">
        <v>1.4128792768452023</v>
      </c>
      <c r="Q185" s="451">
        <v>1.69</v>
      </c>
      <c r="R185" s="451">
        <v>2.367</v>
      </c>
      <c r="S185" s="451">
        <v>1.7291066282420751</v>
      </c>
      <c r="T185" s="455">
        <v>1.2161</v>
      </c>
      <c r="U185" s="451">
        <v>3.927</v>
      </c>
      <c r="V185" s="452">
        <v>1.1100000000000001</v>
      </c>
      <c r="W185" s="452">
        <v>1.3680000000000001</v>
      </c>
      <c r="X185" s="87"/>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c r="CB185" s="36"/>
      <c r="CC185" s="36"/>
      <c r="CD185" s="36"/>
      <c r="CE185" s="36"/>
      <c r="CF185" s="36"/>
      <c r="CG185" s="36"/>
      <c r="CH185" s="36"/>
      <c r="CI185" s="36"/>
      <c r="CJ185" s="36"/>
      <c r="CK185" s="36"/>
      <c r="CL185" s="36"/>
      <c r="CM185" s="36"/>
      <c r="CN185" s="36"/>
      <c r="CO185" s="36"/>
      <c r="CP185" s="36"/>
      <c r="CQ185" s="36"/>
      <c r="CR185" s="36"/>
      <c r="CS185" s="36"/>
      <c r="CT185" s="36"/>
      <c r="CU185" s="36"/>
      <c r="CV185" s="36"/>
      <c r="CW185" s="36"/>
      <c r="CX185" s="36"/>
      <c r="CY185" s="36"/>
      <c r="CZ185" s="36"/>
      <c r="DA185" s="36"/>
      <c r="DB185" s="36"/>
      <c r="DC185" s="36"/>
      <c r="DD185" s="36"/>
      <c r="DE185" s="36"/>
      <c r="DF185" s="36"/>
      <c r="DG185" s="36"/>
      <c r="DH185" s="36"/>
      <c r="DI185" s="36"/>
      <c r="DJ185" s="36"/>
      <c r="DK185" s="36"/>
      <c r="DL185" s="36"/>
      <c r="DM185" s="36"/>
      <c r="DN185" s="36"/>
      <c r="DO185" s="36"/>
      <c r="DP185" s="36"/>
      <c r="DQ185" s="36"/>
      <c r="DR185" s="36"/>
      <c r="DS185" s="36"/>
      <c r="DT185" s="36"/>
      <c r="DU185" s="36"/>
      <c r="DV185" s="36"/>
      <c r="DW185" s="36"/>
      <c r="DX185" s="36"/>
      <c r="DY185" s="36"/>
      <c r="DZ185" s="36"/>
      <c r="EA185" s="36"/>
      <c r="EB185" s="36"/>
      <c r="EC185" s="36"/>
      <c r="ED185" s="36"/>
      <c r="EE185" s="36"/>
      <c r="EF185" s="36"/>
      <c r="EG185" s="36"/>
      <c r="EH185" s="36"/>
      <c r="EI185" s="36"/>
      <c r="EJ185" s="36"/>
      <c r="EK185" s="36"/>
      <c r="EL185" s="36"/>
      <c r="EM185" s="36"/>
      <c r="EN185" s="36"/>
      <c r="EO185" s="36"/>
      <c r="EP185" s="36"/>
      <c r="EQ185" s="36"/>
      <c r="ER185" s="36"/>
      <c r="ES185" s="36"/>
      <c r="ET185" s="36"/>
      <c r="EU185" s="36"/>
      <c r="EV185" s="36"/>
      <c r="EW185" s="36"/>
      <c r="EX185" s="36"/>
      <c r="EY185" s="36"/>
      <c r="EZ185" s="36"/>
      <c r="FA185" s="36"/>
      <c r="FB185" s="36"/>
      <c r="FC185" s="36"/>
      <c r="FD185" s="36"/>
      <c r="FE185" s="36"/>
    </row>
    <row r="186" spans="1:161" s="37" customFormat="1" ht="26.25" customHeight="1" x14ac:dyDescent="0.2">
      <c r="A186" s="456" t="s">
        <v>264</v>
      </c>
      <c r="B186" s="457">
        <v>2.5000000000000001E-2</v>
      </c>
      <c r="C186" s="458"/>
      <c r="D186" s="458">
        <v>1.6E-2</v>
      </c>
      <c r="E186" s="458">
        <v>1.2999999999999999E-2</v>
      </c>
      <c r="F186" s="458">
        <v>0.06</v>
      </c>
      <c r="G186" s="458">
        <v>0.5787685701721863</v>
      </c>
      <c r="H186" s="458"/>
      <c r="I186" s="457">
        <v>2.5000000000000001E-2</v>
      </c>
      <c r="J186" s="458">
        <v>0.04</v>
      </c>
      <c r="K186" s="458">
        <v>0.06</v>
      </c>
      <c r="L186" s="459">
        <v>0.14000000000000001</v>
      </c>
      <c r="M186" s="460"/>
      <c r="N186" s="458">
        <v>1.6E-2</v>
      </c>
      <c r="O186" s="458">
        <v>2.4375959821316892E-2</v>
      </c>
      <c r="P186" s="458">
        <v>3.125839108064607E-2</v>
      </c>
      <c r="Q186" s="458">
        <v>2.1999999999999999E-2</v>
      </c>
      <c r="R186" s="458">
        <v>0.53200000000000003</v>
      </c>
      <c r="S186" s="458">
        <v>0.11527377521613834</v>
      </c>
      <c r="T186" s="461">
        <v>1.6E-2</v>
      </c>
      <c r="U186" s="458">
        <v>1.6E-2</v>
      </c>
      <c r="V186" s="459">
        <v>0.03</v>
      </c>
      <c r="W186" s="459"/>
      <c r="X186" s="87"/>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c r="CB186" s="36"/>
      <c r="CC186" s="36"/>
      <c r="CD186" s="36"/>
      <c r="CE186" s="36"/>
      <c r="CF186" s="36"/>
      <c r="CG186" s="36"/>
      <c r="CH186" s="36"/>
      <c r="CI186" s="36"/>
      <c r="CJ186" s="36"/>
      <c r="CK186" s="36"/>
      <c r="CL186" s="36"/>
      <c r="CM186" s="36"/>
      <c r="CN186" s="36"/>
      <c r="CO186" s="36"/>
      <c r="CP186" s="36"/>
      <c r="CQ186" s="36"/>
      <c r="CR186" s="36"/>
      <c r="CS186" s="36"/>
      <c r="CT186" s="36"/>
      <c r="CU186" s="36"/>
      <c r="CV186" s="36"/>
      <c r="CW186" s="36"/>
      <c r="CX186" s="36"/>
      <c r="CY186" s="36"/>
      <c r="CZ186" s="36"/>
      <c r="DA186" s="36"/>
      <c r="DB186" s="36"/>
      <c r="DC186" s="36"/>
      <c r="DD186" s="36"/>
      <c r="DE186" s="36"/>
      <c r="DF186" s="36"/>
      <c r="DG186" s="36"/>
      <c r="DH186" s="36"/>
      <c r="DI186" s="36"/>
      <c r="DJ186" s="36"/>
      <c r="DK186" s="36"/>
      <c r="DL186" s="36"/>
      <c r="DM186" s="36"/>
      <c r="DN186" s="36"/>
      <c r="DO186" s="36"/>
      <c r="DP186" s="36"/>
      <c r="DQ186" s="36"/>
      <c r="DR186" s="36"/>
      <c r="DS186" s="36"/>
      <c r="DT186" s="36"/>
      <c r="DU186" s="36"/>
      <c r="DV186" s="36"/>
      <c r="DW186" s="36"/>
      <c r="DX186" s="36"/>
      <c r="DY186" s="36"/>
      <c r="DZ186" s="36"/>
      <c r="EA186" s="36"/>
      <c r="EB186" s="36"/>
      <c r="EC186" s="36"/>
      <c r="ED186" s="36"/>
      <c r="EE186" s="36"/>
      <c r="EF186" s="36"/>
      <c r="EG186" s="36"/>
      <c r="EH186" s="36"/>
      <c r="EI186" s="36"/>
      <c r="EJ186" s="36"/>
      <c r="EK186" s="36"/>
      <c r="EL186" s="36"/>
      <c r="EM186" s="36"/>
      <c r="EN186" s="36"/>
      <c r="EO186" s="36"/>
      <c r="EP186" s="36"/>
      <c r="EQ186" s="36"/>
      <c r="ER186" s="36"/>
      <c r="ES186" s="36"/>
      <c r="ET186" s="36"/>
      <c r="EU186" s="36"/>
      <c r="EV186" s="36"/>
      <c r="EW186" s="36"/>
      <c r="EX186" s="36"/>
      <c r="EY186" s="36"/>
      <c r="EZ186" s="36"/>
      <c r="FA186" s="36"/>
      <c r="FB186" s="36"/>
      <c r="FC186" s="36"/>
      <c r="FD186" s="36"/>
      <c r="FE186" s="36"/>
    </row>
    <row r="187" spans="1:161" s="37" customFormat="1" ht="26.25" customHeight="1" x14ac:dyDescent="0.2">
      <c r="A187" s="69" t="s">
        <v>716</v>
      </c>
      <c r="B187" s="454"/>
      <c r="C187" s="451"/>
      <c r="D187" s="451"/>
      <c r="E187" s="451"/>
      <c r="F187" s="451"/>
      <c r="G187" s="451"/>
      <c r="H187" s="451"/>
      <c r="I187" s="454"/>
      <c r="J187" s="451"/>
      <c r="K187" s="451"/>
      <c r="L187" s="452"/>
      <c r="M187" s="453"/>
      <c r="N187" s="451"/>
      <c r="O187" s="451"/>
      <c r="P187" s="451"/>
      <c r="Q187" s="451"/>
      <c r="R187" s="451"/>
      <c r="S187" s="451"/>
      <c r="T187" s="455"/>
      <c r="U187" s="451"/>
      <c r="V187" s="452"/>
      <c r="W187" s="452">
        <v>1.7450000000000001</v>
      </c>
      <c r="X187" s="87"/>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c r="CB187" s="36"/>
      <c r="CC187" s="36"/>
      <c r="CD187" s="36"/>
      <c r="CE187" s="36"/>
      <c r="CF187" s="36"/>
      <c r="CG187" s="36"/>
      <c r="CH187" s="36"/>
      <c r="CI187" s="36"/>
      <c r="CJ187" s="36"/>
      <c r="CK187" s="36"/>
      <c r="CL187" s="36"/>
      <c r="CM187" s="36"/>
      <c r="CN187" s="36"/>
      <c r="CO187" s="36"/>
      <c r="CP187" s="36"/>
      <c r="CQ187" s="36"/>
      <c r="CR187" s="36"/>
      <c r="CS187" s="36"/>
      <c r="CT187" s="36"/>
      <c r="CU187" s="36"/>
      <c r="CV187" s="36"/>
      <c r="CW187" s="36"/>
      <c r="CX187" s="36"/>
      <c r="CY187" s="36"/>
      <c r="CZ187" s="36"/>
      <c r="DA187" s="36"/>
      <c r="DB187" s="36"/>
      <c r="DC187" s="36"/>
      <c r="DD187" s="36"/>
      <c r="DE187" s="36"/>
      <c r="DF187" s="36"/>
      <c r="DG187" s="36"/>
      <c r="DH187" s="36"/>
      <c r="DI187" s="36"/>
      <c r="DJ187" s="36"/>
      <c r="DK187" s="36"/>
      <c r="DL187" s="36"/>
      <c r="DM187" s="36"/>
      <c r="DN187" s="36"/>
      <c r="DO187" s="36"/>
      <c r="DP187" s="36"/>
      <c r="DQ187" s="36"/>
      <c r="DR187" s="36"/>
      <c r="DS187" s="36"/>
      <c r="DT187" s="36"/>
      <c r="DU187" s="36"/>
      <c r="DV187" s="36"/>
      <c r="DW187" s="36"/>
      <c r="DX187" s="36"/>
      <c r="DY187" s="36"/>
      <c r="DZ187" s="36"/>
      <c r="EA187" s="36"/>
      <c r="EB187" s="36"/>
      <c r="EC187" s="36"/>
      <c r="ED187" s="36"/>
      <c r="EE187" s="36"/>
      <c r="EF187" s="36"/>
      <c r="EG187" s="36"/>
      <c r="EH187" s="36"/>
      <c r="EI187" s="36"/>
      <c r="EJ187" s="36"/>
      <c r="EK187" s="36"/>
      <c r="EL187" s="36"/>
      <c r="EM187" s="36"/>
      <c r="EN187" s="36"/>
      <c r="EO187" s="36"/>
      <c r="EP187" s="36"/>
      <c r="EQ187" s="36"/>
      <c r="ER187" s="36"/>
      <c r="ES187" s="36"/>
      <c r="ET187" s="36"/>
      <c r="EU187" s="36"/>
      <c r="EV187" s="36"/>
      <c r="EW187" s="36"/>
      <c r="EX187" s="36"/>
      <c r="EY187" s="36"/>
      <c r="EZ187" s="36"/>
      <c r="FA187" s="36"/>
      <c r="FB187" s="36"/>
      <c r="FC187" s="36"/>
      <c r="FD187" s="36"/>
      <c r="FE187" s="36"/>
    </row>
    <row r="188" spans="1:161" s="37" customFormat="1" ht="26.25" customHeight="1" x14ac:dyDescent="0.2">
      <c r="A188" s="456" t="s">
        <v>265</v>
      </c>
      <c r="B188" s="457">
        <v>2E-3</v>
      </c>
      <c r="C188" s="458">
        <v>1E-3</v>
      </c>
      <c r="D188" s="458">
        <v>1E-3</v>
      </c>
      <c r="E188" s="458">
        <v>1E-3</v>
      </c>
      <c r="F188" s="458">
        <v>0.06</v>
      </c>
      <c r="G188" s="458"/>
      <c r="H188" s="458"/>
      <c r="I188" s="457">
        <v>2E-3</v>
      </c>
      <c r="J188" s="458"/>
      <c r="K188" s="458"/>
      <c r="L188" s="459">
        <v>0.02</v>
      </c>
      <c r="M188" s="460"/>
      <c r="N188" s="458">
        <v>1E-3</v>
      </c>
      <c r="O188" s="458">
        <v>1.9500767857053513E-3</v>
      </c>
      <c r="P188" s="458">
        <v>2.5006712864516856E-3</v>
      </c>
      <c r="Q188" s="458">
        <v>1E-3</v>
      </c>
      <c r="R188" s="458">
        <v>0.222</v>
      </c>
      <c r="S188" s="458">
        <v>0.11527377521613834</v>
      </c>
      <c r="T188" s="461">
        <v>1E-3</v>
      </c>
      <c r="U188" s="458">
        <v>6.6000000000000003E-2</v>
      </c>
      <c r="V188" s="459">
        <v>0.02</v>
      </c>
      <c r="W188" s="459"/>
      <c r="X188" s="87"/>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c r="CB188" s="36"/>
      <c r="CC188" s="36"/>
      <c r="CD188" s="36"/>
      <c r="CE188" s="36"/>
      <c r="CF188" s="36"/>
      <c r="CG188" s="36"/>
      <c r="CH188" s="36"/>
      <c r="CI188" s="36"/>
      <c r="CJ188" s="36"/>
      <c r="CK188" s="36"/>
      <c r="CL188" s="36"/>
      <c r="CM188" s="36"/>
      <c r="CN188" s="36"/>
      <c r="CO188" s="36"/>
      <c r="CP188" s="36"/>
      <c r="CQ188" s="36"/>
      <c r="CR188" s="36"/>
      <c r="CS188" s="36"/>
      <c r="CT188" s="36"/>
      <c r="CU188" s="36"/>
      <c r="CV188" s="36"/>
      <c r="CW188" s="36"/>
      <c r="CX188" s="36"/>
      <c r="CY188" s="36"/>
      <c r="CZ188" s="36"/>
      <c r="DA188" s="36"/>
      <c r="DB188" s="36"/>
      <c r="DC188" s="36"/>
      <c r="DD188" s="36"/>
      <c r="DE188" s="36"/>
      <c r="DF188" s="36"/>
      <c r="DG188" s="36"/>
      <c r="DH188" s="36"/>
      <c r="DI188" s="36"/>
      <c r="DJ188" s="36"/>
      <c r="DK188" s="36"/>
      <c r="DL188" s="36"/>
      <c r="DM188" s="36"/>
      <c r="DN188" s="36"/>
      <c r="DO188" s="36"/>
      <c r="DP188" s="36"/>
      <c r="DQ188" s="36"/>
      <c r="DR188" s="36"/>
      <c r="DS188" s="36"/>
      <c r="DT188" s="36"/>
      <c r="DU188" s="36"/>
      <c r="DV188" s="36"/>
      <c r="DW188" s="36"/>
      <c r="DX188" s="36"/>
      <c r="DY188" s="36"/>
      <c r="DZ188" s="36"/>
      <c r="EA188" s="36"/>
      <c r="EB188" s="36"/>
      <c r="EC188" s="36"/>
      <c r="ED188" s="36"/>
      <c r="EE188" s="36"/>
      <c r="EF188" s="36"/>
      <c r="EG188" s="36"/>
      <c r="EH188" s="36"/>
      <c r="EI188" s="36"/>
      <c r="EJ188" s="36"/>
      <c r="EK188" s="36"/>
      <c r="EL188" s="36"/>
      <c r="EM188" s="36"/>
      <c r="EN188" s="36"/>
      <c r="EO188" s="36"/>
      <c r="EP188" s="36"/>
      <c r="EQ188" s="36"/>
      <c r="ER188" s="36"/>
      <c r="ES188" s="36"/>
      <c r="ET188" s="36"/>
      <c r="EU188" s="36"/>
      <c r="EV188" s="36"/>
      <c r="EW188" s="36"/>
      <c r="EX188" s="36"/>
      <c r="EY188" s="36"/>
      <c r="EZ188" s="36"/>
      <c r="FA188" s="36"/>
      <c r="FB188" s="36"/>
      <c r="FC188" s="36"/>
      <c r="FD188" s="36"/>
      <c r="FE188" s="36"/>
    </row>
    <row r="189" spans="1:161" s="37" customFormat="1" ht="26.25" customHeight="1" x14ac:dyDescent="0.2">
      <c r="A189" s="69" t="s">
        <v>266</v>
      </c>
      <c r="B189" s="454">
        <v>0.20899999999999999</v>
      </c>
      <c r="C189" s="451">
        <v>0.189</v>
      </c>
      <c r="D189" s="451">
        <v>0.187</v>
      </c>
      <c r="E189" s="451">
        <v>0.15</v>
      </c>
      <c r="F189" s="451">
        <v>0.54</v>
      </c>
      <c r="G189" s="451"/>
      <c r="H189" s="451"/>
      <c r="I189" s="454">
        <v>0.20899999999999999</v>
      </c>
      <c r="J189" s="451">
        <v>0.32</v>
      </c>
      <c r="K189" s="451">
        <v>0.38</v>
      </c>
      <c r="L189" s="452">
        <v>0.43</v>
      </c>
      <c r="M189" s="453"/>
      <c r="N189" s="451">
        <v>0.186</v>
      </c>
      <c r="O189" s="451">
        <v>0.20378302410620919</v>
      </c>
      <c r="P189" s="451">
        <v>0.26132014943420112</v>
      </c>
      <c r="Q189" s="451">
        <v>0.25900000000000001</v>
      </c>
      <c r="R189" s="451">
        <v>1.329</v>
      </c>
      <c r="S189" s="451">
        <v>0.345821325648415</v>
      </c>
      <c r="T189" s="455">
        <v>0.186</v>
      </c>
      <c r="U189" s="451">
        <v>6.6000000000000003E-2</v>
      </c>
      <c r="V189" s="452">
        <v>0.21</v>
      </c>
      <c r="W189" s="452">
        <v>1.048</v>
      </c>
      <c r="X189" s="87"/>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c r="CB189" s="36"/>
      <c r="CC189" s="36"/>
      <c r="CD189" s="36"/>
      <c r="CE189" s="36"/>
      <c r="CF189" s="36"/>
      <c r="CG189" s="36"/>
      <c r="CH189" s="36"/>
      <c r="CI189" s="36"/>
      <c r="CJ189" s="36"/>
      <c r="CK189" s="36"/>
      <c r="CL189" s="36"/>
      <c r="CM189" s="36"/>
      <c r="CN189" s="36"/>
      <c r="CO189" s="36"/>
      <c r="CP189" s="36"/>
      <c r="CQ189" s="36"/>
      <c r="CR189" s="36"/>
      <c r="CS189" s="36"/>
      <c r="CT189" s="36"/>
      <c r="CU189" s="36"/>
      <c r="CV189" s="36"/>
      <c r="CW189" s="36"/>
      <c r="CX189" s="36"/>
      <c r="CY189" s="36"/>
      <c r="CZ189" s="36"/>
      <c r="DA189" s="36"/>
      <c r="DB189" s="36"/>
      <c r="DC189" s="36"/>
      <c r="DD189" s="36"/>
      <c r="DE189" s="36"/>
      <c r="DF189" s="36"/>
      <c r="DG189" s="36"/>
      <c r="DH189" s="36"/>
      <c r="DI189" s="36"/>
      <c r="DJ189" s="36"/>
      <c r="DK189" s="36"/>
      <c r="DL189" s="36"/>
      <c r="DM189" s="36"/>
      <c r="DN189" s="36"/>
      <c r="DO189" s="36"/>
      <c r="DP189" s="36"/>
      <c r="DQ189" s="36"/>
      <c r="DR189" s="36"/>
      <c r="DS189" s="36"/>
      <c r="DT189" s="36"/>
      <c r="DU189" s="36"/>
      <c r="DV189" s="36"/>
      <c r="DW189" s="36"/>
      <c r="DX189" s="36"/>
      <c r="DY189" s="36"/>
      <c r="DZ189" s="36"/>
      <c r="EA189" s="36"/>
      <c r="EB189" s="36"/>
      <c r="EC189" s="36"/>
      <c r="ED189" s="36"/>
      <c r="EE189" s="36"/>
      <c r="EF189" s="36"/>
      <c r="EG189" s="36"/>
      <c r="EH189" s="36"/>
      <c r="EI189" s="36"/>
      <c r="EJ189" s="36"/>
      <c r="EK189" s="36"/>
      <c r="EL189" s="36"/>
      <c r="EM189" s="36"/>
      <c r="EN189" s="36"/>
      <c r="EO189" s="36"/>
      <c r="EP189" s="36"/>
      <c r="EQ189" s="36"/>
      <c r="ER189" s="36"/>
      <c r="ES189" s="36"/>
      <c r="ET189" s="36"/>
      <c r="EU189" s="36"/>
      <c r="EV189" s="36"/>
      <c r="EW189" s="36"/>
      <c r="EX189" s="36"/>
      <c r="EY189" s="36"/>
      <c r="EZ189" s="36"/>
      <c r="FA189" s="36"/>
      <c r="FB189" s="36"/>
      <c r="FC189" s="36"/>
      <c r="FD189" s="36"/>
      <c r="FE189" s="36"/>
    </row>
    <row r="190" spans="1:161" s="37" customFormat="1" ht="26.25" customHeight="1" x14ac:dyDescent="0.2">
      <c r="A190" s="456" t="s">
        <v>330</v>
      </c>
      <c r="B190" s="457">
        <v>7.0000000000000001E-3</v>
      </c>
      <c r="C190" s="458">
        <v>5.0000000000000001E-3</v>
      </c>
      <c r="D190" s="458">
        <v>5.0000000000000001E-3</v>
      </c>
      <c r="E190" s="458">
        <v>4.0000000000000001E-3</v>
      </c>
      <c r="F190" s="458">
        <v>0.06</v>
      </c>
      <c r="G190" s="458">
        <v>0.39640797040843601</v>
      </c>
      <c r="H190" s="458"/>
      <c r="I190" s="457">
        <v>7.0000000000000001E-3</v>
      </c>
      <c r="J190" s="458">
        <v>0.02</v>
      </c>
      <c r="K190" s="458">
        <v>0.02</v>
      </c>
      <c r="L190" s="459">
        <v>0.04</v>
      </c>
      <c r="M190" s="460"/>
      <c r="N190" s="458">
        <v>5.0000000000000001E-3</v>
      </c>
      <c r="O190" s="458">
        <v>6.8252687499687293E-3</v>
      </c>
      <c r="P190" s="458">
        <v>8.7523495025809001E-3</v>
      </c>
      <c r="Q190" s="458">
        <v>7.0000000000000001E-3</v>
      </c>
      <c r="R190" s="458">
        <v>0.26600000000000001</v>
      </c>
      <c r="S190" s="458">
        <v>0.11527377521613834</v>
      </c>
      <c r="T190" s="461">
        <v>5.0000000000000001E-3</v>
      </c>
      <c r="U190" s="458">
        <v>0.13100000000000001</v>
      </c>
      <c r="V190" s="459">
        <v>0.02</v>
      </c>
      <c r="W190" s="459">
        <v>2.5999999999999999E-2</v>
      </c>
      <c r="X190" s="87"/>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c r="CB190" s="36"/>
      <c r="CC190" s="36"/>
      <c r="CD190" s="36"/>
      <c r="CE190" s="36"/>
      <c r="CF190" s="36"/>
      <c r="CG190" s="36"/>
      <c r="CH190" s="36"/>
      <c r="CI190" s="36"/>
      <c r="CJ190" s="36"/>
      <c r="CK190" s="36"/>
      <c r="CL190" s="36"/>
      <c r="CM190" s="36"/>
      <c r="CN190" s="36"/>
      <c r="CO190" s="36"/>
      <c r="CP190" s="36"/>
      <c r="CQ190" s="36"/>
      <c r="CR190" s="36"/>
      <c r="CS190" s="36"/>
      <c r="CT190" s="36"/>
      <c r="CU190" s="36"/>
      <c r="CV190" s="36"/>
      <c r="CW190" s="36"/>
      <c r="CX190" s="36"/>
      <c r="CY190" s="36"/>
      <c r="CZ190" s="36"/>
      <c r="DA190" s="36"/>
      <c r="DB190" s="36"/>
      <c r="DC190" s="36"/>
      <c r="DD190" s="36"/>
      <c r="DE190" s="36"/>
      <c r="DF190" s="36"/>
      <c r="DG190" s="36"/>
      <c r="DH190" s="36"/>
      <c r="DI190" s="36"/>
      <c r="DJ190" s="36"/>
      <c r="DK190" s="36"/>
      <c r="DL190" s="36"/>
      <c r="DM190" s="36"/>
      <c r="DN190" s="36"/>
      <c r="DO190" s="36"/>
      <c r="DP190" s="36"/>
      <c r="DQ190" s="36"/>
      <c r="DR190" s="36"/>
      <c r="DS190" s="36"/>
      <c r="DT190" s="36"/>
      <c r="DU190" s="36"/>
      <c r="DV190" s="36"/>
      <c r="DW190" s="36"/>
      <c r="DX190" s="36"/>
      <c r="DY190" s="36"/>
      <c r="DZ190" s="36"/>
      <c r="EA190" s="36"/>
      <c r="EB190" s="36"/>
      <c r="EC190" s="36"/>
      <c r="ED190" s="36"/>
      <c r="EE190" s="36"/>
      <c r="EF190" s="36"/>
      <c r="EG190" s="36"/>
      <c r="EH190" s="36"/>
      <c r="EI190" s="36"/>
      <c r="EJ190" s="36"/>
      <c r="EK190" s="36"/>
      <c r="EL190" s="36"/>
      <c r="EM190" s="36"/>
      <c r="EN190" s="36"/>
      <c r="EO190" s="36"/>
      <c r="EP190" s="36"/>
      <c r="EQ190" s="36"/>
      <c r="ER190" s="36"/>
      <c r="ES190" s="36"/>
      <c r="ET190" s="36"/>
      <c r="EU190" s="36"/>
      <c r="EV190" s="36"/>
      <c r="EW190" s="36"/>
      <c r="EX190" s="36"/>
      <c r="EY190" s="36"/>
      <c r="EZ190" s="36"/>
      <c r="FA190" s="36"/>
      <c r="FB190" s="36"/>
      <c r="FC190" s="36"/>
      <c r="FD190" s="36"/>
      <c r="FE190" s="36"/>
    </row>
    <row r="191" spans="1:161" s="37" customFormat="1" ht="26.25" customHeight="1" x14ac:dyDescent="0.2">
      <c r="A191" s="69" t="s">
        <v>267</v>
      </c>
      <c r="B191" s="454">
        <v>1E-3</v>
      </c>
      <c r="C191" s="451">
        <v>1E-3</v>
      </c>
      <c r="D191" s="451">
        <v>1E-3</v>
      </c>
      <c r="E191" s="451"/>
      <c r="F191" s="451">
        <v>0.06</v>
      </c>
      <c r="G191" s="451"/>
      <c r="H191" s="451"/>
      <c r="I191" s="454">
        <v>1E-3</v>
      </c>
      <c r="J191" s="451">
        <v>0.03</v>
      </c>
      <c r="K191" s="451">
        <v>0.02</v>
      </c>
      <c r="L191" s="452">
        <v>0.02</v>
      </c>
      <c r="M191" s="453"/>
      <c r="N191" s="451">
        <v>1E-3</v>
      </c>
      <c r="O191" s="451">
        <v>1E-3</v>
      </c>
      <c r="P191" s="451">
        <v>1.2503356432258428E-3</v>
      </c>
      <c r="Q191" s="451">
        <v>1E-3</v>
      </c>
      <c r="R191" s="451">
        <v>0.222</v>
      </c>
      <c r="S191" s="451">
        <v>5.7636887608069169E-2</v>
      </c>
      <c r="T191" s="455">
        <v>1E-3</v>
      </c>
      <c r="U191" s="451">
        <v>8.0000000000000002E-3</v>
      </c>
      <c r="V191" s="452">
        <v>0.02</v>
      </c>
      <c r="W191" s="452">
        <v>1.4999999999999999E-2</v>
      </c>
      <c r="X191" s="87"/>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c r="CB191" s="36"/>
      <c r="CC191" s="36"/>
      <c r="CD191" s="36"/>
      <c r="CE191" s="36"/>
      <c r="CF191" s="36"/>
      <c r="CG191" s="36"/>
      <c r="CH191" s="36"/>
      <c r="CI191" s="36"/>
      <c r="CJ191" s="36"/>
      <c r="CK191" s="36"/>
      <c r="CL191" s="36"/>
      <c r="CM191" s="36"/>
      <c r="CN191" s="36"/>
      <c r="CO191" s="36"/>
      <c r="CP191" s="36"/>
      <c r="CQ191" s="36"/>
      <c r="CR191" s="36"/>
      <c r="CS191" s="36"/>
      <c r="CT191" s="36"/>
      <c r="CU191" s="36"/>
      <c r="CV191" s="36"/>
      <c r="CW191" s="36"/>
      <c r="CX191" s="36"/>
      <c r="CY191" s="36"/>
      <c r="CZ191" s="36"/>
      <c r="DA191" s="36"/>
      <c r="DB191" s="36"/>
      <c r="DC191" s="36"/>
      <c r="DD191" s="36"/>
      <c r="DE191" s="36"/>
      <c r="DF191" s="36"/>
      <c r="DG191" s="36"/>
      <c r="DH191" s="36"/>
      <c r="DI191" s="36"/>
      <c r="DJ191" s="36"/>
      <c r="DK191" s="36"/>
      <c r="DL191" s="36"/>
      <c r="DM191" s="36"/>
      <c r="DN191" s="36"/>
      <c r="DO191" s="36"/>
      <c r="DP191" s="36"/>
      <c r="DQ191" s="36"/>
      <c r="DR191" s="36"/>
      <c r="DS191" s="36"/>
      <c r="DT191" s="36"/>
      <c r="DU191" s="36"/>
      <c r="DV191" s="36"/>
      <c r="DW191" s="36"/>
      <c r="DX191" s="36"/>
      <c r="DY191" s="36"/>
      <c r="DZ191" s="36"/>
      <c r="EA191" s="36"/>
      <c r="EB191" s="36"/>
      <c r="EC191" s="36"/>
      <c r="ED191" s="36"/>
      <c r="EE191" s="36"/>
      <c r="EF191" s="36"/>
      <c r="EG191" s="36"/>
      <c r="EH191" s="36"/>
      <c r="EI191" s="36"/>
      <c r="EJ191" s="36"/>
      <c r="EK191" s="36"/>
      <c r="EL191" s="36"/>
      <c r="EM191" s="36"/>
      <c r="EN191" s="36"/>
      <c r="EO191" s="36"/>
      <c r="EP191" s="36"/>
      <c r="EQ191" s="36"/>
      <c r="ER191" s="36"/>
      <c r="ES191" s="36"/>
      <c r="ET191" s="36"/>
      <c r="EU191" s="36"/>
      <c r="EV191" s="36"/>
      <c r="EW191" s="36"/>
      <c r="EX191" s="36"/>
      <c r="EY191" s="36"/>
      <c r="EZ191" s="36"/>
      <c r="FA191" s="36"/>
      <c r="FB191" s="36"/>
      <c r="FC191" s="36"/>
      <c r="FD191" s="36"/>
      <c r="FE191" s="36"/>
    </row>
    <row r="192" spans="1:161" s="37" customFormat="1" ht="26.25" customHeight="1" x14ac:dyDescent="0.2">
      <c r="A192" s="456" t="s">
        <v>268</v>
      </c>
      <c r="B192" s="457"/>
      <c r="C192" s="458"/>
      <c r="D192" s="458"/>
      <c r="E192" s="458"/>
      <c r="F192" s="458"/>
      <c r="G192" s="458"/>
      <c r="H192" s="458"/>
      <c r="I192" s="457"/>
      <c r="J192" s="458"/>
      <c r="K192" s="458"/>
      <c r="L192" s="459"/>
      <c r="M192" s="460"/>
      <c r="N192" s="458">
        <v>5.9999999999999995E-4</v>
      </c>
      <c r="O192" s="458">
        <f>IF(OR(M192=0.001,M192=2.5),M192,(M192*$F$206))</f>
        <v>0</v>
      </c>
      <c r="P192" s="458">
        <v>1.2503356432258428E-3</v>
      </c>
      <c r="Q192" s="458"/>
      <c r="R192" s="458"/>
      <c r="S192" s="458"/>
      <c r="T192" s="461">
        <v>1E-3</v>
      </c>
      <c r="U192" s="458"/>
      <c r="V192" s="459"/>
      <c r="W192" s="459"/>
      <c r="X192" s="87"/>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c r="CB192" s="36"/>
      <c r="CC192" s="36"/>
      <c r="CD192" s="36"/>
      <c r="CE192" s="36"/>
      <c r="CF192" s="36"/>
      <c r="CG192" s="36"/>
      <c r="CH192" s="36"/>
      <c r="CI192" s="36"/>
      <c r="CJ192" s="36"/>
      <c r="CK192" s="36"/>
      <c r="CL192" s="36"/>
      <c r="CM192" s="36"/>
      <c r="CN192" s="36"/>
      <c r="CO192" s="36"/>
      <c r="CP192" s="36"/>
      <c r="CQ192" s="36"/>
      <c r="CR192" s="36"/>
      <c r="CS192" s="36"/>
      <c r="CT192" s="36"/>
      <c r="CU192" s="36"/>
      <c r="CV192" s="36"/>
      <c r="CW192" s="36"/>
      <c r="CX192" s="36"/>
      <c r="CY192" s="36"/>
      <c r="CZ192" s="36"/>
      <c r="DA192" s="36"/>
      <c r="DB192" s="36"/>
      <c r="DC192" s="36"/>
      <c r="DD192" s="36"/>
      <c r="DE192" s="36"/>
      <c r="DF192" s="36"/>
      <c r="DG192" s="36"/>
      <c r="DH192" s="36"/>
      <c r="DI192" s="36"/>
      <c r="DJ192" s="36"/>
      <c r="DK192" s="36"/>
      <c r="DL192" s="36"/>
      <c r="DM192" s="36"/>
      <c r="DN192" s="36"/>
      <c r="DO192" s="36"/>
      <c r="DP192" s="36"/>
      <c r="DQ192" s="36"/>
      <c r="DR192" s="36"/>
      <c r="DS192" s="36"/>
      <c r="DT192" s="36"/>
      <c r="DU192" s="36"/>
      <c r="DV192" s="36"/>
      <c r="DW192" s="36"/>
      <c r="DX192" s="36"/>
      <c r="DY192" s="36"/>
      <c r="DZ192" s="36"/>
      <c r="EA192" s="36"/>
      <c r="EB192" s="36"/>
      <c r="EC192" s="36"/>
      <c r="ED192" s="36"/>
      <c r="EE192" s="36"/>
      <c r="EF192" s="36"/>
      <c r="EG192" s="36"/>
      <c r="EH192" s="36"/>
      <c r="EI192" s="36"/>
      <c r="EJ192" s="36"/>
      <c r="EK192" s="36"/>
      <c r="EL192" s="36"/>
      <c r="EM192" s="36"/>
      <c r="EN192" s="36"/>
      <c r="EO192" s="36"/>
      <c r="EP192" s="36"/>
      <c r="EQ192" s="36"/>
      <c r="ER192" s="36"/>
      <c r="ES192" s="36"/>
      <c r="ET192" s="36"/>
      <c r="EU192" s="36"/>
      <c r="EV192" s="36"/>
      <c r="EW192" s="36"/>
      <c r="EX192" s="36"/>
      <c r="EY192" s="36"/>
      <c r="EZ192" s="36"/>
      <c r="FA192" s="36"/>
      <c r="FB192" s="36"/>
      <c r="FC192" s="36"/>
      <c r="FD192" s="36"/>
      <c r="FE192" s="36"/>
    </row>
    <row r="193" spans="1:161" s="37" customFormat="1" ht="26.25" customHeight="1" x14ac:dyDescent="0.2">
      <c r="A193" s="69" t="s">
        <v>269</v>
      </c>
      <c r="B193" s="454">
        <v>1E-3</v>
      </c>
      <c r="C193" s="451"/>
      <c r="D193" s="451">
        <v>1E-3</v>
      </c>
      <c r="E193" s="451"/>
      <c r="F193" s="451">
        <v>0.06</v>
      </c>
      <c r="G193" s="451"/>
      <c r="H193" s="451"/>
      <c r="I193" s="454"/>
      <c r="J193" s="451">
        <v>0.02</v>
      </c>
      <c r="K193" s="451">
        <v>0.02</v>
      </c>
      <c r="L193" s="452">
        <v>0.02</v>
      </c>
      <c r="M193" s="453"/>
      <c r="N193" s="451">
        <v>1E-3</v>
      </c>
      <c r="O193" s="451">
        <v>1E-3</v>
      </c>
      <c r="P193" s="451">
        <v>1.2503356432258428E-3</v>
      </c>
      <c r="Q193" s="451">
        <v>1E-3</v>
      </c>
      <c r="R193" s="451"/>
      <c r="S193" s="451">
        <v>0.11527377521613834</v>
      </c>
      <c r="T193" s="455">
        <v>1E-3</v>
      </c>
      <c r="U193" s="451">
        <v>1.6E-2</v>
      </c>
      <c r="V193" s="452">
        <v>0.02</v>
      </c>
      <c r="W193" s="452">
        <v>1.4999999999999999E-2</v>
      </c>
      <c r="X193" s="87"/>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c r="CB193" s="36"/>
      <c r="CC193" s="36"/>
      <c r="CD193" s="36"/>
      <c r="CE193" s="36"/>
      <c r="CF193" s="36"/>
      <c r="CG193" s="36"/>
      <c r="CH193" s="36"/>
      <c r="CI193" s="36"/>
      <c r="CJ193" s="36"/>
      <c r="CK193" s="36"/>
      <c r="CL193" s="36"/>
      <c r="CM193" s="36"/>
      <c r="CN193" s="36"/>
      <c r="CO193" s="36"/>
      <c r="CP193" s="36"/>
      <c r="CQ193" s="36"/>
      <c r="CR193" s="36"/>
      <c r="CS193" s="36"/>
      <c r="CT193" s="36"/>
      <c r="CU193" s="36"/>
      <c r="CV193" s="36"/>
      <c r="CW193" s="36"/>
      <c r="CX193" s="36"/>
      <c r="CY193" s="36"/>
      <c r="CZ193" s="36"/>
      <c r="DA193" s="36"/>
      <c r="DB193" s="36"/>
      <c r="DC193" s="36"/>
      <c r="DD193" s="36"/>
      <c r="DE193" s="36"/>
      <c r="DF193" s="36"/>
      <c r="DG193" s="36"/>
      <c r="DH193" s="36"/>
      <c r="DI193" s="36"/>
      <c r="DJ193" s="36"/>
      <c r="DK193" s="36"/>
      <c r="DL193" s="36"/>
      <c r="DM193" s="36"/>
      <c r="DN193" s="36"/>
      <c r="DO193" s="36"/>
      <c r="DP193" s="36"/>
      <c r="DQ193" s="36"/>
      <c r="DR193" s="36"/>
      <c r="DS193" s="36"/>
      <c r="DT193" s="36"/>
      <c r="DU193" s="36"/>
      <c r="DV193" s="36"/>
      <c r="DW193" s="36"/>
      <c r="DX193" s="36"/>
      <c r="DY193" s="36"/>
      <c r="DZ193" s="36"/>
      <c r="EA193" s="36"/>
      <c r="EB193" s="36"/>
      <c r="EC193" s="36"/>
      <c r="ED193" s="36"/>
      <c r="EE193" s="36"/>
      <c r="EF193" s="36"/>
      <c r="EG193" s="36"/>
      <c r="EH193" s="36"/>
      <c r="EI193" s="36"/>
      <c r="EJ193" s="36"/>
      <c r="EK193" s="36"/>
      <c r="EL193" s="36"/>
      <c r="EM193" s="36"/>
      <c r="EN193" s="36"/>
      <c r="EO193" s="36"/>
      <c r="EP193" s="36"/>
      <c r="EQ193" s="36"/>
      <c r="ER193" s="36"/>
      <c r="ES193" s="36"/>
      <c r="ET193" s="36"/>
      <c r="EU193" s="36"/>
      <c r="EV193" s="36"/>
      <c r="EW193" s="36"/>
      <c r="EX193" s="36"/>
      <c r="EY193" s="36"/>
      <c r="EZ193" s="36"/>
      <c r="FA193" s="36"/>
      <c r="FB193" s="36"/>
      <c r="FC193" s="36"/>
      <c r="FD193" s="36"/>
      <c r="FE193" s="36"/>
    </row>
    <row r="194" spans="1:161" s="37" customFormat="1" ht="26.25" customHeight="1" x14ac:dyDescent="0.2">
      <c r="A194" s="456" t="s">
        <v>270</v>
      </c>
      <c r="B194" s="457">
        <v>4.3999999999999997E-2</v>
      </c>
      <c r="C194" s="458">
        <v>2.7E-2</v>
      </c>
      <c r="D194" s="458">
        <v>2.7E-2</v>
      </c>
      <c r="E194" s="458"/>
      <c r="F194" s="458">
        <v>0.06</v>
      </c>
      <c r="G194" s="458">
        <v>0.39640797040843601</v>
      </c>
      <c r="H194" s="458"/>
      <c r="I194" s="457">
        <v>4.3999999999999997E-2</v>
      </c>
      <c r="J194" s="458">
        <v>0.02</v>
      </c>
      <c r="K194" s="458">
        <v>0.02</v>
      </c>
      <c r="L194" s="459">
        <v>0.14000000000000001</v>
      </c>
      <c r="M194" s="460">
        <v>0.152</v>
      </c>
      <c r="N194" s="458">
        <v>2.7E-2</v>
      </c>
      <c r="O194" s="458">
        <v>4.290168928551772E-2</v>
      </c>
      <c r="P194" s="458">
        <v>5.5014768301937078E-2</v>
      </c>
      <c r="Q194" s="458">
        <v>3.7999999999999999E-2</v>
      </c>
      <c r="R194" s="458"/>
      <c r="S194" s="458">
        <v>0.11527377521613834</v>
      </c>
      <c r="T194" s="461">
        <v>2.7E-2</v>
      </c>
      <c r="U194" s="458">
        <v>3.3000000000000002E-2</v>
      </c>
      <c r="V194" s="459">
        <v>0.04</v>
      </c>
      <c r="W194" s="459">
        <v>6.7000000000000004E-2</v>
      </c>
      <c r="X194" s="87"/>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c r="CB194" s="36"/>
      <c r="CC194" s="36"/>
      <c r="CD194" s="36"/>
      <c r="CE194" s="36"/>
      <c r="CF194" s="36"/>
      <c r="CG194" s="36"/>
      <c r="CH194" s="36"/>
      <c r="CI194" s="36"/>
      <c r="CJ194" s="36"/>
      <c r="CK194" s="36"/>
      <c r="CL194" s="36"/>
      <c r="CM194" s="36"/>
      <c r="CN194" s="36"/>
      <c r="CO194" s="36"/>
      <c r="CP194" s="36"/>
      <c r="CQ194" s="36"/>
      <c r="CR194" s="36"/>
      <c r="CS194" s="36"/>
      <c r="CT194" s="36"/>
      <c r="CU194" s="36"/>
      <c r="CV194" s="36"/>
      <c r="CW194" s="36"/>
      <c r="CX194" s="36"/>
      <c r="CY194" s="36"/>
      <c r="CZ194" s="36"/>
      <c r="DA194" s="36"/>
      <c r="DB194" s="36"/>
      <c r="DC194" s="36"/>
      <c r="DD194" s="36"/>
      <c r="DE194" s="36"/>
      <c r="DF194" s="36"/>
      <c r="DG194" s="36"/>
      <c r="DH194" s="36"/>
      <c r="DI194" s="36"/>
      <c r="DJ194" s="36"/>
      <c r="DK194" s="36"/>
      <c r="DL194" s="36"/>
      <c r="DM194" s="36"/>
      <c r="DN194" s="36"/>
      <c r="DO194" s="36"/>
      <c r="DP194" s="36"/>
      <c r="DQ194" s="36"/>
      <c r="DR194" s="36"/>
      <c r="DS194" s="36"/>
      <c r="DT194" s="36"/>
      <c r="DU194" s="36"/>
      <c r="DV194" s="36"/>
      <c r="DW194" s="36"/>
      <c r="DX194" s="36"/>
      <c r="DY194" s="36"/>
      <c r="DZ194" s="36"/>
      <c r="EA194" s="36"/>
      <c r="EB194" s="36"/>
      <c r="EC194" s="36"/>
      <c r="ED194" s="36"/>
      <c r="EE194" s="36"/>
      <c r="EF194" s="36"/>
      <c r="EG194" s="36"/>
      <c r="EH194" s="36"/>
      <c r="EI194" s="36"/>
      <c r="EJ194" s="36"/>
      <c r="EK194" s="36"/>
      <c r="EL194" s="36"/>
      <c r="EM194" s="36"/>
      <c r="EN194" s="36"/>
      <c r="EO194" s="36"/>
      <c r="EP194" s="36"/>
      <c r="EQ194" s="36"/>
      <c r="ER194" s="36"/>
      <c r="ES194" s="36"/>
      <c r="ET194" s="36"/>
      <c r="EU194" s="36"/>
      <c r="EV194" s="36"/>
      <c r="EW194" s="36"/>
      <c r="EX194" s="36"/>
      <c r="EY194" s="36"/>
      <c r="EZ194" s="36"/>
      <c r="FA194" s="36"/>
      <c r="FB194" s="36"/>
      <c r="FC194" s="36"/>
      <c r="FD194" s="36"/>
      <c r="FE194" s="36"/>
    </row>
    <row r="195" spans="1:161" s="37" customFormat="1" ht="26.25" customHeight="1" x14ac:dyDescent="0.2">
      <c r="A195" s="69" t="s">
        <v>271</v>
      </c>
      <c r="B195" s="454">
        <v>0.03</v>
      </c>
      <c r="C195" s="451">
        <v>3.1E-2</v>
      </c>
      <c r="D195" s="451">
        <v>3.1E-2</v>
      </c>
      <c r="E195" s="451">
        <v>2.5000000000000001E-2</v>
      </c>
      <c r="F195" s="451">
        <v>0.06</v>
      </c>
      <c r="G195" s="451">
        <v>0.39640797040843601</v>
      </c>
      <c r="H195" s="451"/>
      <c r="I195" s="454">
        <v>0.03</v>
      </c>
      <c r="J195" s="451">
        <v>0.03</v>
      </c>
      <c r="K195" s="451">
        <v>0.03</v>
      </c>
      <c r="L195" s="452">
        <v>0.14000000000000001</v>
      </c>
      <c r="M195" s="453"/>
      <c r="N195" s="451">
        <v>3.1E-2</v>
      </c>
      <c r="O195" s="451">
        <v>2.9251151785580267E-2</v>
      </c>
      <c r="P195" s="451">
        <v>3.7510069296775285E-2</v>
      </c>
      <c r="Q195" s="451">
        <v>4.2999999999999997E-2</v>
      </c>
      <c r="R195" s="451">
        <v>0.53200000000000003</v>
      </c>
      <c r="S195" s="451">
        <v>0.57636887608069165</v>
      </c>
      <c r="T195" s="455">
        <v>3.1E-2</v>
      </c>
      <c r="U195" s="451">
        <v>3.3000000000000002E-2</v>
      </c>
      <c r="V195" s="452">
        <v>0.03</v>
      </c>
      <c r="W195" s="452">
        <v>0.122</v>
      </c>
      <c r="X195" s="87"/>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c r="CB195" s="36"/>
      <c r="CC195" s="36"/>
      <c r="CD195" s="36"/>
      <c r="CE195" s="36"/>
      <c r="CF195" s="36"/>
      <c r="CG195" s="36"/>
      <c r="CH195" s="36"/>
      <c r="CI195" s="36"/>
      <c r="CJ195" s="36"/>
      <c r="CK195" s="36"/>
      <c r="CL195" s="36"/>
      <c r="CM195" s="36"/>
      <c r="CN195" s="36"/>
      <c r="CO195" s="36"/>
      <c r="CP195" s="36"/>
      <c r="CQ195" s="36"/>
      <c r="CR195" s="36"/>
      <c r="CS195" s="36"/>
      <c r="CT195" s="36"/>
      <c r="CU195" s="36"/>
      <c r="CV195" s="36"/>
      <c r="CW195" s="36"/>
      <c r="CX195" s="36"/>
      <c r="CY195" s="36"/>
      <c r="CZ195" s="36"/>
      <c r="DA195" s="36"/>
      <c r="DB195" s="36"/>
      <c r="DC195" s="36"/>
      <c r="DD195" s="36"/>
      <c r="DE195" s="36"/>
      <c r="DF195" s="36"/>
      <c r="DG195" s="36"/>
      <c r="DH195" s="36"/>
      <c r="DI195" s="36"/>
      <c r="DJ195" s="36"/>
      <c r="DK195" s="36"/>
      <c r="DL195" s="36"/>
      <c r="DM195" s="36"/>
      <c r="DN195" s="36"/>
      <c r="DO195" s="36"/>
      <c r="DP195" s="36"/>
      <c r="DQ195" s="36"/>
      <c r="DR195" s="36"/>
      <c r="DS195" s="36"/>
      <c r="DT195" s="36"/>
      <c r="DU195" s="36"/>
      <c r="DV195" s="36"/>
      <c r="DW195" s="36"/>
      <c r="DX195" s="36"/>
      <c r="DY195" s="36"/>
      <c r="DZ195" s="36"/>
      <c r="EA195" s="36"/>
      <c r="EB195" s="36"/>
      <c r="EC195" s="36"/>
      <c r="ED195" s="36"/>
      <c r="EE195" s="36"/>
      <c r="EF195" s="36"/>
      <c r="EG195" s="36"/>
      <c r="EH195" s="36"/>
      <c r="EI195" s="36"/>
      <c r="EJ195" s="36"/>
      <c r="EK195" s="36"/>
      <c r="EL195" s="36"/>
      <c r="EM195" s="36"/>
      <c r="EN195" s="36"/>
      <c r="EO195" s="36"/>
      <c r="EP195" s="36"/>
      <c r="EQ195" s="36"/>
      <c r="ER195" s="36"/>
      <c r="ES195" s="36"/>
      <c r="ET195" s="36"/>
      <c r="EU195" s="36"/>
      <c r="EV195" s="36"/>
      <c r="EW195" s="36"/>
      <c r="EX195" s="36"/>
      <c r="EY195" s="36"/>
      <c r="EZ195" s="36"/>
      <c r="FA195" s="36"/>
      <c r="FB195" s="36"/>
      <c r="FC195" s="36"/>
      <c r="FD195" s="36"/>
      <c r="FE195" s="36"/>
    </row>
    <row r="196" spans="1:161" s="37" customFormat="1" ht="26.25" customHeight="1" x14ac:dyDescent="0.2">
      <c r="A196" s="456" t="s">
        <v>272</v>
      </c>
      <c r="B196" s="457">
        <v>0.61699999999999999</v>
      </c>
      <c r="C196" s="458">
        <v>0.38600000000000001</v>
      </c>
      <c r="D196" s="458">
        <v>0.38300000000000001</v>
      </c>
      <c r="E196" s="458">
        <v>0.309</v>
      </c>
      <c r="F196" s="458">
        <v>0.43</v>
      </c>
      <c r="G196" s="458">
        <v>3.1708326507384954</v>
      </c>
      <c r="H196" s="458"/>
      <c r="I196" s="457">
        <v>0.61699999999999999</v>
      </c>
      <c r="J196" s="458">
        <v>0.66</v>
      </c>
      <c r="K196" s="458">
        <v>0.67</v>
      </c>
      <c r="L196" s="459">
        <v>0.28999999999999998</v>
      </c>
      <c r="M196" s="460"/>
      <c r="N196" s="458">
        <v>0.38100000000000001</v>
      </c>
      <c r="O196" s="458">
        <v>0.60159868839010078</v>
      </c>
      <c r="P196" s="458">
        <v>0.77145709187034495</v>
      </c>
      <c r="Q196" s="458">
        <v>0.53</v>
      </c>
      <c r="R196" s="458">
        <v>1.6080000000000001</v>
      </c>
      <c r="S196" s="458">
        <v>0.57636887608069165</v>
      </c>
      <c r="T196" s="461">
        <v>0.38100000000000001</v>
      </c>
      <c r="U196" s="458">
        <v>0.52400000000000002</v>
      </c>
      <c r="V196" s="459">
        <v>0.61</v>
      </c>
      <c r="W196" s="459">
        <v>0.90200000000000002</v>
      </c>
      <c r="X196" s="87"/>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c r="CB196" s="36"/>
      <c r="CC196" s="36"/>
      <c r="CD196" s="36"/>
      <c r="CE196" s="36"/>
      <c r="CF196" s="36"/>
      <c r="CG196" s="36"/>
      <c r="CH196" s="36"/>
      <c r="CI196" s="36"/>
      <c r="CJ196" s="36"/>
      <c r="CK196" s="36"/>
      <c r="CL196" s="36"/>
      <c r="CM196" s="36"/>
      <c r="CN196" s="36"/>
      <c r="CO196" s="36"/>
      <c r="CP196" s="36"/>
      <c r="CQ196" s="36"/>
      <c r="CR196" s="36"/>
      <c r="CS196" s="36"/>
      <c r="CT196" s="36"/>
      <c r="CU196" s="36"/>
      <c r="CV196" s="36"/>
      <c r="CW196" s="36"/>
      <c r="CX196" s="36"/>
      <c r="CY196" s="36"/>
      <c r="CZ196" s="36"/>
      <c r="DA196" s="36"/>
      <c r="DB196" s="36"/>
      <c r="DC196" s="36"/>
      <c r="DD196" s="36"/>
      <c r="DE196" s="36"/>
      <c r="DF196" s="36"/>
      <c r="DG196" s="36"/>
      <c r="DH196" s="36"/>
      <c r="DI196" s="36"/>
      <c r="DJ196" s="36"/>
      <c r="DK196" s="36"/>
      <c r="DL196" s="36"/>
      <c r="DM196" s="36"/>
      <c r="DN196" s="36"/>
      <c r="DO196" s="36"/>
      <c r="DP196" s="36"/>
      <c r="DQ196" s="36"/>
      <c r="DR196" s="36"/>
      <c r="DS196" s="36"/>
      <c r="DT196" s="36"/>
      <c r="DU196" s="36"/>
      <c r="DV196" s="36"/>
      <c r="DW196" s="36"/>
      <c r="DX196" s="36"/>
      <c r="DY196" s="36"/>
      <c r="DZ196" s="36"/>
      <c r="EA196" s="36"/>
      <c r="EB196" s="36"/>
      <c r="EC196" s="36"/>
      <c r="ED196" s="36"/>
      <c r="EE196" s="36"/>
      <c r="EF196" s="36"/>
      <c r="EG196" s="36"/>
      <c r="EH196" s="36"/>
      <c r="EI196" s="36"/>
      <c r="EJ196" s="36"/>
      <c r="EK196" s="36"/>
      <c r="EL196" s="36"/>
      <c r="EM196" s="36"/>
      <c r="EN196" s="36"/>
      <c r="EO196" s="36"/>
      <c r="EP196" s="36"/>
      <c r="EQ196" s="36"/>
      <c r="ER196" s="36"/>
      <c r="ES196" s="36"/>
      <c r="ET196" s="36"/>
      <c r="EU196" s="36"/>
      <c r="EV196" s="36"/>
      <c r="EW196" s="36"/>
      <c r="EX196" s="36"/>
      <c r="EY196" s="36"/>
      <c r="EZ196" s="36"/>
      <c r="FA196" s="36"/>
      <c r="FB196" s="36"/>
      <c r="FC196" s="36"/>
      <c r="FD196" s="36"/>
      <c r="FE196" s="36"/>
    </row>
    <row r="197" spans="1:161" s="37" customFormat="1" ht="26.25" customHeight="1" x14ac:dyDescent="0.2">
      <c r="A197" s="69" t="s">
        <v>273</v>
      </c>
      <c r="B197" s="454">
        <v>2.5999999999999999E-2</v>
      </c>
      <c r="C197" s="451">
        <v>6.0000000000000001E-3</v>
      </c>
      <c r="D197" s="451">
        <v>6.0000000000000001E-3</v>
      </c>
      <c r="E197" s="451"/>
      <c r="F197" s="451">
        <v>0.06</v>
      </c>
      <c r="G197" s="451"/>
      <c r="H197" s="451"/>
      <c r="I197" s="454">
        <v>2.5999999999999999E-2</v>
      </c>
      <c r="J197" s="451">
        <v>0.02</v>
      </c>
      <c r="K197" s="451">
        <v>0.02</v>
      </c>
      <c r="L197" s="452">
        <v>7.0000000000000007E-2</v>
      </c>
      <c r="M197" s="453"/>
      <c r="N197" s="451">
        <v>6.0000000000000001E-3</v>
      </c>
      <c r="O197" s="451">
        <v>2.5350998214169564E-2</v>
      </c>
      <c r="P197" s="451">
        <v>3.2508726723871909E-2</v>
      </c>
      <c r="Q197" s="451">
        <v>8.0000000000000002E-3</v>
      </c>
      <c r="R197" s="451">
        <v>0.26600000000000001</v>
      </c>
      <c r="S197" s="451">
        <v>0.11527377521613834</v>
      </c>
      <c r="T197" s="455">
        <v>6.0000000000000001E-3</v>
      </c>
      <c r="U197" s="451">
        <v>6.6000000000000003E-2</v>
      </c>
      <c r="V197" s="452">
        <v>0.03</v>
      </c>
      <c r="W197" s="452"/>
      <c r="X197" s="87"/>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c r="CB197" s="36"/>
      <c r="CC197" s="36"/>
      <c r="CD197" s="36"/>
      <c r="CE197" s="36"/>
      <c r="CF197" s="36"/>
      <c r="CG197" s="36"/>
      <c r="CH197" s="36"/>
      <c r="CI197" s="36"/>
      <c r="CJ197" s="36"/>
      <c r="CK197" s="36"/>
      <c r="CL197" s="36"/>
      <c r="CM197" s="36"/>
      <c r="CN197" s="36"/>
      <c r="CO197" s="36"/>
      <c r="CP197" s="36"/>
      <c r="CQ197" s="36"/>
      <c r="CR197" s="36"/>
      <c r="CS197" s="36"/>
      <c r="CT197" s="36"/>
      <c r="CU197" s="36"/>
      <c r="CV197" s="36"/>
      <c r="CW197" s="36"/>
      <c r="CX197" s="36"/>
      <c r="CY197" s="36"/>
      <c r="CZ197" s="36"/>
      <c r="DA197" s="36"/>
      <c r="DB197" s="36"/>
      <c r="DC197" s="36"/>
      <c r="DD197" s="36"/>
      <c r="DE197" s="36"/>
      <c r="DF197" s="36"/>
      <c r="DG197" s="36"/>
      <c r="DH197" s="36"/>
      <c r="DI197" s="36"/>
      <c r="DJ197" s="36"/>
      <c r="DK197" s="36"/>
      <c r="DL197" s="36"/>
      <c r="DM197" s="36"/>
      <c r="DN197" s="36"/>
      <c r="DO197" s="36"/>
      <c r="DP197" s="36"/>
      <c r="DQ197" s="36"/>
      <c r="DR197" s="36"/>
      <c r="DS197" s="36"/>
      <c r="DT197" s="36"/>
      <c r="DU197" s="36"/>
      <c r="DV197" s="36"/>
      <c r="DW197" s="36"/>
      <c r="DX197" s="36"/>
      <c r="DY197" s="36"/>
      <c r="DZ197" s="36"/>
      <c r="EA197" s="36"/>
      <c r="EB197" s="36"/>
      <c r="EC197" s="36"/>
      <c r="ED197" s="36"/>
      <c r="EE197" s="36"/>
      <c r="EF197" s="36"/>
      <c r="EG197" s="36"/>
      <c r="EH197" s="36"/>
      <c r="EI197" s="36"/>
      <c r="EJ197" s="36"/>
      <c r="EK197" s="36"/>
      <c r="EL197" s="36"/>
      <c r="EM197" s="36"/>
      <c r="EN197" s="36"/>
      <c r="EO197" s="36"/>
      <c r="EP197" s="36"/>
      <c r="EQ197" s="36"/>
      <c r="ER197" s="36"/>
      <c r="ES197" s="36"/>
      <c r="ET197" s="36"/>
      <c r="EU197" s="36"/>
      <c r="EV197" s="36"/>
      <c r="EW197" s="36"/>
      <c r="EX197" s="36"/>
      <c r="EY197" s="36"/>
      <c r="EZ197" s="36"/>
      <c r="FA197" s="36"/>
      <c r="FB197" s="36"/>
      <c r="FC197" s="36"/>
      <c r="FD197" s="36"/>
      <c r="FE197" s="36"/>
    </row>
    <row r="198" spans="1:161" s="37" customFormat="1" ht="26.25" customHeight="1" x14ac:dyDescent="0.2">
      <c r="A198" s="456" t="s">
        <v>274</v>
      </c>
      <c r="B198" s="457">
        <v>1E-3</v>
      </c>
      <c r="C198" s="458"/>
      <c r="D198" s="458">
        <v>1E-3</v>
      </c>
      <c r="E198" s="458"/>
      <c r="F198" s="458"/>
      <c r="G198" s="458"/>
      <c r="H198" s="458"/>
      <c r="I198" s="457">
        <v>1E-3</v>
      </c>
      <c r="J198" s="458">
        <v>0.13</v>
      </c>
      <c r="K198" s="458">
        <v>0.08</v>
      </c>
      <c r="L198" s="459">
        <v>0.02</v>
      </c>
      <c r="M198" s="460"/>
      <c r="N198" s="458">
        <v>1E-3</v>
      </c>
      <c r="O198" s="458">
        <v>1E-3</v>
      </c>
      <c r="P198" s="458">
        <v>1.2503356432258428E-3</v>
      </c>
      <c r="Q198" s="458"/>
      <c r="R198" s="458"/>
      <c r="S198" s="458">
        <v>5.7636887608069169E-2</v>
      </c>
      <c r="T198" s="461">
        <v>1E-3</v>
      </c>
      <c r="U198" s="458"/>
      <c r="V198" s="459"/>
      <c r="W198" s="459"/>
      <c r="X198" s="87"/>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c r="CB198" s="36"/>
      <c r="CC198" s="36"/>
      <c r="CD198" s="36"/>
      <c r="CE198" s="36"/>
      <c r="CF198" s="36"/>
      <c r="CG198" s="36"/>
      <c r="CH198" s="36"/>
      <c r="CI198" s="36"/>
      <c r="CJ198" s="36"/>
      <c r="CK198" s="36"/>
      <c r="CL198" s="36"/>
      <c r="CM198" s="36"/>
      <c r="CN198" s="36"/>
      <c r="CO198" s="36"/>
      <c r="CP198" s="36"/>
      <c r="CQ198" s="36"/>
      <c r="CR198" s="36"/>
      <c r="CS198" s="36"/>
      <c r="CT198" s="36"/>
      <c r="CU198" s="36"/>
      <c r="CV198" s="36"/>
      <c r="CW198" s="36"/>
      <c r="CX198" s="36"/>
      <c r="CY198" s="36"/>
      <c r="CZ198" s="36"/>
      <c r="DA198" s="36"/>
      <c r="DB198" s="36"/>
      <c r="DC198" s="36"/>
      <c r="DD198" s="36"/>
      <c r="DE198" s="36"/>
      <c r="DF198" s="36"/>
      <c r="DG198" s="36"/>
      <c r="DH198" s="36"/>
      <c r="DI198" s="36"/>
      <c r="DJ198" s="36"/>
      <c r="DK198" s="36"/>
      <c r="DL198" s="36"/>
      <c r="DM198" s="36"/>
      <c r="DN198" s="36"/>
      <c r="DO198" s="36"/>
      <c r="DP198" s="36"/>
      <c r="DQ198" s="36"/>
      <c r="DR198" s="36"/>
      <c r="DS198" s="36"/>
      <c r="DT198" s="36"/>
      <c r="DU198" s="36"/>
      <c r="DV198" s="36"/>
      <c r="DW198" s="36"/>
      <c r="DX198" s="36"/>
      <c r="DY198" s="36"/>
      <c r="DZ198" s="36"/>
      <c r="EA198" s="36"/>
      <c r="EB198" s="36"/>
      <c r="EC198" s="36"/>
      <c r="ED198" s="36"/>
      <c r="EE198" s="36"/>
      <c r="EF198" s="36"/>
      <c r="EG198" s="36"/>
      <c r="EH198" s="36"/>
      <c r="EI198" s="36"/>
      <c r="EJ198" s="36"/>
      <c r="EK198" s="36"/>
      <c r="EL198" s="36"/>
      <c r="EM198" s="36"/>
      <c r="EN198" s="36"/>
      <c r="EO198" s="36"/>
      <c r="EP198" s="36"/>
      <c r="EQ198" s="36"/>
      <c r="ER198" s="36"/>
      <c r="ES198" s="36"/>
      <c r="ET198" s="36"/>
      <c r="EU198" s="36"/>
      <c r="EV198" s="36"/>
      <c r="EW198" s="36"/>
      <c r="EX198" s="36"/>
      <c r="EY198" s="36"/>
      <c r="EZ198" s="36"/>
      <c r="FA198" s="36"/>
      <c r="FB198" s="36"/>
      <c r="FC198" s="36"/>
      <c r="FD198" s="36"/>
      <c r="FE198" s="36"/>
    </row>
    <row r="199" spans="1:161" s="37" customFormat="1" ht="26.25" customHeight="1" x14ac:dyDescent="0.2">
      <c r="A199" s="69" t="s">
        <v>275</v>
      </c>
      <c r="B199" s="454">
        <v>6.0000000000000001E-3</v>
      </c>
      <c r="C199" s="451">
        <v>3.0000000000000001E-3</v>
      </c>
      <c r="D199" s="451">
        <v>3.0000000000000001E-3</v>
      </c>
      <c r="E199" s="451">
        <v>2E-3</v>
      </c>
      <c r="F199" s="451">
        <v>0.06</v>
      </c>
      <c r="G199" s="451"/>
      <c r="H199" s="451"/>
      <c r="I199" s="454">
        <v>6.0000000000000001E-3</v>
      </c>
      <c r="J199" s="451">
        <v>0.02</v>
      </c>
      <c r="K199" s="451"/>
      <c r="L199" s="452">
        <v>7.0000000000000007E-2</v>
      </c>
      <c r="M199" s="453"/>
      <c r="N199" s="451">
        <v>3.0000000000000001E-3</v>
      </c>
      <c r="O199" s="451">
        <v>5.8502303571160534E-3</v>
      </c>
      <c r="P199" s="451">
        <v>7.5020138593550568E-3</v>
      </c>
      <c r="Q199" s="451">
        <v>4.0000000000000001E-3</v>
      </c>
      <c r="R199" s="451">
        <v>0.222</v>
      </c>
      <c r="S199" s="451">
        <v>5.7636887608069169E-2</v>
      </c>
      <c r="T199" s="455">
        <v>3.0000000000000001E-3</v>
      </c>
      <c r="U199" s="451">
        <v>8.0000000000000002E-3</v>
      </c>
      <c r="V199" s="452">
        <v>0.02</v>
      </c>
      <c r="W199" s="452">
        <v>1.7000000000000001E-2</v>
      </c>
      <c r="X199" s="87"/>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c r="CB199" s="36"/>
      <c r="CC199" s="36"/>
      <c r="CD199" s="36"/>
      <c r="CE199" s="36"/>
      <c r="CF199" s="36"/>
      <c r="CG199" s="36"/>
      <c r="CH199" s="36"/>
      <c r="CI199" s="36"/>
      <c r="CJ199" s="36"/>
      <c r="CK199" s="36"/>
      <c r="CL199" s="36"/>
      <c r="CM199" s="36"/>
      <c r="CN199" s="36"/>
      <c r="CO199" s="36"/>
      <c r="CP199" s="36"/>
      <c r="CQ199" s="36"/>
      <c r="CR199" s="36"/>
      <c r="CS199" s="36"/>
      <c r="CT199" s="36"/>
      <c r="CU199" s="36"/>
      <c r="CV199" s="36"/>
      <c r="CW199" s="36"/>
      <c r="CX199" s="36"/>
      <c r="CY199" s="36"/>
      <c r="CZ199" s="36"/>
      <c r="DA199" s="36"/>
      <c r="DB199" s="36"/>
      <c r="DC199" s="36"/>
      <c r="DD199" s="36"/>
      <c r="DE199" s="36"/>
      <c r="DF199" s="36"/>
      <c r="DG199" s="36"/>
      <c r="DH199" s="36"/>
      <c r="DI199" s="36"/>
      <c r="DJ199" s="36"/>
      <c r="DK199" s="36"/>
      <c r="DL199" s="36"/>
      <c r="DM199" s="36"/>
      <c r="DN199" s="36"/>
      <c r="DO199" s="36"/>
      <c r="DP199" s="36"/>
      <c r="DQ199" s="36"/>
      <c r="DR199" s="36"/>
      <c r="DS199" s="36"/>
      <c r="DT199" s="36"/>
      <c r="DU199" s="36"/>
      <c r="DV199" s="36"/>
      <c r="DW199" s="36"/>
      <c r="DX199" s="36"/>
      <c r="DY199" s="36"/>
      <c r="DZ199" s="36"/>
      <c r="EA199" s="36"/>
      <c r="EB199" s="36"/>
      <c r="EC199" s="36"/>
      <c r="ED199" s="36"/>
      <c r="EE199" s="36"/>
      <c r="EF199" s="36"/>
      <c r="EG199" s="36"/>
      <c r="EH199" s="36"/>
      <c r="EI199" s="36"/>
      <c r="EJ199" s="36"/>
      <c r="EK199" s="36"/>
      <c r="EL199" s="36"/>
      <c r="EM199" s="36"/>
      <c r="EN199" s="36"/>
      <c r="EO199" s="36"/>
      <c r="EP199" s="36"/>
      <c r="EQ199" s="36"/>
      <c r="ER199" s="36"/>
      <c r="ES199" s="36"/>
      <c r="ET199" s="36"/>
      <c r="EU199" s="36"/>
      <c r="EV199" s="36"/>
      <c r="EW199" s="36"/>
      <c r="EX199" s="36"/>
      <c r="EY199" s="36"/>
      <c r="EZ199" s="36"/>
      <c r="FA199" s="36"/>
      <c r="FB199" s="36"/>
      <c r="FC199" s="36"/>
      <c r="FD199" s="36"/>
      <c r="FE199" s="36"/>
    </row>
    <row r="200" spans="1:161" s="37" customFormat="1" ht="26.25" customHeight="1" x14ac:dyDescent="0.2">
      <c r="A200" s="456" t="s">
        <v>276</v>
      </c>
      <c r="B200" s="457">
        <v>8.6999999999999994E-2</v>
      </c>
      <c r="C200" s="458">
        <v>4.5999999999999999E-2</v>
      </c>
      <c r="D200" s="458">
        <v>4.4999999999999998E-2</v>
      </c>
      <c r="E200" s="458">
        <v>3.5999999999999997E-2</v>
      </c>
      <c r="F200" s="458">
        <v>0.06</v>
      </c>
      <c r="G200" s="458"/>
      <c r="H200" s="458"/>
      <c r="I200" s="457">
        <v>8.6999999999999994E-2</v>
      </c>
      <c r="J200" s="458">
        <v>0.12</v>
      </c>
      <c r="K200" s="458">
        <v>0.15</v>
      </c>
      <c r="L200" s="459">
        <v>0.14000000000000001</v>
      </c>
      <c r="M200" s="460"/>
      <c r="N200" s="458">
        <v>4.4999999999999998E-2</v>
      </c>
      <c r="O200" s="458">
        <v>8.4828340178182762E-2</v>
      </c>
      <c r="P200" s="458">
        <v>0.10877920096064832</v>
      </c>
      <c r="Q200" s="458">
        <v>6.3E-2</v>
      </c>
      <c r="R200" s="458">
        <v>0.57599999999999996</v>
      </c>
      <c r="S200" s="458">
        <v>0.57636887608069165</v>
      </c>
      <c r="T200" s="461">
        <v>4.4999999999999998E-2</v>
      </c>
      <c r="U200" s="458">
        <v>6.6000000000000003E-2</v>
      </c>
      <c r="V200" s="459">
        <v>0.08</v>
      </c>
      <c r="W200" s="459">
        <v>0.36699999999999999</v>
      </c>
      <c r="X200" s="87"/>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c r="CB200" s="36"/>
      <c r="CC200" s="36"/>
      <c r="CD200" s="36"/>
      <c r="CE200" s="36"/>
      <c r="CF200" s="36"/>
      <c r="CG200" s="36"/>
      <c r="CH200" s="36"/>
      <c r="CI200" s="36"/>
      <c r="CJ200" s="36"/>
      <c r="CK200" s="36"/>
      <c r="CL200" s="36"/>
      <c r="CM200" s="36"/>
      <c r="CN200" s="36"/>
      <c r="CO200" s="36"/>
      <c r="CP200" s="36"/>
      <c r="CQ200" s="36"/>
      <c r="CR200" s="36"/>
      <c r="CS200" s="36"/>
      <c r="CT200" s="36"/>
      <c r="CU200" s="36"/>
      <c r="CV200" s="36"/>
      <c r="CW200" s="36"/>
      <c r="CX200" s="36"/>
      <c r="CY200" s="36"/>
      <c r="CZ200" s="36"/>
      <c r="DA200" s="36"/>
      <c r="DB200" s="36"/>
      <c r="DC200" s="36"/>
      <c r="DD200" s="36"/>
      <c r="DE200" s="36"/>
      <c r="DF200" s="36"/>
      <c r="DG200" s="36"/>
      <c r="DH200" s="36"/>
      <c r="DI200" s="36"/>
      <c r="DJ200" s="36"/>
      <c r="DK200" s="36"/>
      <c r="DL200" s="36"/>
      <c r="DM200" s="36"/>
      <c r="DN200" s="36"/>
      <c r="DO200" s="36"/>
      <c r="DP200" s="36"/>
      <c r="DQ200" s="36"/>
      <c r="DR200" s="36"/>
      <c r="DS200" s="36"/>
      <c r="DT200" s="36"/>
      <c r="DU200" s="36"/>
      <c r="DV200" s="36"/>
      <c r="DW200" s="36"/>
      <c r="DX200" s="36"/>
      <c r="DY200" s="36"/>
      <c r="DZ200" s="36"/>
      <c r="EA200" s="36"/>
      <c r="EB200" s="36"/>
      <c r="EC200" s="36"/>
      <c r="ED200" s="36"/>
      <c r="EE200" s="36"/>
      <c r="EF200" s="36"/>
      <c r="EG200" s="36"/>
      <c r="EH200" s="36"/>
      <c r="EI200" s="36"/>
      <c r="EJ200" s="36"/>
      <c r="EK200" s="36"/>
      <c r="EL200" s="36"/>
      <c r="EM200" s="36"/>
      <c r="EN200" s="36"/>
      <c r="EO200" s="36"/>
      <c r="EP200" s="36"/>
      <c r="EQ200" s="36"/>
      <c r="ER200" s="36"/>
      <c r="ES200" s="36"/>
      <c r="ET200" s="36"/>
      <c r="EU200" s="36"/>
      <c r="EV200" s="36"/>
      <c r="EW200" s="36"/>
      <c r="EX200" s="36"/>
      <c r="EY200" s="36"/>
      <c r="EZ200" s="36"/>
      <c r="FA200" s="36"/>
      <c r="FB200" s="36"/>
      <c r="FC200" s="36"/>
      <c r="FD200" s="36"/>
      <c r="FE200" s="36"/>
    </row>
    <row r="201" spans="1:161" s="37" customFormat="1" ht="26.25" customHeight="1" x14ac:dyDescent="0.2">
      <c r="A201" s="69" t="s">
        <v>277</v>
      </c>
      <c r="B201" s="454">
        <v>0.39100000000000001</v>
      </c>
      <c r="C201" s="451">
        <v>0.30599999999999999</v>
      </c>
      <c r="D201" s="451">
        <v>0.30399999999999999</v>
      </c>
      <c r="E201" s="451">
        <v>0.29799999999999999</v>
      </c>
      <c r="F201" s="451">
        <v>0.88</v>
      </c>
      <c r="G201" s="451">
        <v>1.4584536855810102</v>
      </c>
      <c r="H201" s="451">
        <v>0.26769666144020804</v>
      </c>
      <c r="I201" s="454">
        <v>0.39100000000000001</v>
      </c>
      <c r="J201" s="451">
        <v>0.2</v>
      </c>
      <c r="K201" s="451">
        <v>0.18</v>
      </c>
      <c r="L201" s="452">
        <v>0.86</v>
      </c>
      <c r="M201" s="453"/>
      <c r="N201" s="451">
        <v>0.30199999999999999</v>
      </c>
      <c r="O201" s="451">
        <v>0.38124001160539617</v>
      </c>
      <c r="P201" s="451">
        <v>0.48888123650130455</v>
      </c>
      <c r="Q201" s="451">
        <v>0.42</v>
      </c>
      <c r="R201" s="451"/>
      <c r="S201" s="451">
        <v>0.11527377521613834</v>
      </c>
      <c r="T201" s="455">
        <v>0.30199999999999999</v>
      </c>
      <c r="U201" s="451">
        <v>6.6000000000000003E-2</v>
      </c>
      <c r="V201" s="452">
        <v>0.39</v>
      </c>
      <c r="W201" s="452">
        <v>0.89500000000000002</v>
      </c>
      <c r="X201" s="87"/>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c r="CB201" s="36"/>
      <c r="CC201" s="36"/>
      <c r="CD201" s="36"/>
      <c r="CE201" s="36"/>
      <c r="CF201" s="36"/>
      <c r="CG201" s="36"/>
      <c r="CH201" s="36"/>
      <c r="CI201" s="36"/>
      <c r="CJ201" s="36"/>
      <c r="CK201" s="36"/>
      <c r="CL201" s="36"/>
      <c r="CM201" s="36"/>
      <c r="CN201" s="36"/>
      <c r="CO201" s="36"/>
      <c r="CP201" s="36"/>
      <c r="CQ201" s="36"/>
      <c r="CR201" s="36"/>
      <c r="CS201" s="36"/>
      <c r="CT201" s="36"/>
      <c r="CU201" s="36"/>
      <c r="CV201" s="36"/>
      <c r="CW201" s="36"/>
      <c r="CX201" s="36"/>
      <c r="CY201" s="36"/>
      <c r="CZ201" s="36"/>
      <c r="DA201" s="36"/>
      <c r="DB201" s="36"/>
      <c r="DC201" s="36"/>
      <c r="DD201" s="36"/>
      <c r="DE201" s="36"/>
      <c r="DF201" s="36"/>
      <c r="DG201" s="36"/>
      <c r="DH201" s="36"/>
      <c r="DI201" s="36"/>
      <c r="DJ201" s="36"/>
      <c r="DK201" s="36"/>
      <c r="DL201" s="36"/>
      <c r="DM201" s="36"/>
      <c r="DN201" s="36"/>
      <c r="DO201" s="36"/>
      <c r="DP201" s="36"/>
      <c r="DQ201" s="36"/>
      <c r="DR201" s="36"/>
      <c r="DS201" s="36"/>
      <c r="DT201" s="36"/>
      <c r="DU201" s="36"/>
      <c r="DV201" s="36"/>
      <c r="DW201" s="36"/>
      <c r="DX201" s="36"/>
      <c r="DY201" s="36"/>
      <c r="DZ201" s="36"/>
      <c r="EA201" s="36"/>
      <c r="EB201" s="36"/>
      <c r="EC201" s="36"/>
      <c r="ED201" s="36"/>
      <c r="EE201" s="36"/>
      <c r="EF201" s="36"/>
      <c r="EG201" s="36"/>
      <c r="EH201" s="36"/>
      <c r="EI201" s="36"/>
      <c r="EJ201" s="36"/>
      <c r="EK201" s="36"/>
      <c r="EL201" s="36"/>
      <c r="EM201" s="36"/>
      <c r="EN201" s="36"/>
      <c r="EO201" s="36"/>
      <c r="EP201" s="36"/>
      <c r="EQ201" s="36"/>
      <c r="ER201" s="36"/>
      <c r="ES201" s="36"/>
      <c r="ET201" s="36"/>
      <c r="EU201" s="36"/>
      <c r="EV201" s="36"/>
      <c r="EW201" s="36"/>
      <c r="EX201" s="36"/>
      <c r="EY201" s="36"/>
      <c r="EZ201" s="36"/>
      <c r="FA201" s="36"/>
      <c r="FB201" s="36"/>
      <c r="FC201" s="36"/>
      <c r="FD201" s="36"/>
      <c r="FE201" s="36"/>
    </row>
    <row r="202" spans="1:161" s="37" customFormat="1" ht="26.25" customHeight="1" x14ac:dyDescent="0.2">
      <c r="A202" s="456" t="s">
        <v>331</v>
      </c>
      <c r="B202" s="457">
        <v>6.6040000000000001</v>
      </c>
      <c r="C202" s="458">
        <v>6.734</v>
      </c>
      <c r="D202" s="458">
        <v>6.6749999999999998</v>
      </c>
      <c r="E202" s="458">
        <v>6.5410000000000004</v>
      </c>
      <c r="F202" s="458">
        <v>5.74</v>
      </c>
      <c r="G202" s="458"/>
      <c r="H202" s="458">
        <v>10.998508547171976</v>
      </c>
      <c r="I202" s="457">
        <v>6.6070000000000002</v>
      </c>
      <c r="J202" s="458">
        <v>4.8</v>
      </c>
      <c r="K202" s="458">
        <v>4.7</v>
      </c>
      <c r="L202" s="459">
        <v>2.87</v>
      </c>
      <c r="M202" s="460"/>
      <c r="N202" s="458">
        <v>6.6429999999999998</v>
      </c>
      <c r="O202" s="458">
        <v>6.4391535463990692</v>
      </c>
      <c r="P202" s="458">
        <v>8.257216587863466</v>
      </c>
      <c r="Q202" s="458">
        <v>9.2319999999999993</v>
      </c>
      <c r="R202" s="458"/>
      <c r="S202" s="458">
        <v>5.7636887608069163</v>
      </c>
      <c r="T202" s="461">
        <v>6.6425000000000001</v>
      </c>
      <c r="U202" s="458">
        <v>6.5449999999999999</v>
      </c>
      <c r="V202" s="459">
        <v>6.5</v>
      </c>
      <c r="W202" s="459">
        <v>5.1050000000000004</v>
      </c>
      <c r="X202" s="87"/>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c r="DG202" s="36"/>
      <c r="DH202" s="36"/>
      <c r="DI202" s="36"/>
      <c r="DJ202" s="36"/>
      <c r="DK202" s="36"/>
      <c r="DL202" s="36"/>
      <c r="DM202" s="36"/>
      <c r="DN202" s="36"/>
      <c r="DO202" s="36"/>
      <c r="DP202" s="36"/>
      <c r="DQ202" s="36"/>
      <c r="DR202" s="36"/>
      <c r="DS202" s="36"/>
      <c r="DT202" s="36"/>
      <c r="DU202" s="36"/>
      <c r="DV202" s="36"/>
      <c r="DW202" s="36"/>
      <c r="DX202" s="36"/>
      <c r="DY202" s="36"/>
      <c r="DZ202" s="36"/>
      <c r="EA202" s="36"/>
      <c r="EB202" s="36"/>
      <c r="EC202" s="36"/>
      <c r="ED202" s="36"/>
      <c r="EE202" s="36"/>
      <c r="EF202" s="36"/>
      <c r="EG202" s="36"/>
      <c r="EH202" s="36"/>
      <c r="EI202" s="36"/>
      <c r="EJ202" s="36"/>
      <c r="EK202" s="36"/>
      <c r="EL202" s="36"/>
      <c r="EM202" s="36"/>
      <c r="EN202" s="36"/>
      <c r="EO202" s="36"/>
      <c r="EP202" s="36"/>
      <c r="EQ202" s="36"/>
      <c r="ER202" s="36"/>
      <c r="ES202" s="36"/>
      <c r="ET202" s="36"/>
      <c r="EU202" s="36"/>
      <c r="EV202" s="36"/>
      <c r="EW202" s="36"/>
      <c r="EX202" s="36"/>
      <c r="EY202" s="36"/>
      <c r="EZ202" s="36"/>
      <c r="FA202" s="36"/>
      <c r="FB202" s="36"/>
      <c r="FC202" s="36"/>
      <c r="FD202" s="36"/>
      <c r="FE202" s="36"/>
    </row>
    <row r="203" spans="1:161" s="37" customFormat="1" ht="26.25" customHeight="1" x14ac:dyDescent="0.2">
      <c r="A203" s="69" t="s">
        <v>332</v>
      </c>
      <c r="B203" s="454"/>
      <c r="C203" s="451"/>
      <c r="D203" s="451"/>
      <c r="E203" s="451"/>
      <c r="F203" s="451"/>
      <c r="G203" s="451"/>
      <c r="H203" s="451"/>
      <c r="I203" s="454"/>
      <c r="J203" s="451"/>
      <c r="K203" s="451"/>
      <c r="L203" s="452"/>
      <c r="M203" s="453">
        <v>0.06</v>
      </c>
      <c r="N203" s="451"/>
      <c r="O203" s="451"/>
      <c r="P203" s="451"/>
      <c r="Q203" s="451"/>
      <c r="R203" s="451"/>
      <c r="S203" s="451">
        <v>0.46109510086455335</v>
      </c>
      <c r="T203" s="455"/>
      <c r="U203" s="451"/>
      <c r="V203" s="452"/>
      <c r="W203" s="452"/>
      <c r="X203" s="87"/>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c r="CB203" s="36"/>
      <c r="CC203" s="36"/>
      <c r="CD203" s="36"/>
      <c r="CE203" s="36"/>
      <c r="CF203" s="36"/>
      <c r="CG203" s="36"/>
      <c r="CH203" s="36"/>
      <c r="CI203" s="36"/>
      <c r="CJ203" s="36"/>
      <c r="CK203" s="36"/>
      <c r="CL203" s="36"/>
      <c r="CM203" s="36"/>
      <c r="CN203" s="36"/>
      <c r="CO203" s="36"/>
      <c r="CP203" s="36"/>
      <c r="CQ203" s="36"/>
      <c r="CR203" s="36"/>
      <c r="CS203" s="36"/>
      <c r="CT203" s="36"/>
      <c r="CU203" s="36"/>
      <c r="CV203" s="36"/>
      <c r="CW203" s="36"/>
      <c r="CX203" s="36"/>
      <c r="CY203" s="36"/>
      <c r="CZ203" s="36"/>
      <c r="DA203" s="36"/>
      <c r="DB203" s="36"/>
      <c r="DC203" s="36"/>
      <c r="DD203" s="36"/>
      <c r="DE203" s="36"/>
      <c r="DF203" s="36"/>
      <c r="DG203" s="36"/>
      <c r="DH203" s="36"/>
      <c r="DI203" s="36"/>
      <c r="DJ203" s="36"/>
      <c r="DK203" s="36"/>
      <c r="DL203" s="36"/>
      <c r="DM203" s="36"/>
      <c r="DN203" s="36"/>
      <c r="DO203" s="36"/>
      <c r="DP203" s="36"/>
      <c r="DQ203" s="36"/>
      <c r="DR203" s="36"/>
      <c r="DS203" s="36"/>
      <c r="DT203" s="36"/>
      <c r="DU203" s="36"/>
      <c r="DV203" s="36"/>
      <c r="DW203" s="36"/>
      <c r="DX203" s="36"/>
      <c r="DY203" s="36"/>
      <c r="DZ203" s="36"/>
      <c r="EA203" s="36"/>
      <c r="EB203" s="36"/>
      <c r="EC203" s="36"/>
      <c r="ED203" s="36"/>
      <c r="EE203" s="36"/>
      <c r="EF203" s="36"/>
      <c r="EG203" s="36"/>
      <c r="EH203" s="36"/>
      <c r="EI203" s="36"/>
      <c r="EJ203" s="36"/>
      <c r="EK203" s="36"/>
      <c r="EL203" s="36"/>
      <c r="EM203" s="36"/>
      <c r="EN203" s="36"/>
      <c r="EO203" s="36"/>
      <c r="EP203" s="36"/>
      <c r="EQ203" s="36"/>
      <c r="ER203" s="36"/>
      <c r="ES203" s="36"/>
      <c r="ET203" s="36"/>
      <c r="EU203" s="36"/>
      <c r="EV203" s="36"/>
      <c r="EW203" s="36"/>
      <c r="EX203" s="36"/>
      <c r="EY203" s="36"/>
      <c r="EZ203" s="36"/>
      <c r="FA203" s="36"/>
      <c r="FB203" s="36"/>
      <c r="FC203" s="36"/>
      <c r="FD203" s="36"/>
      <c r="FE203" s="36"/>
    </row>
    <row r="204" spans="1:161" s="37" customFormat="1" ht="26.25" customHeight="1" x14ac:dyDescent="0.2">
      <c r="A204" s="456" t="s">
        <v>333</v>
      </c>
      <c r="B204" s="457">
        <v>8.0000000000000002E-3</v>
      </c>
      <c r="C204" s="458">
        <v>6.0000000000000001E-3</v>
      </c>
      <c r="D204" s="458">
        <v>6.0000000000000001E-3</v>
      </c>
      <c r="E204" s="458">
        <v>5.0000000000000001E-3</v>
      </c>
      <c r="F204" s="458">
        <v>0.06</v>
      </c>
      <c r="G204" s="458">
        <v>0.39640797040843601</v>
      </c>
      <c r="H204" s="458"/>
      <c r="I204" s="457">
        <v>8.0000000000000002E-3</v>
      </c>
      <c r="J204" s="458">
        <v>0.02</v>
      </c>
      <c r="K204" s="458">
        <v>0.02</v>
      </c>
      <c r="L204" s="459">
        <v>0.04</v>
      </c>
      <c r="M204" s="460"/>
      <c r="N204" s="458">
        <v>6.0000000000000001E-3</v>
      </c>
      <c r="O204" s="458">
        <v>7.8003071428214051E-3</v>
      </c>
      <c r="P204" s="458">
        <v>0.01</v>
      </c>
      <c r="Q204" s="458">
        <v>8.0000000000000002E-3</v>
      </c>
      <c r="R204" s="458">
        <v>0.26600000000000001</v>
      </c>
      <c r="S204" s="458">
        <v>5.7636887608069169E-2</v>
      </c>
      <c r="T204" s="461">
        <v>6.0000000000000001E-3</v>
      </c>
      <c r="U204" s="458">
        <v>8.0000000000000002E-3</v>
      </c>
      <c r="V204" s="459">
        <v>0.02</v>
      </c>
      <c r="W204" s="459">
        <v>2.9000000000000001E-2</v>
      </c>
      <c r="X204" s="87"/>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c r="CB204" s="36"/>
      <c r="CC204" s="36"/>
      <c r="CD204" s="36"/>
      <c r="CE204" s="36"/>
      <c r="CF204" s="36"/>
      <c r="CG204" s="36"/>
      <c r="CH204" s="36"/>
      <c r="CI204" s="36"/>
      <c r="CJ204" s="36"/>
      <c r="CK204" s="36"/>
      <c r="CL204" s="36"/>
      <c r="CM204" s="36"/>
      <c r="CN204" s="36"/>
      <c r="CO204" s="36"/>
      <c r="CP204" s="36"/>
      <c r="CQ204" s="36"/>
      <c r="CR204" s="36"/>
      <c r="CS204" s="36"/>
      <c r="CT204" s="36"/>
      <c r="CU204" s="36"/>
      <c r="CV204" s="36"/>
      <c r="CW204" s="36"/>
      <c r="CX204" s="36"/>
      <c r="CY204" s="36"/>
      <c r="CZ204" s="36"/>
      <c r="DA204" s="36"/>
      <c r="DB204" s="36"/>
      <c r="DC204" s="36"/>
      <c r="DD204" s="36"/>
      <c r="DE204" s="36"/>
      <c r="DF204" s="36"/>
      <c r="DG204" s="36"/>
      <c r="DH204" s="36"/>
      <c r="DI204" s="36"/>
      <c r="DJ204" s="36"/>
      <c r="DK204" s="36"/>
      <c r="DL204" s="36"/>
      <c r="DM204" s="36"/>
      <c r="DN204" s="36"/>
      <c r="DO204" s="36"/>
      <c r="DP204" s="36"/>
      <c r="DQ204" s="36"/>
      <c r="DR204" s="36"/>
      <c r="DS204" s="36"/>
      <c r="DT204" s="36"/>
      <c r="DU204" s="36"/>
      <c r="DV204" s="36"/>
      <c r="DW204" s="36"/>
      <c r="DX204" s="36"/>
      <c r="DY204" s="36"/>
      <c r="DZ204" s="36"/>
      <c r="EA204" s="36"/>
      <c r="EB204" s="36"/>
      <c r="EC204" s="36"/>
      <c r="ED204" s="36"/>
      <c r="EE204" s="36"/>
      <c r="EF204" s="36"/>
      <c r="EG204" s="36"/>
      <c r="EH204" s="36"/>
      <c r="EI204" s="36"/>
      <c r="EJ204" s="36"/>
      <c r="EK204" s="36"/>
      <c r="EL204" s="36"/>
      <c r="EM204" s="36"/>
      <c r="EN204" s="36"/>
      <c r="EO204" s="36"/>
      <c r="EP204" s="36"/>
      <c r="EQ204" s="36"/>
      <c r="ER204" s="36"/>
      <c r="ES204" s="36"/>
      <c r="ET204" s="36"/>
      <c r="EU204" s="36"/>
      <c r="EV204" s="36"/>
      <c r="EW204" s="36"/>
      <c r="EX204" s="36"/>
      <c r="EY204" s="36"/>
      <c r="EZ204" s="36"/>
      <c r="FA204" s="36"/>
      <c r="FB204" s="36"/>
      <c r="FC204" s="36"/>
      <c r="FD204" s="36"/>
      <c r="FE204" s="36"/>
    </row>
    <row r="205" spans="1:161" s="37" customFormat="1" ht="26.25" customHeight="1" x14ac:dyDescent="0.2">
      <c r="A205" s="69" t="s">
        <v>278</v>
      </c>
      <c r="B205" s="454">
        <v>22</v>
      </c>
      <c r="C205" s="451">
        <v>22.302</v>
      </c>
      <c r="D205" s="451">
        <v>22</v>
      </c>
      <c r="E205" s="451">
        <v>25.559000000000001</v>
      </c>
      <c r="F205" s="451">
        <v>25</v>
      </c>
      <c r="G205" s="451"/>
      <c r="H205" s="451">
        <v>7.8702818463421167</v>
      </c>
      <c r="I205" s="454">
        <v>22</v>
      </c>
      <c r="J205" s="451">
        <v>3.14</v>
      </c>
      <c r="K205" s="451">
        <v>3.24</v>
      </c>
      <c r="L205" s="452">
        <v>8.6199999999999992</v>
      </c>
      <c r="M205" s="453">
        <v>59.445</v>
      </c>
      <c r="N205" s="451">
        <v>22</v>
      </c>
      <c r="O205" s="451">
        <v>21.450844642758863</v>
      </c>
      <c r="P205" s="451">
        <v>0</v>
      </c>
      <c r="Q205" s="451"/>
      <c r="R205" s="451"/>
      <c r="S205" s="451">
        <v>5.7636887608069163</v>
      </c>
      <c r="T205" s="455">
        <v>22</v>
      </c>
      <c r="U205" s="451">
        <v>6.5449999999999999</v>
      </c>
      <c r="V205" s="452">
        <v>21.66</v>
      </c>
      <c r="W205" s="452">
        <v>12.962</v>
      </c>
      <c r="X205" s="87"/>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c r="CB205" s="36"/>
      <c r="CC205" s="36"/>
      <c r="CD205" s="36"/>
      <c r="CE205" s="36"/>
      <c r="CF205" s="36"/>
      <c r="CG205" s="36"/>
      <c r="CH205" s="36"/>
      <c r="CI205" s="36"/>
      <c r="CJ205" s="36"/>
      <c r="CK205" s="36"/>
      <c r="CL205" s="36"/>
      <c r="CM205" s="36"/>
      <c r="CN205" s="36"/>
      <c r="CO205" s="36"/>
      <c r="CP205" s="36"/>
      <c r="CQ205" s="36"/>
      <c r="CR205" s="36"/>
      <c r="CS205" s="36"/>
      <c r="CT205" s="36"/>
      <c r="CU205" s="36"/>
      <c r="CV205" s="36"/>
      <c r="CW205" s="36"/>
      <c r="CX205" s="36"/>
      <c r="CY205" s="36"/>
      <c r="CZ205" s="36"/>
      <c r="DA205" s="36"/>
      <c r="DB205" s="36"/>
      <c r="DC205" s="36"/>
      <c r="DD205" s="36"/>
      <c r="DE205" s="36"/>
      <c r="DF205" s="36"/>
      <c r="DG205" s="36"/>
      <c r="DH205" s="36"/>
      <c r="DI205" s="36"/>
      <c r="DJ205" s="36"/>
      <c r="DK205" s="36"/>
      <c r="DL205" s="36"/>
      <c r="DM205" s="36"/>
      <c r="DN205" s="36"/>
      <c r="DO205" s="36"/>
      <c r="DP205" s="36"/>
      <c r="DQ205" s="36"/>
      <c r="DR205" s="36"/>
      <c r="DS205" s="36"/>
      <c r="DT205" s="36"/>
      <c r="DU205" s="36"/>
      <c r="DV205" s="36"/>
      <c r="DW205" s="36"/>
      <c r="DX205" s="36"/>
      <c r="DY205" s="36"/>
      <c r="DZ205" s="36"/>
      <c r="EA205" s="36"/>
      <c r="EB205" s="36"/>
      <c r="EC205" s="36"/>
      <c r="ED205" s="36"/>
      <c r="EE205" s="36"/>
      <c r="EF205" s="36"/>
      <c r="EG205" s="36"/>
      <c r="EH205" s="36"/>
      <c r="EI205" s="36"/>
      <c r="EJ205" s="36"/>
      <c r="EK205" s="36"/>
      <c r="EL205" s="36"/>
      <c r="EM205" s="36"/>
      <c r="EN205" s="36"/>
      <c r="EO205" s="36"/>
      <c r="EP205" s="36"/>
      <c r="EQ205" s="36"/>
      <c r="ER205" s="36"/>
      <c r="ES205" s="36"/>
      <c r="ET205" s="36"/>
      <c r="EU205" s="36"/>
      <c r="EV205" s="36"/>
      <c r="EW205" s="36"/>
      <c r="EX205" s="36"/>
      <c r="EY205" s="36"/>
      <c r="EZ205" s="36"/>
      <c r="FA205" s="36"/>
      <c r="FB205" s="36"/>
      <c r="FC205" s="36"/>
      <c r="FD205" s="36"/>
      <c r="FE205" s="36"/>
    </row>
    <row r="206" spans="1:161" s="37" customFormat="1" ht="26.25" customHeight="1" x14ac:dyDescent="0.2">
      <c r="A206" s="456" t="s">
        <v>279</v>
      </c>
      <c r="B206" s="457">
        <v>2.7E-2</v>
      </c>
      <c r="C206" s="458">
        <v>2.7E-2</v>
      </c>
      <c r="D206" s="458">
        <v>2.7E-2</v>
      </c>
      <c r="E206" s="458">
        <v>2.1999999999999999E-2</v>
      </c>
      <c r="F206" s="458">
        <v>0.06</v>
      </c>
      <c r="G206" s="458">
        <v>0.5787685701721863</v>
      </c>
      <c r="H206" s="458"/>
      <c r="I206" s="457">
        <v>2.7E-2</v>
      </c>
      <c r="J206" s="458">
        <v>0.03</v>
      </c>
      <c r="K206" s="458">
        <v>0.03</v>
      </c>
      <c r="L206" s="459">
        <v>7.0000000000000007E-2</v>
      </c>
      <c r="M206" s="460">
        <v>0.18099999999999999</v>
      </c>
      <c r="N206" s="458">
        <v>2.7E-2</v>
      </c>
      <c r="O206" s="458">
        <v>2.6326036607022239E-2</v>
      </c>
      <c r="P206" s="458">
        <v>3.3759062367097754E-2</v>
      </c>
      <c r="Q206" s="458">
        <v>3.7999999999999999E-2</v>
      </c>
      <c r="R206" s="458">
        <v>0.47299999999999998</v>
      </c>
      <c r="S206" s="458">
        <v>0.345821325648415</v>
      </c>
      <c r="T206" s="461">
        <v>2.7E-2</v>
      </c>
      <c r="U206" s="458">
        <v>3.3000000000000002E-2</v>
      </c>
      <c r="V206" s="459">
        <v>0.03</v>
      </c>
      <c r="W206" s="459">
        <v>3.9E-2</v>
      </c>
      <c r="X206" s="87"/>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c r="CB206" s="36"/>
      <c r="CC206" s="36"/>
      <c r="CD206" s="36"/>
      <c r="CE206" s="36"/>
      <c r="CF206" s="36"/>
      <c r="CG206" s="36"/>
      <c r="CH206" s="36"/>
      <c r="CI206" s="36"/>
      <c r="CJ206" s="36"/>
      <c r="CK206" s="36"/>
      <c r="CL206" s="36"/>
      <c r="CM206" s="36"/>
      <c r="CN206" s="36"/>
      <c r="CO206" s="36"/>
      <c r="CP206" s="36"/>
      <c r="CQ206" s="36"/>
      <c r="CR206" s="36"/>
      <c r="CS206" s="36"/>
      <c r="CT206" s="36"/>
      <c r="CU206" s="36"/>
      <c r="CV206" s="36"/>
      <c r="CW206" s="36"/>
      <c r="CX206" s="36"/>
      <c r="CY206" s="36"/>
      <c r="CZ206" s="36"/>
      <c r="DA206" s="36"/>
      <c r="DB206" s="36"/>
      <c r="DC206" s="36"/>
      <c r="DD206" s="36"/>
      <c r="DE206" s="36"/>
      <c r="DF206" s="36"/>
      <c r="DG206" s="36"/>
      <c r="DH206" s="36"/>
      <c r="DI206" s="36"/>
      <c r="DJ206" s="36"/>
      <c r="DK206" s="36"/>
      <c r="DL206" s="36"/>
      <c r="DM206" s="36"/>
      <c r="DN206" s="36"/>
      <c r="DO206" s="36"/>
      <c r="DP206" s="36"/>
      <c r="DQ206" s="36"/>
      <c r="DR206" s="36"/>
      <c r="DS206" s="36"/>
      <c r="DT206" s="36"/>
      <c r="DU206" s="36"/>
      <c r="DV206" s="36"/>
      <c r="DW206" s="36"/>
      <c r="DX206" s="36"/>
      <c r="DY206" s="36"/>
      <c r="DZ206" s="36"/>
      <c r="EA206" s="36"/>
      <c r="EB206" s="36"/>
      <c r="EC206" s="36"/>
      <c r="ED206" s="36"/>
      <c r="EE206" s="36"/>
      <c r="EF206" s="36"/>
      <c r="EG206" s="36"/>
      <c r="EH206" s="36"/>
      <c r="EI206" s="36"/>
      <c r="EJ206" s="36"/>
      <c r="EK206" s="36"/>
      <c r="EL206" s="36"/>
      <c r="EM206" s="36"/>
      <c r="EN206" s="36"/>
      <c r="EO206" s="36"/>
      <c r="EP206" s="36"/>
      <c r="EQ206" s="36"/>
      <c r="ER206" s="36"/>
      <c r="ES206" s="36"/>
      <c r="ET206" s="36"/>
      <c r="EU206" s="36"/>
      <c r="EV206" s="36"/>
      <c r="EW206" s="36"/>
      <c r="EX206" s="36"/>
      <c r="EY206" s="36"/>
      <c r="EZ206" s="36"/>
      <c r="FA206" s="36"/>
      <c r="FB206" s="36"/>
      <c r="FC206" s="36"/>
      <c r="FD206" s="36"/>
      <c r="FE206" s="36"/>
    </row>
    <row r="207" spans="1:161" s="37" customFormat="1" ht="26.25" customHeight="1" x14ac:dyDescent="0.2">
      <c r="A207" s="69" t="s">
        <v>280</v>
      </c>
      <c r="B207" s="454">
        <v>0.01</v>
      </c>
      <c r="C207" s="451">
        <v>8.0000000000000002E-3</v>
      </c>
      <c r="D207" s="451">
        <v>8.0000000000000002E-3</v>
      </c>
      <c r="E207" s="451">
        <v>7.0000000000000001E-3</v>
      </c>
      <c r="F207" s="451">
        <v>0.06</v>
      </c>
      <c r="G207" s="451"/>
      <c r="H207" s="451"/>
      <c r="I207" s="454">
        <v>0.01</v>
      </c>
      <c r="J207" s="451"/>
      <c r="K207" s="451"/>
      <c r="L207" s="452">
        <v>7.0000000000000007E-2</v>
      </c>
      <c r="M207" s="453"/>
      <c r="N207" s="451">
        <v>8.0000000000000002E-3</v>
      </c>
      <c r="O207" s="451">
        <v>9.7503839285267551E-3</v>
      </c>
      <c r="P207" s="451">
        <v>1.2503356432258429E-2</v>
      </c>
      <c r="Q207" s="451">
        <v>1.0999999999999999E-2</v>
      </c>
      <c r="R207" s="451">
        <v>0.222</v>
      </c>
      <c r="S207" s="451">
        <v>0.11527377521613834</v>
      </c>
      <c r="T207" s="455">
        <v>8.0000000000000002E-3</v>
      </c>
      <c r="U207" s="451">
        <v>6.6000000000000003E-2</v>
      </c>
      <c r="V207" s="452">
        <v>0.02</v>
      </c>
      <c r="W207" s="452"/>
      <c r="X207" s="87"/>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c r="CR207" s="36"/>
      <c r="CS207" s="36"/>
      <c r="CT207" s="36"/>
      <c r="CU207" s="36"/>
      <c r="CV207" s="36"/>
      <c r="CW207" s="36"/>
      <c r="CX207" s="36"/>
      <c r="CY207" s="36"/>
      <c r="CZ207" s="36"/>
      <c r="DA207" s="36"/>
      <c r="DB207" s="36"/>
      <c r="DC207" s="36"/>
      <c r="DD207" s="36"/>
      <c r="DE207" s="36"/>
      <c r="DF207" s="36"/>
      <c r="DG207" s="36"/>
      <c r="DH207" s="36"/>
      <c r="DI207" s="36"/>
      <c r="DJ207" s="36"/>
      <c r="DK207" s="36"/>
      <c r="DL207" s="36"/>
      <c r="DM207" s="36"/>
      <c r="DN207" s="36"/>
      <c r="DO207" s="36"/>
      <c r="DP207" s="36"/>
      <c r="DQ207" s="36"/>
      <c r="DR207" s="36"/>
      <c r="DS207" s="36"/>
      <c r="DT207" s="36"/>
      <c r="DU207" s="36"/>
      <c r="DV207" s="36"/>
      <c r="DW207" s="36"/>
      <c r="DX207" s="36"/>
      <c r="DY207" s="36"/>
      <c r="DZ207" s="36"/>
      <c r="EA207" s="36"/>
      <c r="EB207" s="36"/>
      <c r="EC207" s="36"/>
      <c r="ED207" s="36"/>
      <c r="EE207" s="36"/>
      <c r="EF207" s="36"/>
      <c r="EG207" s="36"/>
      <c r="EH207" s="36"/>
      <c r="EI207" s="36"/>
      <c r="EJ207" s="36"/>
      <c r="EK207" s="36"/>
      <c r="EL207" s="36"/>
      <c r="EM207" s="36"/>
      <c r="EN207" s="36"/>
      <c r="EO207" s="36"/>
      <c r="EP207" s="36"/>
      <c r="EQ207" s="36"/>
      <c r="ER207" s="36"/>
      <c r="ES207" s="36"/>
      <c r="ET207" s="36"/>
      <c r="EU207" s="36"/>
      <c r="EV207" s="36"/>
      <c r="EW207" s="36"/>
      <c r="EX207" s="36"/>
      <c r="EY207" s="36"/>
      <c r="EZ207" s="36"/>
      <c r="FA207" s="36"/>
      <c r="FB207" s="36"/>
      <c r="FC207" s="36"/>
      <c r="FD207" s="36"/>
      <c r="FE207" s="36"/>
    </row>
    <row r="208" spans="1:161" s="37" customFormat="1" ht="26.25" customHeight="1" x14ac:dyDescent="0.2">
      <c r="A208" s="456" t="s">
        <v>281</v>
      </c>
      <c r="B208" s="457">
        <v>1E-3</v>
      </c>
      <c r="C208" s="458">
        <v>1E-3</v>
      </c>
      <c r="D208" s="458">
        <v>1E-3</v>
      </c>
      <c r="E208" s="458"/>
      <c r="F208" s="458">
        <v>0.06</v>
      </c>
      <c r="G208" s="458"/>
      <c r="H208" s="458"/>
      <c r="I208" s="457">
        <v>1E-3</v>
      </c>
      <c r="J208" s="458">
        <v>0.23</v>
      </c>
      <c r="K208" s="458">
        <v>0.25</v>
      </c>
      <c r="L208" s="459">
        <v>0.02</v>
      </c>
      <c r="M208" s="460"/>
      <c r="N208" s="458">
        <v>1E-3</v>
      </c>
      <c r="O208" s="458">
        <v>1E-3</v>
      </c>
      <c r="P208" s="458">
        <v>1E-3</v>
      </c>
      <c r="Q208" s="458">
        <v>1E-3</v>
      </c>
      <c r="R208" s="458"/>
      <c r="S208" s="458">
        <v>0.11527377521613834</v>
      </c>
      <c r="T208" s="461">
        <v>1E-3</v>
      </c>
      <c r="U208" s="458"/>
      <c r="V208" s="459">
        <v>0.02</v>
      </c>
      <c r="W208" s="459"/>
      <c r="X208" s="87"/>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c r="CB208" s="36"/>
      <c r="CC208" s="36"/>
      <c r="CD208" s="36"/>
      <c r="CE208" s="36"/>
      <c r="CF208" s="36"/>
      <c r="CG208" s="36"/>
      <c r="CH208" s="36"/>
      <c r="CI208" s="36"/>
      <c r="CJ208" s="36"/>
      <c r="CK208" s="36"/>
      <c r="CL208" s="36"/>
      <c r="CM208" s="36"/>
      <c r="CN208" s="36"/>
      <c r="CO208" s="36"/>
      <c r="CP208" s="36"/>
      <c r="CQ208" s="36"/>
      <c r="CR208" s="36"/>
      <c r="CS208" s="36"/>
      <c r="CT208" s="36"/>
      <c r="CU208" s="36"/>
      <c r="CV208" s="36"/>
      <c r="CW208" s="36"/>
      <c r="CX208" s="36"/>
      <c r="CY208" s="36"/>
      <c r="CZ208" s="36"/>
      <c r="DA208" s="36"/>
      <c r="DB208" s="36"/>
      <c r="DC208" s="36"/>
      <c r="DD208" s="36"/>
      <c r="DE208" s="36"/>
      <c r="DF208" s="36"/>
      <c r="DG208" s="36"/>
      <c r="DH208" s="36"/>
      <c r="DI208" s="36"/>
      <c r="DJ208" s="36"/>
      <c r="DK208" s="36"/>
      <c r="DL208" s="36"/>
      <c r="DM208" s="36"/>
      <c r="DN208" s="36"/>
      <c r="DO208" s="36"/>
      <c r="DP208" s="36"/>
      <c r="DQ208" s="36"/>
      <c r="DR208" s="36"/>
      <c r="DS208" s="36"/>
      <c r="DT208" s="36"/>
      <c r="DU208" s="36"/>
      <c r="DV208" s="36"/>
      <c r="DW208" s="36"/>
      <c r="DX208" s="36"/>
      <c r="DY208" s="36"/>
      <c r="DZ208" s="36"/>
      <c r="EA208" s="36"/>
      <c r="EB208" s="36"/>
      <c r="EC208" s="36"/>
      <c r="ED208" s="36"/>
      <c r="EE208" s="36"/>
      <c r="EF208" s="36"/>
      <c r="EG208" s="36"/>
      <c r="EH208" s="36"/>
      <c r="EI208" s="36"/>
      <c r="EJ208" s="36"/>
      <c r="EK208" s="36"/>
      <c r="EL208" s="36"/>
      <c r="EM208" s="36"/>
      <c r="EN208" s="36"/>
      <c r="EO208" s="36"/>
      <c r="EP208" s="36"/>
      <c r="EQ208" s="36"/>
      <c r="ER208" s="36"/>
      <c r="ES208" s="36"/>
      <c r="ET208" s="36"/>
      <c r="EU208" s="36"/>
      <c r="EV208" s="36"/>
      <c r="EW208" s="36"/>
      <c r="EX208" s="36"/>
      <c r="EY208" s="36"/>
      <c r="EZ208" s="36"/>
      <c r="FA208" s="36"/>
      <c r="FB208" s="36"/>
      <c r="FC208" s="36"/>
      <c r="FD208" s="36"/>
      <c r="FE208" s="36"/>
    </row>
    <row r="209" spans="1:161" s="37" customFormat="1" ht="26.25" customHeight="1" x14ac:dyDescent="0.2">
      <c r="A209" s="69" t="s">
        <v>334</v>
      </c>
      <c r="B209" s="454">
        <v>0.314</v>
      </c>
      <c r="C209" s="451">
        <v>0.20300000000000001</v>
      </c>
      <c r="D209" s="451">
        <v>0.20100000000000001</v>
      </c>
      <c r="E209" s="451">
        <v>0.16200000000000001</v>
      </c>
      <c r="F209" s="451">
        <v>0.15</v>
      </c>
      <c r="G209" s="451">
        <v>1.5060916200346612</v>
      </c>
      <c r="H209" s="451"/>
      <c r="I209" s="454">
        <v>0.314</v>
      </c>
      <c r="J209" s="451">
        <v>0.14000000000000001</v>
      </c>
      <c r="K209" s="451">
        <v>0.17</v>
      </c>
      <c r="L209" s="452">
        <v>0.28999999999999998</v>
      </c>
      <c r="M209" s="453">
        <v>2.06</v>
      </c>
      <c r="N209" s="451">
        <v>0.2</v>
      </c>
      <c r="O209" s="451">
        <v>0.30616205535574015</v>
      </c>
      <c r="P209" s="451">
        <v>0.39260539197291466</v>
      </c>
      <c r="Q209" s="451">
        <v>0.27800000000000002</v>
      </c>
      <c r="R209" s="451">
        <v>0.60299999999999998</v>
      </c>
      <c r="S209" s="451">
        <v>0.11527377521613834</v>
      </c>
      <c r="T209" s="455">
        <v>0.2</v>
      </c>
      <c r="U209" s="451">
        <v>6.6000000000000003E-2</v>
      </c>
      <c r="V209" s="452">
        <v>0.31</v>
      </c>
      <c r="W209" s="452">
        <v>0.33600000000000002</v>
      </c>
      <c r="X209" s="87"/>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c r="CB209" s="36"/>
      <c r="CC209" s="36"/>
      <c r="CD209" s="36"/>
      <c r="CE209" s="36"/>
      <c r="CF209" s="36"/>
      <c r="CG209" s="36"/>
      <c r="CH209" s="36"/>
      <c r="CI209" s="36"/>
      <c r="CJ209" s="36"/>
      <c r="CK209" s="36"/>
      <c r="CL209" s="36"/>
      <c r="CM209" s="36"/>
      <c r="CN209" s="36"/>
      <c r="CO209" s="36"/>
      <c r="CP209" s="36"/>
      <c r="CQ209" s="36"/>
      <c r="CR209" s="36"/>
      <c r="CS209" s="36"/>
      <c r="CT209" s="36"/>
      <c r="CU209" s="36"/>
      <c r="CV209" s="36"/>
      <c r="CW209" s="36"/>
      <c r="CX209" s="36"/>
      <c r="CY209" s="36"/>
      <c r="CZ209" s="36"/>
      <c r="DA209" s="36"/>
      <c r="DB209" s="36"/>
      <c r="DC209" s="36"/>
      <c r="DD209" s="36"/>
      <c r="DE209" s="36"/>
      <c r="DF209" s="36"/>
      <c r="DG209" s="36"/>
      <c r="DH209" s="36"/>
      <c r="DI209" s="36"/>
      <c r="DJ209" s="36"/>
      <c r="DK209" s="36"/>
      <c r="DL209" s="36"/>
      <c r="DM209" s="36"/>
      <c r="DN209" s="36"/>
      <c r="DO209" s="36"/>
      <c r="DP209" s="36"/>
      <c r="DQ209" s="36"/>
      <c r="DR209" s="36"/>
      <c r="DS209" s="36"/>
      <c r="DT209" s="36"/>
      <c r="DU209" s="36"/>
      <c r="DV209" s="36"/>
      <c r="DW209" s="36"/>
      <c r="DX209" s="36"/>
      <c r="DY209" s="36"/>
      <c r="DZ209" s="36"/>
      <c r="EA209" s="36"/>
      <c r="EB209" s="36"/>
      <c r="EC209" s="36"/>
      <c r="ED209" s="36"/>
      <c r="EE209" s="36"/>
      <c r="EF209" s="36"/>
      <c r="EG209" s="36"/>
      <c r="EH209" s="36"/>
      <c r="EI209" s="36"/>
      <c r="EJ209" s="36"/>
      <c r="EK209" s="36"/>
      <c r="EL209" s="36"/>
      <c r="EM209" s="36"/>
      <c r="EN209" s="36"/>
      <c r="EO209" s="36"/>
      <c r="EP209" s="36"/>
      <c r="EQ209" s="36"/>
      <c r="ER209" s="36"/>
      <c r="ES209" s="36"/>
      <c r="ET209" s="36"/>
      <c r="EU209" s="36"/>
      <c r="EV209" s="36"/>
      <c r="EW209" s="36"/>
      <c r="EX209" s="36"/>
      <c r="EY209" s="36"/>
      <c r="EZ209" s="36"/>
      <c r="FA209" s="36"/>
      <c r="FB209" s="36"/>
      <c r="FC209" s="36"/>
      <c r="FD209" s="36"/>
      <c r="FE209" s="36"/>
    </row>
    <row r="210" spans="1:161" s="37" customFormat="1" ht="26.25" customHeight="1" x14ac:dyDescent="0.2">
      <c r="A210" s="456" t="s">
        <v>282</v>
      </c>
      <c r="B210" s="457">
        <v>3.3000000000000002E-2</v>
      </c>
      <c r="C210" s="458">
        <v>2.4E-2</v>
      </c>
      <c r="D210" s="458">
        <v>2.4E-2</v>
      </c>
      <c r="E210" s="458">
        <v>1.9E-2</v>
      </c>
      <c r="F210" s="458">
        <v>0.09</v>
      </c>
      <c r="G210" s="458">
        <v>0.39640797040843601</v>
      </c>
      <c r="H210" s="458">
        <v>0.15296952082297602</v>
      </c>
      <c r="I210" s="457">
        <v>3.3000000000000002E-2</v>
      </c>
      <c r="J210" s="458">
        <v>0.34</v>
      </c>
      <c r="K210" s="458">
        <v>0.28000000000000003</v>
      </c>
      <c r="L210" s="459">
        <v>0.14000000000000001</v>
      </c>
      <c r="M210" s="460"/>
      <c r="N210" s="458">
        <v>2.4E-2</v>
      </c>
      <c r="O210" s="458">
        <v>3.2176266964138292E-2</v>
      </c>
      <c r="P210" s="458">
        <v>4.1261076226452816E-2</v>
      </c>
      <c r="Q210" s="458">
        <v>3.3000000000000002E-2</v>
      </c>
      <c r="R210" s="458">
        <v>0.26800000000000002</v>
      </c>
      <c r="S210" s="458">
        <v>0.11527377521613834</v>
      </c>
      <c r="T210" s="461">
        <v>2.4E-2</v>
      </c>
      <c r="U210" s="458">
        <v>3.3000000000000002E-2</v>
      </c>
      <c r="V210" s="459">
        <v>0.03</v>
      </c>
      <c r="W210" s="459">
        <v>0.32400000000000001</v>
      </c>
      <c r="X210" s="87"/>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c r="DG210" s="36"/>
      <c r="DH210" s="36"/>
      <c r="DI210" s="36"/>
      <c r="DJ210" s="36"/>
      <c r="DK210" s="36"/>
      <c r="DL210" s="36"/>
      <c r="DM210" s="36"/>
      <c r="DN210" s="36"/>
      <c r="DO210" s="36"/>
      <c r="DP210" s="36"/>
      <c r="DQ210" s="36"/>
      <c r="DR210" s="36"/>
      <c r="DS210" s="36"/>
      <c r="DT210" s="36"/>
      <c r="DU210" s="36"/>
      <c r="DV210" s="36"/>
      <c r="DW210" s="36"/>
      <c r="DX210" s="36"/>
      <c r="DY210" s="36"/>
      <c r="DZ210" s="36"/>
      <c r="EA210" s="36"/>
      <c r="EB210" s="36"/>
      <c r="EC210" s="36"/>
      <c r="ED210" s="36"/>
      <c r="EE210" s="36"/>
      <c r="EF210" s="36"/>
      <c r="EG210" s="36"/>
      <c r="EH210" s="36"/>
      <c r="EI210" s="36"/>
      <c r="EJ210" s="36"/>
      <c r="EK210" s="36"/>
      <c r="EL210" s="36"/>
      <c r="EM210" s="36"/>
      <c r="EN210" s="36"/>
      <c r="EO210" s="36"/>
      <c r="EP210" s="36"/>
      <c r="EQ210" s="36"/>
      <c r="ER210" s="36"/>
      <c r="ES210" s="36"/>
      <c r="ET210" s="36"/>
      <c r="EU210" s="36"/>
      <c r="EV210" s="36"/>
      <c r="EW210" s="36"/>
      <c r="EX210" s="36"/>
      <c r="EY210" s="36"/>
      <c r="EZ210" s="36"/>
      <c r="FA210" s="36"/>
      <c r="FB210" s="36"/>
      <c r="FC210" s="36"/>
      <c r="FD210" s="36"/>
      <c r="FE210" s="36"/>
    </row>
    <row r="211" spans="1:161" s="37" customFormat="1" ht="26.25" customHeight="1" x14ac:dyDescent="0.2">
      <c r="A211" s="69" t="s">
        <v>283</v>
      </c>
      <c r="B211" s="454">
        <v>0.01</v>
      </c>
      <c r="C211" s="451">
        <v>7.0000000000000001E-3</v>
      </c>
      <c r="D211" s="451">
        <v>7.0000000000000001E-3</v>
      </c>
      <c r="E211" s="451">
        <v>6.0000000000000001E-3</v>
      </c>
      <c r="F211" s="451">
        <v>0.06</v>
      </c>
      <c r="G211" s="451"/>
      <c r="H211" s="451"/>
      <c r="I211" s="454">
        <v>0.01</v>
      </c>
      <c r="J211" s="451">
        <v>0.02</v>
      </c>
      <c r="K211" s="451">
        <v>0.02</v>
      </c>
      <c r="L211" s="452">
        <v>7.0000000000000007E-2</v>
      </c>
      <c r="M211" s="453"/>
      <c r="N211" s="451">
        <v>7.0000000000000001E-3</v>
      </c>
      <c r="O211" s="451">
        <v>9.7503839285267551E-3</v>
      </c>
      <c r="P211" s="451">
        <v>0.01</v>
      </c>
      <c r="Q211" s="451">
        <v>0.01</v>
      </c>
      <c r="R211" s="451">
        <v>0.222</v>
      </c>
      <c r="S211" s="451">
        <v>5.7636887608069169E-2</v>
      </c>
      <c r="T211" s="455">
        <v>7.0000000000000001E-3</v>
      </c>
      <c r="U211" s="451">
        <v>8.0000000000000002E-3</v>
      </c>
      <c r="V211" s="452">
        <v>0.02</v>
      </c>
      <c r="W211" s="452"/>
      <c r="X211" s="87"/>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c r="CB211" s="36"/>
      <c r="CC211" s="36"/>
      <c r="CD211" s="36"/>
      <c r="CE211" s="36"/>
      <c r="CF211" s="36"/>
      <c r="CG211" s="36"/>
      <c r="CH211" s="36"/>
      <c r="CI211" s="36"/>
      <c r="CJ211" s="36"/>
      <c r="CK211" s="36"/>
      <c r="CL211" s="36"/>
      <c r="CM211" s="36"/>
      <c r="CN211" s="36"/>
      <c r="CO211" s="36"/>
      <c r="CP211" s="36"/>
      <c r="CQ211" s="36"/>
      <c r="CR211" s="36"/>
      <c r="CS211" s="36"/>
      <c r="CT211" s="36"/>
      <c r="CU211" s="36"/>
      <c r="CV211" s="36"/>
      <c r="CW211" s="36"/>
      <c r="CX211" s="36"/>
      <c r="CY211" s="36"/>
      <c r="CZ211" s="36"/>
      <c r="DA211" s="36"/>
      <c r="DB211" s="36"/>
      <c r="DC211" s="36"/>
      <c r="DD211" s="36"/>
      <c r="DE211" s="36"/>
      <c r="DF211" s="36"/>
      <c r="DG211" s="36"/>
      <c r="DH211" s="36"/>
      <c r="DI211" s="36"/>
      <c r="DJ211" s="36"/>
      <c r="DK211" s="36"/>
      <c r="DL211" s="36"/>
      <c r="DM211" s="36"/>
      <c r="DN211" s="36"/>
      <c r="DO211" s="36"/>
      <c r="DP211" s="36"/>
      <c r="DQ211" s="36"/>
      <c r="DR211" s="36"/>
      <c r="DS211" s="36"/>
      <c r="DT211" s="36"/>
      <c r="DU211" s="36"/>
      <c r="DV211" s="36"/>
      <c r="DW211" s="36"/>
      <c r="DX211" s="36"/>
      <c r="DY211" s="36"/>
      <c r="DZ211" s="36"/>
      <c r="EA211" s="36"/>
      <c r="EB211" s="36"/>
      <c r="EC211" s="36"/>
      <c r="ED211" s="36"/>
      <c r="EE211" s="36"/>
      <c r="EF211" s="36"/>
      <c r="EG211" s="36"/>
      <c r="EH211" s="36"/>
      <c r="EI211" s="36"/>
      <c r="EJ211" s="36"/>
      <c r="EK211" s="36"/>
      <c r="EL211" s="36"/>
      <c r="EM211" s="36"/>
      <c r="EN211" s="36"/>
      <c r="EO211" s="36"/>
      <c r="EP211" s="36"/>
      <c r="EQ211" s="36"/>
      <c r="ER211" s="36"/>
      <c r="ES211" s="36"/>
      <c r="ET211" s="36"/>
      <c r="EU211" s="36"/>
      <c r="EV211" s="36"/>
      <c r="EW211" s="36"/>
      <c r="EX211" s="36"/>
      <c r="EY211" s="36"/>
      <c r="EZ211" s="36"/>
      <c r="FA211" s="36"/>
      <c r="FB211" s="36"/>
      <c r="FC211" s="36"/>
      <c r="FD211" s="36"/>
      <c r="FE211" s="36"/>
    </row>
    <row r="212" spans="1:161" s="37" customFormat="1" ht="26.25" customHeight="1" x14ac:dyDescent="0.2">
      <c r="A212" s="456" t="s">
        <v>286</v>
      </c>
      <c r="B212" s="457">
        <v>4.0000000000000001E-3</v>
      </c>
      <c r="C212" s="458">
        <v>1E-3</v>
      </c>
      <c r="D212" s="458">
        <v>1E-3</v>
      </c>
      <c r="E212" s="458">
        <v>1E-3</v>
      </c>
      <c r="F212" s="458">
        <v>0.06</v>
      </c>
      <c r="G212" s="458"/>
      <c r="H212" s="458"/>
      <c r="I212" s="457">
        <v>4.0000000000000001E-3</v>
      </c>
      <c r="J212" s="458"/>
      <c r="K212" s="458"/>
      <c r="L212" s="459">
        <v>0.02</v>
      </c>
      <c r="M212" s="460"/>
      <c r="N212" s="458">
        <v>1E-3</v>
      </c>
      <c r="O212" s="458">
        <v>3.9001535714107026E-3</v>
      </c>
      <c r="P212" s="458">
        <v>5.0013425729033712E-3</v>
      </c>
      <c r="Q212" s="458">
        <v>1E-3</v>
      </c>
      <c r="R212" s="458">
        <v>0.222</v>
      </c>
      <c r="S212" s="458">
        <v>0.11527377521613834</v>
      </c>
      <c r="T212" s="461">
        <v>1E-3</v>
      </c>
      <c r="U212" s="458">
        <v>8.0000000000000002E-3</v>
      </c>
      <c r="V212" s="459">
        <v>0.02</v>
      </c>
      <c r="W212" s="459">
        <v>2.3E-2</v>
      </c>
      <c r="X212" s="87"/>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c r="CB212" s="36"/>
      <c r="CC212" s="36"/>
      <c r="CD212" s="36"/>
      <c r="CE212" s="36"/>
      <c r="CF212" s="36"/>
      <c r="CG212" s="36"/>
      <c r="CH212" s="36"/>
      <c r="CI212" s="36"/>
      <c r="CJ212" s="36"/>
      <c r="CK212" s="36"/>
      <c r="CL212" s="36"/>
      <c r="CM212" s="36"/>
      <c r="CN212" s="36"/>
      <c r="CO212" s="36"/>
      <c r="CP212" s="36"/>
      <c r="CQ212" s="36"/>
      <c r="CR212" s="36"/>
      <c r="CS212" s="36"/>
      <c r="CT212" s="36"/>
      <c r="CU212" s="36"/>
      <c r="CV212" s="36"/>
      <c r="CW212" s="36"/>
      <c r="CX212" s="36"/>
      <c r="CY212" s="36"/>
      <c r="CZ212" s="36"/>
      <c r="DA212" s="36"/>
      <c r="DB212" s="36"/>
      <c r="DC212" s="36"/>
      <c r="DD212" s="36"/>
      <c r="DE212" s="36"/>
      <c r="DF212" s="36"/>
      <c r="DG212" s="36"/>
      <c r="DH212" s="36"/>
      <c r="DI212" s="36"/>
      <c r="DJ212" s="36"/>
      <c r="DK212" s="36"/>
      <c r="DL212" s="36"/>
      <c r="DM212" s="36"/>
      <c r="DN212" s="36"/>
      <c r="DO212" s="36"/>
      <c r="DP212" s="36"/>
      <c r="DQ212" s="36"/>
      <c r="DR212" s="36"/>
      <c r="DS212" s="36"/>
      <c r="DT212" s="36"/>
      <c r="DU212" s="36"/>
      <c r="DV212" s="36"/>
      <c r="DW212" s="36"/>
      <c r="DX212" s="36"/>
      <c r="DY212" s="36"/>
      <c r="DZ212" s="36"/>
      <c r="EA212" s="36"/>
      <c r="EB212" s="36"/>
      <c r="EC212" s="36"/>
      <c r="ED212" s="36"/>
      <c r="EE212" s="36"/>
      <c r="EF212" s="36"/>
      <c r="EG212" s="36"/>
      <c r="EH212" s="36"/>
      <c r="EI212" s="36"/>
      <c r="EJ212" s="36"/>
      <c r="EK212" s="36"/>
      <c r="EL212" s="36"/>
      <c r="EM212" s="36"/>
      <c r="EN212" s="36"/>
      <c r="EO212" s="36"/>
      <c r="EP212" s="36"/>
      <c r="EQ212" s="36"/>
      <c r="ER212" s="36"/>
      <c r="ES212" s="36"/>
      <c r="ET212" s="36"/>
      <c r="EU212" s="36"/>
      <c r="EV212" s="36"/>
      <c r="EW212" s="36"/>
      <c r="EX212" s="36"/>
      <c r="EY212" s="36"/>
      <c r="EZ212" s="36"/>
      <c r="FA212" s="36"/>
      <c r="FB212" s="36"/>
      <c r="FC212" s="36"/>
      <c r="FD212" s="36"/>
      <c r="FE212" s="36"/>
    </row>
    <row r="213" spans="1:161" s="37" customFormat="1" ht="26.25" customHeight="1" x14ac:dyDescent="0.2">
      <c r="A213" s="69" t="s">
        <v>287</v>
      </c>
      <c r="B213" s="454">
        <v>3.0000000000000001E-3</v>
      </c>
      <c r="C213" s="451">
        <v>8.0000000000000002E-3</v>
      </c>
      <c r="D213" s="451">
        <v>8.0000000000000002E-3</v>
      </c>
      <c r="E213" s="451">
        <v>7.0000000000000001E-3</v>
      </c>
      <c r="F213" s="451">
        <v>0.06</v>
      </c>
      <c r="G213" s="451"/>
      <c r="H213" s="451"/>
      <c r="I213" s="454">
        <v>3.0000000000000001E-3</v>
      </c>
      <c r="J213" s="451">
        <v>0.02</v>
      </c>
      <c r="K213" s="451">
        <v>0.02</v>
      </c>
      <c r="L213" s="452">
        <v>0.14000000000000001</v>
      </c>
      <c r="M213" s="453"/>
      <c r="N213" s="451">
        <v>8.0000000000000002E-3</v>
      </c>
      <c r="O213" s="451">
        <v>2.9251151785580267E-3</v>
      </c>
      <c r="P213" s="451">
        <v>3.7510069296775284E-3</v>
      </c>
      <c r="Q213" s="451">
        <v>1.0999999999999999E-2</v>
      </c>
      <c r="R213" s="451">
        <v>0.222</v>
      </c>
      <c r="S213" s="451">
        <v>0.345821325648415</v>
      </c>
      <c r="T213" s="455">
        <v>8.0000000000000002E-3</v>
      </c>
      <c r="U213" s="451">
        <v>1.6E-2</v>
      </c>
      <c r="V213" s="452">
        <v>0.02</v>
      </c>
      <c r="W213" s="452">
        <v>1.4999999999999999E-2</v>
      </c>
      <c r="X213" s="87"/>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36"/>
      <c r="CD213" s="36"/>
      <c r="CE213" s="36"/>
      <c r="CF213" s="36"/>
      <c r="CG213" s="36"/>
      <c r="CH213" s="36"/>
      <c r="CI213" s="36"/>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c r="DG213" s="36"/>
      <c r="DH213" s="36"/>
      <c r="DI213" s="36"/>
      <c r="DJ213" s="36"/>
      <c r="DK213" s="36"/>
      <c r="DL213" s="36"/>
      <c r="DM213" s="36"/>
      <c r="DN213" s="36"/>
      <c r="DO213" s="36"/>
      <c r="DP213" s="36"/>
      <c r="DQ213" s="36"/>
      <c r="DR213" s="36"/>
      <c r="DS213" s="36"/>
      <c r="DT213" s="36"/>
      <c r="DU213" s="36"/>
      <c r="DV213" s="36"/>
      <c r="DW213" s="36"/>
      <c r="DX213" s="36"/>
      <c r="DY213" s="36"/>
      <c r="DZ213" s="36"/>
      <c r="EA213" s="36"/>
      <c r="EB213" s="36"/>
      <c r="EC213" s="36"/>
      <c r="ED213" s="36"/>
      <c r="EE213" s="36"/>
      <c r="EF213" s="36"/>
      <c r="EG213" s="36"/>
      <c r="EH213" s="36"/>
      <c r="EI213" s="36"/>
      <c r="EJ213" s="36"/>
      <c r="EK213" s="36"/>
      <c r="EL213" s="36"/>
      <c r="EM213" s="36"/>
      <c r="EN213" s="36"/>
      <c r="EO213" s="36"/>
      <c r="EP213" s="36"/>
      <c r="EQ213" s="36"/>
      <c r="ER213" s="36"/>
      <c r="ES213" s="36"/>
      <c r="ET213" s="36"/>
      <c r="EU213" s="36"/>
      <c r="EV213" s="36"/>
      <c r="EW213" s="36"/>
      <c r="EX213" s="36"/>
      <c r="EY213" s="36"/>
      <c r="EZ213" s="36"/>
      <c r="FA213" s="36"/>
      <c r="FB213" s="36"/>
      <c r="FC213" s="36"/>
      <c r="FD213" s="36"/>
      <c r="FE213" s="36"/>
    </row>
    <row r="214" spans="1:161" ht="12.75" x14ac:dyDescent="0.2">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row>
    <row r="215" spans="1:161" x14ac:dyDescent="0.2">
      <c r="C215" s="240"/>
      <c r="G215" s="98"/>
      <c r="H215" s="240"/>
      <c r="I215" s="269"/>
      <c r="J215" s="99"/>
      <c r="K215" s="4"/>
      <c r="L215" s="244"/>
      <c r="M215" s="290"/>
      <c r="Q215" s="244"/>
      <c r="S215" s="4"/>
      <c r="T215" s="290"/>
      <c r="U215" s="240"/>
      <c r="W215" s="99"/>
    </row>
    <row r="216" spans="1:161" x14ac:dyDescent="0.2">
      <c r="C216" s="240"/>
      <c r="G216" s="98"/>
      <c r="H216" s="240"/>
      <c r="I216" s="269"/>
      <c r="J216" s="99"/>
      <c r="K216" s="4"/>
      <c r="L216" s="240"/>
      <c r="M216" s="290"/>
      <c r="S216" s="4"/>
      <c r="T216" s="290"/>
      <c r="U216" s="240"/>
      <c r="W216" s="99"/>
    </row>
    <row r="217" spans="1:161" x14ac:dyDescent="0.2">
      <c r="C217" s="240"/>
      <c r="G217" s="98"/>
      <c r="H217" s="240"/>
      <c r="I217" s="269"/>
      <c r="J217" s="99"/>
      <c r="K217" s="4"/>
      <c r="L217" s="240"/>
      <c r="M217" s="290"/>
      <c r="S217" s="4"/>
      <c r="T217" s="290"/>
      <c r="U217" s="240"/>
      <c r="W217" s="99"/>
    </row>
  </sheetData>
  <protectedRanges>
    <protectedRange sqref="Q56:Q59 Q3:Q37 Q187 Q39:Q54" name="Range2_4_1_1_1"/>
    <protectedRange sqref="Q60:Q66 Q69:Q88" name="Range2_4_2_1_1"/>
    <protectedRange sqref="Q91:Q92" name="Range2_21_1_1_1"/>
    <protectedRange sqref="Q89:Q90" name="Range2_31_1_1_1"/>
    <protectedRange sqref="Q93:Q115 Q117:Q128" name="Range2_32_1_1_1"/>
    <protectedRange sqref="Q55" name="Range2_4_3_1_1"/>
    <protectedRange sqref="Q130:Q169" name="Range2_32_1_2_1_1"/>
    <protectedRange sqref="Q171:Q186 Q188:Q213" name="Range2_32_1_3_1_1"/>
    <protectedRange sqref="Q129" name="Range2_32_1_4_1_1"/>
    <protectedRange sqref="Q170" name="Range2_32_1_5_1_1"/>
    <protectedRange sqref="R3:R5" name="Range2_6_1"/>
    <protectedRange sqref="R7" name="Range2_1_2_1"/>
    <protectedRange sqref="R9:R14" name="Range2_3_2_1"/>
    <protectedRange sqref="J56:J66 J3:J37 J69:J115 J39:J54 J117:J213" name="Range2_2_1_1"/>
    <protectedRange sqref="O56:O66 O69:O115 O3:O37 O39:O54 O117:O213" name="Range2_8_1_1_1"/>
    <protectedRange sqref="E3:E37 E69:E115 E39:E66 E117:E213" name="Range2_7_1_1_1_1"/>
    <protectedRange sqref="E38" name="Range2_7_2_1_1_1"/>
    <protectedRange sqref="C56:C66 C3:C37 C117:C128 C69:C115 C130:C203 C39:C54 C205:C213" name="Range2_13_1_1"/>
    <protectedRange sqref="C129" name="Range2_7_1_1_1_2"/>
    <protectedRange sqref="P3:P5" name="Range2_5_1_1"/>
    <protectedRange sqref="P7" name="Range2_1_1_1_1"/>
    <protectedRange sqref="P9:P14" name="Range2_3_1_1_1"/>
    <protectedRange sqref="D6 D11 D128 D17 D19 D21:D23 D25 D27 D29 D31 D33 D35 D54 D187 D46 D48 D50 D52 D57 D59 D61 D63 D65 D69 D71 D73 D91 D75 D77 D79 D81 D83 D85 D87 D93 D95 D97 D99 D101 D103 D105 D107 D109 D111 D113 D89 D118 D120 D122:D124 D126 D37 D115 D40:D44" name="Range2_6_1_2_1_1"/>
    <protectedRange sqref="D153:D156 D131 D133 D135 D137 D139 D141 D143 D145 D147 D149:D151 D158 D160 D162 D164 D166 D168 D170 D172 D174 D176 D178 D180 D182 D184 D189 D186" name="Range2_6_1_2_2_1"/>
    <protectedRange sqref="D195 D197 D199 D201 D203:D205 D207 D209:D213 D193 D191" name="Range2_6_1_1_1_1_1"/>
    <protectedRange sqref="D129" name="Range2_6_1_2_3_1"/>
    <protectedRange sqref="K3" name="Range2_27_1_2"/>
    <protectedRange sqref="N3:N115 N117:N213" name="Range2_10_1_1"/>
    <protectedRange sqref="B40:B41 B3:B10 B30:B37 B12:B27 B194:B201 B203:B213" name="Range2_19_1_1"/>
    <protectedRange sqref="B56:B57 B117:B136 B44:B45 B47:B54 B59:B66 B75:B84 B86 B88:B113 B193 B139:B142 B144:B154 B115 B69:B71 B156:B186 B188:B191" name="Range2_20_1_1"/>
    <protectedRange sqref="B58" name="Range2_20_99_1_1"/>
    <protectedRange sqref="S3:S5" name="Range2_7_1"/>
    <protectedRange sqref="S7" name="Range2_1_3_1"/>
    <protectedRange sqref="S9:S14" name="Range2_3_3_1"/>
    <protectedRange sqref="L3" name="Range2_27_1"/>
    <protectedRange sqref="F56:F66 F3:F37 F69:F115 F39:F54 F117:F213" name="Range2_9_1_1_1"/>
  </protectedRanges>
  <phoneticPr fontId="0" type="noConversion"/>
  <pageMargins left="0.39370078740157483" right="0.31496062992125984" top="0.35433070866141736" bottom="0.70866141732283472" header="0.47244094488188981" footer="0.47244094488188981"/>
  <pageSetup paperSize="9" scale="53" firstPageNumber="109" fitToWidth="2" fitToHeight="12" orientation="landscape" useFirstPageNumber="1" verticalDpi="1200" r:id="rId1"/>
  <headerFooter alignWithMargins="0">
    <oddFooter>&amp;C&amp;16&amp;P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topLeftCell="A7" zoomScale="104" zoomScaleNormal="104" workbookViewId="0">
      <selection activeCell="B15" sqref="B15"/>
    </sheetView>
  </sheetViews>
  <sheetFormatPr defaultRowHeight="12.75" x14ac:dyDescent="0.2"/>
  <cols>
    <col min="1" max="1" width="11.85546875" style="78" customWidth="1"/>
    <col min="2" max="2" width="90.7109375" style="78" customWidth="1"/>
    <col min="3" max="16384" width="9.140625" style="79"/>
  </cols>
  <sheetData>
    <row r="1" spans="1:3" ht="18.75" customHeight="1" x14ac:dyDescent="0.2">
      <c r="A1" s="333" t="s">
        <v>8</v>
      </c>
    </row>
    <row r="3" spans="1:3" ht="56.25" customHeight="1" x14ac:dyDescent="0.2">
      <c r="A3" s="395" t="s">
        <v>95</v>
      </c>
      <c r="B3" s="359" t="s">
        <v>27</v>
      </c>
    </row>
    <row r="4" spans="1:3" ht="18.75" customHeight="1" x14ac:dyDescent="0.2">
      <c r="A4" s="356" t="s">
        <v>631</v>
      </c>
      <c r="B4" s="359" t="s">
        <v>429</v>
      </c>
    </row>
    <row r="5" spans="1:3" ht="18.75" customHeight="1" x14ac:dyDescent="0.2">
      <c r="A5" s="395" t="s">
        <v>421</v>
      </c>
      <c r="B5" s="359" t="s">
        <v>754</v>
      </c>
    </row>
    <row r="6" spans="1:3" ht="120.75" customHeight="1" x14ac:dyDescent="0.2">
      <c r="A6" s="356" t="s">
        <v>634</v>
      </c>
      <c r="B6" s="359" t="s">
        <v>450</v>
      </c>
    </row>
    <row r="7" spans="1:3" s="167" customFormat="1" ht="18" customHeight="1" x14ac:dyDescent="0.2">
      <c r="A7" s="391" t="s">
        <v>636</v>
      </c>
      <c r="B7" s="359" t="s">
        <v>508</v>
      </c>
      <c r="C7" s="301"/>
    </row>
    <row r="8" spans="1:3" ht="18.75" customHeight="1" x14ac:dyDescent="0.2">
      <c r="A8" s="391" t="s">
        <v>49</v>
      </c>
      <c r="B8" s="359" t="s">
        <v>475</v>
      </c>
    </row>
    <row r="9" spans="1:3" ht="69" customHeight="1" x14ac:dyDescent="0.2">
      <c r="A9" s="356" t="s">
        <v>640</v>
      </c>
      <c r="B9" s="359" t="s">
        <v>725</v>
      </c>
    </row>
    <row r="10" spans="1:3" ht="18.75" customHeight="1" x14ac:dyDescent="0.2">
      <c r="A10" s="356" t="s">
        <v>4</v>
      </c>
      <c r="B10" s="359" t="s">
        <v>442</v>
      </c>
    </row>
    <row r="11" spans="1:3" ht="44.25" customHeight="1" x14ac:dyDescent="0.2">
      <c r="A11" s="391" t="s">
        <v>642</v>
      </c>
      <c r="B11" s="359" t="s">
        <v>558</v>
      </c>
    </row>
    <row r="12" spans="1:3" ht="81.75" customHeight="1" x14ac:dyDescent="0.2">
      <c r="A12" s="356" t="s">
        <v>651</v>
      </c>
      <c r="B12" s="359" t="s">
        <v>724</v>
      </c>
      <c r="C12" s="258"/>
    </row>
    <row r="13" spans="1:3" ht="45" customHeight="1" x14ac:dyDescent="0.2">
      <c r="A13" s="356" t="s">
        <v>653</v>
      </c>
      <c r="B13" s="359" t="s">
        <v>9</v>
      </c>
    </row>
    <row r="14" spans="1:3" ht="30.75" customHeight="1" x14ac:dyDescent="0.2">
      <c r="A14" s="391" t="s">
        <v>656</v>
      </c>
      <c r="B14" s="359" t="s">
        <v>718</v>
      </c>
    </row>
    <row r="15" spans="1:3" ht="30.75" customHeight="1" x14ac:dyDescent="0.2">
      <c r="A15" s="391" t="s">
        <v>717</v>
      </c>
      <c r="B15" s="359" t="s">
        <v>723</v>
      </c>
    </row>
    <row r="16" spans="1:3" ht="51" x14ac:dyDescent="0.2">
      <c r="A16" s="601" t="s">
        <v>715</v>
      </c>
      <c r="B16" s="602" t="s">
        <v>14</v>
      </c>
    </row>
    <row r="17" spans="1:2" x14ac:dyDescent="0.2">
      <c r="A17" s="79"/>
      <c r="B17" s="79"/>
    </row>
    <row r="19" spans="1:2" x14ac:dyDescent="0.2">
      <c r="A19" s="85"/>
      <c r="B19" s="85"/>
    </row>
  </sheetData>
  <phoneticPr fontId="0" type="noConversion"/>
  <pageMargins left="0.74803149606299213" right="0.74803149606299213" top="0.98425196850393704" bottom="0.98425196850393704" header="0.51181102362204722" footer="0.51181102362204722"/>
  <pageSetup paperSize="9" scale="75" firstPageNumber="115" orientation="portrait" useFirstPageNumber="1" r:id="rId1"/>
  <headerFooter alignWithMargins="0">
    <oddFooter>&amp;C&amp;12&amp;P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5536"/>
  <sheetViews>
    <sheetView zoomScale="85" zoomScaleNormal="85" zoomScaleSheetLayoutView="85" workbookViewId="0">
      <pane xSplit="3" ySplit="3" topLeftCell="G1241" activePane="bottomRight" state="frozen"/>
      <selection activeCell="M1271" sqref="M1271"/>
      <selection pane="topRight" activeCell="M1271" sqref="M1271"/>
      <selection pane="bottomLeft" activeCell="M1271" sqref="M1271"/>
      <selection pane="bottomRight" activeCell="I1266" sqref="I1266"/>
    </sheetView>
  </sheetViews>
  <sheetFormatPr defaultColWidth="10" defaultRowHeight="13.5" x14ac:dyDescent="0.2"/>
  <cols>
    <col min="1" max="1" width="22" style="40" customWidth="1"/>
    <col min="2" max="2" width="6.7109375" style="39" bestFit="1" customWidth="1"/>
    <col min="3" max="3" width="37.42578125" style="40" customWidth="1"/>
    <col min="4" max="4" width="11.85546875" style="40" customWidth="1"/>
    <col min="5" max="5" width="8.85546875" style="41" customWidth="1"/>
    <col min="6" max="6" width="8.85546875" style="90" bestFit="1" customWidth="1"/>
    <col min="7" max="7" width="8.85546875" style="41" bestFit="1" customWidth="1"/>
    <col min="8" max="8" width="9.5703125" style="41" customWidth="1"/>
    <col min="9" max="9" width="8.85546875" style="90" customWidth="1"/>
    <col min="10" max="10" width="8.42578125" style="41" bestFit="1" customWidth="1"/>
    <col min="11" max="11" width="7.7109375" style="97" customWidth="1"/>
    <col min="12" max="12" width="7.7109375" style="299" bestFit="1" customWidth="1"/>
    <col min="13" max="13" width="9.7109375" style="41" customWidth="1"/>
    <col min="14" max="14" width="8.85546875" style="41" hidden="1" customWidth="1"/>
    <col min="15" max="16" width="11.42578125" style="41" bestFit="1" customWidth="1"/>
    <col min="17" max="17" width="10.85546875" style="283" bestFit="1" customWidth="1"/>
    <col min="18" max="18" width="8.85546875" style="41" bestFit="1" customWidth="1"/>
    <col min="19" max="19" width="8.85546875" style="299" bestFit="1" customWidth="1"/>
    <col min="20" max="20" width="9" style="41" bestFit="1" customWidth="1"/>
    <col min="21" max="21" width="9.28515625" style="41" bestFit="1" customWidth="1"/>
    <col min="22" max="22" width="8.85546875" style="41" bestFit="1" customWidth="1"/>
    <col min="23" max="23" width="10" style="41"/>
    <col min="24" max="27" width="0" style="41" hidden="1" customWidth="1"/>
    <col min="28" max="28" width="10" style="41" hidden="1" customWidth="1"/>
    <col min="29" max="29" width="11.85546875" style="41" hidden="1" customWidth="1"/>
    <col min="30" max="16384" width="10" style="41"/>
  </cols>
  <sheetData>
    <row r="1" spans="1:29" ht="25.5" x14ac:dyDescent="0.2">
      <c r="A1" s="221" t="s">
        <v>411</v>
      </c>
      <c r="B1" s="221"/>
      <c r="C1" s="221"/>
      <c r="D1" s="221"/>
      <c r="E1" s="221"/>
      <c r="F1" s="221"/>
      <c r="G1" s="221"/>
      <c r="H1" s="221"/>
      <c r="I1" s="221"/>
      <c r="J1" s="221"/>
      <c r="K1" s="221"/>
      <c r="L1" s="291"/>
      <c r="M1" s="221"/>
      <c r="N1" s="221"/>
      <c r="O1" s="221"/>
      <c r="P1" s="221"/>
      <c r="Q1" s="270"/>
      <c r="R1" s="221"/>
      <c r="S1" s="291"/>
      <c r="T1" s="221"/>
      <c r="U1" s="221"/>
      <c r="V1" s="221"/>
    </row>
    <row r="2" spans="1:29" s="97" customFormat="1" ht="26.25" customHeight="1" thickBot="1" x14ac:dyDescent="0.25">
      <c r="A2" s="615" t="s">
        <v>288</v>
      </c>
      <c r="B2" s="616"/>
      <c r="C2" s="616"/>
      <c r="D2" s="616"/>
      <c r="E2" s="616"/>
      <c r="F2" s="616"/>
      <c r="G2" s="616"/>
      <c r="H2" s="620"/>
      <c r="I2" s="616"/>
      <c r="J2" s="616"/>
      <c r="K2" s="616"/>
      <c r="L2" s="617"/>
      <c r="M2" s="616"/>
      <c r="N2" s="616"/>
      <c r="O2" s="618"/>
      <c r="P2" s="618"/>
      <c r="Q2" s="619"/>
      <c r="R2" s="616"/>
      <c r="S2" s="617"/>
      <c r="T2" s="616"/>
      <c r="U2" s="616"/>
      <c r="V2" s="616"/>
    </row>
    <row r="3" spans="1:29" s="476" customFormat="1" ht="42" thickTop="1" thickBot="1" x14ac:dyDescent="0.25">
      <c r="A3" s="682" t="s">
        <v>672</v>
      </c>
      <c r="B3" s="683"/>
      <c r="C3" s="684"/>
      <c r="D3" s="685" t="s">
        <v>373</v>
      </c>
      <c r="E3" s="685" t="s">
        <v>43</v>
      </c>
      <c r="F3" s="686" t="s">
        <v>87</v>
      </c>
      <c r="G3" s="685" t="s">
        <v>675</v>
      </c>
      <c r="H3" s="685" t="s">
        <v>89</v>
      </c>
      <c r="I3" s="686" t="s">
        <v>86</v>
      </c>
      <c r="J3" s="685" t="s">
        <v>676</v>
      </c>
      <c r="K3" s="687" t="s">
        <v>92</v>
      </c>
      <c r="L3" s="685" t="s">
        <v>317</v>
      </c>
      <c r="M3" s="685" t="s">
        <v>678</v>
      </c>
      <c r="N3" s="685" t="s">
        <v>24</v>
      </c>
      <c r="O3" s="685" t="s">
        <v>726</v>
      </c>
      <c r="P3" s="685" t="s">
        <v>727</v>
      </c>
      <c r="Q3" s="685" t="s">
        <v>733</v>
      </c>
      <c r="R3" s="685" t="s">
        <v>734</v>
      </c>
      <c r="S3" s="685" t="s">
        <v>90</v>
      </c>
      <c r="T3" s="685" t="s">
        <v>735</v>
      </c>
      <c r="U3" s="685" t="s">
        <v>736</v>
      </c>
      <c r="V3" s="688" t="s">
        <v>737</v>
      </c>
      <c r="Y3" s="476" t="s">
        <v>432</v>
      </c>
      <c r="Z3" s="476" t="s">
        <v>433</v>
      </c>
    </row>
    <row r="4" spans="1:29" ht="15.95" customHeight="1" thickTop="1" x14ac:dyDescent="0.2">
      <c r="A4" s="689" t="s">
        <v>101</v>
      </c>
      <c r="B4" s="690">
        <v>2008</v>
      </c>
      <c r="C4" s="691" t="s">
        <v>289</v>
      </c>
      <c r="D4" s="692">
        <v>18</v>
      </c>
      <c r="E4" s="693">
        <v>1</v>
      </c>
      <c r="F4" s="694">
        <v>4.6946972000000002</v>
      </c>
      <c r="G4" s="693">
        <v>3.1602288984263236</v>
      </c>
      <c r="H4" s="693">
        <v>37</v>
      </c>
      <c r="I4" s="694">
        <v>3</v>
      </c>
      <c r="J4" s="693"/>
      <c r="K4" s="693">
        <v>18</v>
      </c>
      <c r="L4" s="693"/>
      <c r="M4" s="693">
        <v>3</v>
      </c>
      <c r="N4" s="693"/>
      <c r="O4" s="693"/>
      <c r="P4" s="693">
        <v>0</v>
      </c>
      <c r="Q4" s="695">
        <v>1.1319999999999999</v>
      </c>
      <c r="R4" s="693">
        <v>35</v>
      </c>
      <c r="S4" s="693">
        <v>5</v>
      </c>
      <c r="T4" s="693">
        <v>1</v>
      </c>
      <c r="U4" s="693">
        <v>11</v>
      </c>
      <c r="V4" s="696"/>
      <c r="W4" s="97"/>
      <c r="X4" s="97">
        <f t="shared" ref="X4:X66" si="0">+ROUND(AC4/1000,0)</f>
        <v>11</v>
      </c>
      <c r="Y4" s="97"/>
      <c r="AA4" s="97">
        <f>+IF((AD4-ROUND(AD4,-3)&gt;400)*AND(AD4-ROUND(AD4,-3)&lt;500)*AND(AD4&lt;&gt;11385.5970829535),1,0)</f>
        <v>0</v>
      </c>
      <c r="AC4" s="100">
        <v>11385.5970829535</v>
      </c>
    </row>
    <row r="5" spans="1:29" ht="15.95" customHeight="1" x14ac:dyDescent="0.2">
      <c r="A5" s="665"/>
      <c r="B5" s="43"/>
      <c r="C5" s="149" t="s">
        <v>290</v>
      </c>
      <c r="D5" s="303"/>
      <c r="E5" s="100">
        <v>1</v>
      </c>
      <c r="F5" s="101">
        <v>4.6946972000000002</v>
      </c>
      <c r="G5" s="100">
        <v>2.6781115879828326</v>
      </c>
      <c r="H5" s="100">
        <v>0</v>
      </c>
      <c r="I5" s="101"/>
      <c r="J5" s="100"/>
      <c r="K5" s="100">
        <v>18</v>
      </c>
      <c r="L5" s="100"/>
      <c r="M5" s="100">
        <v>3</v>
      </c>
      <c r="N5" s="100"/>
      <c r="O5" s="100"/>
      <c r="P5" s="100">
        <v>0</v>
      </c>
      <c r="Q5" s="271">
        <v>1.1319999999999999</v>
      </c>
      <c r="R5" s="100">
        <v>0</v>
      </c>
      <c r="S5" s="100">
        <v>5</v>
      </c>
      <c r="T5" s="100">
        <v>1</v>
      </c>
      <c r="U5" s="100">
        <v>0</v>
      </c>
      <c r="V5" s="666"/>
      <c r="W5" s="97"/>
      <c r="X5" s="97">
        <f t="shared" si="0"/>
        <v>0</v>
      </c>
      <c r="Y5" s="97"/>
      <c r="AA5" s="97">
        <f>+IF((AC5-ROUND(AC5,-3)&gt;-499)*AND(AC5-ROUND(AC5,-3)&lt;-1),1,0)</f>
        <v>0</v>
      </c>
      <c r="AC5" s="100">
        <v>0</v>
      </c>
    </row>
    <row r="6" spans="1:29" ht="15.95" customHeight="1" x14ac:dyDescent="0.2">
      <c r="A6" s="667"/>
      <c r="B6" s="44"/>
      <c r="C6" s="150" t="s">
        <v>291</v>
      </c>
      <c r="D6" s="304"/>
      <c r="E6" s="103">
        <v>0</v>
      </c>
      <c r="F6" s="104">
        <v>0</v>
      </c>
      <c r="G6" s="103">
        <v>15.449213161659515</v>
      </c>
      <c r="H6" s="103">
        <v>0</v>
      </c>
      <c r="I6" s="104"/>
      <c r="J6" s="103"/>
      <c r="K6" s="103"/>
      <c r="L6" s="103"/>
      <c r="M6" s="103">
        <v>5</v>
      </c>
      <c r="N6" s="103"/>
      <c r="O6" s="103"/>
      <c r="P6" s="103">
        <v>0</v>
      </c>
      <c r="Q6" s="272">
        <v>26.324999999999999</v>
      </c>
      <c r="R6" s="103">
        <v>0</v>
      </c>
      <c r="S6" s="103">
        <v>42</v>
      </c>
      <c r="T6" s="103">
        <v>0</v>
      </c>
      <c r="U6" s="103">
        <v>0</v>
      </c>
      <c r="V6" s="668"/>
      <c r="W6" s="97"/>
      <c r="X6" s="97">
        <f t="shared" si="0"/>
        <v>0</v>
      </c>
      <c r="Y6" s="97"/>
      <c r="AA6" s="97">
        <f>+IF((N6-ROUND(N6,-3)&gt;400)*AND(N6-ROUND(N6,-3)&lt;500),1,0)</f>
        <v>0</v>
      </c>
      <c r="AC6" s="103">
        <v>0</v>
      </c>
    </row>
    <row r="7" spans="1:29" ht="15.95" customHeight="1" x14ac:dyDescent="0.2">
      <c r="A7" s="665"/>
      <c r="B7" s="42">
        <v>2009</v>
      </c>
      <c r="C7" s="149" t="s">
        <v>412</v>
      </c>
      <c r="D7" s="303">
        <f>24+1</f>
        <v>25</v>
      </c>
      <c r="E7" s="100">
        <v>1</v>
      </c>
      <c r="F7" s="101">
        <v>4.6946972000000002</v>
      </c>
      <c r="G7" s="100">
        <v>3.2655122655122701</v>
      </c>
      <c r="H7" s="100">
        <v>42</v>
      </c>
      <c r="I7" s="101">
        <v>3</v>
      </c>
      <c r="J7" s="100"/>
      <c r="K7" s="100">
        <v>18</v>
      </c>
      <c r="L7" s="100"/>
      <c r="M7" s="100">
        <v>3</v>
      </c>
      <c r="N7" s="100"/>
      <c r="O7" s="100"/>
      <c r="P7" s="100">
        <v>0</v>
      </c>
      <c r="Q7" s="102">
        <v>1.073</v>
      </c>
      <c r="R7" s="100">
        <v>36</v>
      </c>
      <c r="S7" s="100">
        <v>5</v>
      </c>
      <c r="T7" s="100">
        <v>1</v>
      </c>
      <c r="U7" s="100">
        <v>12</v>
      </c>
      <c r="V7" s="666"/>
      <c r="W7" s="100"/>
      <c r="X7" s="97">
        <f t="shared" si="0"/>
        <v>12</v>
      </c>
      <c r="Y7" s="97"/>
      <c r="Z7" s="5"/>
      <c r="AA7" s="97">
        <f>+IF((U7-ROUND(U7,0)&gt;0.4)*AND(U7-ROUND(U7,0)&lt;0.5),1,0)</f>
        <v>0</v>
      </c>
      <c r="AB7" s="6"/>
      <c r="AC7" s="100">
        <v>12477.5224775225</v>
      </c>
    </row>
    <row r="8" spans="1:29" ht="15.95" customHeight="1" x14ac:dyDescent="0.2">
      <c r="A8" s="665"/>
      <c r="B8" s="43"/>
      <c r="C8" s="149" t="s">
        <v>413</v>
      </c>
      <c r="D8" s="303">
        <f>24</f>
        <v>24</v>
      </c>
      <c r="E8" s="100">
        <v>1</v>
      </c>
      <c r="F8" s="101">
        <v>4.6946972000000002</v>
      </c>
      <c r="G8" s="100">
        <v>3.2655122655122657</v>
      </c>
      <c r="H8" s="100">
        <v>0</v>
      </c>
      <c r="I8" s="101">
        <v>3</v>
      </c>
      <c r="J8" s="100"/>
      <c r="K8" s="100">
        <v>18</v>
      </c>
      <c r="L8" s="100"/>
      <c r="M8" s="100">
        <v>3</v>
      </c>
      <c r="N8" s="100"/>
      <c r="O8" s="100"/>
      <c r="P8" s="100">
        <v>0</v>
      </c>
      <c r="Q8" s="102">
        <v>1.073</v>
      </c>
      <c r="R8" s="100">
        <v>36</v>
      </c>
      <c r="S8" s="100">
        <v>5</v>
      </c>
      <c r="T8" s="100">
        <v>1</v>
      </c>
      <c r="U8" s="100">
        <v>12</v>
      </c>
      <c r="V8" s="666"/>
      <c r="W8" s="97"/>
      <c r="X8" s="97">
        <f t="shared" si="0"/>
        <v>12</v>
      </c>
      <c r="Y8" s="97"/>
      <c r="AA8" s="97">
        <f>+IF((AE8-ROUND(AE8,-3)&gt;-499)*AND(AE8-ROUND(AE8,-3)&lt;-2),1,0)</f>
        <v>0</v>
      </c>
      <c r="AC8" s="100">
        <v>12477.52247752248</v>
      </c>
    </row>
    <row r="9" spans="1:29" ht="15.95" customHeight="1" thickBot="1" x14ac:dyDescent="0.25">
      <c r="A9" s="669"/>
      <c r="B9" s="45"/>
      <c r="C9" s="151" t="s">
        <v>414</v>
      </c>
      <c r="D9" s="305">
        <v>72</v>
      </c>
      <c r="E9" s="105">
        <v>0</v>
      </c>
      <c r="F9" s="106">
        <v>0</v>
      </c>
      <c r="G9" s="105">
        <v>14.838383838383839</v>
      </c>
      <c r="H9" s="105">
        <v>0</v>
      </c>
      <c r="I9" s="106">
        <v>3</v>
      </c>
      <c r="J9" s="105"/>
      <c r="K9" s="105"/>
      <c r="L9" s="105"/>
      <c r="M9" s="105">
        <v>5</v>
      </c>
      <c r="N9" s="105"/>
      <c r="O9" s="105"/>
      <c r="P9" s="105">
        <v>1</v>
      </c>
      <c r="Q9" s="273"/>
      <c r="R9" s="105">
        <v>0</v>
      </c>
      <c r="S9" s="105">
        <v>17</v>
      </c>
      <c r="T9" s="105">
        <v>0</v>
      </c>
      <c r="U9" s="105">
        <v>12</v>
      </c>
      <c r="V9" s="670"/>
      <c r="W9" s="97"/>
      <c r="X9" s="97">
        <f t="shared" si="0"/>
        <v>12</v>
      </c>
      <c r="Y9" s="97">
        <f>+IF((AC9-ROUND(AC9,-3)&gt;400)*AND(AC9-ROUND(AC9,-3)&lt;500),1,0)</f>
        <v>1</v>
      </c>
      <c r="AA9" s="242">
        <f>+IF((S9-ROUND(S9,-3)&gt;400)*AND(S9-ROUND(S9,-3)&lt;500),1,0)</f>
        <v>0</v>
      </c>
      <c r="AC9" s="105">
        <v>12477.52247752248</v>
      </c>
    </row>
    <row r="10" spans="1:29" ht="15.95" customHeight="1" thickTop="1" x14ac:dyDescent="0.2">
      <c r="A10" s="665" t="s">
        <v>102</v>
      </c>
      <c r="B10" s="42">
        <v>2008</v>
      </c>
      <c r="C10" s="148" t="s">
        <v>289</v>
      </c>
      <c r="D10" s="303">
        <v>110</v>
      </c>
      <c r="E10" s="100">
        <v>7</v>
      </c>
      <c r="F10" s="101">
        <v>28.168224000000002</v>
      </c>
      <c r="G10" s="100">
        <v>18.746781115879827</v>
      </c>
      <c r="H10" s="100">
        <v>37</v>
      </c>
      <c r="I10" s="101">
        <v>19</v>
      </c>
      <c r="J10" s="100">
        <v>10</v>
      </c>
      <c r="K10" s="100">
        <v>71</v>
      </c>
      <c r="L10" s="100"/>
      <c r="M10" s="100">
        <v>19</v>
      </c>
      <c r="N10" s="100"/>
      <c r="O10" s="100">
        <v>1</v>
      </c>
      <c r="P10" s="100">
        <v>1</v>
      </c>
      <c r="Q10" s="271">
        <v>9.0559999999999992</v>
      </c>
      <c r="R10" s="100">
        <v>47</v>
      </c>
      <c r="S10" s="100">
        <v>28</v>
      </c>
      <c r="T10" s="100">
        <v>11</v>
      </c>
      <c r="U10" s="100">
        <v>11</v>
      </c>
      <c r="V10" s="666">
        <v>33.273214285714282</v>
      </c>
      <c r="W10" s="97"/>
      <c r="X10" s="97">
        <f t="shared" si="0"/>
        <v>11</v>
      </c>
      <c r="Y10" s="97"/>
      <c r="AC10" s="100">
        <v>11385.597082953509</v>
      </c>
    </row>
    <row r="11" spans="1:29" ht="15.95" customHeight="1" x14ac:dyDescent="0.2">
      <c r="A11" s="665"/>
      <c r="B11" s="43"/>
      <c r="C11" s="149" t="s">
        <v>290</v>
      </c>
      <c r="D11" s="303">
        <v>110</v>
      </c>
      <c r="E11" s="100">
        <v>7</v>
      </c>
      <c r="F11" s="101">
        <v>28.168224000000002</v>
      </c>
      <c r="G11" s="100">
        <v>18.580829756795421</v>
      </c>
      <c r="H11" s="100">
        <v>24</v>
      </c>
      <c r="I11" s="101">
        <v>19</v>
      </c>
      <c r="J11" s="100">
        <v>10</v>
      </c>
      <c r="K11" s="100">
        <v>71</v>
      </c>
      <c r="L11" s="100"/>
      <c r="M11" s="100">
        <v>7</v>
      </c>
      <c r="N11" s="100"/>
      <c r="O11" s="100">
        <v>1</v>
      </c>
      <c r="P11" s="100">
        <v>1</v>
      </c>
      <c r="Q11" s="271">
        <v>0.51700000000000002</v>
      </c>
      <c r="R11" s="100">
        <v>47</v>
      </c>
      <c r="S11" s="100">
        <v>28</v>
      </c>
      <c r="T11" s="100">
        <v>11</v>
      </c>
      <c r="U11" s="100">
        <v>0</v>
      </c>
      <c r="V11" s="666">
        <v>33.035714285714285</v>
      </c>
      <c r="W11" s="97"/>
      <c r="X11" s="97">
        <f t="shared" si="0"/>
        <v>0</v>
      </c>
      <c r="Y11" s="97"/>
      <c r="AC11" s="100">
        <v>0</v>
      </c>
    </row>
    <row r="12" spans="1:29" ht="15.95" customHeight="1" x14ac:dyDescent="0.2">
      <c r="A12" s="667"/>
      <c r="B12" s="44"/>
      <c r="C12" s="150" t="s">
        <v>291</v>
      </c>
      <c r="D12" s="304"/>
      <c r="E12" s="103">
        <v>0</v>
      </c>
      <c r="F12" s="104">
        <v>0</v>
      </c>
      <c r="G12" s="103">
        <v>0</v>
      </c>
      <c r="H12" s="103">
        <v>6</v>
      </c>
      <c r="I12" s="104"/>
      <c r="J12" s="103">
        <v>0</v>
      </c>
      <c r="K12" s="103"/>
      <c r="L12" s="103"/>
      <c r="M12" s="103">
        <v>0</v>
      </c>
      <c r="N12" s="103"/>
      <c r="O12" s="103">
        <v>0</v>
      </c>
      <c r="P12" s="103">
        <v>0</v>
      </c>
      <c r="Q12" s="272"/>
      <c r="R12" s="103">
        <v>0</v>
      </c>
      <c r="S12" s="103">
        <v>0</v>
      </c>
      <c r="T12" s="103">
        <v>0</v>
      </c>
      <c r="U12" s="103">
        <v>0</v>
      </c>
      <c r="V12" s="668">
        <v>0</v>
      </c>
      <c r="W12" s="97"/>
      <c r="X12" s="97">
        <f t="shared" si="0"/>
        <v>0</v>
      </c>
      <c r="Y12" s="97"/>
      <c r="AC12" s="103">
        <v>0</v>
      </c>
    </row>
    <row r="13" spans="1:29" ht="15.95" customHeight="1" x14ac:dyDescent="0.2">
      <c r="A13" s="665"/>
      <c r="B13" s="42">
        <v>2009</v>
      </c>
      <c r="C13" s="149" t="s">
        <v>412</v>
      </c>
      <c r="D13" s="303">
        <v>146</v>
      </c>
      <c r="E13" s="100">
        <v>7</v>
      </c>
      <c r="F13" s="101">
        <v>28.168224000000002</v>
      </c>
      <c r="G13" s="100">
        <v>19.704184704184708</v>
      </c>
      <c r="H13" s="100">
        <v>42</v>
      </c>
      <c r="I13" s="101">
        <v>19</v>
      </c>
      <c r="J13" s="100">
        <v>9</v>
      </c>
      <c r="K13" s="100">
        <v>71</v>
      </c>
      <c r="L13" s="100"/>
      <c r="M13" s="100">
        <v>19</v>
      </c>
      <c r="N13" s="100"/>
      <c r="O13" s="100">
        <v>1</v>
      </c>
      <c r="P13" s="100">
        <v>1</v>
      </c>
      <c r="Q13" s="102">
        <v>8.5830000000000002</v>
      </c>
      <c r="R13" s="100">
        <v>51</v>
      </c>
      <c r="S13" s="100">
        <v>28</v>
      </c>
      <c r="T13" s="100">
        <v>11</v>
      </c>
      <c r="U13" s="100">
        <v>12</v>
      </c>
      <c r="V13" s="666">
        <v>35.874107142857142</v>
      </c>
      <c r="W13" s="100"/>
      <c r="X13" s="97">
        <f t="shared" si="0"/>
        <v>12</v>
      </c>
      <c r="Y13" s="97"/>
      <c r="AC13" s="100">
        <v>12477.52247752248</v>
      </c>
    </row>
    <row r="14" spans="1:29" ht="15.95" customHeight="1" x14ac:dyDescent="0.2">
      <c r="A14" s="665"/>
      <c r="B14" s="43"/>
      <c r="C14" s="149" t="s">
        <v>413</v>
      </c>
      <c r="D14" s="303">
        <v>146</v>
      </c>
      <c r="E14" s="100">
        <v>5</v>
      </c>
      <c r="F14" s="101">
        <v>28.168224000000002</v>
      </c>
      <c r="G14" s="100">
        <v>16.922077922077921</v>
      </c>
      <c r="H14" s="100">
        <v>42</v>
      </c>
      <c r="I14" s="101">
        <v>19</v>
      </c>
      <c r="J14" s="100">
        <v>9</v>
      </c>
      <c r="K14" s="100">
        <v>71</v>
      </c>
      <c r="L14" s="100"/>
      <c r="M14" s="100">
        <v>19</v>
      </c>
      <c r="N14" s="100"/>
      <c r="O14" s="100">
        <v>1</v>
      </c>
      <c r="P14" s="100">
        <v>1</v>
      </c>
      <c r="Q14" s="102">
        <v>8.5830000000000002</v>
      </c>
      <c r="R14" s="100">
        <v>51</v>
      </c>
      <c r="S14" s="100">
        <v>28</v>
      </c>
      <c r="T14" s="100">
        <v>11</v>
      </c>
      <c r="U14" s="100">
        <v>0</v>
      </c>
      <c r="V14" s="666">
        <v>36</v>
      </c>
      <c r="W14" s="97"/>
      <c r="X14" s="97">
        <f t="shared" si="0"/>
        <v>0</v>
      </c>
      <c r="Y14" s="97"/>
      <c r="AC14" s="100">
        <v>0</v>
      </c>
    </row>
    <row r="15" spans="1:29" ht="15.95" customHeight="1" thickBot="1" x14ac:dyDescent="0.25">
      <c r="A15" s="669"/>
      <c r="B15" s="45"/>
      <c r="C15" s="151" t="s">
        <v>414</v>
      </c>
      <c r="D15" s="305"/>
      <c r="E15" s="105">
        <v>0</v>
      </c>
      <c r="F15" s="106">
        <v>0</v>
      </c>
      <c r="G15" s="105">
        <v>0</v>
      </c>
      <c r="H15" s="105">
        <v>14</v>
      </c>
      <c r="I15" s="106"/>
      <c r="J15" s="105">
        <v>0</v>
      </c>
      <c r="K15" s="105"/>
      <c r="L15" s="105"/>
      <c r="M15" s="105">
        <v>0</v>
      </c>
      <c r="N15" s="105"/>
      <c r="O15" s="105">
        <v>0</v>
      </c>
      <c r="P15" s="105">
        <v>0</v>
      </c>
      <c r="Q15" s="273">
        <v>8.093</v>
      </c>
      <c r="R15" s="105">
        <v>0</v>
      </c>
      <c r="S15" s="105">
        <v>0</v>
      </c>
      <c r="T15" s="105">
        <v>0</v>
      </c>
      <c r="U15" s="105">
        <v>12</v>
      </c>
      <c r="V15" s="670">
        <v>0</v>
      </c>
      <c r="W15" s="97"/>
      <c r="X15" s="97">
        <f t="shared" si="0"/>
        <v>12</v>
      </c>
      <c r="Y15" s="97">
        <f>+IF((AC15-ROUND(AC15,-3)&gt;400)*AND(AC15-ROUND(AC15,-3)&lt;500),1,0)</f>
        <v>1</v>
      </c>
      <c r="AC15" s="105">
        <v>12477.52247752248</v>
      </c>
    </row>
    <row r="16" spans="1:29" ht="15.95" customHeight="1" thickTop="1" x14ac:dyDescent="0.2">
      <c r="A16" s="665" t="s">
        <v>103</v>
      </c>
      <c r="B16" s="42">
        <v>2008</v>
      </c>
      <c r="C16" s="148" t="s">
        <v>289</v>
      </c>
      <c r="D16" s="303">
        <v>1555</v>
      </c>
      <c r="E16" s="100">
        <v>97</v>
      </c>
      <c r="F16" s="101">
        <v>403.74454400000002</v>
      </c>
      <c r="G16" s="100">
        <v>261.37625178826897</v>
      </c>
      <c r="H16" s="100">
        <v>48</v>
      </c>
      <c r="I16" s="101">
        <v>273</v>
      </c>
      <c r="J16" s="100">
        <v>56</v>
      </c>
      <c r="K16" s="100">
        <v>284</v>
      </c>
      <c r="L16" s="100"/>
      <c r="M16" s="100">
        <v>268</v>
      </c>
      <c r="N16" s="100"/>
      <c r="O16" s="100">
        <v>10</v>
      </c>
      <c r="P16" s="100">
        <v>13</v>
      </c>
      <c r="Q16" s="271">
        <v>133.57</v>
      </c>
      <c r="R16" s="100">
        <v>70</v>
      </c>
      <c r="S16" s="100">
        <v>395</v>
      </c>
      <c r="T16" s="100">
        <v>5</v>
      </c>
      <c r="U16" s="100">
        <v>46</v>
      </c>
      <c r="V16" s="666"/>
      <c r="W16" s="97"/>
      <c r="X16" s="97">
        <f t="shared" si="0"/>
        <v>46</v>
      </c>
      <c r="Y16" s="97"/>
      <c r="AC16" s="100">
        <v>45542.388331814036</v>
      </c>
    </row>
    <row r="17" spans="1:29" ht="15.95" customHeight="1" x14ac:dyDescent="0.2">
      <c r="A17" s="665"/>
      <c r="B17" s="43"/>
      <c r="C17" s="149" t="s">
        <v>290</v>
      </c>
      <c r="D17" s="303">
        <v>1555</v>
      </c>
      <c r="E17" s="100">
        <v>97</v>
      </c>
      <c r="F17" s="101">
        <v>403.74454400000002</v>
      </c>
      <c r="G17" s="100">
        <v>257.96280400572249</v>
      </c>
      <c r="H17" s="100">
        <v>48</v>
      </c>
      <c r="I17" s="101">
        <v>273</v>
      </c>
      <c r="J17" s="100">
        <v>56</v>
      </c>
      <c r="K17" s="100"/>
      <c r="L17" s="100"/>
      <c r="M17" s="100">
        <v>268</v>
      </c>
      <c r="N17" s="100"/>
      <c r="O17" s="100">
        <v>0</v>
      </c>
      <c r="P17" s="100">
        <v>0</v>
      </c>
      <c r="Q17" s="271">
        <v>12.99</v>
      </c>
      <c r="R17" s="100">
        <v>70</v>
      </c>
      <c r="S17" s="100">
        <v>395</v>
      </c>
      <c r="T17" s="100">
        <v>5</v>
      </c>
      <c r="U17" s="100">
        <v>46</v>
      </c>
      <c r="V17" s="666"/>
      <c r="W17" s="97"/>
      <c r="X17" s="97">
        <f t="shared" si="0"/>
        <v>46</v>
      </c>
      <c r="Y17" s="97"/>
      <c r="AC17" s="100">
        <v>45542.388331814036</v>
      </c>
    </row>
    <row r="18" spans="1:29" ht="15.95" customHeight="1" x14ac:dyDescent="0.2">
      <c r="A18" s="667"/>
      <c r="B18" s="44"/>
      <c r="C18" s="150" t="s">
        <v>291</v>
      </c>
      <c r="D18" s="304"/>
      <c r="E18" s="103">
        <v>0</v>
      </c>
      <c r="F18" s="104">
        <v>0</v>
      </c>
      <c r="G18" s="103">
        <v>0</v>
      </c>
      <c r="H18" s="103">
        <v>0</v>
      </c>
      <c r="I18" s="104"/>
      <c r="J18" s="103">
        <v>0</v>
      </c>
      <c r="K18" s="103"/>
      <c r="L18" s="103"/>
      <c r="M18" s="103">
        <v>0</v>
      </c>
      <c r="N18" s="103"/>
      <c r="O18" s="103">
        <v>0</v>
      </c>
      <c r="P18" s="103">
        <v>0</v>
      </c>
      <c r="Q18" s="272"/>
      <c r="R18" s="103">
        <v>0</v>
      </c>
      <c r="S18" s="103">
        <v>0</v>
      </c>
      <c r="T18" s="103">
        <v>0</v>
      </c>
      <c r="U18" s="103">
        <v>0</v>
      </c>
      <c r="V18" s="668"/>
      <c r="W18" s="97"/>
      <c r="X18" s="97">
        <f t="shared" si="0"/>
        <v>0</v>
      </c>
      <c r="Y18" s="97"/>
      <c r="AC18" s="103">
        <v>0</v>
      </c>
    </row>
    <row r="19" spans="1:29" ht="15.95" customHeight="1" x14ac:dyDescent="0.2">
      <c r="A19" s="665"/>
      <c r="B19" s="42">
        <v>2009</v>
      </c>
      <c r="C19" s="149" t="s">
        <v>412</v>
      </c>
      <c r="D19" s="303">
        <v>2071</v>
      </c>
      <c r="E19" s="100">
        <v>98</v>
      </c>
      <c r="F19" s="101">
        <v>403.74454400000002</v>
      </c>
      <c r="G19" s="100">
        <v>273.06493506493507</v>
      </c>
      <c r="H19" s="100">
        <v>57</v>
      </c>
      <c r="I19" s="101">
        <v>273</v>
      </c>
      <c r="J19" s="100">
        <v>49</v>
      </c>
      <c r="K19" s="100">
        <v>284</v>
      </c>
      <c r="L19" s="100"/>
      <c r="M19" s="100">
        <v>268</v>
      </c>
      <c r="N19" s="100"/>
      <c r="O19" s="100">
        <v>10</v>
      </c>
      <c r="P19" s="100">
        <v>13</v>
      </c>
      <c r="Q19" s="102">
        <v>126.60299999999999</v>
      </c>
      <c r="R19" s="100">
        <v>72</v>
      </c>
      <c r="S19" s="100">
        <v>395</v>
      </c>
      <c r="T19" s="100">
        <v>6</v>
      </c>
      <c r="U19" s="100">
        <v>51</v>
      </c>
      <c r="V19" s="666"/>
      <c r="W19" s="100"/>
      <c r="X19" s="97">
        <f>+ROUNDUP(AC19/1000+0.5,0)</f>
        <v>51</v>
      </c>
      <c r="Y19" s="97"/>
      <c r="AC19" s="100">
        <v>49910.089910089919</v>
      </c>
    </row>
    <row r="20" spans="1:29" ht="15.95" customHeight="1" x14ac:dyDescent="0.2">
      <c r="A20" s="665"/>
      <c r="B20" s="43"/>
      <c r="C20" s="149" t="s">
        <v>413</v>
      </c>
      <c r="D20" s="303">
        <v>2071</v>
      </c>
      <c r="E20" s="100">
        <v>98</v>
      </c>
      <c r="F20" s="101">
        <v>403.74454400000002</v>
      </c>
      <c r="G20" s="100">
        <v>273.06493506493507</v>
      </c>
      <c r="H20" s="100">
        <v>57</v>
      </c>
      <c r="I20" s="101">
        <v>273</v>
      </c>
      <c r="J20" s="100">
        <v>49</v>
      </c>
      <c r="K20" s="100">
        <v>3</v>
      </c>
      <c r="L20" s="100"/>
      <c r="M20" s="100">
        <v>14</v>
      </c>
      <c r="N20" s="100">
        <v>10000</v>
      </c>
      <c r="O20" s="100">
        <v>10</v>
      </c>
      <c r="P20" s="100">
        <v>13</v>
      </c>
      <c r="Q20" s="102">
        <v>126.60299999999999</v>
      </c>
      <c r="R20" s="100">
        <v>72</v>
      </c>
      <c r="S20" s="100">
        <v>395</v>
      </c>
      <c r="T20" s="100">
        <v>6</v>
      </c>
      <c r="U20" s="100">
        <v>51</v>
      </c>
      <c r="V20" s="666"/>
      <c r="W20" s="97"/>
      <c r="X20" s="97">
        <f>+ROUNDUP(AC20/1000+0.5,0)</f>
        <v>51</v>
      </c>
      <c r="Y20" s="97"/>
      <c r="AC20" s="100">
        <v>49910.089910089919</v>
      </c>
    </row>
    <row r="21" spans="1:29" ht="15.95" customHeight="1" thickBot="1" x14ac:dyDescent="0.25">
      <c r="A21" s="669"/>
      <c r="B21" s="45"/>
      <c r="C21" s="151" t="s">
        <v>414</v>
      </c>
      <c r="D21" s="305"/>
      <c r="E21" s="105">
        <v>0</v>
      </c>
      <c r="F21" s="106">
        <v>0</v>
      </c>
      <c r="G21" s="105">
        <v>0</v>
      </c>
      <c r="H21" s="105">
        <v>0</v>
      </c>
      <c r="I21" s="106"/>
      <c r="J21" s="105">
        <v>0</v>
      </c>
      <c r="K21" s="105">
        <v>284</v>
      </c>
      <c r="L21" s="105"/>
      <c r="M21" s="105">
        <v>0</v>
      </c>
      <c r="N21" s="105"/>
      <c r="O21" s="105">
        <v>33</v>
      </c>
      <c r="P21" s="105">
        <v>15</v>
      </c>
      <c r="Q21" s="273">
        <v>114.291</v>
      </c>
      <c r="R21" s="105">
        <v>0</v>
      </c>
      <c r="S21" s="105">
        <v>0</v>
      </c>
      <c r="T21" s="105">
        <v>0</v>
      </c>
      <c r="U21" s="105">
        <v>0</v>
      </c>
      <c r="V21" s="670"/>
      <c r="W21" s="97"/>
      <c r="X21" s="97">
        <f t="shared" si="0"/>
        <v>0</v>
      </c>
      <c r="Y21" s="97">
        <f>+IF((AC21-ROUND(AC21,-3)&gt;400)*AND(AC21-ROUND(AC21,-3)&lt;500),1,0)</f>
        <v>0</v>
      </c>
      <c r="AC21" s="105">
        <v>0</v>
      </c>
    </row>
    <row r="22" spans="1:29" ht="15.95" customHeight="1" thickTop="1" x14ac:dyDescent="0.2">
      <c r="A22" s="665" t="s">
        <v>104</v>
      </c>
      <c r="B22" s="42">
        <v>2008</v>
      </c>
      <c r="C22" s="148" t="s">
        <v>289</v>
      </c>
      <c r="D22" s="303">
        <v>146</v>
      </c>
      <c r="E22" s="100">
        <v>10</v>
      </c>
      <c r="F22" s="101">
        <v>37.557631999999998</v>
      </c>
      <c r="G22" s="100"/>
      <c r="H22" s="100">
        <v>37</v>
      </c>
      <c r="I22" s="101"/>
      <c r="J22" s="100"/>
      <c r="K22" s="100">
        <v>71</v>
      </c>
      <c r="L22" s="100"/>
      <c r="M22" s="100">
        <v>25</v>
      </c>
      <c r="N22" s="100"/>
      <c r="O22" s="100"/>
      <c r="P22" s="100"/>
      <c r="Q22" s="271"/>
      <c r="R22" s="100">
        <v>59</v>
      </c>
      <c r="S22" s="100">
        <v>37</v>
      </c>
      <c r="T22" s="100">
        <v>11</v>
      </c>
      <c r="U22" s="100"/>
      <c r="V22" s="666"/>
      <c r="W22" s="97"/>
      <c r="X22" s="97">
        <f t="shared" si="0"/>
        <v>0</v>
      </c>
      <c r="Y22" s="97"/>
      <c r="AC22" s="100"/>
    </row>
    <row r="23" spans="1:29" ht="15.95" customHeight="1" x14ac:dyDescent="0.2">
      <c r="A23" s="665"/>
      <c r="B23" s="43"/>
      <c r="C23" s="149" t="s">
        <v>290</v>
      </c>
      <c r="D23" s="303">
        <v>146</v>
      </c>
      <c r="E23" s="100">
        <v>10</v>
      </c>
      <c r="F23" s="101">
        <v>37.557631999999998</v>
      </c>
      <c r="G23" s="100"/>
      <c r="H23" s="100">
        <v>7</v>
      </c>
      <c r="I23" s="101"/>
      <c r="J23" s="100"/>
      <c r="K23" s="100">
        <v>71</v>
      </c>
      <c r="L23" s="100"/>
      <c r="M23" s="100">
        <v>25</v>
      </c>
      <c r="N23" s="100"/>
      <c r="O23" s="100"/>
      <c r="P23" s="100"/>
      <c r="Q23" s="271"/>
      <c r="R23" s="100">
        <v>59</v>
      </c>
      <c r="S23" s="100">
        <v>37</v>
      </c>
      <c r="T23" s="100">
        <v>11</v>
      </c>
      <c r="U23" s="100"/>
      <c r="V23" s="666"/>
      <c r="W23" s="97"/>
      <c r="X23" s="97">
        <f t="shared" si="0"/>
        <v>0</v>
      </c>
      <c r="Y23" s="97"/>
      <c r="AC23" s="100"/>
    </row>
    <row r="24" spans="1:29" ht="15.95" customHeight="1" x14ac:dyDescent="0.2">
      <c r="A24" s="667"/>
      <c r="B24" s="44"/>
      <c r="C24" s="150" t="s">
        <v>291</v>
      </c>
      <c r="D24" s="304"/>
      <c r="E24" s="103">
        <v>0</v>
      </c>
      <c r="F24" s="104">
        <v>5.2119135999999999</v>
      </c>
      <c r="G24" s="103"/>
      <c r="H24" s="103">
        <v>30</v>
      </c>
      <c r="I24" s="104"/>
      <c r="J24" s="103"/>
      <c r="K24" s="103"/>
      <c r="L24" s="103"/>
      <c r="M24" s="103">
        <v>0</v>
      </c>
      <c r="N24" s="103"/>
      <c r="O24" s="103"/>
      <c r="P24" s="103"/>
      <c r="Q24" s="272"/>
      <c r="R24" s="103">
        <v>0</v>
      </c>
      <c r="S24" s="103">
        <v>0</v>
      </c>
      <c r="T24" s="103">
        <v>0</v>
      </c>
      <c r="U24" s="103"/>
      <c r="V24" s="668"/>
      <c r="W24" s="97"/>
      <c r="X24" s="97">
        <f t="shared" si="0"/>
        <v>0</v>
      </c>
      <c r="Y24" s="97"/>
      <c r="AC24" s="103"/>
    </row>
    <row r="25" spans="1:29" ht="15.95" customHeight="1" x14ac:dyDescent="0.2">
      <c r="A25" s="665"/>
      <c r="B25" s="42">
        <v>2009</v>
      </c>
      <c r="C25" s="149" t="s">
        <v>412</v>
      </c>
      <c r="D25" s="303">
        <v>195</v>
      </c>
      <c r="E25" s="100">
        <v>9</v>
      </c>
      <c r="F25" s="101">
        <v>37.557631999999998</v>
      </c>
      <c r="G25" s="100"/>
      <c r="H25" s="100">
        <v>42</v>
      </c>
      <c r="I25" s="101"/>
      <c r="J25" s="100"/>
      <c r="K25" s="100">
        <v>71</v>
      </c>
      <c r="L25" s="100"/>
      <c r="M25" s="100">
        <v>25</v>
      </c>
      <c r="N25" s="100"/>
      <c r="O25" s="100"/>
      <c r="P25" s="100"/>
      <c r="Q25" s="271"/>
      <c r="R25" s="100">
        <v>64</v>
      </c>
      <c r="S25" s="100">
        <v>37</v>
      </c>
      <c r="T25" s="100">
        <v>11</v>
      </c>
      <c r="U25" s="100"/>
      <c r="V25" s="666"/>
      <c r="W25" s="100"/>
      <c r="X25" s="97">
        <f t="shared" si="0"/>
        <v>0</v>
      </c>
      <c r="Y25" s="97"/>
      <c r="AC25" s="100"/>
    </row>
    <row r="26" spans="1:29" ht="15.95" customHeight="1" x14ac:dyDescent="0.2">
      <c r="A26" s="665"/>
      <c r="B26" s="43"/>
      <c r="C26" s="149" t="s">
        <v>413</v>
      </c>
      <c r="D26" s="303">
        <v>195</v>
      </c>
      <c r="E26" s="100">
        <v>9</v>
      </c>
      <c r="F26" s="101">
        <v>37.557631999999998</v>
      </c>
      <c r="G26" s="100"/>
      <c r="H26" s="100">
        <v>9</v>
      </c>
      <c r="I26" s="101"/>
      <c r="J26" s="100"/>
      <c r="K26" s="100">
        <v>71</v>
      </c>
      <c r="L26" s="100"/>
      <c r="M26" s="100">
        <v>25</v>
      </c>
      <c r="N26" s="100"/>
      <c r="O26" s="100"/>
      <c r="P26" s="100"/>
      <c r="Q26" s="271"/>
      <c r="R26" s="100">
        <v>64</v>
      </c>
      <c r="S26" s="100">
        <v>37</v>
      </c>
      <c r="T26" s="100">
        <v>11</v>
      </c>
      <c r="U26" s="100"/>
      <c r="V26" s="666"/>
      <c r="W26" s="97"/>
      <c r="X26" s="97">
        <f t="shared" si="0"/>
        <v>0</v>
      </c>
      <c r="Y26" s="97"/>
      <c r="AC26" s="100"/>
    </row>
    <row r="27" spans="1:29" ht="15.95" customHeight="1" thickBot="1" x14ac:dyDescent="0.25">
      <c r="A27" s="669"/>
      <c r="B27" s="45"/>
      <c r="C27" s="151" t="s">
        <v>414</v>
      </c>
      <c r="D27" s="305">
        <v>0</v>
      </c>
      <c r="E27" s="105">
        <v>0</v>
      </c>
      <c r="F27" s="106">
        <v>0</v>
      </c>
      <c r="G27" s="105"/>
      <c r="H27" s="105">
        <v>35</v>
      </c>
      <c r="I27" s="106"/>
      <c r="J27" s="105"/>
      <c r="K27" s="105"/>
      <c r="L27" s="105"/>
      <c r="M27" s="105">
        <v>0</v>
      </c>
      <c r="N27" s="105"/>
      <c r="O27" s="105"/>
      <c r="P27" s="105"/>
      <c r="Q27" s="273"/>
      <c r="R27" s="105">
        <v>0</v>
      </c>
      <c r="S27" s="105">
        <v>0</v>
      </c>
      <c r="T27" s="105">
        <v>0</v>
      </c>
      <c r="U27" s="105"/>
      <c r="V27" s="670"/>
      <c r="W27" s="97"/>
      <c r="X27" s="97">
        <f t="shared" si="0"/>
        <v>0</v>
      </c>
      <c r="Y27" s="97">
        <f>+IF((AC27-ROUND(AC27,-3)&gt;400)*AND(AC27-ROUND(AC27,-3)&lt;500),1,0)</f>
        <v>0</v>
      </c>
      <c r="AC27" s="105"/>
    </row>
    <row r="28" spans="1:29" ht="15.95" customHeight="1" thickTop="1" x14ac:dyDescent="0.2">
      <c r="A28" s="665" t="s">
        <v>105</v>
      </c>
      <c r="B28" s="42">
        <v>2008</v>
      </c>
      <c r="C28" s="148" t="s">
        <v>289</v>
      </c>
      <c r="D28" s="303">
        <v>55</v>
      </c>
      <c r="E28" s="100">
        <v>4</v>
      </c>
      <c r="F28" s="101">
        <v>14.084118800000001</v>
      </c>
      <c r="G28" s="100">
        <v>9.3290414878397723</v>
      </c>
      <c r="H28" s="100">
        <v>37</v>
      </c>
      <c r="I28" s="101">
        <v>10</v>
      </c>
      <c r="J28" s="100">
        <v>9</v>
      </c>
      <c r="K28" s="100">
        <v>71</v>
      </c>
      <c r="L28" s="100"/>
      <c r="M28" s="100">
        <v>9</v>
      </c>
      <c r="N28" s="100"/>
      <c r="O28" s="100">
        <v>0</v>
      </c>
      <c r="P28" s="100">
        <v>1</v>
      </c>
      <c r="Q28" s="271">
        <v>4.5270000000000001</v>
      </c>
      <c r="R28" s="100">
        <v>37</v>
      </c>
      <c r="S28" s="100">
        <v>14</v>
      </c>
      <c r="T28" s="100">
        <v>1</v>
      </c>
      <c r="U28" s="100">
        <v>11</v>
      </c>
      <c r="V28" s="666">
        <v>185.37410714285713</v>
      </c>
      <c r="W28" s="97"/>
      <c r="X28" s="97">
        <f t="shared" si="0"/>
        <v>11</v>
      </c>
      <c r="Y28" s="97"/>
      <c r="AC28" s="100">
        <v>11385.597082953509</v>
      </c>
    </row>
    <row r="29" spans="1:29" ht="15.95" customHeight="1" x14ac:dyDescent="0.2">
      <c r="A29" s="665"/>
      <c r="B29" s="43"/>
      <c r="C29" s="149" t="s">
        <v>290</v>
      </c>
      <c r="D29" s="303">
        <v>55</v>
      </c>
      <c r="E29" s="100">
        <v>4</v>
      </c>
      <c r="F29" s="101">
        <v>14.084118799999999</v>
      </c>
      <c r="G29" s="100">
        <v>9.3290414878397723</v>
      </c>
      <c r="H29" s="100">
        <v>35</v>
      </c>
      <c r="I29" s="101">
        <v>10</v>
      </c>
      <c r="J29" s="100">
        <v>9</v>
      </c>
      <c r="K29" s="100">
        <v>64</v>
      </c>
      <c r="L29" s="100"/>
      <c r="M29" s="100">
        <v>9</v>
      </c>
      <c r="N29" s="100"/>
      <c r="O29" s="100">
        <v>0</v>
      </c>
      <c r="P29" s="100">
        <v>1</v>
      </c>
      <c r="Q29" s="271">
        <v>4.5270000000000001</v>
      </c>
      <c r="R29" s="100">
        <v>0</v>
      </c>
      <c r="S29" s="100">
        <v>14</v>
      </c>
      <c r="T29" s="100">
        <v>0</v>
      </c>
      <c r="U29" s="100">
        <v>0</v>
      </c>
      <c r="V29" s="666">
        <v>185.37410714285713</v>
      </c>
      <c r="W29" s="97"/>
      <c r="X29" s="97">
        <f t="shared" si="0"/>
        <v>0</v>
      </c>
      <c r="Y29" s="97"/>
      <c r="AC29" s="100">
        <v>0</v>
      </c>
    </row>
    <row r="30" spans="1:29" ht="15.95" customHeight="1" x14ac:dyDescent="0.2">
      <c r="A30" s="667"/>
      <c r="B30" s="44"/>
      <c r="C30" s="150" t="s">
        <v>291</v>
      </c>
      <c r="D30" s="304"/>
      <c r="E30" s="103">
        <v>0</v>
      </c>
      <c r="F30" s="104">
        <v>0</v>
      </c>
      <c r="G30" s="103">
        <v>0</v>
      </c>
      <c r="H30" s="103">
        <v>0</v>
      </c>
      <c r="I30" s="104"/>
      <c r="J30" s="103">
        <v>0</v>
      </c>
      <c r="K30" s="103"/>
      <c r="L30" s="103"/>
      <c r="M30" s="103">
        <v>0</v>
      </c>
      <c r="N30" s="103"/>
      <c r="O30" s="103">
        <v>0</v>
      </c>
      <c r="P30" s="103">
        <v>0</v>
      </c>
      <c r="Q30" s="272"/>
      <c r="R30" s="103">
        <v>0</v>
      </c>
      <c r="S30" s="103">
        <v>0</v>
      </c>
      <c r="T30" s="103">
        <v>0</v>
      </c>
      <c r="U30" s="103">
        <v>0</v>
      </c>
      <c r="V30" s="668">
        <v>0</v>
      </c>
      <c r="W30" s="97"/>
      <c r="X30" s="97">
        <f t="shared" si="0"/>
        <v>0</v>
      </c>
      <c r="Y30" s="97"/>
      <c r="AC30" s="103">
        <v>0</v>
      </c>
    </row>
    <row r="31" spans="1:29" ht="15.95" customHeight="1" x14ac:dyDescent="0.2">
      <c r="A31" s="665"/>
      <c r="B31" s="42">
        <v>2009</v>
      </c>
      <c r="C31" s="149" t="s">
        <v>412</v>
      </c>
      <c r="D31" s="303">
        <v>73</v>
      </c>
      <c r="E31" s="100">
        <v>4</v>
      </c>
      <c r="F31" s="101">
        <v>14.084118800000001</v>
      </c>
      <c r="G31" s="100">
        <v>9.8816738816738816</v>
      </c>
      <c r="H31" s="100">
        <v>42</v>
      </c>
      <c r="I31" s="101">
        <v>10</v>
      </c>
      <c r="J31" s="100">
        <v>8</v>
      </c>
      <c r="K31" s="100">
        <v>71</v>
      </c>
      <c r="L31" s="100"/>
      <c r="M31" s="100">
        <v>9</v>
      </c>
      <c r="N31" s="100"/>
      <c r="O31" s="100">
        <v>0</v>
      </c>
      <c r="P31" s="100">
        <v>1</v>
      </c>
      <c r="Q31" s="102">
        <v>4.2910000000000004</v>
      </c>
      <c r="R31" s="100">
        <v>40</v>
      </c>
      <c r="S31" s="100">
        <v>14</v>
      </c>
      <c r="T31" s="100">
        <v>1</v>
      </c>
      <c r="U31" s="100">
        <v>12</v>
      </c>
      <c r="V31" s="666">
        <v>218.79285714285712</v>
      </c>
      <c r="W31" s="100"/>
      <c r="X31" s="97">
        <f t="shared" si="0"/>
        <v>12</v>
      </c>
      <c r="Y31" s="97"/>
      <c r="AC31" s="100">
        <v>12477.52247752248</v>
      </c>
    </row>
    <row r="32" spans="1:29" ht="15.95" customHeight="1" x14ac:dyDescent="0.2">
      <c r="A32" s="665"/>
      <c r="B32" s="43"/>
      <c r="C32" s="149" t="s">
        <v>413</v>
      </c>
      <c r="D32" s="303"/>
      <c r="E32" s="100">
        <v>0</v>
      </c>
      <c r="F32" s="101">
        <v>14.084118800000002</v>
      </c>
      <c r="G32" s="100">
        <v>9.8816738816738816</v>
      </c>
      <c r="H32" s="100">
        <v>42</v>
      </c>
      <c r="I32" s="101">
        <v>10</v>
      </c>
      <c r="J32" s="100">
        <v>8</v>
      </c>
      <c r="K32" s="100">
        <v>71</v>
      </c>
      <c r="L32" s="100"/>
      <c r="M32" s="100">
        <v>9</v>
      </c>
      <c r="N32" s="100">
        <v>2100</v>
      </c>
      <c r="O32" s="100">
        <v>0</v>
      </c>
      <c r="P32" s="100">
        <v>1</v>
      </c>
      <c r="Q32" s="102">
        <v>0.73099999999999998</v>
      </c>
      <c r="R32" s="100">
        <v>40</v>
      </c>
      <c r="S32" s="100">
        <v>14</v>
      </c>
      <c r="T32" s="100">
        <v>0</v>
      </c>
      <c r="U32" s="100">
        <v>12</v>
      </c>
      <c r="V32" s="666">
        <v>219</v>
      </c>
      <c r="W32" s="97"/>
      <c r="X32" s="97">
        <f t="shared" si="0"/>
        <v>12</v>
      </c>
      <c r="Y32" s="97"/>
      <c r="AC32" s="100">
        <v>12477.52247752248</v>
      </c>
    </row>
    <row r="33" spans="1:29" ht="15.95" customHeight="1" thickBot="1" x14ac:dyDescent="0.25">
      <c r="A33" s="669"/>
      <c r="B33" s="45"/>
      <c r="C33" s="151" t="s">
        <v>414</v>
      </c>
      <c r="D33" s="305"/>
      <c r="E33" s="105">
        <v>0</v>
      </c>
      <c r="F33" s="106">
        <v>0</v>
      </c>
      <c r="G33" s="105">
        <v>0</v>
      </c>
      <c r="H33" s="105">
        <v>1</v>
      </c>
      <c r="I33" s="106"/>
      <c r="J33" s="105">
        <v>0</v>
      </c>
      <c r="K33" s="105">
        <v>7</v>
      </c>
      <c r="L33" s="105"/>
      <c r="M33" s="105">
        <v>0</v>
      </c>
      <c r="N33" s="105"/>
      <c r="O33" s="105">
        <v>0</v>
      </c>
      <c r="P33" s="105">
        <v>0</v>
      </c>
      <c r="Q33" s="273"/>
      <c r="R33" s="105">
        <v>0</v>
      </c>
      <c r="S33" s="105">
        <v>0</v>
      </c>
      <c r="T33" s="105">
        <v>0</v>
      </c>
      <c r="U33" s="105">
        <v>18</v>
      </c>
      <c r="V33" s="670">
        <v>0</v>
      </c>
      <c r="W33" s="97"/>
      <c r="X33" s="97">
        <f t="shared" si="0"/>
        <v>18</v>
      </c>
      <c r="Y33" s="97">
        <f>+IF((AC33-ROUND(AC33,-3)&gt;400)*AND(AC33-ROUND(AC33,-3)&lt;500),1,0)</f>
        <v>0</v>
      </c>
      <c r="AC33" s="105">
        <v>17602.697302697303</v>
      </c>
    </row>
    <row r="34" spans="1:29" ht="15.95" customHeight="1" thickTop="1" x14ac:dyDescent="0.2">
      <c r="A34" s="665" t="s">
        <v>106</v>
      </c>
      <c r="B34" s="42">
        <v>2008</v>
      </c>
      <c r="C34" s="148" t="s">
        <v>289</v>
      </c>
      <c r="D34" s="303">
        <v>37</v>
      </c>
      <c r="E34" s="100">
        <v>2</v>
      </c>
      <c r="F34" s="101">
        <v>9.3894079999999995</v>
      </c>
      <c r="G34" s="100"/>
      <c r="H34" s="100">
        <v>37</v>
      </c>
      <c r="I34" s="101">
        <v>7</v>
      </c>
      <c r="J34" s="100">
        <v>434</v>
      </c>
      <c r="K34" s="100">
        <v>18</v>
      </c>
      <c r="L34" s="100">
        <v>18</v>
      </c>
      <c r="M34" s="100">
        <v>6</v>
      </c>
      <c r="N34" s="100"/>
      <c r="O34" s="100">
        <v>0</v>
      </c>
      <c r="P34" s="100">
        <v>0</v>
      </c>
      <c r="Q34" s="271"/>
      <c r="R34" s="100"/>
      <c r="S34" s="100">
        <v>9</v>
      </c>
      <c r="T34" s="100">
        <v>3</v>
      </c>
      <c r="U34" s="100">
        <v>11</v>
      </c>
      <c r="V34" s="666">
        <v>23.726785714285715</v>
      </c>
      <c r="W34" s="97"/>
      <c r="X34" s="97">
        <f t="shared" si="0"/>
        <v>11</v>
      </c>
      <c r="Y34" s="97"/>
      <c r="AC34" s="100">
        <v>11385.597082953509</v>
      </c>
    </row>
    <row r="35" spans="1:29" ht="15.95" customHeight="1" x14ac:dyDescent="0.2">
      <c r="A35" s="665"/>
      <c r="B35" s="43"/>
      <c r="C35" s="149" t="s">
        <v>290</v>
      </c>
      <c r="D35" s="303">
        <v>37</v>
      </c>
      <c r="E35" s="100">
        <v>1</v>
      </c>
      <c r="F35" s="101">
        <v>0</v>
      </c>
      <c r="G35" s="100"/>
      <c r="H35" s="100">
        <v>0</v>
      </c>
      <c r="I35" s="101"/>
      <c r="J35" s="100">
        <v>434</v>
      </c>
      <c r="K35" s="100"/>
      <c r="L35" s="100">
        <v>0</v>
      </c>
      <c r="M35" s="100">
        <v>0</v>
      </c>
      <c r="N35" s="100"/>
      <c r="O35" s="100">
        <v>0</v>
      </c>
      <c r="P35" s="100">
        <v>0</v>
      </c>
      <c r="Q35" s="271"/>
      <c r="R35" s="100"/>
      <c r="S35" s="100">
        <v>9</v>
      </c>
      <c r="T35" s="100">
        <v>3</v>
      </c>
      <c r="U35" s="100">
        <v>11</v>
      </c>
      <c r="V35" s="666">
        <v>24.107142857142854</v>
      </c>
      <c r="W35" s="97"/>
      <c r="X35" s="97">
        <f t="shared" si="0"/>
        <v>11</v>
      </c>
      <c r="Y35" s="97"/>
      <c r="AC35" s="100">
        <v>11385.597082953509</v>
      </c>
    </row>
    <row r="36" spans="1:29" ht="15.95" customHeight="1" x14ac:dyDescent="0.2">
      <c r="A36" s="667"/>
      <c r="B36" s="44"/>
      <c r="C36" s="150" t="s">
        <v>291</v>
      </c>
      <c r="D36" s="304"/>
      <c r="E36" s="103">
        <v>0</v>
      </c>
      <c r="F36" s="104">
        <v>10</v>
      </c>
      <c r="G36" s="103"/>
      <c r="H36" s="103">
        <v>0</v>
      </c>
      <c r="I36" s="104"/>
      <c r="J36" s="103">
        <v>0</v>
      </c>
      <c r="K36" s="103"/>
      <c r="L36" s="103"/>
      <c r="M36" s="259">
        <v>391</v>
      </c>
      <c r="N36" s="103"/>
      <c r="O36" s="103">
        <v>0</v>
      </c>
      <c r="P36" s="103">
        <v>0</v>
      </c>
      <c r="Q36" s="272"/>
      <c r="R36" s="103"/>
      <c r="S36" s="103">
        <v>0</v>
      </c>
      <c r="T36" s="103">
        <v>0</v>
      </c>
      <c r="U36" s="103">
        <v>0</v>
      </c>
      <c r="V36" s="668">
        <v>0</v>
      </c>
      <c r="W36" s="97"/>
      <c r="X36" s="97">
        <f t="shared" si="0"/>
        <v>0</v>
      </c>
      <c r="Y36" s="97"/>
      <c r="AC36" s="103">
        <v>0</v>
      </c>
    </row>
    <row r="37" spans="1:29" ht="15.95" customHeight="1" x14ac:dyDescent="0.2">
      <c r="A37" s="665"/>
      <c r="B37" s="42">
        <v>2009</v>
      </c>
      <c r="C37" s="149" t="s">
        <v>412</v>
      </c>
      <c r="D37" s="303">
        <v>49</v>
      </c>
      <c r="E37" s="100">
        <v>2</v>
      </c>
      <c r="F37" s="101">
        <v>9.3894079999999995</v>
      </c>
      <c r="G37" s="100"/>
      <c r="H37" s="100">
        <v>42</v>
      </c>
      <c r="I37" s="101">
        <v>7</v>
      </c>
      <c r="J37" s="100">
        <v>406</v>
      </c>
      <c r="K37" s="100">
        <v>18</v>
      </c>
      <c r="L37" s="100">
        <f>36-L34</f>
        <v>18</v>
      </c>
      <c r="M37" s="100">
        <v>6</v>
      </c>
      <c r="N37" s="100"/>
      <c r="O37" s="100">
        <v>0</v>
      </c>
      <c r="P37" s="100">
        <v>0</v>
      </c>
      <c r="Q37" s="271"/>
      <c r="R37" s="100"/>
      <c r="S37" s="100">
        <v>9</v>
      </c>
      <c r="T37" s="100">
        <v>3</v>
      </c>
      <c r="U37" s="100">
        <v>12</v>
      </c>
      <c r="V37" s="666">
        <v>24.413392857142856</v>
      </c>
      <c r="W37" s="100"/>
      <c r="X37" s="97">
        <f t="shared" si="0"/>
        <v>12</v>
      </c>
      <c r="Y37" s="97"/>
      <c r="AC37" s="100">
        <v>12477.52247752248</v>
      </c>
    </row>
    <row r="38" spans="1:29" ht="15.95" customHeight="1" x14ac:dyDescent="0.2">
      <c r="A38" s="665"/>
      <c r="B38" s="43"/>
      <c r="C38" s="149" t="s">
        <v>413</v>
      </c>
      <c r="D38" s="303">
        <v>49</v>
      </c>
      <c r="E38" s="100">
        <v>2</v>
      </c>
      <c r="F38" s="101">
        <v>0</v>
      </c>
      <c r="G38" s="100"/>
      <c r="H38" s="100">
        <v>0</v>
      </c>
      <c r="I38" s="101"/>
      <c r="J38" s="100">
        <v>406</v>
      </c>
      <c r="K38" s="100"/>
      <c r="L38" s="100">
        <v>18</v>
      </c>
      <c r="M38" s="100">
        <v>0</v>
      </c>
      <c r="N38" s="100"/>
      <c r="O38" s="100">
        <v>0</v>
      </c>
      <c r="P38" s="100">
        <v>0</v>
      </c>
      <c r="Q38" s="271"/>
      <c r="R38" s="100"/>
      <c r="S38" s="100">
        <v>9</v>
      </c>
      <c r="T38" s="100">
        <v>3</v>
      </c>
      <c r="U38" s="100">
        <v>12</v>
      </c>
      <c r="V38" s="666">
        <v>24</v>
      </c>
      <c r="W38" s="97"/>
      <c r="X38" s="97">
        <f t="shared" si="0"/>
        <v>12</v>
      </c>
      <c r="Y38" s="97"/>
      <c r="AC38" s="100">
        <v>12477.52247752248</v>
      </c>
    </row>
    <row r="39" spans="1:29" ht="15.95" customHeight="1" thickBot="1" x14ac:dyDescent="0.25">
      <c r="A39" s="669"/>
      <c r="B39" s="45"/>
      <c r="C39" s="151" t="s">
        <v>414</v>
      </c>
      <c r="D39" s="305"/>
      <c r="E39" s="105">
        <v>1</v>
      </c>
      <c r="F39" s="106">
        <v>0</v>
      </c>
      <c r="G39" s="105"/>
      <c r="H39" s="105">
        <v>0</v>
      </c>
      <c r="I39" s="106">
        <v>6</v>
      </c>
      <c r="J39" s="105">
        <v>0</v>
      </c>
      <c r="K39" s="105"/>
      <c r="L39" s="105">
        <v>18</v>
      </c>
      <c r="M39" s="260">
        <v>2</v>
      </c>
      <c r="N39" s="105"/>
      <c r="O39" s="105">
        <v>0</v>
      </c>
      <c r="P39" s="105">
        <v>0</v>
      </c>
      <c r="Q39" s="273"/>
      <c r="R39" s="105"/>
      <c r="S39" s="105">
        <v>0</v>
      </c>
      <c r="T39" s="105">
        <v>0</v>
      </c>
      <c r="U39" s="105">
        <v>0</v>
      </c>
      <c r="V39" s="670">
        <v>0</v>
      </c>
      <c r="W39" s="97"/>
      <c r="X39" s="97">
        <f t="shared" si="0"/>
        <v>0</v>
      </c>
      <c r="Y39" s="97">
        <f>+IF((AC39-ROUND(AC39,-3)&gt;400)*AND(AC39-ROUND(AC39,-3)&lt;500),1,0)</f>
        <v>0</v>
      </c>
      <c r="AC39" s="105">
        <v>0</v>
      </c>
    </row>
    <row r="40" spans="1:29" ht="15.95" customHeight="1" thickTop="1" x14ac:dyDescent="0.2">
      <c r="A40" s="665" t="s">
        <v>107</v>
      </c>
      <c r="B40" s="42">
        <v>2008</v>
      </c>
      <c r="C40" s="148" t="s">
        <v>289</v>
      </c>
      <c r="D40" s="303">
        <v>5944</v>
      </c>
      <c r="E40" s="100">
        <v>384</v>
      </c>
      <c r="F40" s="101">
        <v>1535.1682148000002</v>
      </c>
      <c r="G40" s="100">
        <v>994.94992846924185</v>
      </c>
      <c r="H40" s="100">
        <v>201</v>
      </c>
      <c r="I40" s="101">
        <v>1043</v>
      </c>
      <c r="J40" s="100">
        <v>82</v>
      </c>
      <c r="K40" s="100">
        <v>142</v>
      </c>
      <c r="L40" s="100">
        <v>4410</v>
      </c>
      <c r="M40" s="100">
        <v>1025</v>
      </c>
      <c r="N40" s="100"/>
      <c r="O40" s="100">
        <v>38</v>
      </c>
      <c r="P40" s="100">
        <v>50</v>
      </c>
      <c r="Q40" s="271">
        <v>511.637</v>
      </c>
      <c r="R40" s="100">
        <v>194</v>
      </c>
      <c r="S40" s="100">
        <v>1509</v>
      </c>
      <c r="T40" s="100">
        <v>87</v>
      </c>
      <c r="U40" s="100">
        <v>183</v>
      </c>
      <c r="V40" s="666">
        <v>511.46249999999992</v>
      </c>
      <c r="W40" s="97"/>
      <c r="X40" s="97">
        <f>+ROUNDUP(AC40/1000,0)</f>
        <v>183</v>
      </c>
      <c r="Y40" s="97"/>
      <c r="AC40" s="100">
        <v>182169.55332725614</v>
      </c>
    </row>
    <row r="41" spans="1:29" ht="15.95" customHeight="1" x14ac:dyDescent="0.2">
      <c r="A41" s="665"/>
      <c r="B41" s="43"/>
      <c r="C41" s="149" t="s">
        <v>290</v>
      </c>
      <c r="D41" s="303">
        <v>5944</v>
      </c>
      <c r="E41" s="100">
        <v>0</v>
      </c>
      <c r="F41" s="101">
        <v>1535.1682148000002</v>
      </c>
      <c r="G41" s="100">
        <v>0</v>
      </c>
      <c r="H41" s="100">
        <v>201</v>
      </c>
      <c r="I41" s="101">
        <v>1043</v>
      </c>
      <c r="J41" s="100">
        <v>82</v>
      </c>
      <c r="K41" s="100">
        <v>142</v>
      </c>
      <c r="L41" s="100">
        <v>0</v>
      </c>
      <c r="M41" s="100">
        <v>1025</v>
      </c>
      <c r="N41" s="100"/>
      <c r="O41" s="100">
        <v>38</v>
      </c>
      <c r="P41" s="100">
        <v>50</v>
      </c>
      <c r="Q41" s="271"/>
      <c r="R41" s="100">
        <v>194</v>
      </c>
      <c r="S41" s="100">
        <v>0</v>
      </c>
      <c r="T41" s="100">
        <v>55</v>
      </c>
      <c r="U41" s="100">
        <v>0</v>
      </c>
      <c r="V41" s="666">
        <v>511.46249999999998</v>
      </c>
      <c r="W41" s="97"/>
      <c r="X41" s="97">
        <f t="shared" si="0"/>
        <v>0</v>
      </c>
      <c r="Y41" s="97"/>
      <c r="AC41" s="100">
        <v>0</v>
      </c>
    </row>
    <row r="42" spans="1:29" ht="15.95" customHeight="1" x14ac:dyDescent="0.2">
      <c r="A42" s="667"/>
      <c r="B42" s="44"/>
      <c r="C42" s="150" t="s">
        <v>291</v>
      </c>
      <c r="D42" s="304">
        <v>15900</v>
      </c>
      <c r="E42" s="103">
        <v>4130</v>
      </c>
      <c r="F42" s="104">
        <v>12038.482392400003</v>
      </c>
      <c r="G42" s="103">
        <v>4993.7753934191705</v>
      </c>
      <c r="H42" s="103">
        <v>0</v>
      </c>
      <c r="I42" s="104">
        <v>2443</v>
      </c>
      <c r="J42" s="103">
        <v>0</v>
      </c>
      <c r="K42" s="103"/>
      <c r="L42" s="103">
        <v>13405</v>
      </c>
      <c r="M42" s="259">
        <v>6139</v>
      </c>
      <c r="N42" s="103"/>
      <c r="O42" s="103">
        <v>0</v>
      </c>
      <c r="P42" s="103">
        <v>0</v>
      </c>
      <c r="Q42" s="272">
        <v>9352.6409999999996</v>
      </c>
      <c r="R42" s="103">
        <v>0</v>
      </c>
      <c r="S42" s="103">
        <v>16190</v>
      </c>
      <c r="T42" s="103">
        <v>1</v>
      </c>
      <c r="U42" s="103">
        <v>474</v>
      </c>
      <c r="V42" s="668">
        <v>0</v>
      </c>
      <c r="W42" s="97"/>
      <c r="X42" s="97">
        <f t="shared" si="0"/>
        <v>474</v>
      </c>
      <c r="Y42" s="97"/>
      <c r="AC42" s="103">
        <v>474020.05469462171</v>
      </c>
    </row>
    <row r="43" spans="1:29" ht="15.95" customHeight="1" x14ac:dyDescent="0.2">
      <c r="A43" s="665"/>
      <c r="B43" s="42">
        <v>2009</v>
      </c>
      <c r="C43" s="149" t="s">
        <v>412</v>
      </c>
      <c r="D43" s="303">
        <f>7918+1</f>
        <v>7919</v>
      </c>
      <c r="E43" s="100">
        <v>398</v>
      </c>
      <c r="F43" s="101">
        <v>1535.1682148000002</v>
      </c>
      <c r="G43" s="100">
        <v>1044.2987012987014</v>
      </c>
      <c r="H43" s="100">
        <v>222</v>
      </c>
      <c r="I43" s="101">
        <v>1043</v>
      </c>
      <c r="J43" s="100">
        <v>72</v>
      </c>
      <c r="K43" s="100">
        <v>142</v>
      </c>
      <c r="L43" s="100">
        <f>8820-L40</f>
        <v>4410</v>
      </c>
      <c r="M43" s="100">
        <v>1025</v>
      </c>
      <c r="N43" s="100"/>
      <c r="O43" s="100">
        <v>38</v>
      </c>
      <c r="P43" s="100">
        <v>50</v>
      </c>
      <c r="Q43" s="102">
        <v>484.952</v>
      </c>
      <c r="R43" s="100">
        <v>172</v>
      </c>
      <c r="S43" s="100">
        <v>1509</v>
      </c>
      <c r="T43" s="100">
        <v>89</v>
      </c>
      <c r="U43" s="100">
        <v>200</v>
      </c>
      <c r="V43" s="666">
        <v>516.65624999999989</v>
      </c>
      <c r="W43" s="100"/>
      <c r="X43" s="97">
        <f t="shared" si="0"/>
        <v>200</v>
      </c>
      <c r="Y43" s="97"/>
      <c r="AC43" s="100">
        <v>199640.35964035967</v>
      </c>
    </row>
    <row r="44" spans="1:29" ht="15.95" customHeight="1" x14ac:dyDescent="0.2">
      <c r="A44" s="665"/>
      <c r="B44" s="43"/>
      <c r="C44" s="149" t="s">
        <v>413</v>
      </c>
      <c r="D44" s="303">
        <f>6905+1</f>
        <v>6906</v>
      </c>
      <c r="E44" s="100">
        <v>82</v>
      </c>
      <c r="F44" s="101">
        <v>0</v>
      </c>
      <c r="G44" s="100">
        <v>1044.2987012987014</v>
      </c>
      <c r="H44" s="100">
        <v>222</v>
      </c>
      <c r="I44" s="101">
        <v>1043</v>
      </c>
      <c r="J44" s="100">
        <v>72</v>
      </c>
      <c r="K44" s="100">
        <v>142</v>
      </c>
      <c r="L44" s="100"/>
      <c r="M44" s="100">
        <v>1025</v>
      </c>
      <c r="N44" s="100">
        <v>2000</v>
      </c>
      <c r="O44" s="100">
        <v>38</v>
      </c>
      <c r="P44" s="100">
        <v>50</v>
      </c>
      <c r="Q44" s="271"/>
      <c r="R44" s="100">
        <v>172</v>
      </c>
      <c r="S44" s="100">
        <v>0</v>
      </c>
      <c r="T44" s="100">
        <v>24</v>
      </c>
      <c r="U44" s="100">
        <v>200</v>
      </c>
      <c r="V44" s="666">
        <v>517</v>
      </c>
      <c r="W44" s="97"/>
      <c r="X44" s="97">
        <f t="shared" si="0"/>
        <v>200</v>
      </c>
      <c r="Y44" s="97"/>
      <c r="AC44" s="100">
        <v>199640.35964035967</v>
      </c>
    </row>
    <row r="45" spans="1:29" ht="15.95" customHeight="1" thickBot="1" x14ac:dyDescent="0.25">
      <c r="A45" s="669"/>
      <c r="B45" s="45"/>
      <c r="C45" s="151" t="s">
        <v>414</v>
      </c>
      <c r="D45" s="305"/>
      <c r="E45" s="105">
        <v>2952</v>
      </c>
      <c r="F45" s="106">
        <v>15555.496030000002</v>
      </c>
      <c r="G45" s="105">
        <v>1077.8268398268399</v>
      </c>
      <c r="H45" s="105">
        <v>0</v>
      </c>
      <c r="I45" s="106"/>
      <c r="J45" s="105">
        <v>0</v>
      </c>
      <c r="K45" s="105"/>
      <c r="L45" s="105">
        <v>3924</v>
      </c>
      <c r="M45" s="260">
        <v>6562</v>
      </c>
      <c r="N45" s="105"/>
      <c r="O45" s="105">
        <v>0</v>
      </c>
      <c r="P45" s="105">
        <v>0</v>
      </c>
      <c r="Q45" s="273">
        <v>1951.7339999999999</v>
      </c>
      <c r="R45" s="105">
        <v>0</v>
      </c>
      <c r="S45" s="105">
        <v>17435</v>
      </c>
      <c r="T45" s="105">
        <v>33</v>
      </c>
      <c r="U45" s="105">
        <v>242</v>
      </c>
      <c r="V45" s="670">
        <v>0</v>
      </c>
      <c r="W45" s="97"/>
      <c r="X45" s="97">
        <f t="shared" si="0"/>
        <v>242</v>
      </c>
      <c r="Y45" s="97">
        <f>+IF((AC45-ROUND(AC45,-3)&gt;400)*AND(AC45-ROUND(AC45,-3)&lt;500),1,0)</f>
        <v>0</v>
      </c>
      <c r="AC45" s="105">
        <v>241577.60239760243</v>
      </c>
    </row>
    <row r="46" spans="1:29" ht="15.95" customHeight="1" thickTop="1" x14ac:dyDescent="0.2">
      <c r="A46" s="665" t="s">
        <v>108</v>
      </c>
      <c r="B46" s="42">
        <v>2008</v>
      </c>
      <c r="C46" s="148" t="s">
        <v>289</v>
      </c>
      <c r="D46" s="303">
        <v>37</v>
      </c>
      <c r="E46" s="100">
        <v>2</v>
      </c>
      <c r="F46" s="101">
        <v>9.3894079999999995</v>
      </c>
      <c r="G46" s="100">
        <v>6.2904148783977112</v>
      </c>
      <c r="H46" s="100">
        <v>37</v>
      </c>
      <c r="I46" s="101">
        <v>7</v>
      </c>
      <c r="J46" s="100"/>
      <c r="K46" s="100">
        <v>71</v>
      </c>
      <c r="L46" s="100"/>
      <c r="M46" s="100">
        <v>6</v>
      </c>
      <c r="N46" s="100"/>
      <c r="O46" s="100">
        <v>0</v>
      </c>
      <c r="P46" s="100">
        <v>0</v>
      </c>
      <c r="Q46" s="271">
        <v>3.395</v>
      </c>
      <c r="R46" s="100">
        <v>35</v>
      </c>
      <c r="S46" s="100">
        <v>9</v>
      </c>
      <c r="T46" s="100">
        <v>11</v>
      </c>
      <c r="U46" s="100">
        <v>11</v>
      </c>
      <c r="V46" s="666">
        <v>23.749107142857142</v>
      </c>
      <c r="W46" s="97"/>
      <c r="X46" s="97">
        <f t="shared" si="0"/>
        <v>11</v>
      </c>
      <c r="Y46" s="97"/>
      <c r="AC46" s="100">
        <v>11385.597082953509</v>
      </c>
    </row>
    <row r="47" spans="1:29" ht="15.95" customHeight="1" x14ac:dyDescent="0.2">
      <c r="A47" s="665"/>
      <c r="B47" s="43"/>
      <c r="C47" s="149" t="s">
        <v>290</v>
      </c>
      <c r="D47" s="303">
        <v>37</v>
      </c>
      <c r="E47" s="100">
        <v>2</v>
      </c>
      <c r="F47" s="101">
        <v>9.3894079999999995</v>
      </c>
      <c r="G47" s="100">
        <v>0.53218884120171672</v>
      </c>
      <c r="H47" s="100">
        <v>37</v>
      </c>
      <c r="I47" s="101">
        <v>7</v>
      </c>
      <c r="J47" s="100"/>
      <c r="K47" s="100">
        <v>71</v>
      </c>
      <c r="L47" s="100"/>
      <c r="M47" s="100">
        <v>6</v>
      </c>
      <c r="N47" s="100">
        <v>4</v>
      </c>
      <c r="O47" s="100">
        <v>0</v>
      </c>
      <c r="P47" s="100">
        <v>0</v>
      </c>
      <c r="Q47" s="271"/>
      <c r="R47" s="100">
        <v>35</v>
      </c>
      <c r="S47" s="100">
        <v>9</v>
      </c>
      <c r="T47" s="100">
        <v>11</v>
      </c>
      <c r="U47" s="100">
        <v>0</v>
      </c>
      <c r="V47" s="666">
        <v>23.743749999999999</v>
      </c>
      <c r="W47" s="97"/>
      <c r="X47" s="97">
        <f t="shared" si="0"/>
        <v>0</v>
      </c>
      <c r="Y47" s="97"/>
      <c r="AC47" s="100">
        <v>0</v>
      </c>
    </row>
    <row r="48" spans="1:29" ht="15.95" customHeight="1" x14ac:dyDescent="0.2">
      <c r="A48" s="667"/>
      <c r="B48" s="44"/>
      <c r="C48" s="150" t="s">
        <v>291</v>
      </c>
      <c r="D48" s="304"/>
      <c r="E48" s="103">
        <v>0</v>
      </c>
      <c r="F48" s="104">
        <v>75</v>
      </c>
      <c r="G48" s="103">
        <v>82.296137339055804</v>
      </c>
      <c r="H48" s="103">
        <v>0</v>
      </c>
      <c r="I48" s="104">
        <v>39</v>
      </c>
      <c r="J48" s="103"/>
      <c r="K48" s="103"/>
      <c r="L48" s="103"/>
      <c r="M48" s="259">
        <v>104</v>
      </c>
      <c r="N48" s="103"/>
      <c r="O48" s="103">
        <v>0</v>
      </c>
      <c r="P48" s="103">
        <v>0</v>
      </c>
      <c r="Q48" s="272">
        <v>3.395</v>
      </c>
      <c r="R48" s="103">
        <v>0</v>
      </c>
      <c r="S48" s="103">
        <v>68</v>
      </c>
      <c r="T48" s="103">
        <v>0</v>
      </c>
      <c r="U48" s="103">
        <v>139</v>
      </c>
      <c r="V48" s="668">
        <v>0</v>
      </c>
      <c r="W48" s="97"/>
      <c r="X48" s="97">
        <f t="shared" si="0"/>
        <v>139</v>
      </c>
      <c r="Y48" s="97"/>
      <c r="AC48" s="103">
        <v>139311.75934366454</v>
      </c>
    </row>
    <row r="49" spans="1:29" ht="15.95" customHeight="1" x14ac:dyDescent="0.2">
      <c r="A49" s="665"/>
      <c r="B49" s="42">
        <v>2009</v>
      </c>
      <c r="C49" s="149" t="s">
        <v>412</v>
      </c>
      <c r="D49" s="303">
        <v>49</v>
      </c>
      <c r="E49" s="100">
        <v>2</v>
      </c>
      <c r="F49" s="101">
        <v>9.3894079999999995</v>
      </c>
      <c r="G49" s="100">
        <v>6.6349206349206353</v>
      </c>
      <c r="H49" s="100">
        <v>42</v>
      </c>
      <c r="I49" s="101">
        <v>7</v>
      </c>
      <c r="J49" s="100"/>
      <c r="K49" s="100">
        <v>71</v>
      </c>
      <c r="L49" s="100"/>
      <c r="M49" s="100">
        <v>6</v>
      </c>
      <c r="N49" s="100"/>
      <c r="O49" s="100">
        <v>0</v>
      </c>
      <c r="P49" s="100">
        <v>0</v>
      </c>
      <c r="Q49" s="102">
        <v>3.1280000000000001</v>
      </c>
      <c r="R49" s="100">
        <v>36</v>
      </c>
      <c r="S49" s="100">
        <v>9</v>
      </c>
      <c r="T49" s="100">
        <v>11</v>
      </c>
      <c r="U49" s="100">
        <v>12</v>
      </c>
      <c r="V49" s="666">
        <v>24.435714285714283</v>
      </c>
      <c r="W49" s="100"/>
      <c r="X49" s="97">
        <f t="shared" si="0"/>
        <v>12</v>
      </c>
      <c r="Y49" s="97"/>
      <c r="AC49" s="100">
        <v>12477.52247752248</v>
      </c>
    </row>
    <row r="50" spans="1:29" ht="15.95" customHeight="1" x14ac:dyDescent="0.2">
      <c r="A50" s="665"/>
      <c r="B50" s="43"/>
      <c r="C50" s="149" t="s">
        <v>413</v>
      </c>
      <c r="D50" s="303">
        <v>49</v>
      </c>
      <c r="E50" s="100">
        <v>2</v>
      </c>
      <c r="F50" s="101">
        <v>9.3894079999999995</v>
      </c>
      <c r="G50" s="100">
        <v>0</v>
      </c>
      <c r="H50" s="100">
        <v>42</v>
      </c>
      <c r="I50" s="101">
        <v>7</v>
      </c>
      <c r="J50" s="100"/>
      <c r="K50" s="100">
        <v>71</v>
      </c>
      <c r="L50" s="100"/>
      <c r="M50" s="100">
        <v>6</v>
      </c>
      <c r="N50" s="100">
        <v>4</v>
      </c>
      <c r="O50" s="100">
        <v>0</v>
      </c>
      <c r="P50" s="100">
        <v>0</v>
      </c>
      <c r="Q50" s="271"/>
      <c r="R50" s="100">
        <v>36</v>
      </c>
      <c r="S50" s="100">
        <v>9</v>
      </c>
      <c r="T50" s="100">
        <v>11</v>
      </c>
      <c r="U50" s="100">
        <v>0</v>
      </c>
      <c r="V50" s="666">
        <v>24</v>
      </c>
      <c r="W50" s="97"/>
      <c r="X50" s="97">
        <f t="shared" si="0"/>
        <v>0</v>
      </c>
      <c r="Y50" s="97"/>
      <c r="AC50" s="100">
        <v>0</v>
      </c>
    </row>
    <row r="51" spans="1:29" ht="15.95" customHeight="1" thickBot="1" x14ac:dyDescent="0.25">
      <c r="A51" s="669"/>
      <c r="B51" s="45"/>
      <c r="C51" s="151" t="s">
        <v>414</v>
      </c>
      <c r="D51" s="305"/>
      <c r="E51" s="105">
        <v>0</v>
      </c>
      <c r="F51" s="106">
        <v>75</v>
      </c>
      <c r="G51" s="105">
        <v>14.161616161616163</v>
      </c>
      <c r="H51" s="105">
        <v>0</v>
      </c>
      <c r="I51" s="106">
        <v>59</v>
      </c>
      <c r="J51" s="105"/>
      <c r="K51" s="105"/>
      <c r="L51" s="105"/>
      <c r="M51" s="260">
        <v>104</v>
      </c>
      <c r="N51" s="105"/>
      <c r="O51" s="105">
        <v>0</v>
      </c>
      <c r="P51" s="105">
        <v>0</v>
      </c>
      <c r="Q51" s="273">
        <v>3.218</v>
      </c>
      <c r="R51" s="105">
        <v>0</v>
      </c>
      <c r="S51" s="105">
        <v>68</v>
      </c>
      <c r="T51" s="105">
        <v>0</v>
      </c>
      <c r="U51" s="105">
        <v>55</v>
      </c>
      <c r="V51" s="670">
        <v>0</v>
      </c>
      <c r="W51" s="97"/>
      <c r="X51" s="97">
        <f>+ROUNDUP(AC51/1000,0)</f>
        <v>55</v>
      </c>
      <c r="Y51" s="97">
        <f>+IF((AC51-ROUND(AC51,-3)&gt;400)*AND(AC51-ROUND(AC51,-3)&lt;500),1,0)</f>
        <v>1</v>
      </c>
      <c r="Z51" s="41" t="s">
        <v>488</v>
      </c>
      <c r="AC51" s="105">
        <v>54425.574425574428</v>
      </c>
    </row>
    <row r="52" spans="1:29" ht="15.95" customHeight="1" thickTop="1" x14ac:dyDescent="0.2">
      <c r="A52" s="729" t="s">
        <v>63</v>
      </c>
      <c r="B52" s="42">
        <v>2008</v>
      </c>
      <c r="C52" s="148" t="s">
        <v>289</v>
      </c>
      <c r="D52" s="303"/>
      <c r="E52" s="100"/>
      <c r="F52" s="101"/>
      <c r="G52" s="100"/>
      <c r="H52" s="100"/>
      <c r="I52" s="101"/>
      <c r="J52" s="100"/>
      <c r="K52" s="100"/>
      <c r="L52" s="100"/>
      <c r="M52" s="100">
        <v>2</v>
      </c>
      <c r="N52" s="100"/>
      <c r="O52" s="100"/>
      <c r="P52" s="100"/>
      <c r="Q52" s="271"/>
      <c r="R52" s="100">
        <v>32</v>
      </c>
      <c r="S52" s="100"/>
      <c r="T52" s="100"/>
      <c r="U52" s="100"/>
      <c r="V52" s="666"/>
      <c r="W52" s="97"/>
      <c r="X52" s="97">
        <f t="shared" si="0"/>
        <v>0</v>
      </c>
      <c r="Y52" s="97"/>
      <c r="AC52" s="100"/>
    </row>
    <row r="53" spans="1:29" ht="15.95" customHeight="1" x14ac:dyDescent="0.2">
      <c r="A53" s="730"/>
      <c r="B53" s="43"/>
      <c r="C53" s="149" t="s">
        <v>290</v>
      </c>
      <c r="D53" s="303"/>
      <c r="E53" s="100"/>
      <c r="F53" s="101"/>
      <c r="G53" s="100"/>
      <c r="H53" s="100"/>
      <c r="I53" s="101"/>
      <c r="J53" s="100"/>
      <c r="K53" s="100"/>
      <c r="L53" s="100"/>
      <c r="M53" s="100">
        <v>2</v>
      </c>
      <c r="N53" s="100"/>
      <c r="O53" s="100"/>
      <c r="P53" s="100"/>
      <c r="Q53" s="271"/>
      <c r="R53" s="100">
        <v>32</v>
      </c>
      <c r="S53" s="100"/>
      <c r="T53" s="100"/>
      <c r="U53" s="100"/>
      <c r="V53" s="666"/>
      <c r="W53" s="97"/>
      <c r="X53" s="97">
        <f t="shared" si="0"/>
        <v>0</v>
      </c>
      <c r="Y53" s="97"/>
      <c r="AC53" s="100"/>
    </row>
    <row r="54" spans="1:29" ht="15.95" customHeight="1" x14ac:dyDescent="0.2">
      <c r="A54" s="667"/>
      <c r="B54" s="44"/>
      <c r="C54" s="150" t="s">
        <v>291</v>
      </c>
      <c r="D54" s="304"/>
      <c r="E54" s="103"/>
      <c r="F54" s="104"/>
      <c r="G54" s="103"/>
      <c r="H54" s="103"/>
      <c r="I54" s="104"/>
      <c r="J54" s="103"/>
      <c r="K54" s="103"/>
      <c r="L54" s="103"/>
      <c r="M54" s="103">
        <v>0</v>
      </c>
      <c r="N54" s="103"/>
      <c r="O54" s="103"/>
      <c r="P54" s="103"/>
      <c r="Q54" s="272"/>
      <c r="R54" s="103">
        <v>0</v>
      </c>
      <c r="S54" s="103"/>
      <c r="T54" s="103"/>
      <c r="U54" s="103"/>
      <c r="V54" s="668"/>
      <c r="W54" s="97"/>
      <c r="X54" s="97">
        <f t="shared" si="0"/>
        <v>0</v>
      </c>
      <c r="Y54" s="97"/>
      <c r="AC54" s="103"/>
    </row>
    <row r="55" spans="1:29" ht="15.95" customHeight="1" x14ac:dyDescent="0.2">
      <c r="A55" s="665"/>
      <c r="B55" s="42">
        <v>2009</v>
      </c>
      <c r="C55" s="149" t="s">
        <v>412</v>
      </c>
      <c r="D55" s="303"/>
      <c r="E55" s="100"/>
      <c r="F55" s="101"/>
      <c r="G55" s="100"/>
      <c r="H55" s="100"/>
      <c r="I55" s="101"/>
      <c r="J55" s="100"/>
      <c r="K55" s="100"/>
      <c r="L55" s="100"/>
      <c r="M55" s="100">
        <v>2</v>
      </c>
      <c r="N55" s="100"/>
      <c r="O55" s="100"/>
      <c r="P55" s="100"/>
      <c r="Q55" s="271"/>
      <c r="R55" s="100">
        <v>32</v>
      </c>
      <c r="S55" s="100"/>
      <c r="T55" s="100"/>
      <c r="U55" s="100"/>
      <c r="V55" s="666"/>
      <c r="W55" s="100"/>
      <c r="X55" s="97">
        <f t="shared" si="0"/>
        <v>0</v>
      </c>
      <c r="Y55" s="97"/>
      <c r="AC55" s="100"/>
    </row>
    <row r="56" spans="1:29" ht="15.95" customHeight="1" x14ac:dyDescent="0.2">
      <c r="A56" s="665"/>
      <c r="B56" s="43"/>
      <c r="C56" s="149" t="s">
        <v>413</v>
      </c>
      <c r="D56" s="303"/>
      <c r="E56" s="100"/>
      <c r="F56" s="101"/>
      <c r="G56" s="100"/>
      <c r="H56" s="100"/>
      <c r="I56" s="101"/>
      <c r="J56" s="100"/>
      <c r="K56" s="100"/>
      <c r="L56" s="100"/>
      <c r="M56" s="100">
        <v>2</v>
      </c>
      <c r="N56" s="100"/>
      <c r="O56" s="100"/>
      <c r="P56" s="100"/>
      <c r="Q56" s="271"/>
      <c r="R56" s="100">
        <v>32</v>
      </c>
      <c r="S56" s="100"/>
      <c r="T56" s="100"/>
      <c r="U56" s="100"/>
      <c r="V56" s="666"/>
      <c r="W56" s="97"/>
      <c r="X56" s="97">
        <f t="shared" si="0"/>
        <v>0</v>
      </c>
      <c r="Y56" s="97"/>
      <c r="AC56" s="100"/>
    </row>
    <row r="57" spans="1:29" ht="15.95" customHeight="1" thickBot="1" x14ac:dyDescent="0.25">
      <c r="A57" s="669"/>
      <c r="B57" s="45"/>
      <c r="C57" s="151" t="s">
        <v>414</v>
      </c>
      <c r="D57" s="305"/>
      <c r="E57" s="105"/>
      <c r="F57" s="106"/>
      <c r="G57" s="105"/>
      <c r="H57" s="105"/>
      <c r="I57" s="106"/>
      <c r="J57" s="105"/>
      <c r="K57" s="105"/>
      <c r="L57" s="105"/>
      <c r="M57" s="105">
        <v>0</v>
      </c>
      <c r="N57" s="105"/>
      <c r="O57" s="105"/>
      <c r="P57" s="105"/>
      <c r="Q57" s="273"/>
      <c r="R57" s="105">
        <v>0</v>
      </c>
      <c r="S57" s="105"/>
      <c r="T57" s="105"/>
      <c r="U57" s="105"/>
      <c r="V57" s="670"/>
      <c r="W57" s="97"/>
      <c r="X57" s="97">
        <f t="shared" si="0"/>
        <v>0</v>
      </c>
      <c r="Y57" s="97">
        <f>+IF((AC57-ROUND(AC57,-3)&gt;400)*AND(AC57-ROUND(AC57,-3)&lt;500),1,0)</f>
        <v>0</v>
      </c>
      <c r="AC57" s="105"/>
    </row>
    <row r="58" spans="1:29" ht="15.95" customHeight="1" thickTop="1" x14ac:dyDescent="0.2">
      <c r="A58" s="665" t="s">
        <v>110</v>
      </c>
      <c r="B58" s="42">
        <v>2008</v>
      </c>
      <c r="C58" s="148" t="s">
        <v>289</v>
      </c>
      <c r="D58" s="303">
        <v>32685</v>
      </c>
      <c r="E58" s="100">
        <v>2131</v>
      </c>
      <c r="F58" s="101">
        <v>8431.6883839999991</v>
      </c>
      <c r="G58" s="100">
        <v>6852.4406294706723</v>
      </c>
      <c r="H58" s="100">
        <v>1077</v>
      </c>
      <c r="I58" s="101">
        <v>5737</v>
      </c>
      <c r="J58" s="100">
        <v>220</v>
      </c>
      <c r="K58" s="100">
        <v>3691</v>
      </c>
      <c r="L58" s="100"/>
      <c r="M58" s="100">
        <v>5638</v>
      </c>
      <c r="N58" s="100"/>
      <c r="O58" s="100">
        <v>165</v>
      </c>
      <c r="P58" s="100">
        <v>276</v>
      </c>
      <c r="Q58" s="271"/>
      <c r="R58" s="100">
        <v>280</v>
      </c>
      <c r="S58" s="100">
        <v>8299</v>
      </c>
      <c r="T58" s="100">
        <v>654</v>
      </c>
      <c r="U58" s="100">
        <v>1003</v>
      </c>
      <c r="V58" s="666">
        <v>1806.1071428571427</v>
      </c>
      <c r="W58" s="97"/>
      <c r="X58" s="97">
        <f>+ROUNDUP(AC58/1000+0.5,0)</f>
        <v>1003</v>
      </c>
      <c r="Y58" s="97"/>
      <c r="AC58" s="100">
        <v>1001932.5432999089</v>
      </c>
    </row>
    <row r="59" spans="1:29" ht="15.95" customHeight="1" x14ac:dyDescent="0.2">
      <c r="A59" s="665"/>
      <c r="B59" s="43"/>
      <c r="C59" s="149" t="s">
        <v>290</v>
      </c>
      <c r="D59" s="303">
        <v>32685</v>
      </c>
      <c r="E59" s="100">
        <v>2131</v>
      </c>
      <c r="F59" s="101">
        <v>8431.688384000001</v>
      </c>
      <c r="G59" s="100">
        <v>0</v>
      </c>
      <c r="H59" s="100">
        <v>1077</v>
      </c>
      <c r="I59" s="101">
        <v>5737</v>
      </c>
      <c r="J59" s="100">
        <v>220</v>
      </c>
      <c r="K59" s="100">
        <v>3691</v>
      </c>
      <c r="L59" s="100"/>
      <c r="M59" s="100">
        <v>5638</v>
      </c>
      <c r="N59" s="100"/>
      <c r="O59" s="100">
        <v>165</v>
      </c>
      <c r="P59" s="100">
        <v>276</v>
      </c>
      <c r="Q59" s="271"/>
      <c r="R59" s="100">
        <v>280</v>
      </c>
      <c r="S59" s="100">
        <v>8299</v>
      </c>
      <c r="T59" s="100">
        <v>654</v>
      </c>
      <c r="U59" s="100">
        <v>1003</v>
      </c>
      <c r="V59" s="666">
        <v>1802.5124999999998</v>
      </c>
      <c r="W59" s="97"/>
      <c r="X59" s="97">
        <f>+ROUNDUP(AC59/1000+0.5,0)</f>
        <v>1003</v>
      </c>
      <c r="Y59" s="97"/>
      <c r="AC59" s="100">
        <v>1001932.5432999089</v>
      </c>
    </row>
    <row r="60" spans="1:29" ht="15.95" customHeight="1" x14ac:dyDescent="0.2">
      <c r="A60" s="667"/>
      <c r="B60" s="44"/>
      <c r="C60" s="150" t="s">
        <v>291</v>
      </c>
      <c r="D60" s="304"/>
      <c r="E60" s="103">
        <v>0</v>
      </c>
      <c r="F60" s="104">
        <v>0</v>
      </c>
      <c r="G60" s="103">
        <v>0</v>
      </c>
      <c r="H60" s="103">
        <v>0</v>
      </c>
      <c r="I60" s="104"/>
      <c r="J60" s="103">
        <v>0</v>
      </c>
      <c r="K60" s="103"/>
      <c r="L60" s="103"/>
      <c r="M60" s="103">
        <v>0</v>
      </c>
      <c r="N60" s="103"/>
      <c r="O60" s="103">
        <v>0</v>
      </c>
      <c r="P60" s="103">
        <v>0</v>
      </c>
      <c r="Q60" s="272"/>
      <c r="R60" s="103">
        <v>0</v>
      </c>
      <c r="S60" s="103">
        <v>0</v>
      </c>
      <c r="T60" s="103">
        <v>0</v>
      </c>
      <c r="U60" s="103">
        <v>0</v>
      </c>
      <c r="V60" s="668">
        <v>0</v>
      </c>
      <c r="W60" s="97"/>
      <c r="X60" s="97">
        <f t="shared" si="0"/>
        <v>0</v>
      </c>
      <c r="Y60" s="97"/>
      <c r="AC60" s="103">
        <v>0</v>
      </c>
    </row>
    <row r="61" spans="1:29" ht="15.95" customHeight="1" x14ac:dyDescent="0.2">
      <c r="A61" s="665"/>
      <c r="B61" s="42">
        <v>2009</v>
      </c>
      <c r="C61" s="149" t="s">
        <v>412</v>
      </c>
      <c r="D61" s="303">
        <v>43537</v>
      </c>
      <c r="E61" s="100">
        <v>2072</v>
      </c>
      <c r="F61" s="101">
        <v>8431.6883839999991</v>
      </c>
      <c r="G61" s="100">
        <v>7165.9350649350654</v>
      </c>
      <c r="H61" s="100">
        <v>1220</v>
      </c>
      <c r="I61" s="101">
        <v>5737</v>
      </c>
      <c r="J61" s="100">
        <v>191</v>
      </c>
      <c r="K61" s="100">
        <v>3691</v>
      </c>
      <c r="L61" s="100"/>
      <c r="M61" s="100">
        <v>5638</v>
      </c>
      <c r="N61" s="100"/>
      <c r="O61" s="100">
        <v>207</v>
      </c>
      <c r="P61" s="100">
        <v>275</v>
      </c>
      <c r="Q61" s="271"/>
      <c r="R61" s="100">
        <v>304</v>
      </c>
      <c r="S61" s="100">
        <v>8299</v>
      </c>
      <c r="T61" s="100">
        <v>664</v>
      </c>
      <c r="U61" s="100">
        <v>1099</v>
      </c>
      <c r="V61" s="666">
        <v>1867.34375</v>
      </c>
      <c r="W61" s="100"/>
      <c r="X61" s="97">
        <f>+ROUNDUP(AC61/1000,0)</f>
        <v>1099</v>
      </c>
      <c r="Y61" s="97"/>
      <c r="AC61" s="100">
        <v>1098021.9780219782</v>
      </c>
    </row>
    <row r="62" spans="1:29" ht="15.95" customHeight="1" x14ac:dyDescent="0.2">
      <c r="A62" s="665"/>
      <c r="B62" s="43"/>
      <c r="C62" s="149" t="s">
        <v>413</v>
      </c>
      <c r="D62" s="303">
        <v>43537</v>
      </c>
      <c r="E62" s="100">
        <v>2072</v>
      </c>
      <c r="F62" s="101">
        <v>8431.6883839999991</v>
      </c>
      <c r="G62" s="100">
        <v>7165.9350649350654</v>
      </c>
      <c r="H62" s="100">
        <v>1220</v>
      </c>
      <c r="I62" s="101">
        <v>5737</v>
      </c>
      <c r="J62" s="100">
        <v>191</v>
      </c>
      <c r="K62" s="100">
        <v>3691</v>
      </c>
      <c r="L62" s="100"/>
      <c r="M62" s="100">
        <v>5638</v>
      </c>
      <c r="N62" s="100"/>
      <c r="O62" s="100">
        <v>207</v>
      </c>
      <c r="P62" s="100">
        <v>275</v>
      </c>
      <c r="Q62" s="271"/>
      <c r="R62" s="100">
        <v>304</v>
      </c>
      <c r="S62" s="100">
        <v>8299</v>
      </c>
      <c r="T62" s="100">
        <v>664</v>
      </c>
      <c r="U62" s="100">
        <v>1099</v>
      </c>
      <c r="V62" s="666">
        <v>1867</v>
      </c>
      <c r="W62" s="97"/>
      <c r="X62" s="97">
        <f>+ROUNDUP(AC62/1000,0)</f>
        <v>1099</v>
      </c>
      <c r="Y62" s="97"/>
      <c r="AC62" s="100">
        <v>1098021.9780219782</v>
      </c>
    </row>
    <row r="63" spans="1:29" ht="15.95" customHeight="1" thickBot="1" x14ac:dyDescent="0.25">
      <c r="A63" s="669"/>
      <c r="B63" s="45"/>
      <c r="C63" s="151" t="s">
        <v>414</v>
      </c>
      <c r="D63" s="305"/>
      <c r="E63" s="105">
        <v>0</v>
      </c>
      <c r="F63" s="106">
        <v>0</v>
      </c>
      <c r="G63" s="105">
        <v>0</v>
      </c>
      <c r="H63" s="105">
        <v>0</v>
      </c>
      <c r="I63" s="106"/>
      <c r="J63" s="105">
        <v>0</v>
      </c>
      <c r="K63" s="105"/>
      <c r="L63" s="105"/>
      <c r="M63" s="105">
        <v>0</v>
      </c>
      <c r="N63" s="105"/>
      <c r="O63" s="105">
        <v>0</v>
      </c>
      <c r="P63" s="105">
        <v>0</v>
      </c>
      <c r="Q63" s="273"/>
      <c r="R63" s="105">
        <v>0</v>
      </c>
      <c r="S63" s="105">
        <v>0</v>
      </c>
      <c r="T63" s="105">
        <v>0</v>
      </c>
      <c r="U63" s="105">
        <v>0</v>
      </c>
      <c r="V63" s="670">
        <v>0</v>
      </c>
      <c r="W63" s="97"/>
      <c r="X63" s="97">
        <f t="shared" si="0"/>
        <v>0</v>
      </c>
      <c r="Y63" s="97">
        <f>+IF((AC63-ROUND(AC63,-3)&gt;400)*AND(AC63-ROUND(AC63,-3)&lt;500),1,0)</f>
        <v>0</v>
      </c>
      <c r="AC63" s="105">
        <v>0</v>
      </c>
    </row>
    <row r="64" spans="1:29" ht="15.95" customHeight="1" thickTop="1" x14ac:dyDescent="0.2">
      <c r="A64" s="665" t="s">
        <v>111</v>
      </c>
      <c r="B64" s="42">
        <v>2008</v>
      </c>
      <c r="C64" s="148" t="s">
        <v>289</v>
      </c>
      <c r="D64" s="303">
        <v>16223</v>
      </c>
      <c r="E64" s="100">
        <v>1067</v>
      </c>
      <c r="F64" s="101">
        <v>4182.9812707999999</v>
      </c>
      <c r="G64" s="100">
        <v>3408.2274678111589</v>
      </c>
      <c r="H64" s="100">
        <v>450</v>
      </c>
      <c r="I64" s="101">
        <v>2849</v>
      </c>
      <c r="J64" s="100">
        <v>41</v>
      </c>
      <c r="K64" s="100">
        <v>284</v>
      </c>
      <c r="L64" s="100"/>
      <c r="M64" s="100">
        <v>2798</v>
      </c>
      <c r="N64" s="100"/>
      <c r="O64" s="100">
        <v>103</v>
      </c>
      <c r="P64" s="100">
        <v>137</v>
      </c>
      <c r="Q64" s="271">
        <v>1395.684</v>
      </c>
      <c r="R64" s="100">
        <v>280</v>
      </c>
      <c r="S64" s="100">
        <v>4120</v>
      </c>
      <c r="T64" s="100">
        <v>327</v>
      </c>
      <c r="U64" s="100">
        <v>496</v>
      </c>
      <c r="V64" s="666">
        <v>2233.8116071428572</v>
      </c>
      <c r="W64" s="97"/>
      <c r="X64" s="97">
        <f>+ROUNDUP(AC64/1000,0)</f>
        <v>496</v>
      </c>
      <c r="Y64" s="97"/>
      <c r="AC64" s="100">
        <v>495273.47310847766</v>
      </c>
    </row>
    <row r="65" spans="1:29" ht="15.95" customHeight="1" x14ac:dyDescent="0.2">
      <c r="A65" s="665"/>
      <c r="B65" s="43"/>
      <c r="C65" s="149" t="s">
        <v>290</v>
      </c>
      <c r="D65" s="303">
        <v>16223</v>
      </c>
      <c r="E65" s="100">
        <v>1067</v>
      </c>
      <c r="F65" s="101">
        <v>4182.9812708000009</v>
      </c>
      <c r="G65" s="100">
        <v>3331.5150214592277</v>
      </c>
      <c r="H65" s="100">
        <v>450</v>
      </c>
      <c r="I65" s="101">
        <v>2849</v>
      </c>
      <c r="J65" s="100">
        <v>41</v>
      </c>
      <c r="K65" s="100">
        <v>284</v>
      </c>
      <c r="L65" s="100"/>
      <c r="M65" s="100">
        <v>2798</v>
      </c>
      <c r="N65" s="100"/>
      <c r="O65" s="100">
        <v>103</v>
      </c>
      <c r="P65" s="100">
        <v>137</v>
      </c>
      <c r="Q65" s="271">
        <v>1395.684</v>
      </c>
      <c r="R65" s="100">
        <v>280</v>
      </c>
      <c r="S65" s="100">
        <v>4120</v>
      </c>
      <c r="T65" s="100">
        <v>327</v>
      </c>
      <c r="U65" s="100">
        <v>496</v>
      </c>
      <c r="V65" s="666">
        <v>2233.8116071428572</v>
      </c>
      <c r="W65" s="97"/>
      <c r="X65" s="97">
        <f>+ROUNDUP(AC65/1000,0)</f>
        <v>496</v>
      </c>
      <c r="Y65" s="97"/>
      <c r="AC65" s="100">
        <v>495273.47310847766</v>
      </c>
    </row>
    <row r="66" spans="1:29" ht="15.95" customHeight="1" x14ac:dyDescent="0.2">
      <c r="A66" s="667"/>
      <c r="B66" s="44"/>
      <c r="C66" s="150" t="s">
        <v>291</v>
      </c>
      <c r="D66" s="304"/>
      <c r="E66" s="103">
        <v>0</v>
      </c>
      <c r="F66" s="104">
        <v>0</v>
      </c>
      <c r="G66" s="103">
        <v>0</v>
      </c>
      <c r="H66" s="103">
        <v>0</v>
      </c>
      <c r="I66" s="104"/>
      <c r="J66" s="103">
        <v>0</v>
      </c>
      <c r="K66" s="103"/>
      <c r="L66" s="103"/>
      <c r="M66" s="103">
        <v>0</v>
      </c>
      <c r="N66" s="103"/>
      <c r="O66" s="103">
        <v>0</v>
      </c>
      <c r="P66" s="103">
        <v>0</v>
      </c>
      <c r="Q66" s="272"/>
      <c r="R66" s="103">
        <v>0</v>
      </c>
      <c r="S66" s="103">
        <v>0</v>
      </c>
      <c r="T66" s="103">
        <v>0</v>
      </c>
      <c r="U66" s="103">
        <v>0</v>
      </c>
      <c r="V66" s="668">
        <v>0</v>
      </c>
      <c r="W66" s="97"/>
      <c r="X66" s="97">
        <f t="shared" si="0"/>
        <v>0</v>
      </c>
      <c r="Y66" s="97"/>
      <c r="AC66" s="103">
        <v>0</v>
      </c>
    </row>
    <row r="67" spans="1:29" ht="15.95" customHeight="1" x14ac:dyDescent="0.2">
      <c r="A67" s="665"/>
      <c r="B67" s="42">
        <v>2009</v>
      </c>
      <c r="C67" s="149" t="s">
        <v>412</v>
      </c>
      <c r="D67" s="303">
        <v>21610</v>
      </c>
      <c r="E67" s="100">
        <v>1030</v>
      </c>
      <c r="F67" s="101">
        <v>4182.9812707999999</v>
      </c>
      <c r="G67" s="100">
        <v>3577.0129870129877</v>
      </c>
      <c r="H67" s="100">
        <v>507</v>
      </c>
      <c r="I67" s="101">
        <v>2849</v>
      </c>
      <c r="J67" s="100">
        <v>37</v>
      </c>
      <c r="K67" s="100">
        <v>284</v>
      </c>
      <c r="L67" s="100"/>
      <c r="M67" s="100">
        <v>2798</v>
      </c>
      <c r="N67" s="100"/>
      <c r="O67" s="100">
        <v>103</v>
      </c>
      <c r="P67" s="100">
        <v>137</v>
      </c>
      <c r="Q67" s="102">
        <v>1322.89</v>
      </c>
      <c r="R67" s="100">
        <v>287</v>
      </c>
      <c r="S67" s="100">
        <v>4120</v>
      </c>
      <c r="T67" s="100">
        <v>331</v>
      </c>
      <c r="U67" s="100">
        <v>544</v>
      </c>
      <c r="V67" s="666">
        <v>2224.3776785714281</v>
      </c>
      <c r="W67" s="100"/>
      <c r="X67" s="97">
        <f>+ROUNDUP(AC67/1000+0.5,0)</f>
        <v>544</v>
      </c>
      <c r="Y67" s="97"/>
      <c r="AC67" s="100">
        <v>542772.22777222784</v>
      </c>
    </row>
    <row r="68" spans="1:29" ht="15.95" customHeight="1" x14ac:dyDescent="0.2">
      <c r="A68" s="665"/>
      <c r="B68" s="43"/>
      <c r="C68" s="149" t="s">
        <v>413</v>
      </c>
      <c r="D68" s="303">
        <v>21610</v>
      </c>
      <c r="E68" s="100">
        <v>1030</v>
      </c>
      <c r="F68" s="101">
        <v>4182.9812708000009</v>
      </c>
      <c r="G68" s="100">
        <v>3575.2496392496396</v>
      </c>
      <c r="H68" s="100">
        <v>507</v>
      </c>
      <c r="I68" s="101">
        <v>2849</v>
      </c>
      <c r="J68" s="100">
        <v>37</v>
      </c>
      <c r="K68" s="100">
        <v>284</v>
      </c>
      <c r="L68" s="100"/>
      <c r="M68" s="100">
        <v>2798</v>
      </c>
      <c r="N68" s="100"/>
      <c r="O68" s="100">
        <v>103</v>
      </c>
      <c r="P68" s="100">
        <v>137</v>
      </c>
      <c r="Q68" s="102">
        <v>1322.89</v>
      </c>
      <c r="R68" s="100">
        <v>287</v>
      </c>
      <c r="S68" s="100">
        <v>4120</v>
      </c>
      <c r="T68" s="100">
        <v>331</v>
      </c>
      <c r="U68" s="100">
        <v>544</v>
      </c>
      <c r="V68" s="666">
        <v>2224</v>
      </c>
      <c r="W68" s="97"/>
      <c r="X68" s="97">
        <f>+ROUNDUP(AC68/1000+0.5,0)</f>
        <v>544</v>
      </c>
      <c r="Y68" s="97"/>
      <c r="AC68" s="100">
        <v>542772.22777222784</v>
      </c>
    </row>
    <row r="69" spans="1:29" ht="15.95" customHeight="1" thickBot="1" x14ac:dyDescent="0.25">
      <c r="A69" s="669"/>
      <c r="B69" s="45"/>
      <c r="C69" s="151" t="s">
        <v>414</v>
      </c>
      <c r="D69" s="305"/>
      <c r="E69" s="105">
        <v>0</v>
      </c>
      <c r="F69" s="106">
        <v>0</v>
      </c>
      <c r="G69" s="105">
        <v>0</v>
      </c>
      <c r="H69" s="105">
        <v>1</v>
      </c>
      <c r="I69" s="106"/>
      <c r="J69" s="105">
        <v>0</v>
      </c>
      <c r="K69" s="105"/>
      <c r="L69" s="105"/>
      <c r="M69" s="105">
        <v>0</v>
      </c>
      <c r="N69" s="105"/>
      <c r="O69" s="105">
        <v>0</v>
      </c>
      <c r="P69" s="105">
        <v>0</v>
      </c>
      <c r="Q69" s="273"/>
      <c r="R69" s="105">
        <v>0</v>
      </c>
      <c r="S69" s="105">
        <v>0</v>
      </c>
      <c r="T69" s="105">
        <v>0</v>
      </c>
      <c r="U69" s="105">
        <v>0</v>
      </c>
      <c r="V69" s="670">
        <v>0</v>
      </c>
      <c r="W69" s="97"/>
      <c r="X69" s="97">
        <f t="shared" ref="X69:X132" si="1">+ROUND(AC69/1000,0)</f>
        <v>0</v>
      </c>
      <c r="Y69" s="97">
        <f>+IF((AC69-ROUND(AC69,-3)&gt;400)*AND(AC69-ROUND(AC69,-3)&lt;500),1,0)</f>
        <v>0</v>
      </c>
      <c r="AC69" s="105">
        <v>0</v>
      </c>
    </row>
    <row r="70" spans="1:29" ht="15.95" customHeight="1" thickTop="1" x14ac:dyDescent="0.2">
      <c r="A70" s="665" t="s">
        <v>112</v>
      </c>
      <c r="B70" s="42">
        <v>2008</v>
      </c>
      <c r="C70" s="148" t="s">
        <v>289</v>
      </c>
      <c r="D70" s="303">
        <v>91</v>
      </c>
      <c r="E70" s="100">
        <v>6</v>
      </c>
      <c r="F70" s="101">
        <v>23.473526799999998</v>
      </c>
      <c r="G70" s="100">
        <v>15.801144492131618</v>
      </c>
      <c r="H70" s="100">
        <v>37</v>
      </c>
      <c r="I70" s="101">
        <v>16</v>
      </c>
      <c r="J70" s="100">
        <v>43</v>
      </c>
      <c r="K70" s="100">
        <v>71</v>
      </c>
      <c r="L70" s="100"/>
      <c r="M70" s="100">
        <v>16</v>
      </c>
      <c r="N70" s="100"/>
      <c r="O70" s="100">
        <v>1</v>
      </c>
      <c r="P70" s="100">
        <v>1</v>
      </c>
      <c r="Q70" s="271">
        <v>7.9240000000000004</v>
      </c>
      <c r="R70" s="100">
        <v>35</v>
      </c>
      <c r="S70" s="100">
        <v>23</v>
      </c>
      <c r="T70" s="100">
        <v>11</v>
      </c>
      <c r="U70" s="100">
        <v>11</v>
      </c>
      <c r="V70" s="666"/>
      <c r="W70" s="97"/>
      <c r="X70" s="97">
        <f t="shared" si="1"/>
        <v>11</v>
      </c>
      <c r="Y70" s="97"/>
      <c r="AC70" s="100">
        <v>11385.597082953509</v>
      </c>
    </row>
    <row r="71" spans="1:29" ht="15.95" customHeight="1" x14ac:dyDescent="0.2">
      <c r="A71" s="665"/>
      <c r="B71" s="43"/>
      <c r="C71" s="149" t="s">
        <v>290</v>
      </c>
      <c r="D71" s="303">
        <v>91</v>
      </c>
      <c r="E71" s="100">
        <v>6</v>
      </c>
      <c r="F71" s="101">
        <v>22.868530800000002</v>
      </c>
      <c r="G71" s="100">
        <v>0</v>
      </c>
      <c r="H71" s="100">
        <v>37</v>
      </c>
      <c r="I71" s="101">
        <v>16</v>
      </c>
      <c r="J71" s="100">
        <v>43</v>
      </c>
      <c r="K71" s="100">
        <v>71</v>
      </c>
      <c r="L71" s="100"/>
      <c r="M71" s="100">
        <v>16</v>
      </c>
      <c r="N71" s="100">
        <v>100</v>
      </c>
      <c r="O71" s="100">
        <v>1</v>
      </c>
      <c r="P71" s="100">
        <v>1</v>
      </c>
      <c r="Q71" s="271"/>
      <c r="R71" s="100">
        <v>0</v>
      </c>
      <c r="S71" s="100">
        <v>23</v>
      </c>
      <c r="T71" s="100">
        <v>11</v>
      </c>
      <c r="U71" s="100">
        <v>11</v>
      </c>
      <c r="V71" s="666"/>
      <c r="W71" s="97"/>
      <c r="X71" s="97">
        <f t="shared" si="1"/>
        <v>11</v>
      </c>
      <c r="Y71" s="97"/>
      <c r="AC71" s="100">
        <v>11385.597082953509</v>
      </c>
    </row>
    <row r="72" spans="1:29" ht="15.95" customHeight="1" x14ac:dyDescent="0.2">
      <c r="A72" s="667"/>
      <c r="B72" s="44"/>
      <c r="C72" s="150" t="s">
        <v>291</v>
      </c>
      <c r="D72" s="304"/>
      <c r="E72" s="103">
        <v>0</v>
      </c>
      <c r="F72" s="104">
        <v>125.68225</v>
      </c>
      <c r="G72" s="103">
        <v>0</v>
      </c>
      <c r="H72" s="103">
        <v>0</v>
      </c>
      <c r="I72" s="104">
        <v>29</v>
      </c>
      <c r="J72" s="103">
        <v>0</v>
      </c>
      <c r="K72" s="103"/>
      <c r="L72" s="103"/>
      <c r="M72" s="103">
        <v>0</v>
      </c>
      <c r="N72" s="103"/>
      <c r="O72" s="103">
        <v>0</v>
      </c>
      <c r="P72" s="103">
        <v>0</v>
      </c>
      <c r="Q72" s="272">
        <v>194.81800000000001</v>
      </c>
      <c r="R72" s="103">
        <v>0</v>
      </c>
      <c r="S72" s="103">
        <v>99</v>
      </c>
      <c r="T72" s="103">
        <v>0</v>
      </c>
      <c r="U72" s="103">
        <v>0</v>
      </c>
      <c r="V72" s="668"/>
      <c r="W72" s="97"/>
      <c r="X72" s="97">
        <f t="shared" si="1"/>
        <v>0</v>
      </c>
      <c r="Y72" s="97"/>
      <c r="AC72" s="103">
        <v>0</v>
      </c>
    </row>
    <row r="73" spans="1:29" ht="15.95" customHeight="1" x14ac:dyDescent="0.2">
      <c r="A73" s="665"/>
      <c r="B73" s="42">
        <v>2009</v>
      </c>
      <c r="C73" s="149" t="s">
        <v>412</v>
      </c>
      <c r="D73" s="303">
        <v>122</v>
      </c>
      <c r="E73" s="100">
        <v>6</v>
      </c>
      <c r="F73" s="101">
        <v>23.473526799999998</v>
      </c>
      <c r="G73" s="100">
        <v>16.640692640692642</v>
      </c>
      <c r="H73" s="100">
        <v>42</v>
      </c>
      <c r="I73" s="101">
        <v>16</v>
      </c>
      <c r="J73" s="100">
        <v>37</v>
      </c>
      <c r="K73" s="100">
        <v>71</v>
      </c>
      <c r="L73" s="100"/>
      <c r="M73" s="100">
        <v>16</v>
      </c>
      <c r="N73" s="100"/>
      <c r="O73" s="100">
        <v>1</v>
      </c>
      <c r="P73" s="100">
        <v>1</v>
      </c>
      <c r="Q73" s="102">
        <v>7.5110000000000001</v>
      </c>
      <c r="R73" s="100">
        <v>36</v>
      </c>
      <c r="S73" s="100">
        <v>23</v>
      </c>
      <c r="T73" s="100">
        <v>11</v>
      </c>
      <c r="U73" s="100">
        <v>12</v>
      </c>
      <c r="V73" s="666"/>
      <c r="W73" s="100"/>
      <c r="X73" s="97">
        <f t="shared" si="1"/>
        <v>12</v>
      </c>
      <c r="Y73" s="97"/>
      <c r="AC73" s="100">
        <v>12477.52247752248</v>
      </c>
    </row>
    <row r="74" spans="1:29" ht="15.95" customHeight="1" x14ac:dyDescent="0.2">
      <c r="A74" s="665"/>
      <c r="B74" s="43"/>
      <c r="C74" s="149" t="s">
        <v>413</v>
      </c>
      <c r="D74" s="303">
        <v>122</v>
      </c>
      <c r="E74" s="100">
        <v>6</v>
      </c>
      <c r="F74" s="101">
        <v>23.473526799999998</v>
      </c>
      <c r="G74" s="100">
        <v>16.282828282828284</v>
      </c>
      <c r="H74" s="100">
        <v>42</v>
      </c>
      <c r="I74" s="101">
        <v>16</v>
      </c>
      <c r="J74" s="100">
        <v>37</v>
      </c>
      <c r="K74" s="100">
        <v>71</v>
      </c>
      <c r="L74" s="100"/>
      <c r="M74" s="100">
        <v>16</v>
      </c>
      <c r="N74" s="100"/>
      <c r="O74" s="100">
        <v>1</v>
      </c>
      <c r="P74" s="100">
        <v>1</v>
      </c>
      <c r="Q74" s="271"/>
      <c r="R74" s="100">
        <v>36</v>
      </c>
      <c r="S74" s="100">
        <v>0</v>
      </c>
      <c r="T74" s="100">
        <v>11</v>
      </c>
      <c r="U74" s="100">
        <v>12</v>
      </c>
      <c r="V74" s="666"/>
      <c r="W74" s="97"/>
      <c r="X74" s="97">
        <f t="shared" si="1"/>
        <v>12</v>
      </c>
      <c r="Y74" s="97"/>
      <c r="AC74" s="100">
        <v>12477.52247752248</v>
      </c>
    </row>
    <row r="75" spans="1:29" ht="15.95" customHeight="1" thickBot="1" x14ac:dyDescent="0.25">
      <c r="A75" s="669"/>
      <c r="B75" s="45"/>
      <c r="C75" s="151" t="s">
        <v>414</v>
      </c>
      <c r="D75" s="305"/>
      <c r="E75" s="105">
        <v>0</v>
      </c>
      <c r="F75" s="106">
        <v>126.287246</v>
      </c>
      <c r="G75" s="105">
        <v>16.489177489177493</v>
      </c>
      <c r="H75" s="105">
        <v>0</v>
      </c>
      <c r="I75" s="106">
        <v>58</v>
      </c>
      <c r="J75" s="105">
        <v>0</v>
      </c>
      <c r="K75" s="105"/>
      <c r="L75" s="105"/>
      <c r="M75" s="105">
        <v>0</v>
      </c>
      <c r="N75" s="105"/>
      <c r="O75" s="105">
        <v>0</v>
      </c>
      <c r="P75" s="105">
        <v>0</v>
      </c>
      <c r="Q75" s="273">
        <v>183.703</v>
      </c>
      <c r="R75" s="105">
        <v>0</v>
      </c>
      <c r="S75" s="105">
        <v>99</v>
      </c>
      <c r="T75" s="105">
        <v>0</v>
      </c>
      <c r="U75" s="105">
        <v>0</v>
      </c>
      <c r="V75" s="670"/>
      <c r="W75" s="97"/>
      <c r="X75" s="97">
        <f t="shared" si="1"/>
        <v>0</v>
      </c>
      <c r="Y75" s="97">
        <f>+IF((AC75-ROUND(AC75,-3)&gt;400)*AND(AC75-ROUND(AC75,-3)&lt;500),1,0)</f>
        <v>0</v>
      </c>
      <c r="AC75" s="105">
        <v>0</v>
      </c>
    </row>
    <row r="76" spans="1:29" ht="15.95" customHeight="1" thickTop="1" x14ac:dyDescent="0.2">
      <c r="A76" s="665" t="s">
        <v>113</v>
      </c>
      <c r="B76" s="42">
        <v>2008</v>
      </c>
      <c r="C76" s="148" t="s">
        <v>289</v>
      </c>
      <c r="D76" s="303">
        <v>293</v>
      </c>
      <c r="E76" s="100">
        <v>20</v>
      </c>
      <c r="F76" s="101">
        <v>75.115263999999996</v>
      </c>
      <c r="G76" s="100"/>
      <c r="H76" s="100">
        <v>37</v>
      </c>
      <c r="I76" s="101">
        <v>51</v>
      </c>
      <c r="J76" s="100">
        <v>2211</v>
      </c>
      <c r="K76" s="100">
        <v>71</v>
      </c>
      <c r="L76" s="100">
        <v>63</v>
      </c>
      <c r="M76" s="100">
        <v>50</v>
      </c>
      <c r="N76" s="100"/>
      <c r="O76" s="100">
        <v>2</v>
      </c>
      <c r="P76" s="100">
        <v>3</v>
      </c>
      <c r="Q76" s="271">
        <v>24.902999999999999</v>
      </c>
      <c r="R76" s="100">
        <v>78</v>
      </c>
      <c r="S76" s="100">
        <v>74</v>
      </c>
      <c r="T76" s="100">
        <v>3</v>
      </c>
      <c r="U76" s="100">
        <v>11</v>
      </c>
      <c r="V76" s="666"/>
      <c r="W76" s="97"/>
      <c r="X76" s="97">
        <f t="shared" si="1"/>
        <v>11</v>
      </c>
      <c r="Y76" s="97"/>
      <c r="AC76" s="100">
        <v>11385.597082953509</v>
      </c>
    </row>
    <row r="77" spans="1:29" ht="15.95" customHeight="1" x14ac:dyDescent="0.2">
      <c r="A77" s="665"/>
      <c r="B77" s="43"/>
      <c r="C77" s="149" t="s">
        <v>290</v>
      </c>
      <c r="D77" s="303">
        <v>293</v>
      </c>
      <c r="E77" s="100">
        <v>20</v>
      </c>
      <c r="F77" s="101">
        <v>75.115263999999996</v>
      </c>
      <c r="G77" s="100"/>
      <c r="H77" s="100">
        <v>28</v>
      </c>
      <c r="I77" s="101">
        <v>51</v>
      </c>
      <c r="J77" s="100">
        <v>2211</v>
      </c>
      <c r="K77" s="100">
        <v>71</v>
      </c>
      <c r="L77" s="100">
        <v>63</v>
      </c>
      <c r="M77" s="100">
        <v>50</v>
      </c>
      <c r="N77" s="100"/>
      <c r="O77" s="100">
        <v>2</v>
      </c>
      <c r="P77" s="100">
        <v>3</v>
      </c>
      <c r="Q77" s="271">
        <v>24.902999999999999</v>
      </c>
      <c r="R77" s="100">
        <v>78</v>
      </c>
      <c r="S77" s="100">
        <v>74</v>
      </c>
      <c r="T77" s="100">
        <v>0</v>
      </c>
      <c r="U77" s="100">
        <v>4</v>
      </c>
      <c r="V77" s="666"/>
      <c r="W77" s="97"/>
      <c r="X77" s="97">
        <f>+ROUNDDOWN(AC77/1000,0)</f>
        <v>4</v>
      </c>
      <c r="Y77" s="97"/>
      <c r="AC77" s="100">
        <v>4510.109389243391</v>
      </c>
    </row>
    <row r="78" spans="1:29" ht="15.95" customHeight="1" x14ac:dyDescent="0.2">
      <c r="A78" s="667"/>
      <c r="B78" s="44"/>
      <c r="C78" s="150" t="s">
        <v>291</v>
      </c>
      <c r="D78" s="304"/>
      <c r="E78" s="103">
        <v>0</v>
      </c>
      <c r="F78" s="104">
        <v>0</v>
      </c>
      <c r="G78" s="103"/>
      <c r="H78" s="103">
        <v>0</v>
      </c>
      <c r="I78" s="104"/>
      <c r="J78" s="103">
        <v>0</v>
      </c>
      <c r="K78" s="103"/>
      <c r="L78" s="103"/>
      <c r="M78" s="103">
        <v>0</v>
      </c>
      <c r="N78" s="103"/>
      <c r="O78" s="103">
        <v>4</v>
      </c>
      <c r="P78" s="103">
        <v>5</v>
      </c>
      <c r="Q78" s="272">
        <v>16</v>
      </c>
      <c r="R78" s="103">
        <v>0</v>
      </c>
      <c r="S78" s="103">
        <v>7</v>
      </c>
      <c r="T78" s="103">
        <v>0</v>
      </c>
      <c r="U78" s="103">
        <v>6</v>
      </c>
      <c r="V78" s="668"/>
      <c r="W78" s="97"/>
      <c r="X78" s="97">
        <f>+ROUNDUP(AC78/1000,0)</f>
        <v>6</v>
      </c>
      <c r="Y78" s="97"/>
      <c r="AC78" s="103">
        <v>5410.7383773928896</v>
      </c>
    </row>
    <row r="79" spans="1:29" ht="15.95" customHeight="1" x14ac:dyDescent="0.2">
      <c r="A79" s="665"/>
      <c r="B79" s="42">
        <v>2009</v>
      </c>
      <c r="C79" s="149" t="s">
        <v>412</v>
      </c>
      <c r="D79" s="303">
        <v>390</v>
      </c>
      <c r="E79" s="100">
        <v>18</v>
      </c>
      <c r="F79" s="101">
        <v>75.115263999999996</v>
      </c>
      <c r="G79" s="100"/>
      <c r="H79" s="100">
        <v>42</v>
      </c>
      <c r="I79" s="101">
        <v>51</v>
      </c>
      <c r="J79" s="100">
        <v>2004</v>
      </c>
      <c r="K79" s="100">
        <v>71</v>
      </c>
      <c r="L79" s="100">
        <f>126-L76</f>
        <v>63</v>
      </c>
      <c r="M79" s="100">
        <v>50</v>
      </c>
      <c r="N79" s="100"/>
      <c r="O79" s="100">
        <v>2</v>
      </c>
      <c r="P79" s="100">
        <v>3</v>
      </c>
      <c r="Q79" s="102">
        <v>23.603999999999999</v>
      </c>
      <c r="R79" s="100">
        <v>72</v>
      </c>
      <c r="S79" s="100">
        <v>74</v>
      </c>
      <c r="T79" s="100">
        <v>3</v>
      </c>
      <c r="U79" s="100">
        <v>12</v>
      </c>
      <c r="V79" s="666"/>
      <c r="W79" s="100"/>
      <c r="X79" s="97">
        <f t="shared" si="1"/>
        <v>12</v>
      </c>
      <c r="Y79" s="97"/>
      <c r="AC79" s="100">
        <v>12477.52247752248</v>
      </c>
    </row>
    <row r="80" spans="1:29" ht="15.95" customHeight="1" x14ac:dyDescent="0.2">
      <c r="A80" s="665"/>
      <c r="B80" s="43"/>
      <c r="C80" s="149" t="s">
        <v>413</v>
      </c>
      <c r="D80" s="303">
        <v>390</v>
      </c>
      <c r="E80" s="100">
        <v>18</v>
      </c>
      <c r="F80" s="101">
        <v>75.115263999999996</v>
      </c>
      <c r="G80" s="100"/>
      <c r="H80" s="100">
        <v>42</v>
      </c>
      <c r="I80" s="101">
        <v>51</v>
      </c>
      <c r="J80" s="100">
        <v>2004</v>
      </c>
      <c r="K80" s="100">
        <v>71</v>
      </c>
      <c r="L80" s="100">
        <v>63</v>
      </c>
      <c r="M80" s="100">
        <v>0</v>
      </c>
      <c r="N80" s="100"/>
      <c r="O80" s="100">
        <v>2</v>
      </c>
      <c r="P80" s="100">
        <v>3</v>
      </c>
      <c r="Q80" s="102">
        <v>23.603999999999999</v>
      </c>
      <c r="R80" s="100">
        <v>72</v>
      </c>
      <c r="S80" s="100">
        <v>74</v>
      </c>
      <c r="T80" s="100">
        <v>0</v>
      </c>
      <c r="U80" s="100">
        <v>12</v>
      </c>
      <c r="V80" s="666"/>
      <c r="W80" s="97"/>
      <c r="X80" s="97">
        <f t="shared" si="1"/>
        <v>12</v>
      </c>
      <c r="Y80" s="97"/>
      <c r="AC80" s="100">
        <v>12477.52247752248</v>
      </c>
    </row>
    <row r="81" spans="1:29" ht="15.95" customHeight="1" thickBot="1" x14ac:dyDescent="0.25">
      <c r="A81" s="669"/>
      <c r="B81" s="45"/>
      <c r="C81" s="151" t="s">
        <v>414</v>
      </c>
      <c r="D81" s="305"/>
      <c r="E81" s="105">
        <v>0</v>
      </c>
      <c r="F81" s="106">
        <v>0</v>
      </c>
      <c r="G81" s="105"/>
      <c r="H81" s="105">
        <v>10</v>
      </c>
      <c r="I81" s="106"/>
      <c r="J81" s="105">
        <v>0</v>
      </c>
      <c r="K81" s="105"/>
      <c r="L81" s="105"/>
      <c r="M81" s="105">
        <v>0</v>
      </c>
      <c r="N81" s="105"/>
      <c r="O81" s="105">
        <v>0</v>
      </c>
      <c r="P81" s="105">
        <v>0</v>
      </c>
      <c r="Q81" s="273"/>
      <c r="R81" s="105">
        <v>0</v>
      </c>
      <c r="S81" s="105">
        <v>0</v>
      </c>
      <c r="T81" s="105">
        <v>0</v>
      </c>
      <c r="U81" s="105">
        <v>8</v>
      </c>
      <c r="V81" s="670"/>
      <c r="W81" s="97"/>
      <c r="X81" s="97">
        <f t="shared" si="1"/>
        <v>8</v>
      </c>
      <c r="Y81" s="97">
        <f>+IF((AC81-ROUND(AC81,-3)&gt;400)*AND(AC81-ROUND(AC81,-3)&lt;500),1,0)</f>
        <v>0</v>
      </c>
      <c r="AC81" s="105">
        <v>7534.8751248751259</v>
      </c>
    </row>
    <row r="82" spans="1:29" ht="15.95" customHeight="1" thickTop="1" x14ac:dyDescent="0.2">
      <c r="A82" s="665" t="s">
        <v>114</v>
      </c>
      <c r="B82" s="42">
        <v>2008</v>
      </c>
      <c r="C82" s="148" t="s">
        <v>289</v>
      </c>
      <c r="D82" s="303">
        <v>604</v>
      </c>
      <c r="E82" s="100">
        <v>39</v>
      </c>
      <c r="F82" s="101">
        <v>154.92523879999999</v>
      </c>
      <c r="G82" s="100"/>
      <c r="H82" s="100">
        <v>43</v>
      </c>
      <c r="I82" s="101">
        <v>106</v>
      </c>
      <c r="J82" s="100">
        <v>23</v>
      </c>
      <c r="K82" s="100">
        <v>284</v>
      </c>
      <c r="L82" s="100"/>
      <c r="M82" s="100">
        <v>104</v>
      </c>
      <c r="N82" s="100"/>
      <c r="O82" s="100">
        <v>4</v>
      </c>
      <c r="P82" s="100">
        <v>5</v>
      </c>
      <c r="Q82" s="271">
        <v>52.069000000000003</v>
      </c>
      <c r="R82" s="100">
        <v>52</v>
      </c>
      <c r="S82" s="100">
        <v>153</v>
      </c>
      <c r="T82" s="100">
        <v>5</v>
      </c>
      <c r="U82" s="100">
        <v>18</v>
      </c>
      <c r="V82" s="666">
        <v>126.73928571428571</v>
      </c>
      <c r="W82" s="97"/>
      <c r="X82" s="97">
        <f>+ROUNDUP(AC82/1000,0)</f>
        <v>18</v>
      </c>
      <c r="Y82" s="97"/>
      <c r="AC82" s="100">
        <v>17078.395624430264</v>
      </c>
    </row>
    <row r="83" spans="1:29" ht="15.95" customHeight="1" x14ac:dyDescent="0.2">
      <c r="A83" s="665"/>
      <c r="B83" s="43"/>
      <c r="C83" s="149" t="s">
        <v>290</v>
      </c>
      <c r="D83" s="303">
        <v>604</v>
      </c>
      <c r="E83" s="100">
        <v>3</v>
      </c>
      <c r="F83" s="101">
        <v>154.92523879999999</v>
      </c>
      <c r="G83" s="100"/>
      <c r="H83" s="100">
        <v>42</v>
      </c>
      <c r="I83" s="101">
        <v>106</v>
      </c>
      <c r="J83" s="100">
        <v>23</v>
      </c>
      <c r="K83" s="100">
        <v>284</v>
      </c>
      <c r="L83" s="100"/>
      <c r="M83" s="100">
        <v>104</v>
      </c>
      <c r="N83" s="100"/>
      <c r="O83" s="100">
        <v>0</v>
      </c>
      <c r="P83" s="100">
        <v>0</v>
      </c>
      <c r="Q83" s="271"/>
      <c r="R83" s="100">
        <v>52</v>
      </c>
      <c r="S83" s="100">
        <v>153</v>
      </c>
      <c r="T83" s="100">
        <v>5</v>
      </c>
      <c r="U83" s="100">
        <v>18</v>
      </c>
      <c r="V83" s="666">
        <v>126.73928571428571</v>
      </c>
      <c r="W83" s="97"/>
      <c r="X83" s="97">
        <f>+ROUNDUP(AC83/1000,0)</f>
        <v>18</v>
      </c>
      <c r="Y83" s="97"/>
      <c r="AC83" s="100">
        <v>17078.395624430264</v>
      </c>
    </row>
    <row r="84" spans="1:29" ht="15.95" customHeight="1" x14ac:dyDescent="0.2">
      <c r="A84" s="667"/>
      <c r="B84" s="44"/>
      <c r="C84" s="150" t="s">
        <v>291</v>
      </c>
      <c r="D84" s="304"/>
      <c r="E84" s="103">
        <v>0</v>
      </c>
      <c r="F84" s="104">
        <v>0</v>
      </c>
      <c r="G84" s="103"/>
      <c r="H84" s="103">
        <v>0</v>
      </c>
      <c r="I84" s="104"/>
      <c r="J84" s="103">
        <v>0</v>
      </c>
      <c r="K84" s="103"/>
      <c r="L84" s="103"/>
      <c r="M84" s="103">
        <v>0</v>
      </c>
      <c r="N84" s="103"/>
      <c r="O84" s="103">
        <v>4</v>
      </c>
      <c r="P84" s="103">
        <v>5</v>
      </c>
      <c r="Q84" s="272">
        <v>54.908999999999999</v>
      </c>
      <c r="R84" s="103">
        <v>0</v>
      </c>
      <c r="S84" s="103">
        <v>0</v>
      </c>
      <c r="T84" s="103">
        <v>0</v>
      </c>
      <c r="U84" s="103">
        <v>0</v>
      </c>
      <c r="V84" s="668">
        <v>126</v>
      </c>
      <c r="W84" s="97"/>
      <c r="X84" s="97">
        <f t="shared" si="1"/>
        <v>0</v>
      </c>
      <c r="Y84" s="97"/>
      <c r="AC84" s="103">
        <v>0</v>
      </c>
    </row>
    <row r="85" spans="1:29" ht="15.95" customHeight="1" x14ac:dyDescent="0.2">
      <c r="A85" s="665"/>
      <c r="B85" s="42">
        <v>2009</v>
      </c>
      <c r="C85" s="149" t="s">
        <v>412</v>
      </c>
      <c r="D85" s="303">
        <v>804</v>
      </c>
      <c r="E85" s="100">
        <v>40</v>
      </c>
      <c r="F85" s="101">
        <v>154.92523879999999</v>
      </c>
      <c r="G85" s="100">
        <v>131.76190476190476</v>
      </c>
      <c r="H85" s="100">
        <v>65</v>
      </c>
      <c r="I85" s="101">
        <v>106</v>
      </c>
      <c r="J85" s="100">
        <v>28</v>
      </c>
      <c r="K85" s="100">
        <v>284</v>
      </c>
      <c r="L85" s="100"/>
      <c r="M85" s="100">
        <v>104</v>
      </c>
      <c r="N85" s="100"/>
      <c r="O85" s="100">
        <v>4</v>
      </c>
      <c r="P85" s="100">
        <v>5</v>
      </c>
      <c r="Q85" s="102">
        <v>49.353000000000002</v>
      </c>
      <c r="R85" s="100">
        <v>57</v>
      </c>
      <c r="S85" s="100">
        <v>153</v>
      </c>
      <c r="T85" s="100">
        <v>6</v>
      </c>
      <c r="U85" s="100">
        <v>19</v>
      </c>
      <c r="V85" s="666">
        <v>132.85446428571427</v>
      </c>
      <c r="W85" s="100"/>
      <c r="X85" s="97">
        <f t="shared" si="1"/>
        <v>19</v>
      </c>
      <c r="Y85" s="97"/>
      <c r="AC85" s="100">
        <v>18716.283716283717</v>
      </c>
    </row>
    <row r="86" spans="1:29" ht="15.95" customHeight="1" x14ac:dyDescent="0.2">
      <c r="A86" s="665"/>
      <c r="B86" s="43"/>
      <c r="C86" s="149" t="s">
        <v>413</v>
      </c>
      <c r="D86" s="303">
        <v>804</v>
      </c>
      <c r="E86" s="100">
        <v>0</v>
      </c>
      <c r="F86" s="101">
        <v>154.92523879999999</v>
      </c>
      <c r="G86" s="100">
        <v>131.76190476190476</v>
      </c>
      <c r="H86" s="100">
        <v>0</v>
      </c>
      <c r="I86" s="101">
        <v>106</v>
      </c>
      <c r="J86" s="100">
        <v>28</v>
      </c>
      <c r="K86" s="100">
        <v>284</v>
      </c>
      <c r="L86" s="100"/>
      <c r="M86" s="100">
        <v>0</v>
      </c>
      <c r="N86" s="100"/>
      <c r="O86" s="100">
        <v>0</v>
      </c>
      <c r="P86" s="100">
        <v>0</v>
      </c>
      <c r="Q86" s="102">
        <v>49.353000000000002</v>
      </c>
      <c r="R86" s="100">
        <v>57</v>
      </c>
      <c r="S86" s="100">
        <v>153</v>
      </c>
      <c r="T86" s="100">
        <v>6</v>
      </c>
      <c r="U86" s="100">
        <v>19</v>
      </c>
      <c r="V86" s="666">
        <v>133</v>
      </c>
      <c r="W86" s="97"/>
      <c r="X86" s="97">
        <f t="shared" si="1"/>
        <v>19</v>
      </c>
      <c r="Y86" s="97"/>
      <c r="AC86" s="100">
        <v>18716.283716283717</v>
      </c>
    </row>
    <row r="87" spans="1:29" ht="15.95" customHeight="1" thickBot="1" x14ac:dyDescent="0.25">
      <c r="A87" s="669"/>
      <c r="B87" s="45"/>
      <c r="C87" s="151" t="s">
        <v>414</v>
      </c>
      <c r="D87" s="305"/>
      <c r="E87" s="105">
        <v>26</v>
      </c>
      <c r="F87" s="106">
        <v>0</v>
      </c>
      <c r="G87" s="105">
        <v>0</v>
      </c>
      <c r="H87" s="105">
        <v>0</v>
      </c>
      <c r="I87" s="106"/>
      <c r="J87" s="105">
        <v>0</v>
      </c>
      <c r="K87" s="105"/>
      <c r="L87" s="105"/>
      <c r="M87" s="105">
        <v>0</v>
      </c>
      <c r="N87" s="105"/>
      <c r="O87" s="105">
        <v>0</v>
      </c>
      <c r="P87" s="105">
        <v>0</v>
      </c>
      <c r="Q87" s="273">
        <v>138.61099999999999</v>
      </c>
      <c r="R87" s="105">
        <v>0</v>
      </c>
      <c r="S87" s="105">
        <v>0</v>
      </c>
      <c r="T87" s="105">
        <v>0</v>
      </c>
      <c r="U87" s="105">
        <v>0</v>
      </c>
      <c r="V87" s="670">
        <v>0</v>
      </c>
      <c r="W87" s="97"/>
      <c r="X87" s="97">
        <f t="shared" si="1"/>
        <v>0</v>
      </c>
      <c r="Y87" s="97">
        <f>+IF((AC87-ROUND(AC87,-3)&gt;400)*AND(AC87-ROUND(AC87,-3)&lt;500),1,0)</f>
        <v>0</v>
      </c>
      <c r="AC87" s="105">
        <v>0</v>
      </c>
    </row>
    <row r="88" spans="1:29" ht="15.95" customHeight="1" thickTop="1" x14ac:dyDescent="0.2">
      <c r="A88" s="665" t="s">
        <v>115</v>
      </c>
      <c r="B88" s="42">
        <v>2008</v>
      </c>
      <c r="C88" s="148" t="s">
        <v>289</v>
      </c>
      <c r="D88" s="303">
        <v>183</v>
      </c>
      <c r="E88" s="100">
        <v>12</v>
      </c>
      <c r="F88" s="101">
        <v>46.947040000000008</v>
      </c>
      <c r="G88" s="100">
        <v>31.379113018598002</v>
      </c>
      <c r="H88" s="100">
        <v>48</v>
      </c>
      <c r="I88" s="101">
        <v>32</v>
      </c>
      <c r="J88" s="100">
        <v>30</v>
      </c>
      <c r="K88" s="100">
        <v>35</v>
      </c>
      <c r="L88" s="100"/>
      <c r="M88" s="100">
        <v>32</v>
      </c>
      <c r="N88" s="100"/>
      <c r="O88" s="100">
        <v>1</v>
      </c>
      <c r="P88" s="100">
        <v>2</v>
      </c>
      <c r="Q88" s="271">
        <v>11.319000000000001</v>
      </c>
      <c r="R88" s="100">
        <v>42</v>
      </c>
      <c r="S88" s="100">
        <v>46</v>
      </c>
      <c r="T88" s="100">
        <v>1</v>
      </c>
      <c r="U88" s="100">
        <v>11</v>
      </c>
      <c r="V88" s="666">
        <v>161.97589285714284</v>
      </c>
      <c r="W88" s="97"/>
      <c r="X88" s="97">
        <f t="shared" si="1"/>
        <v>11</v>
      </c>
      <c r="Y88" s="97"/>
      <c r="AC88" s="100">
        <v>11385.597082953509</v>
      </c>
    </row>
    <row r="89" spans="1:29" ht="15.95" customHeight="1" x14ac:dyDescent="0.2">
      <c r="A89" s="665"/>
      <c r="B89" s="43"/>
      <c r="C89" s="149" t="s">
        <v>290</v>
      </c>
      <c r="D89" s="303">
        <v>183</v>
      </c>
      <c r="E89" s="100">
        <v>0</v>
      </c>
      <c r="F89" s="101">
        <v>46.947040000000001</v>
      </c>
      <c r="G89" s="100">
        <v>30.612303290414879</v>
      </c>
      <c r="H89" s="100">
        <v>0</v>
      </c>
      <c r="I89" s="101">
        <v>32</v>
      </c>
      <c r="J89" s="100">
        <v>30</v>
      </c>
      <c r="K89" s="100">
        <v>35</v>
      </c>
      <c r="L89" s="100"/>
      <c r="M89" s="100">
        <v>0</v>
      </c>
      <c r="N89" s="100"/>
      <c r="O89" s="100">
        <v>0</v>
      </c>
      <c r="P89" s="100">
        <v>0</v>
      </c>
      <c r="Q89" s="271">
        <v>1.042</v>
      </c>
      <c r="R89" s="100">
        <v>42</v>
      </c>
      <c r="S89" s="100">
        <v>46</v>
      </c>
      <c r="T89" s="100">
        <v>1</v>
      </c>
      <c r="U89" s="100">
        <v>11</v>
      </c>
      <c r="V89" s="666">
        <v>161.97589285714284</v>
      </c>
      <c r="W89" s="97"/>
      <c r="X89" s="97">
        <f t="shared" si="1"/>
        <v>11</v>
      </c>
      <c r="Y89" s="97"/>
      <c r="AC89" s="100">
        <v>11385.597082953509</v>
      </c>
    </row>
    <row r="90" spans="1:29" ht="15.95" customHeight="1" x14ac:dyDescent="0.2">
      <c r="A90" s="667"/>
      <c r="B90" s="44"/>
      <c r="C90" s="150" t="s">
        <v>291</v>
      </c>
      <c r="D90" s="304"/>
      <c r="E90" s="103">
        <v>0</v>
      </c>
      <c r="F90" s="104">
        <v>0</v>
      </c>
      <c r="G90" s="103">
        <v>0</v>
      </c>
      <c r="H90" s="103">
        <v>0</v>
      </c>
      <c r="I90" s="104"/>
      <c r="J90" s="103">
        <v>0</v>
      </c>
      <c r="K90" s="103"/>
      <c r="L90" s="103"/>
      <c r="M90" s="103">
        <v>0</v>
      </c>
      <c r="N90" s="103"/>
      <c r="O90" s="103">
        <v>0</v>
      </c>
      <c r="P90" s="103">
        <v>0</v>
      </c>
      <c r="Q90" s="272"/>
      <c r="R90" s="103">
        <v>0</v>
      </c>
      <c r="S90" s="103">
        <v>0</v>
      </c>
      <c r="T90" s="103">
        <v>0</v>
      </c>
      <c r="U90" s="103">
        <v>0</v>
      </c>
      <c r="V90" s="668">
        <v>0</v>
      </c>
      <c r="W90" s="97"/>
      <c r="X90" s="97">
        <f t="shared" si="1"/>
        <v>0</v>
      </c>
      <c r="Y90" s="97"/>
      <c r="AC90" s="103">
        <v>0</v>
      </c>
    </row>
    <row r="91" spans="1:29" ht="15.95" customHeight="1" x14ac:dyDescent="0.2">
      <c r="A91" s="665"/>
      <c r="B91" s="42">
        <v>2009</v>
      </c>
      <c r="C91" s="149" t="s">
        <v>412</v>
      </c>
      <c r="D91" s="303">
        <v>244</v>
      </c>
      <c r="E91" s="100">
        <v>12</v>
      </c>
      <c r="F91" s="101">
        <v>46.947040000000008</v>
      </c>
      <c r="G91" s="100">
        <v>33.103896103896105</v>
      </c>
      <c r="H91" s="100">
        <v>57</v>
      </c>
      <c r="I91" s="101">
        <v>32</v>
      </c>
      <c r="J91" s="100">
        <v>25</v>
      </c>
      <c r="K91" s="100">
        <v>35</v>
      </c>
      <c r="L91" s="100"/>
      <c r="M91" s="100">
        <v>32</v>
      </c>
      <c r="N91" s="100"/>
      <c r="O91" s="100">
        <v>1</v>
      </c>
      <c r="P91" s="100">
        <v>2</v>
      </c>
      <c r="Q91" s="102">
        <v>10.728999999999999</v>
      </c>
      <c r="R91" s="100">
        <v>43</v>
      </c>
      <c r="S91" s="100">
        <v>46</v>
      </c>
      <c r="T91" s="100">
        <v>1</v>
      </c>
      <c r="U91" s="100">
        <v>12</v>
      </c>
      <c r="V91" s="666">
        <v>165.65803571428572</v>
      </c>
      <c r="W91" s="100"/>
      <c r="X91" s="97">
        <f t="shared" si="1"/>
        <v>12</v>
      </c>
      <c r="Y91" s="97"/>
      <c r="AC91" s="100">
        <v>12477.52247752248</v>
      </c>
    </row>
    <row r="92" spans="1:29" ht="15.95" customHeight="1" x14ac:dyDescent="0.2">
      <c r="A92" s="665"/>
      <c r="B92" s="43"/>
      <c r="C92" s="149" t="s">
        <v>413</v>
      </c>
      <c r="D92" s="303">
        <v>244</v>
      </c>
      <c r="E92" s="100">
        <v>0</v>
      </c>
      <c r="F92" s="101">
        <v>46.947040000000008</v>
      </c>
      <c r="G92" s="100">
        <v>32.963924963924967</v>
      </c>
      <c r="H92" s="100">
        <v>0</v>
      </c>
      <c r="I92" s="101">
        <v>32</v>
      </c>
      <c r="J92" s="100">
        <v>25</v>
      </c>
      <c r="K92" s="100">
        <v>35</v>
      </c>
      <c r="L92" s="100"/>
      <c r="M92" s="100">
        <v>32</v>
      </c>
      <c r="N92" s="100"/>
      <c r="O92" s="100">
        <v>0</v>
      </c>
      <c r="P92" s="100">
        <v>0</v>
      </c>
      <c r="Q92" s="102">
        <v>10.728999999999999</v>
      </c>
      <c r="R92" s="100">
        <v>43</v>
      </c>
      <c r="S92" s="100">
        <v>46</v>
      </c>
      <c r="T92" s="100">
        <v>1</v>
      </c>
      <c r="U92" s="100">
        <v>12</v>
      </c>
      <c r="V92" s="666">
        <v>166</v>
      </c>
      <c r="W92" s="97"/>
      <c r="X92" s="97">
        <f t="shared" si="1"/>
        <v>12</v>
      </c>
      <c r="Y92" s="97"/>
      <c r="AC92" s="100">
        <v>12477.52247752248</v>
      </c>
    </row>
    <row r="93" spans="1:29" ht="15.95" customHeight="1" thickBot="1" x14ac:dyDescent="0.25">
      <c r="A93" s="669"/>
      <c r="B93" s="45"/>
      <c r="C93" s="151" t="s">
        <v>414</v>
      </c>
      <c r="D93" s="305"/>
      <c r="E93" s="105">
        <v>0</v>
      </c>
      <c r="F93" s="106">
        <v>0</v>
      </c>
      <c r="G93" s="105">
        <v>0</v>
      </c>
      <c r="H93" s="105">
        <v>0</v>
      </c>
      <c r="I93" s="106"/>
      <c r="J93" s="105">
        <v>0</v>
      </c>
      <c r="K93" s="105"/>
      <c r="L93" s="105"/>
      <c r="M93" s="105">
        <v>32</v>
      </c>
      <c r="N93" s="105"/>
      <c r="O93" s="105">
        <v>0</v>
      </c>
      <c r="P93" s="105">
        <v>0</v>
      </c>
      <c r="Q93" s="273">
        <v>9.7409999999999997</v>
      </c>
      <c r="R93" s="105">
        <v>0</v>
      </c>
      <c r="S93" s="105">
        <v>0</v>
      </c>
      <c r="T93" s="105">
        <v>0</v>
      </c>
      <c r="U93" s="105">
        <v>0</v>
      </c>
      <c r="V93" s="670">
        <v>0</v>
      </c>
      <c r="W93" s="97"/>
      <c r="X93" s="97">
        <f t="shared" si="1"/>
        <v>0</v>
      </c>
      <c r="Y93" s="97">
        <f>+IF((AC93-ROUND(AC93,-3)&gt;400)*AND(AC93-ROUND(AC93,-3)&lt;500),1,0)</f>
        <v>0</v>
      </c>
      <c r="AC93" s="105">
        <v>0</v>
      </c>
    </row>
    <row r="94" spans="1:29" ht="15.95" customHeight="1" thickTop="1" x14ac:dyDescent="0.2">
      <c r="A94" s="665" t="s">
        <v>116</v>
      </c>
      <c r="B94" s="42">
        <v>2008</v>
      </c>
      <c r="C94" s="148" t="s">
        <v>289</v>
      </c>
      <c r="D94" s="303">
        <f>165+1</f>
        <v>166</v>
      </c>
      <c r="E94" s="100">
        <v>9</v>
      </c>
      <c r="F94" s="101">
        <v>42.252342800000001</v>
      </c>
      <c r="G94" s="100"/>
      <c r="H94" s="100">
        <v>37</v>
      </c>
      <c r="I94" s="101">
        <v>29</v>
      </c>
      <c r="J94" s="100">
        <v>39</v>
      </c>
      <c r="K94" s="100">
        <v>71</v>
      </c>
      <c r="L94" s="100">
        <v>72</v>
      </c>
      <c r="M94" s="100">
        <v>28</v>
      </c>
      <c r="N94" s="100"/>
      <c r="O94" s="100">
        <v>1</v>
      </c>
      <c r="P94" s="100">
        <v>1</v>
      </c>
      <c r="Q94" s="271">
        <v>14.714</v>
      </c>
      <c r="R94" s="100"/>
      <c r="S94" s="100">
        <v>42</v>
      </c>
      <c r="T94" s="100">
        <v>3</v>
      </c>
      <c r="U94" s="100">
        <v>11</v>
      </c>
      <c r="V94" s="666">
        <v>26.938392857142855</v>
      </c>
      <c r="W94" s="97"/>
      <c r="X94" s="97">
        <f t="shared" si="1"/>
        <v>11</v>
      </c>
      <c r="Y94" s="97"/>
      <c r="AC94" s="100">
        <v>11385.597082953509</v>
      </c>
    </row>
    <row r="95" spans="1:29" ht="15.95" customHeight="1" x14ac:dyDescent="0.2">
      <c r="A95" s="665"/>
      <c r="B95" s="43"/>
      <c r="C95" s="149" t="s">
        <v>290</v>
      </c>
      <c r="D95" s="303"/>
      <c r="E95" s="100">
        <v>0</v>
      </c>
      <c r="F95" s="101">
        <v>42.252342800000001</v>
      </c>
      <c r="G95" s="100"/>
      <c r="H95" s="100">
        <v>37</v>
      </c>
      <c r="I95" s="101">
        <v>29</v>
      </c>
      <c r="J95" s="100">
        <v>39</v>
      </c>
      <c r="K95" s="100">
        <v>71</v>
      </c>
      <c r="L95" s="100">
        <v>72</v>
      </c>
      <c r="M95" s="100">
        <v>28</v>
      </c>
      <c r="N95" s="100"/>
      <c r="O95" s="100">
        <v>1</v>
      </c>
      <c r="P95" s="100">
        <v>1</v>
      </c>
      <c r="Q95" s="271">
        <v>14.714</v>
      </c>
      <c r="R95" s="100"/>
      <c r="S95" s="100">
        <v>42</v>
      </c>
      <c r="T95" s="100">
        <v>3</v>
      </c>
      <c r="U95" s="100">
        <v>11</v>
      </c>
      <c r="V95" s="666">
        <v>26.938392857142855</v>
      </c>
      <c r="W95" s="97"/>
      <c r="X95" s="97">
        <f t="shared" si="1"/>
        <v>11</v>
      </c>
      <c r="Y95" s="97"/>
      <c r="AC95" s="100">
        <v>11385.597082953509</v>
      </c>
    </row>
    <row r="96" spans="1:29" ht="15.95" customHeight="1" x14ac:dyDescent="0.2">
      <c r="A96" s="667"/>
      <c r="B96" s="44"/>
      <c r="C96" s="150" t="s">
        <v>291</v>
      </c>
      <c r="D96" s="304"/>
      <c r="E96" s="103">
        <v>0</v>
      </c>
      <c r="F96" s="104">
        <v>0</v>
      </c>
      <c r="G96" s="103"/>
      <c r="H96" s="103">
        <v>0</v>
      </c>
      <c r="I96" s="104"/>
      <c r="J96" s="103">
        <v>0</v>
      </c>
      <c r="K96" s="103"/>
      <c r="L96" s="103"/>
      <c r="M96" s="103">
        <v>0</v>
      </c>
      <c r="N96" s="103"/>
      <c r="O96" s="103">
        <v>0</v>
      </c>
      <c r="P96" s="103">
        <v>0</v>
      </c>
      <c r="Q96" s="272">
        <v>15.685</v>
      </c>
      <c r="R96" s="103"/>
      <c r="S96" s="103">
        <v>0</v>
      </c>
      <c r="T96" s="103">
        <v>0</v>
      </c>
      <c r="U96" s="103">
        <v>0</v>
      </c>
      <c r="V96" s="668">
        <v>0</v>
      </c>
      <c r="W96" s="97"/>
      <c r="X96" s="97">
        <f t="shared" si="1"/>
        <v>0</v>
      </c>
      <c r="Y96" s="97"/>
      <c r="AC96" s="103">
        <v>0</v>
      </c>
    </row>
    <row r="97" spans="1:29" ht="15.95" customHeight="1" x14ac:dyDescent="0.2">
      <c r="A97" s="665"/>
      <c r="B97" s="42">
        <v>2009</v>
      </c>
      <c r="C97" s="149" t="s">
        <v>412</v>
      </c>
      <c r="D97" s="303">
        <f>219+1</f>
        <v>220</v>
      </c>
      <c r="E97" s="100">
        <v>11</v>
      </c>
      <c r="F97" s="101">
        <v>42.252342800000001</v>
      </c>
      <c r="G97" s="100"/>
      <c r="H97" s="100">
        <v>42</v>
      </c>
      <c r="I97" s="101">
        <v>29</v>
      </c>
      <c r="J97" s="100">
        <v>36</v>
      </c>
      <c r="K97" s="100">
        <v>71</v>
      </c>
      <c r="L97" s="100">
        <f>144-L94</f>
        <v>72</v>
      </c>
      <c r="M97" s="100">
        <v>28</v>
      </c>
      <c r="N97" s="100"/>
      <c r="O97" s="100">
        <v>1</v>
      </c>
      <c r="P97" s="100">
        <v>1</v>
      </c>
      <c r="Q97" s="102">
        <v>13.946999999999999</v>
      </c>
      <c r="R97" s="100"/>
      <c r="S97" s="100">
        <v>42</v>
      </c>
      <c r="T97" s="100">
        <v>3</v>
      </c>
      <c r="U97" s="100">
        <v>12</v>
      </c>
      <c r="V97" s="666">
        <v>24.474107142857143</v>
      </c>
      <c r="W97" s="100"/>
      <c r="X97" s="97">
        <f t="shared" si="1"/>
        <v>12</v>
      </c>
      <c r="Y97" s="97"/>
      <c r="AC97" s="100">
        <v>12477.52247752248</v>
      </c>
    </row>
    <row r="98" spans="1:29" ht="15.95" customHeight="1" x14ac:dyDescent="0.2">
      <c r="A98" s="665"/>
      <c r="B98" s="43"/>
      <c r="C98" s="149" t="s">
        <v>413</v>
      </c>
      <c r="D98" s="303"/>
      <c r="E98" s="100">
        <v>5</v>
      </c>
      <c r="F98" s="101">
        <v>42.252342800000001</v>
      </c>
      <c r="G98" s="100"/>
      <c r="H98" s="100">
        <v>42</v>
      </c>
      <c r="I98" s="101">
        <v>29</v>
      </c>
      <c r="J98" s="100">
        <v>36</v>
      </c>
      <c r="K98" s="100">
        <v>71</v>
      </c>
      <c r="L98" s="100">
        <v>72</v>
      </c>
      <c r="M98" s="100">
        <v>28</v>
      </c>
      <c r="N98" s="100"/>
      <c r="O98" s="100">
        <v>0</v>
      </c>
      <c r="P98" s="100">
        <v>0</v>
      </c>
      <c r="Q98" s="102">
        <v>13.946999999999999</v>
      </c>
      <c r="R98" s="100"/>
      <c r="S98" s="100">
        <v>42</v>
      </c>
      <c r="T98" s="100">
        <v>3</v>
      </c>
      <c r="U98" s="100">
        <v>12</v>
      </c>
      <c r="V98" s="666">
        <v>24</v>
      </c>
      <c r="W98" s="97"/>
      <c r="X98" s="97">
        <f t="shared" si="1"/>
        <v>12</v>
      </c>
      <c r="Y98" s="97"/>
      <c r="AC98" s="100">
        <v>12477.52247752248</v>
      </c>
    </row>
    <row r="99" spans="1:29" ht="15.95" customHeight="1" thickBot="1" x14ac:dyDescent="0.25">
      <c r="A99" s="669"/>
      <c r="B99" s="45"/>
      <c r="C99" s="151" t="s">
        <v>414</v>
      </c>
      <c r="D99" s="305">
        <v>165</v>
      </c>
      <c r="E99" s="105">
        <v>9</v>
      </c>
      <c r="F99" s="106">
        <v>0</v>
      </c>
      <c r="G99" s="105"/>
      <c r="H99" s="105">
        <v>0</v>
      </c>
      <c r="I99" s="106"/>
      <c r="J99" s="105">
        <v>0</v>
      </c>
      <c r="K99" s="105"/>
      <c r="L99" s="105"/>
      <c r="M99" s="105">
        <v>0</v>
      </c>
      <c r="N99" s="105"/>
      <c r="O99" s="105">
        <v>0</v>
      </c>
      <c r="P99" s="105">
        <v>0</v>
      </c>
      <c r="Q99" s="273"/>
      <c r="R99" s="105"/>
      <c r="S99" s="105">
        <v>0</v>
      </c>
      <c r="T99" s="105">
        <v>0</v>
      </c>
      <c r="U99" s="105">
        <v>0</v>
      </c>
      <c r="V99" s="670">
        <v>0</v>
      </c>
      <c r="W99" s="97"/>
      <c r="X99" s="97">
        <f t="shared" si="1"/>
        <v>0</v>
      </c>
      <c r="Y99" s="97">
        <f>+IF((AC99-ROUND(AC99,-3)&gt;400)*AND(AC99-ROUND(AC99,-3)&lt;500),1,0)</f>
        <v>0</v>
      </c>
      <c r="AC99" s="105">
        <v>0</v>
      </c>
    </row>
    <row r="100" spans="1:29" ht="15.95" customHeight="1" thickTop="1" x14ac:dyDescent="0.2">
      <c r="A100" s="665" t="s">
        <v>117</v>
      </c>
      <c r="B100" s="42">
        <v>2008</v>
      </c>
      <c r="C100" s="148" t="s">
        <v>289</v>
      </c>
      <c r="D100" s="303">
        <v>366</v>
      </c>
      <c r="E100" s="100">
        <v>25</v>
      </c>
      <c r="F100" s="101">
        <v>93.894080000000017</v>
      </c>
      <c r="G100" s="100">
        <v>59.261802575107303</v>
      </c>
      <c r="H100" s="100">
        <v>37</v>
      </c>
      <c r="I100" s="101">
        <v>64</v>
      </c>
      <c r="J100" s="100"/>
      <c r="K100" s="100">
        <v>71</v>
      </c>
      <c r="L100" s="100"/>
      <c r="M100" s="100">
        <v>63</v>
      </c>
      <c r="N100" s="100"/>
      <c r="O100" s="100">
        <v>2</v>
      </c>
      <c r="P100" s="100">
        <v>3</v>
      </c>
      <c r="Q100" s="271">
        <v>31.693999999999999</v>
      </c>
      <c r="R100" s="100">
        <v>42</v>
      </c>
      <c r="S100" s="100">
        <v>93</v>
      </c>
      <c r="T100" s="100">
        <v>11</v>
      </c>
      <c r="U100" s="100">
        <v>11</v>
      </c>
      <c r="V100" s="666"/>
      <c r="W100" s="97"/>
      <c r="X100" s="97">
        <f t="shared" si="1"/>
        <v>11</v>
      </c>
      <c r="Y100" s="97"/>
      <c r="AC100" s="100">
        <v>11385.597082953509</v>
      </c>
    </row>
    <row r="101" spans="1:29" ht="15.95" customHeight="1" x14ac:dyDescent="0.2">
      <c r="A101" s="665"/>
      <c r="B101" s="43"/>
      <c r="C101" s="149" t="s">
        <v>290</v>
      </c>
      <c r="D101" s="303">
        <v>366</v>
      </c>
      <c r="E101" s="100">
        <v>25</v>
      </c>
      <c r="F101" s="101">
        <v>93.894080000000017</v>
      </c>
      <c r="G101" s="100">
        <v>58.449213161659515</v>
      </c>
      <c r="H101" s="100">
        <v>0</v>
      </c>
      <c r="I101" s="101">
        <v>64</v>
      </c>
      <c r="J101" s="100"/>
      <c r="K101" s="100">
        <v>71</v>
      </c>
      <c r="L101" s="100"/>
      <c r="M101" s="100">
        <v>63</v>
      </c>
      <c r="N101" s="100"/>
      <c r="O101" s="100">
        <v>2</v>
      </c>
      <c r="P101" s="100">
        <v>3</v>
      </c>
      <c r="Q101" s="271">
        <v>31.693999999999999</v>
      </c>
      <c r="R101" s="100">
        <v>42</v>
      </c>
      <c r="S101" s="100">
        <v>0</v>
      </c>
      <c r="T101" s="100">
        <v>1</v>
      </c>
      <c r="U101" s="100">
        <v>9</v>
      </c>
      <c r="V101" s="666"/>
      <c r="W101" s="97"/>
      <c r="X101" s="97">
        <f>+ROUNDDOWN(AC101/1000,0)</f>
        <v>9</v>
      </c>
      <c r="Y101" s="97"/>
      <c r="AC101" s="100">
        <v>9594.3482224247946</v>
      </c>
    </row>
    <row r="102" spans="1:29" ht="15.95" customHeight="1" x14ac:dyDescent="0.2">
      <c r="A102" s="667"/>
      <c r="B102" s="44"/>
      <c r="C102" s="150" t="s">
        <v>291</v>
      </c>
      <c r="D102" s="304"/>
      <c r="E102" s="103">
        <v>0</v>
      </c>
      <c r="F102" s="104">
        <v>0</v>
      </c>
      <c r="G102" s="103">
        <v>0</v>
      </c>
      <c r="H102" s="103">
        <v>130</v>
      </c>
      <c r="I102" s="104">
        <v>128</v>
      </c>
      <c r="J102" s="103"/>
      <c r="K102" s="103"/>
      <c r="L102" s="103"/>
      <c r="M102" s="103">
        <v>0</v>
      </c>
      <c r="N102" s="103"/>
      <c r="O102" s="103">
        <v>0</v>
      </c>
      <c r="P102" s="103">
        <v>0</v>
      </c>
      <c r="Q102" s="272"/>
      <c r="R102" s="103">
        <v>0</v>
      </c>
      <c r="S102" s="103">
        <v>168</v>
      </c>
      <c r="T102" s="103">
        <v>0</v>
      </c>
      <c r="U102" s="103">
        <v>0</v>
      </c>
      <c r="V102" s="668"/>
      <c r="W102" s="97"/>
      <c r="X102" s="97">
        <f t="shared" si="1"/>
        <v>0</v>
      </c>
      <c r="Y102" s="97"/>
      <c r="AC102" s="103">
        <v>0</v>
      </c>
    </row>
    <row r="103" spans="1:29" ht="15.95" customHeight="1" x14ac:dyDescent="0.2">
      <c r="A103" s="665"/>
      <c r="B103" s="42">
        <v>2009</v>
      </c>
      <c r="C103" s="149" t="s">
        <v>412</v>
      </c>
      <c r="D103" s="303">
        <v>487</v>
      </c>
      <c r="E103" s="100">
        <v>23</v>
      </c>
      <c r="F103" s="101">
        <v>93.894080000000017</v>
      </c>
      <c r="G103" s="100">
        <v>63.112554112554122</v>
      </c>
      <c r="H103" s="100">
        <v>42</v>
      </c>
      <c r="I103" s="101">
        <v>64</v>
      </c>
      <c r="J103" s="100"/>
      <c r="K103" s="100">
        <v>71</v>
      </c>
      <c r="L103" s="100"/>
      <c r="M103" s="100">
        <v>63</v>
      </c>
      <c r="N103" s="100"/>
      <c r="O103" s="100">
        <v>2</v>
      </c>
      <c r="P103" s="100">
        <v>3</v>
      </c>
      <c r="Q103" s="102">
        <v>30.041</v>
      </c>
      <c r="R103" s="100">
        <v>43</v>
      </c>
      <c r="S103" s="100">
        <v>93</v>
      </c>
      <c r="T103" s="100">
        <v>11</v>
      </c>
      <c r="U103" s="100">
        <v>12</v>
      </c>
      <c r="V103" s="666"/>
      <c r="W103" s="100"/>
      <c r="X103" s="97">
        <f t="shared" si="1"/>
        <v>12</v>
      </c>
      <c r="Y103" s="97"/>
      <c r="AC103" s="100">
        <v>12477.52247752248</v>
      </c>
    </row>
    <row r="104" spans="1:29" ht="15.95" customHeight="1" x14ac:dyDescent="0.2">
      <c r="A104" s="665"/>
      <c r="B104" s="43"/>
      <c r="C104" s="149" t="s">
        <v>413</v>
      </c>
      <c r="D104" s="303">
        <v>487</v>
      </c>
      <c r="E104" s="100">
        <v>23</v>
      </c>
      <c r="F104" s="101">
        <v>93.894080000000017</v>
      </c>
      <c r="G104" s="100">
        <v>56.556998556998558</v>
      </c>
      <c r="H104" s="100">
        <v>0</v>
      </c>
      <c r="I104" s="101">
        <v>64</v>
      </c>
      <c r="J104" s="100"/>
      <c r="K104" s="100">
        <v>71</v>
      </c>
      <c r="L104" s="100"/>
      <c r="M104" s="100">
        <v>63</v>
      </c>
      <c r="N104" s="100"/>
      <c r="O104" s="100">
        <v>2</v>
      </c>
      <c r="P104" s="100">
        <v>3</v>
      </c>
      <c r="Q104" s="102">
        <v>30.041</v>
      </c>
      <c r="R104" s="100">
        <v>43</v>
      </c>
      <c r="S104" s="100">
        <v>0</v>
      </c>
      <c r="T104" s="100">
        <v>11</v>
      </c>
      <c r="U104" s="100">
        <v>12</v>
      </c>
      <c r="V104" s="666"/>
      <c r="W104" s="97"/>
      <c r="X104" s="97">
        <f t="shared" si="1"/>
        <v>12</v>
      </c>
      <c r="Y104" s="97"/>
      <c r="AC104" s="100">
        <v>12477.52247752248</v>
      </c>
    </row>
    <row r="105" spans="1:29" ht="15.95" customHeight="1" thickBot="1" x14ac:dyDescent="0.25">
      <c r="A105" s="669"/>
      <c r="B105" s="45"/>
      <c r="C105" s="151" t="s">
        <v>414</v>
      </c>
      <c r="D105" s="305"/>
      <c r="E105" s="105">
        <v>0</v>
      </c>
      <c r="F105" s="106">
        <v>0</v>
      </c>
      <c r="G105" s="105">
        <v>0</v>
      </c>
      <c r="H105" s="105">
        <v>0</v>
      </c>
      <c r="I105" s="106">
        <v>128</v>
      </c>
      <c r="J105" s="105"/>
      <c r="K105" s="105"/>
      <c r="L105" s="105"/>
      <c r="M105" s="105">
        <v>0</v>
      </c>
      <c r="N105" s="105"/>
      <c r="O105" s="105">
        <v>0</v>
      </c>
      <c r="P105" s="105">
        <v>0</v>
      </c>
      <c r="Q105" s="273"/>
      <c r="R105" s="105">
        <v>0</v>
      </c>
      <c r="S105" s="105">
        <v>171</v>
      </c>
      <c r="T105" s="105">
        <v>0</v>
      </c>
      <c r="U105" s="105">
        <v>2</v>
      </c>
      <c r="V105" s="670"/>
      <c r="W105" s="97"/>
      <c r="X105" s="97">
        <f t="shared" si="1"/>
        <v>2</v>
      </c>
      <c r="Y105" s="97">
        <f>+IF((AC105-ROUND(AC105,-3)&gt;400)*AND(AC105-ROUND(AC105,-3)&lt;500),1,0)</f>
        <v>0</v>
      </c>
      <c r="AC105" s="105">
        <v>1963.0369630369632</v>
      </c>
    </row>
    <row r="106" spans="1:29" ht="15.95" customHeight="1" thickTop="1" x14ac:dyDescent="0.2">
      <c r="A106" s="665" t="s">
        <v>118</v>
      </c>
      <c r="B106" s="42">
        <v>2008</v>
      </c>
      <c r="C106" s="148" t="s">
        <v>289</v>
      </c>
      <c r="D106" s="303">
        <v>20156</v>
      </c>
      <c r="E106" s="100">
        <v>1342</v>
      </c>
      <c r="F106" s="101">
        <v>5201.7320319999999</v>
      </c>
      <c r="G106" s="100">
        <v>4210.6351931330482</v>
      </c>
      <c r="H106" s="100">
        <v>505</v>
      </c>
      <c r="I106" s="101">
        <v>3539</v>
      </c>
      <c r="J106" s="100">
        <v>281</v>
      </c>
      <c r="K106" s="100">
        <v>1136</v>
      </c>
      <c r="L106" s="100"/>
      <c r="M106" s="100">
        <v>3477</v>
      </c>
      <c r="N106" s="100"/>
      <c r="O106" s="100">
        <v>128</v>
      </c>
      <c r="P106" s="100">
        <v>170</v>
      </c>
      <c r="Q106" s="271">
        <v>1734.133</v>
      </c>
      <c r="R106" s="100">
        <v>33</v>
      </c>
      <c r="S106" s="100">
        <v>5118</v>
      </c>
      <c r="T106" s="100">
        <v>654</v>
      </c>
      <c r="U106" s="100">
        <v>615</v>
      </c>
      <c r="V106" s="666">
        <v>4169.6437500000002</v>
      </c>
      <c r="W106" s="97"/>
      <c r="X106" s="97">
        <f t="shared" si="1"/>
        <v>615</v>
      </c>
      <c r="Y106" s="97"/>
      <c r="AC106" s="100">
        <v>614822.24247948953</v>
      </c>
    </row>
    <row r="107" spans="1:29" ht="15.95" customHeight="1" x14ac:dyDescent="0.2">
      <c r="A107" s="665"/>
      <c r="B107" s="43"/>
      <c r="C107" s="149" t="s">
        <v>290</v>
      </c>
      <c r="D107" s="303">
        <v>20156</v>
      </c>
      <c r="E107" s="100">
        <v>1342</v>
      </c>
      <c r="F107" s="101">
        <v>5201.7320319999999</v>
      </c>
      <c r="G107" s="100">
        <v>4114.8669527897</v>
      </c>
      <c r="H107" s="100">
        <v>505</v>
      </c>
      <c r="I107" s="101"/>
      <c r="J107" s="100">
        <v>281</v>
      </c>
      <c r="K107" s="100">
        <v>1136</v>
      </c>
      <c r="L107" s="100"/>
      <c r="M107" s="100">
        <v>3477</v>
      </c>
      <c r="N107" s="100">
        <v>4664</v>
      </c>
      <c r="O107" s="100">
        <v>128</v>
      </c>
      <c r="P107" s="100">
        <v>170</v>
      </c>
      <c r="Q107" s="271">
        <v>1734.33</v>
      </c>
      <c r="R107" s="100">
        <v>33</v>
      </c>
      <c r="S107" s="100">
        <v>5118</v>
      </c>
      <c r="T107" s="100">
        <v>654</v>
      </c>
      <c r="U107" s="100">
        <v>615</v>
      </c>
      <c r="V107" s="666">
        <v>4169.6428571428569</v>
      </c>
      <c r="W107" s="97"/>
      <c r="X107" s="97">
        <f t="shared" si="1"/>
        <v>615</v>
      </c>
      <c r="Y107" s="97"/>
      <c r="AC107" s="100">
        <v>614822.24247948953</v>
      </c>
    </row>
    <row r="108" spans="1:29" ht="15.95" customHeight="1" x14ac:dyDescent="0.2">
      <c r="A108" s="667"/>
      <c r="B108" s="44"/>
      <c r="C108" s="150" t="s">
        <v>291</v>
      </c>
      <c r="D108" s="304"/>
      <c r="E108" s="103">
        <v>0</v>
      </c>
      <c r="F108" s="104">
        <v>0</v>
      </c>
      <c r="G108" s="103">
        <v>0</v>
      </c>
      <c r="H108" s="103">
        <v>0</v>
      </c>
      <c r="I108" s="104"/>
      <c r="J108" s="103">
        <v>0</v>
      </c>
      <c r="K108" s="103"/>
      <c r="L108" s="103"/>
      <c r="M108" s="103">
        <v>0</v>
      </c>
      <c r="N108" s="103"/>
      <c r="O108" s="103">
        <v>0</v>
      </c>
      <c r="P108" s="103">
        <v>0</v>
      </c>
      <c r="Q108" s="272"/>
      <c r="R108" s="103">
        <v>0</v>
      </c>
      <c r="S108" s="103">
        <v>0</v>
      </c>
      <c r="T108" s="103">
        <v>0</v>
      </c>
      <c r="U108" s="103">
        <v>0</v>
      </c>
      <c r="V108" s="668">
        <v>0</v>
      </c>
      <c r="W108" s="97"/>
      <c r="X108" s="97">
        <f t="shared" si="1"/>
        <v>0</v>
      </c>
      <c r="Y108" s="97"/>
      <c r="AC108" s="103">
        <v>0</v>
      </c>
    </row>
    <row r="109" spans="1:29" ht="15.95" customHeight="1" x14ac:dyDescent="0.2">
      <c r="A109" s="665"/>
      <c r="B109" s="42">
        <v>2009</v>
      </c>
      <c r="C109" s="149" t="s">
        <v>412</v>
      </c>
      <c r="D109" s="303">
        <v>26848</v>
      </c>
      <c r="E109" s="100">
        <v>1368</v>
      </c>
      <c r="F109" s="101">
        <v>5201.7320319999999</v>
      </c>
      <c r="G109" s="100">
        <v>4382.606060606061</v>
      </c>
      <c r="H109" s="100">
        <v>570</v>
      </c>
      <c r="I109" s="101">
        <v>3539</v>
      </c>
      <c r="J109" s="100">
        <v>251</v>
      </c>
      <c r="K109" s="100">
        <v>1136</v>
      </c>
      <c r="L109" s="100"/>
      <c r="M109" s="100">
        <v>3477</v>
      </c>
      <c r="N109" s="100"/>
      <c r="O109" s="100">
        <v>128</v>
      </c>
      <c r="P109" s="100">
        <v>170</v>
      </c>
      <c r="Q109" s="102">
        <v>1643.6869999999999</v>
      </c>
      <c r="R109" s="100">
        <v>36</v>
      </c>
      <c r="S109" s="100">
        <v>5118</v>
      </c>
      <c r="T109" s="100">
        <v>664</v>
      </c>
      <c r="U109" s="100">
        <v>675</v>
      </c>
      <c r="V109" s="666">
        <v>4176.9723214285705</v>
      </c>
      <c r="W109" s="100"/>
      <c r="X109" s="97">
        <f>+ROUNDUP(AC109/1000+0.5,0)</f>
        <v>675</v>
      </c>
      <c r="Y109" s="97"/>
      <c r="AC109" s="100">
        <v>673786.21378621389</v>
      </c>
    </row>
    <row r="110" spans="1:29" ht="15.95" customHeight="1" x14ac:dyDescent="0.2">
      <c r="A110" s="665"/>
      <c r="B110" s="43"/>
      <c r="C110" s="149" t="s">
        <v>413</v>
      </c>
      <c r="D110" s="303">
        <v>26848</v>
      </c>
      <c r="E110" s="100">
        <v>1368</v>
      </c>
      <c r="F110" s="101">
        <v>5201.7320319999999</v>
      </c>
      <c r="G110" s="100">
        <v>4382.606060606061</v>
      </c>
      <c r="H110" s="100">
        <v>570</v>
      </c>
      <c r="I110" s="101">
        <f>+I109</f>
        <v>3539</v>
      </c>
      <c r="J110" s="100">
        <v>251</v>
      </c>
      <c r="K110" s="100">
        <v>1136</v>
      </c>
      <c r="L110" s="100"/>
      <c r="M110" s="100">
        <v>3477</v>
      </c>
      <c r="N110" s="100">
        <v>9845</v>
      </c>
      <c r="O110" s="100">
        <v>128</v>
      </c>
      <c r="P110" s="100">
        <v>170</v>
      </c>
      <c r="Q110" s="102">
        <v>1643.6869999999999</v>
      </c>
      <c r="R110" s="100">
        <v>36</v>
      </c>
      <c r="S110" s="100">
        <v>5118</v>
      </c>
      <c r="T110" s="100">
        <v>645</v>
      </c>
      <c r="U110" s="100">
        <v>0</v>
      </c>
      <c r="V110" s="666">
        <v>4177</v>
      </c>
      <c r="W110" s="97"/>
      <c r="X110" s="97">
        <f t="shared" si="1"/>
        <v>0</v>
      </c>
      <c r="Y110" s="97"/>
      <c r="AC110" s="100">
        <v>0</v>
      </c>
    </row>
    <row r="111" spans="1:29" ht="15.95" customHeight="1" thickBot="1" x14ac:dyDescent="0.25">
      <c r="A111" s="669"/>
      <c r="B111" s="45"/>
      <c r="C111" s="151" t="s">
        <v>414</v>
      </c>
      <c r="D111" s="305"/>
      <c r="E111" s="105">
        <v>0</v>
      </c>
      <c r="F111" s="106">
        <v>0</v>
      </c>
      <c r="G111" s="105">
        <v>0</v>
      </c>
      <c r="H111" s="105">
        <v>0</v>
      </c>
      <c r="I111" s="106">
        <v>3539</v>
      </c>
      <c r="J111" s="105">
        <v>0</v>
      </c>
      <c r="K111" s="105"/>
      <c r="L111" s="105"/>
      <c r="M111" s="105">
        <v>0</v>
      </c>
      <c r="N111" s="105"/>
      <c r="O111" s="105">
        <v>0</v>
      </c>
      <c r="P111" s="105">
        <v>0</v>
      </c>
      <c r="Q111" s="273"/>
      <c r="R111" s="105">
        <v>0</v>
      </c>
      <c r="S111" s="105">
        <v>0</v>
      </c>
      <c r="T111" s="105">
        <v>0</v>
      </c>
      <c r="U111" s="105">
        <v>0</v>
      </c>
      <c r="V111" s="670">
        <v>0</v>
      </c>
      <c r="W111" s="97"/>
      <c r="X111" s="97">
        <f t="shared" si="1"/>
        <v>0</v>
      </c>
      <c r="Y111" s="97">
        <f>+IF((AC111-ROUND(AC111,-3)&gt;400)*AND(AC111-ROUND(AC111,-3)&lt;500),1,0)</f>
        <v>0</v>
      </c>
      <c r="AC111" s="105">
        <v>0</v>
      </c>
    </row>
    <row r="112" spans="1:29" ht="15.95" customHeight="1" thickTop="1" x14ac:dyDescent="0.2">
      <c r="A112" s="665" t="s">
        <v>119</v>
      </c>
      <c r="B112" s="42">
        <v>2008</v>
      </c>
      <c r="C112" s="148" t="s">
        <v>289</v>
      </c>
      <c r="D112" s="303">
        <v>18</v>
      </c>
      <c r="E112" s="100">
        <v>1</v>
      </c>
      <c r="F112" s="101">
        <v>4.6946972000000002</v>
      </c>
      <c r="G112" s="100">
        <v>3.1459227467811162</v>
      </c>
      <c r="H112" s="100">
        <v>37</v>
      </c>
      <c r="I112" s="101">
        <v>3</v>
      </c>
      <c r="J112" s="100">
        <v>80</v>
      </c>
      <c r="K112" s="100">
        <v>35</v>
      </c>
      <c r="L112" s="100">
        <v>27</v>
      </c>
      <c r="M112" s="100">
        <v>3</v>
      </c>
      <c r="N112" s="100"/>
      <c r="O112" s="100">
        <v>0</v>
      </c>
      <c r="P112" s="100">
        <v>0</v>
      </c>
      <c r="Q112" s="271">
        <v>1.1319999999999999</v>
      </c>
      <c r="R112" s="100"/>
      <c r="S112" s="100">
        <v>5</v>
      </c>
      <c r="T112" s="100">
        <v>3</v>
      </c>
      <c r="U112" s="100">
        <v>11</v>
      </c>
      <c r="V112" s="666">
        <v>23.825892857142854</v>
      </c>
      <c r="W112" s="97"/>
      <c r="X112" s="97">
        <f t="shared" si="1"/>
        <v>11</v>
      </c>
      <c r="Y112" s="97"/>
      <c r="AC112" s="100">
        <v>11385.597082953509</v>
      </c>
    </row>
    <row r="113" spans="1:29" ht="15.95" customHeight="1" x14ac:dyDescent="0.2">
      <c r="A113" s="665"/>
      <c r="B113" s="43"/>
      <c r="C113" s="149" t="s">
        <v>290</v>
      </c>
      <c r="D113" s="303"/>
      <c r="E113" s="100">
        <v>1</v>
      </c>
      <c r="F113" s="101">
        <v>4.6946972000000002</v>
      </c>
      <c r="G113" s="100">
        <v>0</v>
      </c>
      <c r="H113" s="100">
        <v>37</v>
      </c>
      <c r="I113" s="101">
        <v>3</v>
      </c>
      <c r="J113" s="100">
        <v>80</v>
      </c>
      <c r="K113" s="100">
        <v>35</v>
      </c>
      <c r="L113" s="100">
        <v>26</v>
      </c>
      <c r="M113" s="100">
        <v>3</v>
      </c>
      <c r="N113" s="100"/>
      <c r="O113" s="100">
        <v>0</v>
      </c>
      <c r="P113" s="100">
        <v>0</v>
      </c>
      <c r="Q113" s="271"/>
      <c r="R113" s="100"/>
      <c r="S113" s="100">
        <v>5</v>
      </c>
      <c r="T113" s="100">
        <v>3</v>
      </c>
      <c r="U113" s="100">
        <v>0</v>
      </c>
      <c r="V113" s="666">
        <v>23.825892857142854</v>
      </c>
      <c r="W113" s="97"/>
      <c r="X113" s="97">
        <f t="shared" si="1"/>
        <v>0</v>
      </c>
      <c r="Y113" s="97"/>
      <c r="AC113" s="100">
        <v>0</v>
      </c>
    </row>
    <row r="114" spans="1:29" ht="15.95" customHeight="1" x14ac:dyDescent="0.2">
      <c r="A114" s="667"/>
      <c r="B114" s="44"/>
      <c r="C114" s="150" t="s">
        <v>291</v>
      </c>
      <c r="D114" s="304">
        <v>18</v>
      </c>
      <c r="E114" s="103">
        <v>0</v>
      </c>
      <c r="F114" s="104">
        <v>0</v>
      </c>
      <c r="G114" s="103">
        <v>0</v>
      </c>
      <c r="H114" s="103">
        <v>0</v>
      </c>
      <c r="I114" s="104"/>
      <c r="J114" s="103">
        <v>0</v>
      </c>
      <c r="K114" s="103"/>
      <c r="L114" s="103"/>
      <c r="M114" s="103">
        <v>0</v>
      </c>
      <c r="N114" s="103"/>
      <c r="O114" s="103">
        <v>0</v>
      </c>
      <c r="P114" s="103">
        <v>0</v>
      </c>
      <c r="Q114" s="272">
        <v>0.39400000000000002</v>
      </c>
      <c r="R114" s="103"/>
      <c r="S114" s="103">
        <v>0</v>
      </c>
      <c r="T114" s="103">
        <v>0</v>
      </c>
      <c r="U114" s="103">
        <v>0</v>
      </c>
      <c r="V114" s="668">
        <v>0</v>
      </c>
      <c r="W114" s="97"/>
      <c r="X114" s="97">
        <f t="shared" si="1"/>
        <v>0</v>
      </c>
      <c r="Y114" s="97"/>
      <c r="AC114" s="103">
        <v>0</v>
      </c>
    </row>
    <row r="115" spans="1:29" ht="15.95" customHeight="1" x14ac:dyDescent="0.2">
      <c r="A115" s="665"/>
      <c r="B115" s="42">
        <v>2009</v>
      </c>
      <c r="C115" s="149" t="s">
        <v>412</v>
      </c>
      <c r="D115" s="303">
        <v>24</v>
      </c>
      <c r="E115" s="100">
        <v>1</v>
      </c>
      <c r="F115" s="101">
        <v>4.6946972000000002</v>
      </c>
      <c r="G115" s="100">
        <v>3.2828282828282833</v>
      </c>
      <c r="H115" s="100">
        <v>42</v>
      </c>
      <c r="I115" s="101">
        <v>3</v>
      </c>
      <c r="J115" s="100">
        <v>61</v>
      </c>
      <c r="K115" s="100">
        <v>35</v>
      </c>
      <c r="L115" s="100">
        <f>54-L112</f>
        <v>27</v>
      </c>
      <c r="M115" s="100">
        <v>3</v>
      </c>
      <c r="N115" s="100"/>
      <c r="O115" s="100">
        <v>0</v>
      </c>
      <c r="P115" s="100">
        <v>0</v>
      </c>
      <c r="Q115" s="102">
        <v>1.073</v>
      </c>
      <c r="R115" s="100"/>
      <c r="S115" s="100">
        <v>5</v>
      </c>
      <c r="T115" s="100">
        <v>3</v>
      </c>
      <c r="U115" s="100">
        <v>12</v>
      </c>
      <c r="V115" s="666">
        <v>24.523214285714285</v>
      </c>
      <c r="W115" s="100"/>
      <c r="X115" s="97">
        <f t="shared" si="1"/>
        <v>12</v>
      </c>
      <c r="Y115" s="97"/>
      <c r="AC115" s="100">
        <v>12477.52247752248</v>
      </c>
    </row>
    <row r="116" spans="1:29" ht="15.95" customHeight="1" x14ac:dyDescent="0.2">
      <c r="A116" s="665"/>
      <c r="B116" s="43"/>
      <c r="C116" s="149" t="s">
        <v>413</v>
      </c>
      <c r="D116" s="303">
        <v>24</v>
      </c>
      <c r="E116" s="100">
        <v>1</v>
      </c>
      <c r="F116" s="101">
        <v>4.6946972000000002</v>
      </c>
      <c r="G116" s="100">
        <v>0</v>
      </c>
      <c r="H116" s="100">
        <v>0</v>
      </c>
      <c r="I116" s="101"/>
      <c r="J116" s="100">
        <v>61</v>
      </c>
      <c r="K116" s="100">
        <v>35</v>
      </c>
      <c r="L116" s="100">
        <v>27</v>
      </c>
      <c r="M116" s="100">
        <v>3</v>
      </c>
      <c r="N116" s="100"/>
      <c r="O116" s="100">
        <v>0</v>
      </c>
      <c r="P116" s="100">
        <v>0</v>
      </c>
      <c r="Q116" s="271"/>
      <c r="R116" s="100"/>
      <c r="S116" s="100">
        <v>5</v>
      </c>
      <c r="T116" s="100">
        <v>3</v>
      </c>
      <c r="U116" s="100">
        <v>12</v>
      </c>
      <c r="V116" s="666">
        <v>24</v>
      </c>
      <c r="W116" s="97"/>
      <c r="X116" s="97">
        <f t="shared" si="1"/>
        <v>12</v>
      </c>
      <c r="Y116" s="97"/>
      <c r="AC116" s="100">
        <v>12477.52247752248</v>
      </c>
    </row>
    <row r="117" spans="1:29" ht="15.95" customHeight="1" thickBot="1" x14ac:dyDescent="0.25">
      <c r="A117" s="669"/>
      <c r="B117" s="45"/>
      <c r="C117" s="151" t="s">
        <v>414</v>
      </c>
      <c r="D117" s="305">
        <v>37</v>
      </c>
      <c r="E117" s="105">
        <v>1</v>
      </c>
      <c r="F117" s="106">
        <v>0</v>
      </c>
      <c r="G117" s="105">
        <v>0</v>
      </c>
      <c r="H117" s="105">
        <v>0</v>
      </c>
      <c r="I117" s="106"/>
      <c r="J117" s="105">
        <v>0</v>
      </c>
      <c r="K117" s="105"/>
      <c r="L117" s="105">
        <v>1</v>
      </c>
      <c r="M117" s="105">
        <v>0</v>
      </c>
      <c r="N117" s="105"/>
      <c r="O117" s="105">
        <v>0</v>
      </c>
      <c r="P117" s="105">
        <v>0</v>
      </c>
      <c r="Q117" s="273">
        <v>0.51900000000000002</v>
      </c>
      <c r="R117" s="105"/>
      <c r="S117" s="105">
        <v>0</v>
      </c>
      <c r="T117" s="105">
        <v>0</v>
      </c>
      <c r="U117" s="105">
        <v>12</v>
      </c>
      <c r="V117" s="670">
        <v>0</v>
      </c>
      <c r="W117" s="97"/>
      <c r="X117" s="97">
        <f t="shared" si="1"/>
        <v>12</v>
      </c>
      <c r="Y117" s="97">
        <f>+IF((AC117-ROUND(AC117,-3)&gt;400)*AND(AC117-ROUND(AC117,-3)&lt;500),1,0)</f>
        <v>1</v>
      </c>
      <c r="AC117" s="105">
        <v>12477.52247752248</v>
      </c>
    </row>
    <row r="118" spans="1:29" ht="15.95" customHeight="1" thickTop="1" x14ac:dyDescent="0.2">
      <c r="A118" s="665" t="s">
        <v>120</v>
      </c>
      <c r="B118" s="42">
        <v>2008</v>
      </c>
      <c r="C118" s="148" t="s">
        <v>289</v>
      </c>
      <c r="D118" s="303">
        <v>18</v>
      </c>
      <c r="E118" s="100">
        <v>1</v>
      </c>
      <c r="F118" s="101">
        <v>4.6946972000000002</v>
      </c>
      <c r="G118" s="100">
        <v>3.1459227467811162</v>
      </c>
      <c r="H118" s="100">
        <v>37</v>
      </c>
      <c r="I118" s="101">
        <v>3</v>
      </c>
      <c r="J118" s="100">
        <v>8</v>
      </c>
      <c r="K118" s="100">
        <v>71</v>
      </c>
      <c r="L118" s="100"/>
      <c r="M118" s="100">
        <v>3</v>
      </c>
      <c r="N118" s="100"/>
      <c r="O118" s="100">
        <v>0</v>
      </c>
      <c r="P118" s="100">
        <v>0</v>
      </c>
      <c r="Q118" s="271">
        <v>1.1319999999999999</v>
      </c>
      <c r="R118" s="100">
        <v>35</v>
      </c>
      <c r="S118" s="100">
        <v>5</v>
      </c>
      <c r="T118" s="100">
        <v>1</v>
      </c>
      <c r="U118" s="100">
        <v>11</v>
      </c>
      <c r="V118" s="666">
        <v>23.825892857142854</v>
      </c>
      <c r="W118" s="97"/>
      <c r="X118" s="97">
        <f t="shared" si="1"/>
        <v>11</v>
      </c>
      <c r="Y118" s="97"/>
      <c r="AC118" s="100">
        <v>11385.597082953509</v>
      </c>
    </row>
    <row r="119" spans="1:29" ht="15.95" customHeight="1" x14ac:dyDescent="0.2">
      <c r="A119" s="665"/>
      <c r="B119" s="43"/>
      <c r="C119" s="149" t="s">
        <v>290</v>
      </c>
      <c r="D119" s="303">
        <v>18</v>
      </c>
      <c r="E119" s="100">
        <v>1</v>
      </c>
      <c r="F119" s="101">
        <v>2.2613579999999995</v>
      </c>
      <c r="G119" s="100">
        <v>0</v>
      </c>
      <c r="H119" s="100">
        <v>37</v>
      </c>
      <c r="I119" s="101">
        <v>3</v>
      </c>
      <c r="J119" s="100">
        <v>1</v>
      </c>
      <c r="K119" s="100"/>
      <c r="L119" s="100"/>
      <c r="M119" s="100">
        <v>0</v>
      </c>
      <c r="N119" s="100"/>
      <c r="O119" s="100">
        <v>0</v>
      </c>
      <c r="P119" s="100">
        <v>0</v>
      </c>
      <c r="Q119" s="271"/>
      <c r="R119" s="100">
        <v>0</v>
      </c>
      <c r="S119" s="100">
        <v>5</v>
      </c>
      <c r="T119" s="100">
        <v>0</v>
      </c>
      <c r="U119" s="100">
        <v>0</v>
      </c>
      <c r="V119" s="666">
        <v>1</v>
      </c>
      <c r="W119" s="97"/>
      <c r="X119" s="97">
        <f t="shared" si="1"/>
        <v>0</v>
      </c>
      <c r="Y119" s="97"/>
      <c r="AC119" s="100">
        <v>0</v>
      </c>
    </row>
    <row r="120" spans="1:29" ht="15.95" customHeight="1" x14ac:dyDescent="0.2">
      <c r="A120" s="667"/>
      <c r="B120" s="44"/>
      <c r="C120" s="150" t="s">
        <v>291</v>
      </c>
      <c r="D120" s="304">
        <v>51</v>
      </c>
      <c r="E120" s="103">
        <v>0</v>
      </c>
      <c r="F120" s="104">
        <v>1.0197824000000002</v>
      </c>
      <c r="G120" s="103">
        <v>0.2174535050071531</v>
      </c>
      <c r="H120" s="103">
        <v>0</v>
      </c>
      <c r="I120" s="104"/>
      <c r="J120" s="103">
        <v>0</v>
      </c>
      <c r="K120" s="103"/>
      <c r="L120" s="103"/>
      <c r="M120" s="103">
        <v>0</v>
      </c>
      <c r="N120" s="103"/>
      <c r="O120" s="103">
        <v>0</v>
      </c>
      <c r="P120" s="103">
        <v>0</v>
      </c>
      <c r="Q120" s="272">
        <v>0.74099999999999999</v>
      </c>
      <c r="R120" s="103">
        <v>0</v>
      </c>
      <c r="S120" s="103">
        <v>0</v>
      </c>
      <c r="T120" s="103">
        <v>0</v>
      </c>
      <c r="U120" s="103">
        <v>0</v>
      </c>
      <c r="V120" s="668">
        <v>0</v>
      </c>
      <c r="W120" s="97"/>
      <c r="X120" s="97">
        <f t="shared" si="1"/>
        <v>0</v>
      </c>
      <c r="Y120" s="97"/>
      <c r="AC120" s="103">
        <v>0</v>
      </c>
    </row>
    <row r="121" spans="1:29" ht="15.95" customHeight="1" x14ac:dyDescent="0.2">
      <c r="A121" s="665"/>
      <c r="B121" s="42">
        <v>2009</v>
      </c>
      <c r="C121" s="149" t="s">
        <v>412</v>
      </c>
      <c r="D121" s="303">
        <v>24</v>
      </c>
      <c r="E121" s="100">
        <v>1</v>
      </c>
      <c r="F121" s="101">
        <v>4.6946972000000002</v>
      </c>
      <c r="G121" s="100">
        <v>3.2525252525252526</v>
      </c>
      <c r="H121" s="100">
        <v>42</v>
      </c>
      <c r="I121" s="101">
        <v>3</v>
      </c>
      <c r="J121" s="100">
        <v>7</v>
      </c>
      <c r="K121" s="100">
        <v>71</v>
      </c>
      <c r="L121" s="100"/>
      <c r="M121" s="100">
        <v>3</v>
      </c>
      <c r="N121" s="100"/>
      <c r="O121" s="100">
        <v>0</v>
      </c>
      <c r="P121" s="100">
        <v>0</v>
      </c>
      <c r="Q121" s="102">
        <v>1.073</v>
      </c>
      <c r="R121" s="100">
        <v>36</v>
      </c>
      <c r="S121" s="100">
        <v>5</v>
      </c>
      <c r="T121" s="100">
        <v>1</v>
      </c>
      <c r="U121" s="100">
        <v>12</v>
      </c>
      <c r="V121" s="666">
        <v>24.523214285714285</v>
      </c>
      <c r="W121" s="100"/>
      <c r="X121" s="97">
        <f t="shared" si="1"/>
        <v>12</v>
      </c>
      <c r="Y121" s="97"/>
      <c r="AC121" s="100">
        <v>12477.52247752248</v>
      </c>
    </row>
    <row r="122" spans="1:29" ht="15.95" customHeight="1" x14ac:dyDescent="0.2">
      <c r="A122" s="665"/>
      <c r="B122" s="43"/>
      <c r="C122" s="149" t="s">
        <v>413</v>
      </c>
      <c r="D122" s="303">
        <v>24</v>
      </c>
      <c r="E122" s="100">
        <v>1</v>
      </c>
      <c r="F122" s="101">
        <v>4.6946972000000002</v>
      </c>
      <c r="G122" s="100">
        <v>0</v>
      </c>
      <c r="H122" s="100">
        <v>42</v>
      </c>
      <c r="I122" s="101">
        <v>3</v>
      </c>
      <c r="J122" s="100">
        <v>7</v>
      </c>
      <c r="K122" s="100">
        <v>2</v>
      </c>
      <c r="L122" s="100"/>
      <c r="M122" s="100">
        <v>0</v>
      </c>
      <c r="N122" s="100"/>
      <c r="O122" s="100">
        <v>0</v>
      </c>
      <c r="P122" s="100">
        <v>0</v>
      </c>
      <c r="Q122" s="271"/>
      <c r="R122" s="100">
        <v>36</v>
      </c>
      <c r="S122" s="100">
        <v>5</v>
      </c>
      <c r="T122" s="100">
        <v>1</v>
      </c>
      <c r="U122" s="100">
        <v>0</v>
      </c>
      <c r="V122" s="666">
        <v>0</v>
      </c>
      <c r="W122" s="97"/>
      <c r="X122" s="97">
        <f t="shared" si="1"/>
        <v>0</v>
      </c>
      <c r="Y122" s="97"/>
      <c r="AC122" s="100">
        <v>0</v>
      </c>
    </row>
    <row r="123" spans="1:29" ht="15.95" customHeight="1" thickBot="1" x14ac:dyDescent="0.25">
      <c r="A123" s="669"/>
      <c r="B123" s="45"/>
      <c r="C123" s="151" t="s">
        <v>414</v>
      </c>
      <c r="D123" s="305"/>
      <c r="E123" s="105">
        <v>0</v>
      </c>
      <c r="F123" s="106">
        <v>2.4333392000000003</v>
      </c>
      <c r="G123" s="105">
        <v>0</v>
      </c>
      <c r="H123" s="105">
        <v>0</v>
      </c>
      <c r="I123" s="106"/>
      <c r="J123" s="105">
        <v>6</v>
      </c>
      <c r="K123" s="105">
        <v>71</v>
      </c>
      <c r="L123" s="105"/>
      <c r="M123" s="105">
        <v>3</v>
      </c>
      <c r="N123" s="105"/>
      <c r="O123" s="105">
        <v>0</v>
      </c>
      <c r="P123" s="105">
        <v>1</v>
      </c>
      <c r="Q123" s="273">
        <v>0.17899999999999999</v>
      </c>
      <c r="R123" s="105">
        <v>52</v>
      </c>
      <c r="S123" s="105">
        <v>0</v>
      </c>
      <c r="T123" s="105">
        <v>0</v>
      </c>
      <c r="U123" s="105">
        <v>0</v>
      </c>
      <c r="V123" s="670">
        <v>0</v>
      </c>
      <c r="W123" s="97"/>
      <c r="X123" s="97">
        <f t="shared" si="1"/>
        <v>0</v>
      </c>
      <c r="Y123" s="97">
        <f>+IF((AC123-ROUND(AC123,-3)&gt;400)*AND(AC123-ROUND(AC123,-3)&lt;500),1,0)</f>
        <v>0</v>
      </c>
      <c r="AC123" s="105">
        <v>0</v>
      </c>
    </row>
    <row r="124" spans="1:29" ht="15.95" customHeight="1" thickTop="1" x14ac:dyDescent="0.2">
      <c r="A124" s="665" t="s">
        <v>121</v>
      </c>
      <c r="B124" s="42">
        <v>2008</v>
      </c>
      <c r="C124" s="148" t="s">
        <v>289</v>
      </c>
      <c r="D124" s="303">
        <f>18+1</f>
        <v>19</v>
      </c>
      <c r="E124" s="100"/>
      <c r="F124" s="101">
        <v>4.6946972000000002</v>
      </c>
      <c r="G124" s="100"/>
      <c r="H124" s="100">
        <v>37</v>
      </c>
      <c r="I124" s="101"/>
      <c r="J124" s="100"/>
      <c r="K124" s="100">
        <v>35</v>
      </c>
      <c r="L124" s="100"/>
      <c r="M124" s="100">
        <v>3</v>
      </c>
      <c r="N124" s="100"/>
      <c r="O124" s="100">
        <v>0</v>
      </c>
      <c r="P124" s="100">
        <v>0</v>
      </c>
      <c r="Q124" s="271">
        <v>1.1319999999999999</v>
      </c>
      <c r="R124" s="100">
        <v>32</v>
      </c>
      <c r="S124" s="100">
        <v>5</v>
      </c>
      <c r="T124" s="100">
        <v>1</v>
      </c>
      <c r="U124" s="100">
        <v>11</v>
      </c>
      <c r="V124" s="666"/>
      <c r="W124" s="97"/>
      <c r="X124" s="97">
        <f t="shared" si="1"/>
        <v>11</v>
      </c>
      <c r="Y124" s="97"/>
      <c r="AC124" s="100">
        <v>11385.597082953509</v>
      </c>
    </row>
    <row r="125" spans="1:29" ht="15.95" customHeight="1" x14ac:dyDescent="0.2">
      <c r="A125" s="665"/>
      <c r="B125" s="43"/>
      <c r="C125" s="149" t="s">
        <v>290</v>
      </c>
      <c r="D125" s="303"/>
      <c r="E125" s="100"/>
      <c r="F125" s="101">
        <v>4.6946972000000002</v>
      </c>
      <c r="G125" s="100"/>
      <c r="H125" s="100">
        <v>0</v>
      </c>
      <c r="I125" s="101"/>
      <c r="J125" s="100"/>
      <c r="K125" s="100"/>
      <c r="L125" s="100"/>
      <c r="M125" s="100">
        <v>3</v>
      </c>
      <c r="N125" s="100"/>
      <c r="O125" s="100">
        <v>0</v>
      </c>
      <c r="P125" s="100">
        <v>0</v>
      </c>
      <c r="Q125" s="271">
        <v>1.1319999999999999</v>
      </c>
      <c r="R125" s="100">
        <v>32</v>
      </c>
      <c r="S125" s="100">
        <v>5</v>
      </c>
      <c r="T125" s="100">
        <v>1</v>
      </c>
      <c r="U125" s="100">
        <v>11</v>
      </c>
      <c r="V125" s="666"/>
      <c r="W125" s="97"/>
      <c r="X125" s="97">
        <f t="shared" si="1"/>
        <v>11</v>
      </c>
      <c r="Y125" s="97"/>
      <c r="AC125" s="100">
        <v>11373.746581586145</v>
      </c>
    </row>
    <row r="126" spans="1:29" ht="15.95" customHeight="1" x14ac:dyDescent="0.2">
      <c r="A126" s="667"/>
      <c r="B126" s="44"/>
      <c r="C126" s="150" t="s">
        <v>291</v>
      </c>
      <c r="D126" s="304"/>
      <c r="E126" s="103"/>
      <c r="F126" s="104">
        <v>0</v>
      </c>
      <c r="G126" s="103"/>
      <c r="H126" s="103">
        <v>0</v>
      </c>
      <c r="I126" s="104"/>
      <c r="J126" s="103"/>
      <c r="K126" s="103"/>
      <c r="L126" s="103"/>
      <c r="M126" s="103">
        <v>0</v>
      </c>
      <c r="N126" s="103"/>
      <c r="O126" s="103">
        <v>0</v>
      </c>
      <c r="P126" s="103">
        <v>0</v>
      </c>
      <c r="Q126" s="272"/>
      <c r="R126" s="103">
        <v>0</v>
      </c>
      <c r="S126" s="103">
        <v>0</v>
      </c>
      <c r="T126" s="103">
        <v>0</v>
      </c>
      <c r="U126" s="103">
        <v>0</v>
      </c>
      <c r="V126" s="668"/>
      <c r="W126" s="97"/>
      <c r="X126" s="97">
        <f t="shared" si="1"/>
        <v>0</v>
      </c>
      <c r="Y126" s="97"/>
      <c r="AC126" s="103">
        <v>11.850501367365542</v>
      </c>
    </row>
    <row r="127" spans="1:29" ht="15.95" customHeight="1" x14ac:dyDescent="0.2">
      <c r="A127" s="665"/>
      <c r="B127" s="42">
        <v>2009</v>
      </c>
      <c r="C127" s="149" t="s">
        <v>412</v>
      </c>
      <c r="D127" s="303">
        <v>24</v>
      </c>
      <c r="E127" s="100"/>
      <c r="F127" s="101">
        <v>4.6946972000000002</v>
      </c>
      <c r="G127" s="100"/>
      <c r="H127" s="100">
        <v>42</v>
      </c>
      <c r="I127" s="101"/>
      <c r="J127" s="100"/>
      <c r="K127" s="100">
        <v>35</v>
      </c>
      <c r="L127" s="100"/>
      <c r="M127" s="100">
        <v>3</v>
      </c>
      <c r="N127" s="100"/>
      <c r="O127" s="100">
        <v>0</v>
      </c>
      <c r="P127" s="100">
        <v>0</v>
      </c>
      <c r="Q127" s="102">
        <v>1.073</v>
      </c>
      <c r="R127" s="100">
        <v>32</v>
      </c>
      <c r="S127" s="100">
        <v>5</v>
      </c>
      <c r="T127" s="100">
        <v>1</v>
      </c>
      <c r="U127" s="100">
        <v>12</v>
      </c>
      <c r="V127" s="666"/>
      <c r="W127" s="100"/>
      <c r="X127" s="97">
        <f t="shared" si="1"/>
        <v>12</v>
      </c>
      <c r="Y127" s="97"/>
      <c r="AC127" s="100">
        <v>12477.52247752248</v>
      </c>
    </row>
    <row r="128" spans="1:29" ht="15.95" customHeight="1" x14ac:dyDescent="0.2">
      <c r="A128" s="665"/>
      <c r="B128" s="43"/>
      <c r="C128" s="149" t="s">
        <v>413</v>
      </c>
      <c r="D128" s="303">
        <v>24</v>
      </c>
      <c r="E128" s="100"/>
      <c r="F128" s="101">
        <v>4.6946972000000002</v>
      </c>
      <c r="G128" s="100"/>
      <c r="H128" s="100">
        <v>42</v>
      </c>
      <c r="I128" s="101"/>
      <c r="J128" s="100"/>
      <c r="K128" s="100">
        <v>35</v>
      </c>
      <c r="L128" s="100"/>
      <c r="M128" s="100">
        <v>3</v>
      </c>
      <c r="N128" s="100">
        <v>30</v>
      </c>
      <c r="O128" s="100">
        <v>0</v>
      </c>
      <c r="P128" s="100">
        <v>0</v>
      </c>
      <c r="Q128" s="102">
        <v>1.073</v>
      </c>
      <c r="R128" s="100">
        <v>32</v>
      </c>
      <c r="S128" s="100">
        <v>5</v>
      </c>
      <c r="T128" s="100">
        <v>1</v>
      </c>
      <c r="U128" s="100">
        <v>0</v>
      </c>
      <c r="V128" s="666"/>
      <c r="W128" s="97"/>
      <c r="X128" s="97">
        <f t="shared" si="1"/>
        <v>0</v>
      </c>
      <c r="Y128" s="97"/>
      <c r="AC128" s="100">
        <v>0</v>
      </c>
    </row>
    <row r="129" spans="1:29" ht="15.75" customHeight="1" thickBot="1" x14ac:dyDescent="0.25">
      <c r="A129" s="669"/>
      <c r="B129" s="45"/>
      <c r="C129" s="151" t="s">
        <v>414</v>
      </c>
      <c r="D129" s="305">
        <v>18</v>
      </c>
      <c r="E129" s="105"/>
      <c r="F129" s="106">
        <v>0</v>
      </c>
      <c r="G129" s="105"/>
      <c r="H129" s="105">
        <v>43</v>
      </c>
      <c r="I129" s="106"/>
      <c r="J129" s="105"/>
      <c r="K129" s="105"/>
      <c r="L129" s="105"/>
      <c r="M129" s="105">
        <v>0</v>
      </c>
      <c r="N129" s="105"/>
      <c r="O129" s="105">
        <v>0</v>
      </c>
      <c r="P129" s="105">
        <v>0</v>
      </c>
      <c r="Q129" s="273"/>
      <c r="R129" s="105">
        <v>0</v>
      </c>
      <c r="S129" s="105">
        <v>0</v>
      </c>
      <c r="T129" s="105">
        <v>0</v>
      </c>
      <c r="U129" s="105">
        <v>0</v>
      </c>
      <c r="V129" s="670"/>
      <c r="W129" s="97"/>
      <c r="X129" s="97">
        <f t="shared" si="1"/>
        <v>0</v>
      </c>
      <c r="Y129" s="97">
        <f>+IF((AC129-ROUND(AC129,-3)&gt;400)*AND(AC129-ROUND(AC129,-3)&lt;500),1,0)</f>
        <v>0</v>
      </c>
      <c r="AC129" s="105">
        <v>0</v>
      </c>
    </row>
    <row r="130" spans="1:29" ht="17.25" customHeight="1" thickTop="1" x14ac:dyDescent="0.2">
      <c r="A130" s="665" t="s">
        <v>122</v>
      </c>
      <c r="B130" s="42">
        <v>2008</v>
      </c>
      <c r="C130" s="148" t="s">
        <v>289</v>
      </c>
      <c r="D130" s="303">
        <v>110</v>
      </c>
      <c r="E130" s="100">
        <v>7</v>
      </c>
      <c r="F130" s="101">
        <v>28.168224000000002</v>
      </c>
      <c r="G130" s="100">
        <v>18.959942775393422</v>
      </c>
      <c r="H130" s="100">
        <v>37</v>
      </c>
      <c r="I130" s="101">
        <v>19</v>
      </c>
      <c r="J130" s="100">
        <v>12</v>
      </c>
      <c r="K130" s="100">
        <v>71</v>
      </c>
      <c r="L130" s="100">
        <v>63</v>
      </c>
      <c r="M130" s="100">
        <v>19</v>
      </c>
      <c r="N130" s="100"/>
      <c r="O130" s="100">
        <v>1</v>
      </c>
      <c r="P130" s="100">
        <v>1</v>
      </c>
      <c r="Q130" s="271">
        <v>9.0559999999999992</v>
      </c>
      <c r="R130" s="100">
        <v>42</v>
      </c>
      <c r="S130" s="100">
        <v>28</v>
      </c>
      <c r="T130" s="100">
        <v>3</v>
      </c>
      <c r="U130" s="100">
        <v>11</v>
      </c>
      <c r="V130" s="666">
        <v>36.53303571428571</v>
      </c>
      <c r="W130" s="97"/>
      <c r="X130" s="97">
        <f t="shared" si="1"/>
        <v>11</v>
      </c>
      <c r="Y130" s="97"/>
      <c r="AC130" s="100">
        <v>11385.597082953509</v>
      </c>
    </row>
    <row r="131" spans="1:29" ht="15.95" customHeight="1" x14ac:dyDescent="0.2">
      <c r="A131" s="665"/>
      <c r="B131" s="43"/>
      <c r="C131" s="149" t="s">
        <v>290</v>
      </c>
      <c r="D131" s="303">
        <v>110</v>
      </c>
      <c r="E131" s="100">
        <v>0</v>
      </c>
      <c r="F131" s="101">
        <v>0</v>
      </c>
      <c r="G131" s="100">
        <v>0</v>
      </c>
      <c r="H131" s="100">
        <v>0</v>
      </c>
      <c r="I131" s="101"/>
      <c r="J131" s="100">
        <v>12</v>
      </c>
      <c r="K131" s="100"/>
      <c r="L131" s="100">
        <v>63</v>
      </c>
      <c r="M131" s="100">
        <v>0</v>
      </c>
      <c r="N131" s="100"/>
      <c r="O131" s="100">
        <v>0</v>
      </c>
      <c r="P131" s="100">
        <v>1</v>
      </c>
      <c r="Q131" s="271"/>
      <c r="R131" s="100">
        <v>42</v>
      </c>
      <c r="S131" s="100">
        <v>28</v>
      </c>
      <c r="T131" s="100">
        <v>0</v>
      </c>
      <c r="U131" s="100">
        <v>0</v>
      </c>
      <c r="V131" s="666">
        <v>0.86607142857142849</v>
      </c>
      <c r="W131" s="97"/>
      <c r="X131" s="97">
        <f t="shared" si="1"/>
        <v>0</v>
      </c>
      <c r="Y131" s="97"/>
      <c r="AC131" s="100">
        <v>0</v>
      </c>
    </row>
    <row r="132" spans="1:29" ht="15.95" customHeight="1" x14ac:dyDescent="0.2">
      <c r="A132" s="667"/>
      <c r="B132" s="44"/>
      <c r="C132" s="150" t="s">
        <v>291</v>
      </c>
      <c r="D132" s="304"/>
      <c r="E132" s="103">
        <v>0</v>
      </c>
      <c r="F132" s="104">
        <v>28.843688399999998</v>
      </c>
      <c r="G132" s="103">
        <v>19.968526466380546</v>
      </c>
      <c r="H132" s="103">
        <v>0</v>
      </c>
      <c r="I132" s="104">
        <v>19</v>
      </c>
      <c r="J132" s="103">
        <v>0</v>
      </c>
      <c r="K132" s="103"/>
      <c r="L132" s="103"/>
      <c r="M132" s="103">
        <v>23</v>
      </c>
      <c r="N132" s="103"/>
      <c r="O132" s="103">
        <v>0</v>
      </c>
      <c r="P132" s="103">
        <v>0</v>
      </c>
      <c r="Q132" s="272">
        <v>0.95199999999999996</v>
      </c>
      <c r="R132" s="103">
        <v>4</v>
      </c>
      <c r="S132" s="103">
        <v>2</v>
      </c>
      <c r="T132" s="103">
        <v>3</v>
      </c>
      <c r="U132" s="103">
        <v>11</v>
      </c>
      <c r="V132" s="668">
        <v>35</v>
      </c>
      <c r="W132" s="97"/>
      <c r="X132" s="97">
        <f t="shared" si="1"/>
        <v>11</v>
      </c>
      <c r="Y132" s="97"/>
      <c r="AC132" s="103">
        <v>11385.597082953509</v>
      </c>
    </row>
    <row r="133" spans="1:29" ht="15.95" customHeight="1" x14ac:dyDescent="0.2">
      <c r="A133" s="665"/>
      <c r="B133" s="42">
        <v>2009</v>
      </c>
      <c r="C133" s="149" t="s">
        <v>412</v>
      </c>
      <c r="D133" s="303">
        <v>146</v>
      </c>
      <c r="E133" s="100">
        <v>7</v>
      </c>
      <c r="F133" s="101">
        <v>28.168224000000002</v>
      </c>
      <c r="G133" s="100">
        <v>19.702741702741704</v>
      </c>
      <c r="H133" s="100">
        <v>42</v>
      </c>
      <c r="I133" s="101">
        <v>19</v>
      </c>
      <c r="J133" s="100">
        <v>10</v>
      </c>
      <c r="K133" s="100">
        <v>71</v>
      </c>
      <c r="L133" s="100">
        <f>126-L130</f>
        <v>63</v>
      </c>
      <c r="M133" s="100">
        <v>19</v>
      </c>
      <c r="N133" s="100"/>
      <c r="O133" s="100">
        <v>1</v>
      </c>
      <c r="P133" s="100">
        <v>1</v>
      </c>
      <c r="Q133" s="102">
        <v>8.5830000000000002</v>
      </c>
      <c r="R133" s="100">
        <v>43</v>
      </c>
      <c r="S133" s="100">
        <v>28</v>
      </c>
      <c r="T133" s="100">
        <v>3</v>
      </c>
      <c r="U133" s="100">
        <v>12</v>
      </c>
      <c r="V133" s="666">
        <v>39.355357142857144</v>
      </c>
      <c r="W133" s="100"/>
      <c r="X133" s="97">
        <f t="shared" ref="X133:X196" si="2">+ROUND(AC133/1000,0)</f>
        <v>12</v>
      </c>
      <c r="Y133" s="97"/>
      <c r="AC133" s="100">
        <v>12477.52247752248</v>
      </c>
    </row>
    <row r="134" spans="1:29" ht="15.95" customHeight="1" x14ac:dyDescent="0.2">
      <c r="A134" s="665"/>
      <c r="B134" s="43"/>
      <c r="C134" s="149" t="s">
        <v>413</v>
      </c>
      <c r="D134" s="303">
        <v>146</v>
      </c>
      <c r="E134" s="100">
        <v>0</v>
      </c>
      <c r="F134" s="101">
        <v>0</v>
      </c>
      <c r="G134" s="100">
        <v>0</v>
      </c>
      <c r="H134" s="100">
        <v>0</v>
      </c>
      <c r="I134" s="101">
        <v>19</v>
      </c>
      <c r="J134" s="100">
        <v>10</v>
      </c>
      <c r="K134" s="100">
        <v>71</v>
      </c>
      <c r="L134" s="100">
        <v>63</v>
      </c>
      <c r="M134" s="100">
        <v>0</v>
      </c>
      <c r="N134" s="100">
        <v>200</v>
      </c>
      <c r="O134" s="100">
        <v>1</v>
      </c>
      <c r="P134" s="100">
        <v>1</v>
      </c>
      <c r="Q134" s="271"/>
      <c r="R134" s="100">
        <v>43</v>
      </c>
      <c r="S134" s="100">
        <v>28</v>
      </c>
      <c r="T134" s="100">
        <v>0</v>
      </c>
      <c r="U134" s="100">
        <v>0</v>
      </c>
      <c r="V134" s="666">
        <v>0</v>
      </c>
      <c r="W134" s="97"/>
      <c r="X134" s="97">
        <f t="shared" si="2"/>
        <v>0</v>
      </c>
      <c r="Y134" s="97"/>
      <c r="AC134" s="100">
        <v>0</v>
      </c>
    </row>
    <row r="135" spans="1:29" ht="15.95" customHeight="1" thickBot="1" x14ac:dyDescent="0.25">
      <c r="A135" s="669"/>
      <c r="B135" s="45"/>
      <c r="C135" s="151" t="s">
        <v>414</v>
      </c>
      <c r="D135" s="305"/>
      <c r="E135" s="105">
        <v>0</v>
      </c>
      <c r="F135" s="106">
        <v>55.636290000000002</v>
      </c>
      <c r="G135" s="105">
        <v>19.603174603174605</v>
      </c>
      <c r="H135" s="105">
        <v>0</v>
      </c>
      <c r="I135" s="106">
        <f>33+19-1</f>
        <v>51</v>
      </c>
      <c r="J135" s="105">
        <v>0</v>
      </c>
      <c r="K135" s="105">
        <v>71</v>
      </c>
      <c r="L135" s="105">
        <v>0.3</v>
      </c>
      <c r="M135" s="105">
        <v>30</v>
      </c>
      <c r="N135" s="105"/>
      <c r="O135" s="105">
        <v>3</v>
      </c>
      <c r="P135" s="105">
        <v>0</v>
      </c>
      <c r="Q135" s="273">
        <v>23.541</v>
      </c>
      <c r="R135" s="105">
        <v>5</v>
      </c>
      <c r="S135" s="105">
        <v>0</v>
      </c>
      <c r="T135" s="105">
        <v>2</v>
      </c>
      <c r="U135" s="105">
        <v>54</v>
      </c>
      <c r="V135" s="670">
        <v>36</v>
      </c>
      <c r="W135" s="97"/>
      <c r="X135" s="97">
        <f t="shared" si="2"/>
        <v>54</v>
      </c>
      <c r="Y135" s="97">
        <f>+IF((AC135-ROUND(AC135,-3)&gt;400)*AND(AC135-ROUND(AC135,-3)&lt;500),1,0)</f>
        <v>0</v>
      </c>
      <c r="AC135" s="105">
        <v>53880.959040959046</v>
      </c>
    </row>
    <row r="136" spans="1:29" ht="15.95" customHeight="1" thickTop="1" x14ac:dyDescent="0.2">
      <c r="A136" s="665" t="s">
        <v>72</v>
      </c>
      <c r="B136" s="42">
        <v>2008</v>
      </c>
      <c r="C136" s="148" t="s">
        <v>289</v>
      </c>
      <c r="D136" s="303">
        <v>110</v>
      </c>
      <c r="E136" s="100">
        <v>7</v>
      </c>
      <c r="F136" s="101">
        <v>28.168224000000002</v>
      </c>
      <c r="G136" s="100">
        <v>18.871244635193136</v>
      </c>
      <c r="H136" s="100">
        <v>37</v>
      </c>
      <c r="I136" s="101">
        <v>19</v>
      </c>
      <c r="J136" s="100">
        <v>8</v>
      </c>
      <c r="K136" s="100">
        <v>18</v>
      </c>
      <c r="L136" s="100"/>
      <c r="M136" s="100">
        <v>19</v>
      </c>
      <c r="N136" s="100"/>
      <c r="O136" s="100">
        <v>1</v>
      </c>
      <c r="P136" s="100">
        <v>1</v>
      </c>
      <c r="Q136" s="271">
        <v>9.0559999999999992</v>
      </c>
      <c r="R136" s="100">
        <v>37</v>
      </c>
      <c r="S136" s="100">
        <v>28</v>
      </c>
      <c r="T136" s="100">
        <v>3</v>
      </c>
      <c r="U136" s="100">
        <v>11</v>
      </c>
      <c r="V136" s="666"/>
      <c r="W136" s="97"/>
      <c r="X136" s="97">
        <f t="shared" si="2"/>
        <v>11</v>
      </c>
      <c r="Y136" s="97"/>
      <c r="AC136" s="100">
        <v>11385.597082953509</v>
      </c>
    </row>
    <row r="137" spans="1:29" ht="15.95" customHeight="1" x14ac:dyDescent="0.2">
      <c r="A137" s="665" t="s">
        <v>73</v>
      </c>
      <c r="B137" s="43"/>
      <c r="C137" s="149" t="s">
        <v>290</v>
      </c>
      <c r="D137" s="303"/>
      <c r="E137" s="100">
        <v>7</v>
      </c>
      <c r="F137" s="101">
        <v>28.168224000000002</v>
      </c>
      <c r="G137" s="100">
        <v>18.871244635193136</v>
      </c>
      <c r="H137" s="100">
        <v>37</v>
      </c>
      <c r="I137" s="101">
        <v>19</v>
      </c>
      <c r="J137" s="100">
        <v>8</v>
      </c>
      <c r="K137" s="100">
        <v>18</v>
      </c>
      <c r="L137" s="100"/>
      <c r="M137" s="100">
        <v>19</v>
      </c>
      <c r="N137" s="100"/>
      <c r="O137" s="100">
        <v>1</v>
      </c>
      <c r="P137" s="100">
        <v>1</v>
      </c>
      <c r="Q137" s="271">
        <v>9.0559999999999992</v>
      </c>
      <c r="R137" s="100">
        <v>37</v>
      </c>
      <c r="S137" s="100">
        <v>28</v>
      </c>
      <c r="T137" s="100">
        <v>3</v>
      </c>
      <c r="U137" s="100">
        <v>11</v>
      </c>
      <c r="V137" s="666"/>
      <c r="W137" s="97"/>
      <c r="X137" s="97">
        <f t="shared" si="2"/>
        <v>11</v>
      </c>
      <c r="Y137" s="97"/>
      <c r="AC137" s="100">
        <v>11385.597082953509</v>
      </c>
    </row>
    <row r="138" spans="1:29" ht="15.95" customHeight="1" x14ac:dyDescent="0.2">
      <c r="A138" s="667"/>
      <c r="B138" s="44"/>
      <c r="C138" s="150" t="s">
        <v>291</v>
      </c>
      <c r="D138" s="304"/>
      <c r="E138" s="103">
        <v>0</v>
      </c>
      <c r="F138" s="104">
        <v>0</v>
      </c>
      <c r="G138" s="103">
        <v>0</v>
      </c>
      <c r="H138" s="103">
        <v>0</v>
      </c>
      <c r="I138" s="104"/>
      <c r="J138" s="103">
        <v>0</v>
      </c>
      <c r="K138" s="103"/>
      <c r="L138" s="103"/>
      <c r="M138" s="103">
        <v>0</v>
      </c>
      <c r="N138" s="103"/>
      <c r="O138" s="103">
        <v>0</v>
      </c>
      <c r="P138" s="103">
        <v>0</v>
      </c>
      <c r="Q138" s="272"/>
      <c r="R138" s="103">
        <v>0</v>
      </c>
      <c r="S138" s="103">
        <v>0</v>
      </c>
      <c r="T138" s="103">
        <v>0</v>
      </c>
      <c r="U138" s="103">
        <v>0</v>
      </c>
      <c r="V138" s="668"/>
      <c r="W138" s="97"/>
      <c r="X138" s="97">
        <f t="shared" si="2"/>
        <v>0</v>
      </c>
      <c r="Y138" s="97"/>
      <c r="AC138" s="103">
        <v>0</v>
      </c>
    </row>
    <row r="139" spans="1:29" ht="15.95" customHeight="1" x14ac:dyDescent="0.2">
      <c r="A139" s="665"/>
      <c r="B139" s="42">
        <v>2009</v>
      </c>
      <c r="C139" s="149" t="s">
        <v>412</v>
      </c>
      <c r="D139" s="303">
        <v>146</v>
      </c>
      <c r="E139" s="100">
        <v>7</v>
      </c>
      <c r="F139" s="101">
        <v>28.168224000000002</v>
      </c>
      <c r="G139" s="100">
        <v>19.774891774891778</v>
      </c>
      <c r="H139" s="100">
        <v>42</v>
      </c>
      <c r="I139" s="101">
        <v>19</v>
      </c>
      <c r="J139" s="100">
        <v>7</v>
      </c>
      <c r="K139" s="100">
        <v>18</v>
      </c>
      <c r="L139" s="100"/>
      <c r="M139" s="100">
        <v>19</v>
      </c>
      <c r="N139" s="100"/>
      <c r="O139" s="100">
        <v>1</v>
      </c>
      <c r="P139" s="100">
        <v>1</v>
      </c>
      <c r="Q139" s="102">
        <v>8.5830000000000002</v>
      </c>
      <c r="R139" s="100">
        <v>40</v>
      </c>
      <c r="S139" s="100">
        <v>28</v>
      </c>
      <c r="T139" s="100">
        <v>3</v>
      </c>
      <c r="U139" s="100">
        <v>12</v>
      </c>
      <c r="V139" s="666"/>
      <c r="W139" s="100"/>
      <c r="X139" s="97">
        <f t="shared" si="2"/>
        <v>12</v>
      </c>
      <c r="Y139" s="97"/>
      <c r="AC139" s="100">
        <v>12477.52247752248</v>
      </c>
    </row>
    <row r="140" spans="1:29" ht="15.95" customHeight="1" x14ac:dyDescent="0.2">
      <c r="A140" s="665"/>
      <c r="B140" s="43"/>
      <c r="C140" s="149" t="s">
        <v>413</v>
      </c>
      <c r="D140" s="303">
        <v>146</v>
      </c>
      <c r="E140" s="100">
        <v>7</v>
      </c>
      <c r="F140" s="101">
        <v>28.168224000000002</v>
      </c>
      <c r="G140" s="100">
        <v>19.774891774891778</v>
      </c>
      <c r="H140" s="100">
        <v>1</v>
      </c>
      <c r="I140" s="101">
        <v>19</v>
      </c>
      <c r="J140" s="100">
        <v>7</v>
      </c>
      <c r="K140" s="100">
        <v>18</v>
      </c>
      <c r="L140" s="100"/>
      <c r="M140" s="100">
        <v>19</v>
      </c>
      <c r="N140" s="100"/>
      <c r="O140" s="100">
        <v>1</v>
      </c>
      <c r="P140" s="100">
        <v>1</v>
      </c>
      <c r="Q140" s="102">
        <v>8.5830000000000002</v>
      </c>
      <c r="R140" s="100">
        <v>40</v>
      </c>
      <c r="S140" s="100">
        <v>28</v>
      </c>
      <c r="T140" s="100">
        <v>3</v>
      </c>
      <c r="U140" s="100">
        <v>12</v>
      </c>
      <c r="V140" s="666"/>
      <c r="W140" s="97"/>
      <c r="X140" s="97">
        <f t="shared" si="2"/>
        <v>12</v>
      </c>
      <c r="Y140" s="97"/>
      <c r="AC140" s="100">
        <v>12477.52247752248</v>
      </c>
    </row>
    <row r="141" spans="1:29" ht="15.95" customHeight="1" thickBot="1" x14ac:dyDescent="0.25">
      <c r="A141" s="669"/>
      <c r="B141" s="45"/>
      <c r="C141" s="151" t="s">
        <v>414</v>
      </c>
      <c r="D141" s="305">
        <v>110</v>
      </c>
      <c r="E141" s="105">
        <v>0</v>
      </c>
      <c r="F141" s="106">
        <v>0</v>
      </c>
      <c r="G141" s="105">
        <v>0</v>
      </c>
      <c r="H141" s="105">
        <v>0</v>
      </c>
      <c r="I141" s="106"/>
      <c r="J141" s="105">
        <v>0</v>
      </c>
      <c r="K141" s="105"/>
      <c r="L141" s="105"/>
      <c r="M141" s="105">
        <v>0</v>
      </c>
      <c r="N141" s="105"/>
      <c r="O141" s="105">
        <v>0</v>
      </c>
      <c r="P141" s="105">
        <v>0</v>
      </c>
      <c r="Q141" s="273"/>
      <c r="R141" s="105">
        <v>0</v>
      </c>
      <c r="S141" s="105">
        <v>0</v>
      </c>
      <c r="T141" s="105">
        <v>0</v>
      </c>
      <c r="U141" s="105">
        <v>0</v>
      </c>
      <c r="V141" s="670"/>
      <c r="W141" s="97"/>
      <c r="X141" s="97">
        <f t="shared" si="2"/>
        <v>0</v>
      </c>
      <c r="Y141" s="97">
        <f>+IF((AC141-ROUND(AC141,-3)&gt;400)*AND(AC141-ROUND(AC141,-3)&lt;500),1,0)</f>
        <v>0</v>
      </c>
      <c r="AC141" s="105">
        <v>0</v>
      </c>
    </row>
    <row r="142" spans="1:29" ht="15.95" customHeight="1" thickTop="1" x14ac:dyDescent="0.2">
      <c r="A142" s="665" t="s">
        <v>123</v>
      </c>
      <c r="B142" s="42">
        <v>2008</v>
      </c>
      <c r="C142" s="148" t="s">
        <v>289</v>
      </c>
      <c r="D142" s="303">
        <v>256</v>
      </c>
      <c r="E142" s="100">
        <v>16</v>
      </c>
      <c r="F142" s="101">
        <v>65.725855999999993</v>
      </c>
      <c r="G142" s="100">
        <v>41.124463519313309</v>
      </c>
      <c r="H142" s="100">
        <v>37</v>
      </c>
      <c r="I142" s="101">
        <v>45</v>
      </c>
      <c r="J142" s="100"/>
      <c r="K142" s="100">
        <v>142</v>
      </c>
      <c r="L142" s="100"/>
      <c r="M142" s="100">
        <v>44</v>
      </c>
      <c r="N142" s="100"/>
      <c r="O142" s="100">
        <v>2</v>
      </c>
      <c r="P142" s="100">
        <v>2</v>
      </c>
      <c r="Q142" s="271">
        <v>21.507000000000001</v>
      </c>
      <c r="R142" s="100">
        <v>70</v>
      </c>
      <c r="S142" s="100">
        <v>65</v>
      </c>
      <c r="T142" s="100">
        <v>3</v>
      </c>
      <c r="U142" s="100">
        <v>11</v>
      </c>
      <c r="V142" s="666">
        <v>55.45446428571428</v>
      </c>
      <c r="W142" s="97"/>
      <c r="X142" s="97">
        <f t="shared" si="2"/>
        <v>11</v>
      </c>
      <c r="Y142" s="97"/>
      <c r="AC142" s="100">
        <v>11385.597082953509</v>
      </c>
    </row>
    <row r="143" spans="1:29" ht="15.95" customHeight="1" x14ac:dyDescent="0.2">
      <c r="A143" s="665"/>
      <c r="B143" s="43"/>
      <c r="C143" s="149" t="s">
        <v>290</v>
      </c>
      <c r="D143" s="303">
        <v>256</v>
      </c>
      <c r="E143" s="100">
        <v>16</v>
      </c>
      <c r="F143" s="101">
        <v>65.725855999999993</v>
      </c>
      <c r="G143" s="100">
        <v>0</v>
      </c>
      <c r="H143" s="100">
        <v>0</v>
      </c>
      <c r="I143" s="101"/>
      <c r="J143" s="100"/>
      <c r="K143" s="100">
        <v>142</v>
      </c>
      <c r="L143" s="100"/>
      <c r="M143" s="100">
        <v>44</v>
      </c>
      <c r="N143" s="100">
        <v>25</v>
      </c>
      <c r="O143" s="100">
        <v>0</v>
      </c>
      <c r="P143" s="100">
        <v>0</v>
      </c>
      <c r="Q143" s="271">
        <v>21.507000000000001</v>
      </c>
      <c r="R143" s="100">
        <v>70</v>
      </c>
      <c r="S143" s="100">
        <v>65</v>
      </c>
      <c r="T143" s="100">
        <v>3</v>
      </c>
      <c r="U143" s="100">
        <v>11</v>
      </c>
      <c r="V143" s="666">
        <v>55.357142857142854</v>
      </c>
      <c r="W143" s="97"/>
      <c r="X143" s="97">
        <f t="shared" si="2"/>
        <v>11</v>
      </c>
      <c r="Y143" s="97"/>
      <c r="AC143" s="100">
        <v>11385.597082953509</v>
      </c>
    </row>
    <row r="144" spans="1:29" ht="15.95" customHeight="1" x14ac:dyDescent="0.2">
      <c r="A144" s="667"/>
      <c r="B144" s="44"/>
      <c r="C144" s="150" t="s">
        <v>291</v>
      </c>
      <c r="D144" s="304"/>
      <c r="E144" s="103">
        <v>0</v>
      </c>
      <c r="F144" s="104">
        <v>0</v>
      </c>
      <c r="G144" s="103">
        <v>0</v>
      </c>
      <c r="H144" s="103">
        <v>0</v>
      </c>
      <c r="I144" s="104"/>
      <c r="J144" s="103"/>
      <c r="K144" s="103"/>
      <c r="L144" s="103"/>
      <c r="M144" s="103">
        <v>0</v>
      </c>
      <c r="N144" s="103"/>
      <c r="O144" s="103">
        <v>0</v>
      </c>
      <c r="P144" s="103">
        <v>0</v>
      </c>
      <c r="Q144" s="272"/>
      <c r="R144" s="103">
        <v>0</v>
      </c>
      <c r="S144" s="103">
        <v>0</v>
      </c>
      <c r="T144" s="103">
        <v>0</v>
      </c>
      <c r="U144" s="103">
        <v>0</v>
      </c>
      <c r="V144" s="668">
        <v>0</v>
      </c>
      <c r="W144" s="97"/>
      <c r="X144" s="97">
        <f t="shared" si="2"/>
        <v>0</v>
      </c>
      <c r="Y144" s="97"/>
      <c r="AC144" s="103">
        <v>0</v>
      </c>
    </row>
    <row r="145" spans="1:29" ht="15.95" customHeight="1" x14ac:dyDescent="0.2">
      <c r="A145" s="665"/>
      <c r="B145" s="42">
        <v>2009</v>
      </c>
      <c r="C145" s="149" t="s">
        <v>412</v>
      </c>
      <c r="D145" s="303">
        <v>341</v>
      </c>
      <c r="E145" s="100">
        <v>17</v>
      </c>
      <c r="F145" s="101">
        <v>65.725855999999993</v>
      </c>
      <c r="G145" s="100">
        <v>42.689754689754693</v>
      </c>
      <c r="H145" s="100">
        <v>42</v>
      </c>
      <c r="I145" s="101">
        <v>45</v>
      </c>
      <c r="J145" s="100"/>
      <c r="K145" s="100">
        <v>142</v>
      </c>
      <c r="L145" s="100"/>
      <c r="M145" s="100">
        <v>44</v>
      </c>
      <c r="N145" s="100"/>
      <c r="O145" s="100">
        <v>2</v>
      </c>
      <c r="P145" s="100">
        <v>2</v>
      </c>
      <c r="Q145" s="102">
        <v>20.385000000000002</v>
      </c>
      <c r="R145" s="100">
        <v>72</v>
      </c>
      <c r="S145" s="100">
        <v>65</v>
      </c>
      <c r="T145" s="100">
        <v>3</v>
      </c>
      <c r="U145" s="100">
        <v>12</v>
      </c>
      <c r="V145" s="666">
        <v>55.506249999999994</v>
      </c>
      <c r="W145" s="100"/>
      <c r="X145" s="97">
        <f t="shared" si="2"/>
        <v>12</v>
      </c>
      <c r="Y145" s="97"/>
      <c r="AC145" s="100">
        <v>12477.52247752248</v>
      </c>
    </row>
    <row r="146" spans="1:29" ht="15.95" customHeight="1" x14ac:dyDescent="0.2">
      <c r="A146" s="665"/>
      <c r="B146" s="43"/>
      <c r="C146" s="149" t="s">
        <v>413</v>
      </c>
      <c r="D146" s="303">
        <v>341</v>
      </c>
      <c r="E146" s="100">
        <v>1</v>
      </c>
      <c r="F146" s="101">
        <v>30.372859999999999</v>
      </c>
      <c r="G146" s="100">
        <v>0</v>
      </c>
      <c r="H146" s="100">
        <v>0</v>
      </c>
      <c r="I146" s="101"/>
      <c r="J146" s="100"/>
      <c r="K146" s="100">
        <v>142</v>
      </c>
      <c r="L146" s="100"/>
      <c r="M146" s="100">
        <v>44</v>
      </c>
      <c r="N146" s="100">
        <v>25</v>
      </c>
      <c r="O146" s="100">
        <v>2</v>
      </c>
      <c r="P146" s="100">
        <v>2</v>
      </c>
      <c r="Q146" s="102">
        <v>20.385000000000002</v>
      </c>
      <c r="R146" s="100">
        <v>72</v>
      </c>
      <c r="S146" s="100">
        <v>65</v>
      </c>
      <c r="T146" s="100">
        <v>3</v>
      </c>
      <c r="U146" s="100">
        <v>12</v>
      </c>
      <c r="V146" s="666">
        <v>56</v>
      </c>
      <c r="W146" s="97"/>
      <c r="X146" s="97">
        <f t="shared" si="2"/>
        <v>12</v>
      </c>
      <c r="Y146" s="97"/>
      <c r="AC146" s="100">
        <v>12477.52247752248</v>
      </c>
    </row>
    <row r="147" spans="1:29" ht="15.95" customHeight="1" thickBot="1" x14ac:dyDescent="0.25">
      <c r="A147" s="669"/>
      <c r="B147" s="45"/>
      <c r="C147" s="151" t="s">
        <v>414</v>
      </c>
      <c r="D147" s="305"/>
      <c r="E147" s="105">
        <v>0</v>
      </c>
      <c r="F147" s="106">
        <v>0</v>
      </c>
      <c r="G147" s="105">
        <v>1.2683982683982686</v>
      </c>
      <c r="H147" s="105">
        <v>43</v>
      </c>
      <c r="I147" s="106">
        <v>45</v>
      </c>
      <c r="J147" s="105"/>
      <c r="K147" s="105"/>
      <c r="L147" s="105"/>
      <c r="M147" s="105">
        <v>0</v>
      </c>
      <c r="N147" s="105"/>
      <c r="O147" s="105">
        <v>2</v>
      </c>
      <c r="P147" s="105">
        <v>2</v>
      </c>
      <c r="Q147" s="273"/>
      <c r="R147" s="105">
        <v>0</v>
      </c>
      <c r="S147" s="105">
        <v>0</v>
      </c>
      <c r="T147" s="105">
        <v>0</v>
      </c>
      <c r="U147" s="105">
        <v>0</v>
      </c>
      <c r="V147" s="670">
        <v>0</v>
      </c>
      <c r="W147" s="97"/>
      <c r="X147" s="97">
        <f t="shared" si="2"/>
        <v>0</v>
      </c>
      <c r="Y147" s="97">
        <f>+IF((AC147-ROUND(AC147,-3)&gt;400)*AND(AC147-ROUND(AC147,-3)&lt;500),1,0)</f>
        <v>0</v>
      </c>
      <c r="AC147" s="105">
        <v>0</v>
      </c>
    </row>
    <row r="148" spans="1:29" ht="15.95" customHeight="1" thickTop="1" x14ac:dyDescent="0.2">
      <c r="A148" s="665" t="s">
        <v>124</v>
      </c>
      <c r="B148" s="42">
        <v>2008</v>
      </c>
      <c r="C148" s="148" t="s">
        <v>289</v>
      </c>
      <c r="D148" s="303">
        <v>16022</v>
      </c>
      <c r="E148" s="100">
        <v>1034</v>
      </c>
      <c r="F148" s="101">
        <v>4131.3395200000004</v>
      </c>
      <c r="G148" s="100">
        <v>2686.0457796852647</v>
      </c>
      <c r="H148" s="100">
        <v>559</v>
      </c>
      <c r="I148" s="101">
        <v>2814</v>
      </c>
      <c r="J148" s="100">
        <v>158</v>
      </c>
      <c r="K148" s="100">
        <v>852</v>
      </c>
      <c r="L148" s="100">
        <v>7694.2</v>
      </c>
      <c r="M148" s="100">
        <v>2764</v>
      </c>
      <c r="N148" s="100"/>
      <c r="O148" s="100">
        <v>102</v>
      </c>
      <c r="P148" s="100">
        <v>135</v>
      </c>
      <c r="Q148" s="271">
        <v>1378.703</v>
      </c>
      <c r="R148" s="100">
        <v>266</v>
      </c>
      <c r="S148" s="100">
        <v>4069</v>
      </c>
      <c r="T148" s="100">
        <v>87</v>
      </c>
      <c r="U148" s="100">
        <v>490</v>
      </c>
      <c r="V148" s="666">
        <v>1400.0017857142855</v>
      </c>
      <c r="W148" s="97"/>
      <c r="X148" s="97">
        <f t="shared" si="2"/>
        <v>490</v>
      </c>
      <c r="Y148" s="97"/>
      <c r="AC148" s="100">
        <v>489580.67456700094</v>
      </c>
    </row>
    <row r="149" spans="1:29" ht="15.95" customHeight="1" x14ac:dyDescent="0.2">
      <c r="A149" s="665"/>
      <c r="B149" s="43"/>
      <c r="C149" s="149" t="s">
        <v>290</v>
      </c>
      <c r="D149" s="303">
        <v>16022</v>
      </c>
      <c r="E149" s="100">
        <v>0</v>
      </c>
      <c r="F149" s="101">
        <v>4131.3395199999995</v>
      </c>
      <c r="G149" s="100">
        <v>0</v>
      </c>
      <c r="H149" s="100">
        <v>559</v>
      </c>
      <c r="I149" s="101">
        <f>2814-577</f>
        <v>2237</v>
      </c>
      <c r="J149" s="100">
        <v>158</v>
      </c>
      <c r="K149" s="100">
        <v>852</v>
      </c>
      <c r="L149" s="100">
        <v>7694</v>
      </c>
      <c r="M149" s="100">
        <v>2601</v>
      </c>
      <c r="N149" s="100"/>
      <c r="O149" s="100">
        <v>102</v>
      </c>
      <c r="P149" s="100">
        <v>135</v>
      </c>
      <c r="Q149" s="271"/>
      <c r="R149" s="100">
        <v>266</v>
      </c>
      <c r="S149" s="100">
        <v>4069</v>
      </c>
      <c r="T149" s="100">
        <v>0</v>
      </c>
      <c r="U149" s="100">
        <v>0</v>
      </c>
      <c r="V149" s="666">
        <v>1254.4642857142856</v>
      </c>
      <c r="W149" s="97"/>
      <c r="X149" s="97">
        <f t="shared" si="2"/>
        <v>0</v>
      </c>
      <c r="Y149" s="97"/>
      <c r="AC149" s="100">
        <v>0</v>
      </c>
    </row>
    <row r="150" spans="1:29" ht="15.95" customHeight="1" x14ac:dyDescent="0.2">
      <c r="A150" s="667"/>
      <c r="B150" s="44"/>
      <c r="C150" s="150" t="s">
        <v>291</v>
      </c>
      <c r="D150" s="304">
        <v>0</v>
      </c>
      <c r="E150" s="103">
        <v>14</v>
      </c>
      <c r="F150" s="104">
        <v>0</v>
      </c>
      <c r="G150" s="103">
        <v>4998</v>
      </c>
      <c r="H150" s="103">
        <v>0</v>
      </c>
      <c r="I150" s="104">
        <f>5958-1</f>
        <v>5957</v>
      </c>
      <c r="J150" s="103">
        <v>0</v>
      </c>
      <c r="K150" s="103"/>
      <c r="L150" s="103"/>
      <c r="M150" s="103">
        <v>2524</v>
      </c>
      <c r="N150" s="103"/>
      <c r="O150" s="103">
        <v>0</v>
      </c>
      <c r="P150" s="103">
        <v>0</v>
      </c>
      <c r="Q150" s="272">
        <v>1593.5889999999999</v>
      </c>
      <c r="R150" s="103">
        <v>0</v>
      </c>
      <c r="S150" s="103">
        <v>0</v>
      </c>
      <c r="T150" s="103">
        <v>0</v>
      </c>
      <c r="U150" s="103">
        <v>883</v>
      </c>
      <c r="V150" s="668">
        <v>0</v>
      </c>
      <c r="W150" s="97"/>
      <c r="X150" s="97">
        <f t="shared" si="2"/>
        <v>883</v>
      </c>
      <c r="Y150" s="97"/>
      <c r="AC150" s="103">
        <v>882939.35278030997</v>
      </c>
    </row>
    <row r="151" spans="1:29" ht="15.95" customHeight="1" x14ac:dyDescent="0.2">
      <c r="A151" s="665"/>
      <c r="B151" s="42">
        <v>2009</v>
      </c>
      <c r="C151" s="149" t="s">
        <v>412</v>
      </c>
      <c r="D151" s="303">
        <v>21342</v>
      </c>
      <c r="E151" s="100">
        <v>1087</v>
      </c>
      <c r="F151" s="101">
        <v>4131.3395200000004</v>
      </c>
      <c r="G151" s="100">
        <v>2809.5324675324678</v>
      </c>
      <c r="H151" s="100">
        <v>635</v>
      </c>
      <c r="I151" s="101">
        <v>2814</v>
      </c>
      <c r="J151" s="100">
        <v>134</v>
      </c>
      <c r="K151" s="100">
        <v>852</v>
      </c>
      <c r="L151" s="100">
        <f>15388.4-L148</f>
        <v>7694.2</v>
      </c>
      <c r="M151" s="100">
        <v>2764</v>
      </c>
      <c r="N151" s="100"/>
      <c r="O151" s="100">
        <v>101</v>
      </c>
      <c r="P151" s="100">
        <v>135</v>
      </c>
      <c r="Q151" s="102">
        <v>1306.7950000000001</v>
      </c>
      <c r="R151" s="100">
        <v>272</v>
      </c>
      <c r="S151" s="100">
        <v>4069</v>
      </c>
      <c r="T151" s="100">
        <v>89</v>
      </c>
      <c r="U151" s="100">
        <v>537</v>
      </c>
      <c r="V151" s="666">
        <v>1463.1937499999999</v>
      </c>
      <c r="W151" s="100"/>
      <c r="X151" s="97">
        <f t="shared" si="2"/>
        <v>537</v>
      </c>
      <c r="Y151" s="97"/>
      <c r="AC151" s="100">
        <v>536533.46653346659</v>
      </c>
    </row>
    <row r="152" spans="1:29" ht="15.95" customHeight="1" x14ac:dyDescent="0.2">
      <c r="A152" s="665"/>
      <c r="B152" s="43"/>
      <c r="C152" s="149" t="s">
        <v>413</v>
      </c>
      <c r="D152" s="303">
        <v>21342</v>
      </c>
      <c r="E152" s="100">
        <v>1087</v>
      </c>
      <c r="F152" s="101">
        <v>4131.3395200000004</v>
      </c>
      <c r="G152" s="100">
        <v>2809.5324675324678</v>
      </c>
      <c r="H152" s="100">
        <v>635</v>
      </c>
      <c r="I152" s="101">
        <v>2428</v>
      </c>
      <c r="J152" s="100">
        <v>134</v>
      </c>
      <c r="K152" s="100">
        <v>852</v>
      </c>
      <c r="L152" s="100">
        <v>7694</v>
      </c>
      <c r="M152" s="100">
        <v>890</v>
      </c>
      <c r="N152" s="100"/>
      <c r="O152" s="100">
        <v>101</v>
      </c>
      <c r="P152" s="100">
        <v>132</v>
      </c>
      <c r="Q152" s="271"/>
      <c r="R152" s="100">
        <v>272</v>
      </c>
      <c r="S152" s="100">
        <v>4069</v>
      </c>
      <c r="T152" s="100">
        <v>89</v>
      </c>
      <c r="U152" s="100">
        <v>0</v>
      </c>
      <c r="V152" s="666">
        <v>1463</v>
      </c>
      <c r="W152" s="97"/>
      <c r="X152" s="97">
        <f t="shared" si="2"/>
        <v>0</v>
      </c>
      <c r="Y152" s="97"/>
      <c r="AC152" s="100">
        <v>0</v>
      </c>
    </row>
    <row r="153" spans="1:29" ht="15.95" customHeight="1" thickBot="1" x14ac:dyDescent="0.25">
      <c r="A153" s="669"/>
      <c r="B153" s="45"/>
      <c r="C153" s="151" t="s">
        <v>414</v>
      </c>
      <c r="D153" s="305"/>
      <c r="E153" s="105">
        <v>7082</v>
      </c>
      <c r="F153" s="106">
        <v>0</v>
      </c>
      <c r="G153" s="105">
        <v>4842.3347763347765</v>
      </c>
      <c r="H153" s="105">
        <v>0</v>
      </c>
      <c r="I153" s="106">
        <v>577</v>
      </c>
      <c r="J153" s="105">
        <v>0</v>
      </c>
      <c r="K153" s="105"/>
      <c r="L153" s="105"/>
      <c r="M153" s="105">
        <v>163</v>
      </c>
      <c r="N153" s="105"/>
      <c r="O153" s="105">
        <v>0</v>
      </c>
      <c r="P153" s="105">
        <v>0</v>
      </c>
      <c r="Q153" s="273">
        <v>1343.7090000000001</v>
      </c>
      <c r="R153" s="105">
        <v>0</v>
      </c>
      <c r="S153" s="105">
        <v>0</v>
      </c>
      <c r="T153" s="105">
        <v>0</v>
      </c>
      <c r="U153" s="105">
        <v>506</v>
      </c>
      <c r="V153" s="670">
        <v>0</v>
      </c>
      <c r="W153" s="97"/>
      <c r="X153" s="97">
        <f t="shared" si="2"/>
        <v>506</v>
      </c>
      <c r="Y153" s="97">
        <f>+IF((AC153-ROUND(AC153,-3)&gt;400)*AND(AC153-ROUND(AC153,-3)&lt;500),1,0)</f>
        <v>0</v>
      </c>
      <c r="AC153" s="105">
        <v>505535.38461538468</v>
      </c>
    </row>
    <row r="154" spans="1:29" ht="15.95" customHeight="1" thickTop="1" x14ac:dyDescent="0.2">
      <c r="A154" s="665" t="s">
        <v>350</v>
      </c>
      <c r="B154" s="42">
        <v>2008</v>
      </c>
      <c r="C154" s="148" t="s">
        <v>289</v>
      </c>
      <c r="D154" s="303"/>
      <c r="E154" s="100"/>
      <c r="F154" s="101"/>
      <c r="G154" s="100"/>
      <c r="H154" s="100"/>
      <c r="I154" s="101"/>
      <c r="J154" s="100"/>
      <c r="K154" s="100"/>
      <c r="L154" s="100"/>
      <c r="M154" s="100"/>
      <c r="N154" s="100"/>
      <c r="O154" s="100"/>
      <c r="P154" s="100"/>
      <c r="Q154" s="271"/>
      <c r="R154" s="100"/>
      <c r="S154" s="100"/>
      <c r="T154" s="100"/>
      <c r="U154" s="100">
        <v>11</v>
      </c>
      <c r="V154" s="666"/>
      <c r="W154" s="97"/>
      <c r="X154" s="97">
        <f t="shared" si="2"/>
        <v>11</v>
      </c>
      <c r="Y154" s="97"/>
      <c r="AC154" s="100">
        <v>11385.597082953509</v>
      </c>
    </row>
    <row r="155" spans="1:29" ht="15.95" customHeight="1" x14ac:dyDescent="0.2">
      <c r="A155" s="665" t="s">
        <v>351</v>
      </c>
      <c r="B155" s="43"/>
      <c r="C155" s="149" t="s">
        <v>290</v>
      </c>
      <c r="D155" s="303"/>
      <c r="E155" s="100"/>
      <c r="F155" s="101"/>
      <c r="G155" s="100"/>
      <c r="H155" s="100"/>
      <c r="I155" s="101"/>
      <c r="J155" s="100"/>
      <c r="K155" s="100"/>
      <c r="L155" s="100"/>
      <c r="M155" s="100"/>
      <c r="N155" s="100"/>
      <c r="O155" s="100"/>
      <c r="P155" s="100"/>
      <c r="Q155" s="271"/>
      <c r="R155" s="100"/>
      <c r="S155" s="100"/>
      <c r="T155" s="100"/>
      <c r="U155" s="100">
        <v>11</v>
      </c>
      <c r="V155" s="666"/>
      <c r="W155" s="97"/>
      <c r="X155" s="97">
        <f t="shared" si="2"/>
        <v>11</v>
      </c>
      <c r="Y155" s="97"/>
      <c r="AC155" s="100">
        <v>11385.597082953509</v>
      </c>
    </row>
    <row r="156" spans="1:29" ht="15.95" customHeight="1" x14ac:dyDescent="0.2">
      <c r="A156" s="667"/>
      <c r="B156" s="44"/>
      <c r="C156" s="150" t="s">
        <v>291</v>
      </c>
      <c r="D156" s="304"/>
      <c r="E156" s="103"/>
      <c r="F156" s="104"/>
      <c r="G156" s="103"/>
      <c r="H156" s="103"/>
      <c r="I156" s="104"/>
      <c r="J156" s="103"/>
      <c r="K156" s="103"/>
      <c r="L156" s="103"/>
      <c r="M156" s="103"/>
      <c r="N156" s="103"/>
      <c r="O156" s="103"/>
      <c r="P156" s="103"/>
      <c r="Q156" s="272"/>
      <c r="R156" s="103"/>
      <c r="S156" s="103"/>
      <c r="T156" s="103"/>
      <c r="U156" s="103">
        <v>0</v>
      </c>
      <c r="V156" s="668"/>
      <c r="W156" s="97"/>
      <c r="X156" s="97">
        <f t="shared" si="2"/>
        <v>0</v>
      </c>
      <c r="Y156" s="97"/>
      <c r="AC156" s="103">
        <v>0</v>
      </c>
    </row>
    <row r="157" spans="1:29" ht="15.95" customHeight="1" x14ac:dyDescent="0.2">
      <c r="A157" s="665"/>
      <c r="B157" s="42">
        <v>2009</v>
      </c>
      <c r="C157" s="149" t="s">
        <v>412</v>
      </c>
      <c r="D157" s="303"/>
      <c r="E157" s="100"/>
      <c r="F157" s="101"/>
      <c r="G157" s="100"/>
      <c r="H157" s="100"/>
      <c r="I157" s="101"/>
      <c r="J157" s="100"/>
      <c r="K157" s="100"/>
      <c r="L157" s="100"/>
      <c r="M157" s="100"/>
      <c r="N157" s="100"/>
      <c r="O157" s="100"/>
      <c r="P157" s="100"/>
      <c r="Q157" s="271"/>
      <c r="R157" s="100"/>
      <c r="S157" s="100"/>
      <c r="T157" s="100"/>
      <c r="U157" s="100">
        <v>12</v>
      </c>
      <c r="V157" s="666"/>
      <c r="W157" s="100"/>
      <c r="X157" s="97">
        <f t="shared" si="2"/>
        <v>12</v>
      </c>
      <c r="Y157" s="97"/>
      <c r="AC157" s="100">
        <v>12477.52247752248</v>
      </c>
    </row>
    <row r="158" spans="1:29" ht="15.95" customHeight="1" x14ac:dyDescent="0.2">
      <c r="A158" s="665"/>
      <c r="B158" s="43"/>
      <c r="C158" s="149" t="s">
        <v>413</v>
      </c>
      <c r="D158" s="303"/>
      <c r="E158" s="100"/>
      <c r="F158" s="101"/>
      <c r="G158" s="100"/>
      <c r="H158" s="100"/>
      <c r="I158" s="101"/>
      <c r="J158" s="100"/>
      <c r="K158" s="100"/>
      <c r="L158" s="100"/>
      <c r="M158" s="100"/>
      <c r="N158" s="100"/>
      <c r="O158" s="100"/>
      <c r="P158" s="100"/>
      <c r="Q158" s="271"/>
      <c r="R158" s="100"/>
      <c r="S158" s="100"/>
      <c r="T158" s="100"/>
      <c r="U158" s="100">
        <v>12</v>
      </c>
      <c r="V158" s="666"/>
      <c r="W158" s="97"/>
      <c r="X158" s="97">
        <f t="shared" si="2"/>
        <v>12</v>
      </c>
      <c r="Y158" s="97"/>
      <c r="AC158" s="100">
        <v>12477.52247752248</v>
      </c>
    </row>
    <row r="159" spans="1:29" ht="15.95" customHeight="1" thickBot="1" x14ac:dyDescent="0.25">
      <c r="A159" s="669"/>
      <c r="B159" s="45"/>
      <c r="C159" s="151" t="s">
        <v>414</v>
      </c>
      <c r="D159" s="305"/>
      <c r="E159" s="105"/>
      <c r="F159" s="106"/>
      <c r="G159" s="105"/>
      <c r="H159" s="105"/>
      <c r="I159" s="106"/>
      <c r="J159" s="105"/>
      <c r="K159" s="105"/>
      <c r="L159" s="105"/>
      <c r="M159" s="105"/>
      <c r="N159" s="105"/>
      <c r="O159" s="105"/>
      <c r="P159" s="105"/>
      <c r="Q159" s="273"/>
      <c r="R159" s="105"/>
      <c r="S159" s="105"/>
      <c r="T159" s="105"/>
      <c r="U159" s="105">
        <v>0</v>
      </c>
      <c r="V159" s="670"/>
      <c r="W159" s="97"/>
      <c r="X159" s="97">
        <f t="shared" si="2"/>
        <v>0</v>
      </c>
      <c r="Y159" s="97">
        <f>+IF((AC159-ROUND(AC159,-3)&gt;400)*AND(AC159-ROUND(AC159,-3)&lt;500),1,0)</f>
        <v>0</v>
      </c>
      <c r="AC159" s="105">
        <v>0</v>
      </c>
    </row>
    <row r="160" spans="1:29" ht="15.95" customHeight="1" thickTop="1" x14ac:dyDescent="0.2">
      <c r="A160" s="665" t="s">
        <v>685</v>
      </c>
      <c r="B160" s="42">
        <v>2008</v>
      </c>
      <c r="C160" s="148" t="s">
        <v>289</v>
      </c>
      <c r="D160" s="303"/>
      <c r="E160" s="100"/>
      <c r="F160" s="101"/>
      <c r="G160" s="100"/>
      <c r="H160" s="100"/>
      <c r="I160" s="101"/>
      <c r="J160" s="100"/>
      <c r="K160" s="100"/>
      <c r="L160" s="100"/>
      <c r="M160" s="100">
        <v>2</v>
      </c>
      <c r="N160" s="100"/>
      <c r="O160" s="100"/>
      <c r="P160" s="100"/>
      <c r="Q160" s="271"/>
      <c r="R160" s="100"/>
      <c r="S160" s="100"/>
      <c r="T160" s="100"/>
      <c r="U160" s="100"/>
      <c r="V160" s="666"/>
      <c r="W160" s="97"/>
      <c r="X160" s="97">
        <f t="shared" si="2"/>
        <v>0</v>
      </c>
      <c r="Y160" s="97"/>
      <c r="AC160" s="100"/>
    </row>
    <row r="161" spans="1:29" ht="15.95" customHeight="1" x14ac:dyDescent="0.2">
      <c r="A161" s="665" t="s">
        <v>686</v>
      </c>
      <c r="B161" s="43"/>
      <c r="C161" s="149" t="s">
        <v>290</v>
      </c>
      <c r="D161" s="303"/>
      <c r="E161" s="100"/>
      <c r="F161" s="101"/>
      <c r="G161" s="100"/>
      <c r="H161" s="100"/>
      <c r="I161" s="101"/>
      <c r="J161" s="100"/>
      <c r="K161" s="100"/>
      <c r="L161" s="100"/>
      <c r="M161" s="100">
        <v>0</v>
      </c>
      <c r="N161" s="100"/>
      <c r="O161" s="100"/>
      <c r="P161" s="100"/>
      <c r="Q161" s="271"/>
      <c r="R161" s="100"/>
      <c r="S161" s="100"/>
      <c r="T161" s="100"/>
      <c r="U161" s="100"/>
      <c r="V161" s="666"/>
      <c r="W161" s="97"/>
      <c r="X161" s="97">
        <f t="shared" si="2"/>
        <v>0</v>
      </c>
      <c r="Y161" s="97"/>
      <c r="AC161" s="100"/>
    </row>
    <row r="162" spans="1:29" ht="15.95" customHeight="1" x14ac:dyDescent="0.2">
      <c r="A162" s="667"/>
      <c r="B162" s="44"/>
      <c r="C162" s="150" t="s">
        <v>291</v>
      </c>
      <c r="D162" s="304"/>
      <c r="E162" s="103"/>
      <c r="F162" s="104"/>
      <c r="G162" s="103"/>
      <c r="H162" s="103"/>
      <c r="I162" s="104"/>
      <c r="J162" s="103"/>
      <c r="K162" s="103"/>
      <c r="L162" s="103"/>
      <c r="M162" s="103">
        <v>0</v>
      </c>
      <c r="N162" s="103"/>
      <c r="O162" s="103"/>
      <c r="P162" s="103"/>
      <c r="Q162" s="272"/>
      <c r="R162" s="103"/>
      <c r="S162" s="103"/>
      <c r="T162" s="103"/>
      <c r="U162" s="103"/>
      <c r="V162" s="668"/>
      <c r="W162" s="97"/>
      <c r="X162" s="97">
        <f t="shared" si="2"/>
        <v>0</v>
      </c>
      <c r="Y162" s="97"/>
      <c r="AC162" s="103"/>
    </row>
    <row r="163" spans="1:29" ht="15.95" customHeight="1" x14ac:dyDescent="0.2">
      <c r="A163" s="665"/>
      <c r="B163" s="42">
        <v>2009</v>
      </c>
      <c r="C163" s="149" t="s">
        <v>412</v>
      </c>
      <c r="D163" s="303"/>
      <c r="E163" s="100"/>
      <c r="F163" s="101"/>
      <c r="G163" s="100"/>
      <c r="H163" s="100"/>
      <c r="I163" s="101"/>
      <c r="J163" s="100"/>
      <c r="K163" s="100"/>
      <c r="L163" s="100"/>
      <c r="M163" s="100">
        <v>2</v>
      </c>
      <c r="N163" s="100"/>
      <c r="O163" s="100"/>
      <c r="P163" s="100"/>
      <c r="Q163" s="271"/>
      <c r="R163" s="100"/>
      <c r="S163" s="100"/>
      <c r="T163" s="100"/>
      <c r="U163" s="100"/>
      <c r="V163" s="666"/>
      <c r="W163" s="100"/>
      <c r="X163" s="97">
        <f t="shared" si="2"/>
        <v>0</v>
      </c>
      <c r="Y163" s="97"/>
      <c r="AC163" s="100"/>
    </row>
    <row r="164" spans="1:29" ht="15.95" customHeight="1" x14ac:dyDescent="0.2">
      <c r="A164" s="665"/>
      <c r="B164" s="43"/>
      <c r="C164" s="149" t="s">
        <v>413</v>
      </c>
      <c r="D164" s="303"/>
      <c r="E164" s="100"/>
      <c r="F164" s="101"/>
      <c r="G164" s="100"/>
      <c r="H164" s="100"/>
      <c r="I164" s="101"/>
      <c r="J164" s="100"/>
      <c r="K164" s="100"/>
      <c r="L164" s="100"/>
      <c r="M164" s="100">
        <v>2</v>
      </c>
      <c r="N164" s="100"/>
      <c r="O164" s="100"/>
      <c r="P164" s="100"/>
      <c r="Q164" s="271"/>
      <c r="R164" s="100"/>
      <c r="S164" s="100"/>
      <c r="T164" s="100"/>
      <c r="U164" s="100"/>
      <c r="V164" s="666"/>
      <c r="W164" s="97"/>
      <c r="X164" s="97">
        <f t="shared" si="2"/>
        <v>0</v>
      </c>
      <c r="Y164" s="97"/>
      <c r="AC164" s="100"/>
    </row>
    <row r="165" spans="1:29" ht="15.95" customHeight="1" thickBot="1" x14ac:dyDescent="0.25">
      <c r="A165" s="669"/>
      <c r="B165" s="45"/>
      <c r="C165" s="151" t="s">
        <v>414</v>
      </c>
      <c r="D165" s="305"/>
      <c r="E165" s="105"/>
      <c r="F165" s="106"/>
      <c r="G165" s="105"/>
      <c r="H165" s="105"/>
      <c r="I165" s="106"/>
      <c r="J165" s="105"/>
      <c r="K165" s="105"/>
      <c r="L165" s="105"/>
      <c r="M165" s="105">
        <v>2</v>
      </c>
      <c r="N165" s="105"/>
      <c r="O165" s="105"/>
      <c r="P165" s="105"/>
      <c r="Q165" s="273"/>
      <c r="R165" s="105"/>
      <c r="S165" s="105"/>
      <c r="T165" s="105"/>
      <c r="U165" s="105"/>
      <c r="V165" s="670"/>
      <c r="W165" s="97"/>
      <c r="X165" s="97">
        <f t="shared" si="2"/>
        <v>0</v>
      </c>
      <c r="Y165" s="97">
        <f>+IF((AC165-ROUND(AC165,-3)&gt;400)*AND(AC165-ROUND(AC165,-3)&lt;500),1,0)</f>
        <v>0</v>
      </c>
      <c r="AC165" s="105"/>
    </row>
    <row r="166" spans="1:29" ht="15.95" customHeight="1" thickTop="1" x14ac:dyDescent="0.2">
      <c r="A166" s="665" t="s">
        <v>126</v>
      </c>
      <c r="B166" s="42">
        <v>2008</v>
      </c>
      <c r="C166" s="148" t="s">
        <v>289</v>
      </c>
      <c r="D166" s="303">
        <v>476</v>
      </c>
      <c r="E166" s="100">
        <v>31</v>
      </c>
      <c r="F166" s="101"/>
      <c r="G166" s="100"/>
      <c r="H166" s="100">
        <v>37</v>
      </c>
      <c r="I166" s="101">
        <v>84</v>
      </c>
      <c r="J166" s="100">
        <v>31</v>
      </c>
      <c r="K166" s="100">
        <v>142</v>
      </c>
      <c r="L166" s="100"/>
      <c r="M166" s="100">
        <v>82</v>
      </c>
      <c r="N166" s="100"/>
      <c r="O166" s="100"/>
      <c r="P166" s="100">
        <v>4</v>
      </c>
      <c r="Q166" s="271"/>
      <c r="R166" s="100">
        <v>70</v>
      </c>
      <c r="S166" s="100">
        <v>121</v>
      </c>
      <c r="T166" s="100">
        <v>5</v>
      </c>
      <c r="U166" s="100">
        <v>18</v>
      </c>
      <c r="V166" s="666">
        <v>63.406249999999993</v>
      </c>
      <c r="W166" s="97"/>
      <c r="X166" s="97">
        <f>+ROUNDUP(AC166/1000,0)</f>
        <v>18</v>
      </c>
      <c r="Y166" s="97"/>
      <c r="AC166" s="100">
        <v>17078.395624430264</v>
      </c>
    </row>
    <row r="167" spans="1:29" ht="15.95" customHeight="1" x14ac:dyDescent="0.2">
      <c r="A167" s="665"/>
      <c r="B167" s="43"/>
      <c r="C167" s="149" t="s">
        <v>290</v>
      </c>
      <c r="D167" s="303">
        <v>476</v>
      </c>
      <c r="E167" s="100">
        <v>31</v>
      </c>
      <c r="F167" s="101"/>
      <c r="G167" s="100"/>
      <c r="H167" s="100">
        <v>0</v>
      </c>
      <c r="I167" s="101">
        <v>9</v>
      </c>
      <c r="J167" s="100">
        <v>31</v>
      </c>
      <c r="K167" s="100">
        <v>142</v>
      </c>
      <c r="L167" s="100"/>
      <c r="M167" s="100">
        <v>82</v>
      </c>
      <c r="N167" s="100"/>
      <c r="O167" s="100"/>
      <c r="P167" s="100">
        <v>0</v>
      </c>
      <c r="Q167" s="271"/>
      <c r="R167" s="100">
        <v>70</v>
      </c>
      <c r="S167" s="100">
        <v>121</v>
      </c>
      <c r="T167" s="100">
        <v>5</v>
      </c>
      <c r="U167" s="100">
        <v>18</v>
      </c>
      <c r="V167" s="666">
        <v>63.40625</v>
      </c>
      <c r="W167" s="97"/>
      <c r="X167" s="97">
        <f>+ROUNDUP(AC167/1000,0)</f>
        <v>18</v>
      </c>
      <c r="Y167" s="97"/>
      <c r="AC167" s="100">
        <v>17078.395624430264</v>
      </c>
    </row>
    <row r="168" spans="1:29" ht="15.95" customHeight="1" x14ac:dyDescent="0.2">
      <c r="A168" s="667"/>
      <c r="B168" s="44"/>
      <c r="C168" s="150" t="s">
        <v>291</v>
      </c>
      <c r="D168" s="304"/>
      <c r="E168" s="103">
        <v>0</v>
      </c>
      <c r="F168" s="104"/>
      <c r="G168" s="103"/>
      <c r="H168" s="103">
        <v>30</v>
      </c>
      <c r="I168" s="104"/>
      <c r="J168" s="103">
        <v>0</v>
      </c>
      <c r="K168" s="103"/>
      <c r="L168" s="103"/>
      <c r="M168" s="103">
        <v>0</v>
      </c>
      <c r="N168" s="103"/>
      <c r="O168" s="103"/>
      <c r="P168" s="103">
        <v>0</v>
      </c>
      <c r="Q168" s="272"/>
      <c r="R168" s="103">
        <v>0</v>
      </c>
      <c r="S168" s="103">
        <v>0</v>
      </c>
      <c r="T168" s="103">
        <v>0</v>
      </c>
      <c r="U168" s="103">
        <v>0</v>
      </c>
      <c r="V168" s="668">
        <v>0</v>
      </c>
      <c r="W168" s="97"/>
      <c r="X168" s="97">
        <f t="shared" si="2"/>
        <v>0</v>
      </c>
      <c r="Y168" s="97"/>
      <c r="AC168" s="103">
        <v>0</v>
      </c>
    </row>
    <row r="169" spans="1:29" ht="15.95" customHeight="1" x14ac:dyDescent="0.2">
      <c r="A169" s="665"/>
      <c r="B169" s="42">
        <v>2009</v>
      </c>
      <c r="C169" s="149" t="s">
        <v>412</v>
      </c>
      <c r="D169" s="303">
        <v>633</v>
      </c>
      <c r="E169" s="100">
        <v>30</v>
      </c>
      <c r="F169" s="101"/>
      <c r="G169" s="100"/>
      <c r="H169" s="100">
        <v>42</v>
      </c>
      <c r="I169" s="101">
        <v>84</v>
      </c>
      <c r="J169" s="100">
        <v>27</v>
      </c>
      <c r="K169" s="100">
        <v>142</v>
      </c>
      <c r="L169" s="100"/>
      <c r="M169" s="100">
        <v>82</v>
      </c>
      <c r="N169" s="100"/>
      <c r="O169" s="100"/>
      <c r="P169" s="100">
        <v>4</v>
      </c>
      <c r="Q169" s="271"/>
      <c r="R169" s="100">
        <v>72</v>
      </c>
      <c r="S169" s="100">
        <v>121</v>
      </c>
      <c r="T169" s="100">
        <v>6</v>
      </c>
      <c r="U169" s="100">
        <v>19</v>
      </c>
      <c r="V169" s="666">
        <v>63.55</v>
      </c>
      <c r="W169" s="100"/>
      <c r="X169" s="97">
        <f t="shared" si="2"/>
        <v>19</v>
      </c>
      <c r="Y169" s="97"/>
      <c r="AC169" s="100">
        <v>18716.283716283717</v>
      </c>
    </row>
    <row r="170" spans="1:29" ht="15.95" customHeight="1" x14ac:dyDescent="0.2">
      <c r="A170" s="665"/>
      <c r="B170" s="43"/>
      <c r="C170" s="149" t="s">
        <v>413</v>
      </c>
      <c r="D170" s="303">
        <v>633</v>
      </c>
      <c r="E170" s="100">
        <v>30</v>
      </c>
      <c r="F170" s="101"/>
      <c r="G170" s="100"/>
      <c r="H170" s="100">
        <v>0</v>
      </c>
      <c r="I170" s="101">
        <v>84</v>
      </c>
      <c r="J170" s="100">
        <v>27</v>
      </c>
      <c r="K170" s="100">
        <v>142</v>
      </c>
      <c r="L170" s="100"/>
      <c r="M170" s="100">
        <v>82</v>
      </c>
      <c r="N170" s="100"/>
      <c r="O170" s="100"/>
      <c r="P170" s="100">
        <v>0</v>
      </c>
      <c r="Q170" s="271"/>
      <c r="R170" s="100">
        <v>72</v>
      </c>
      <c r="S170" s="100">
        <v>121</v>
      </c>
      <c r="T170" s="100">
        <v>6</v>
      </c>
      <c r="U170" s="100">
        <v>19</v>
      </c>
      <c r="V170" s="666">
        <v>64</v>
      </c>
      <c r="W170" s="97"/>
      <c r="X170" s="97">
        <f t="shared" si="2"/>
        <v>19</v>
      </c>
      <c r="Y170" s="97"/>
      <c r="AC170" s="100">
        <v>18716.283716283717</v>
      </c>
    </row>
    <row r="171" spans="1:29" ht="15.95" customHeight="1" thickBot="1" x14ac:dyDescent="0.25">
      <c r="A171" s="669"/>
      <c r="B171" s="45"/>
      <c r="C171" s="151" t="s">
        <v>414</v>
      </c>
      <c r="D171" s="305"/>
      <c r="E171" s="105">
        <v>0</v>
      </c>
      <c r="F171" s="106"/>
      <c r="G171" s="105"/>
      <c r="H171" s="105">
        <v>0</v>
      </c>
      <c r="I171" s="106">
        <v>75</v>
      </c>
      <c r="J171" s="105">
        <v>0</v>
      </c>
      <c r="K171" s="105"/>
      <c r="L171" s="105"/>
      <c r="M171" s="105">
        <v>0</v>
      </c>
      <c r="N171" s="105"/>
      <c r="O171" s="105"/>
      <c r="P171" s="105">
        <v>0</v>
      </c>
      <c r="Q171" s="273"/>
      <c r="R171" s="105">
        <v>0</v>
      </c>
      <c r="S171" s="105">
        <v>0</v>
      </c>
      <c r="T171" s="105">
        <v>0</v>
      </c>
      <c r="U171" s="105">
        <v>0</v>
      </c>
      <c r="V171" s="670">
        <v>0</v>
      </c>
      <c r="W171" s="97"/>
      <c r="X171" s="97">
        <f t="shared" si="2"/>
        <v>0</v>
      </c>
      <c r="Y171" s="97">
        <f>+IF((AC171-ROUND(AC171,-3)&gt;400)*AND(AC171-ROUND(AC171,-3)&lt;500),1,0)</f>
        <v>0</v>
      </c>
      <c r="AC171" s="105">
        <v>0</v>
      </c>
    </row>
    <row r="172" spans="1:29" ht="15.95" customHeight="1" thickTop="1" x14ac:dyDescent="0.2">
      <c r="A172" s="665" t="s">
        <v>127</v>
      </c>
      <c r="B172" s="42">
        <v>2008</v>
      </c>
      <c r="C172" s="148" t="s">
        <v>289</v>
      </c>
      <c r="D172" s="303">
        <v>366</v>
      </c>
      <c r="E172" s="100">
        <v>24</v>
      </c>
      <c r="F172" s="101">
        <v>93.894080000000017</v>
      </c>
      <c r="G172" s="100">
        <v>59.788268955650935</v>
      </c>
      <c r="H172" s="100">
        <v>37</v>
      </c>
      <c r="I172" s="101">
        <v>64</v>
      </c>
      <c r="J172" s="100">
        <v>51</v>
      </c>
      <c r="K172" s="100">
        <v>71</v>
      </c>
      <c r="L172" s="100"/>
      <c r="M172" s="100">
        <v>63</v>
      </c>
      <c r="N172" s="100"/>
      <c r="O172" s="100">
        <v>2</v>
      </c>
      <c r="P172" s="100">
        <v>3</v>
      </c>
      <c r="Q172" s="271">
        <v>31.693999999999999</v>
      </c>
      <c r="R172" s="100">
        <v>75</v>
      </c>
      <c r="S172" s="100">
        <v>93</v>
      </c>
      <c r="T172" s="100">
        <v>87</v>
      </c>
      <c r="U172" s="100">
        <v>11</v>
      </c>
      <c r="V172" s="666">
        <v>205.86696428571426</v>
      </c>
      <c r="W172" s="97"/>
      <c r="X172" s="97">
        <f t="shared" si="2"/>
        <v>11</v>
      </c>
      <c r="Y172" s="97"/>
      <c r="AC172" s="100">
        <v>11385.597082953509</v>
      </c>
    </row>
    <row r="173" spans="1:29" ht="15.95" customHeight="1" x14ac:dyDescent="0.2">
      <c r="A173" s="665"/>
      <c r="B173" s="43"/>
      <c r="C173" s="149" t="s">
        <v>290</v>
      </c>
      <c r="D173" s="303">
        <v>366</v>
      </c>
      <c r="E173" s="100">
        <v>24</v>
      </c>
      <c r="F173" s="101">
        <v>50.504280000000008</v>
      </c>
      <c r="G173" s="100">
        <v>0</v>
      </c>
      <c r="H173" s="100">
        <v>37</v>
      </c>
      <c r="I173" s="101">
        <v>64</v>
      </c>
      <c r="J173" s="100">
        <v>51</v>
      </c>
      <c r="K173" s="100">
        <v>71</v>
      </c>
      <c r="L173" s="100"/>
      <c r="M173" s="100">
        <v>63</v>
      </c>
      <c r="N173" s="100"/>
      <c r="O173" s="100">
        <v>2</v>
      </c>
      <c r="P173" s="100">
        <v>3</v>
      </c>
      <c r="Q173" s="271">
        <v>31.693999999999999</v>
      </c>
      <c r="R173" s="100">
        <v>75</v>
      </c>
      <c r="S173" s="100">
        <v>93</v>
      </c>
      <c r="T173" s="100">
        <v>0</v>
      </c>
      <c r="U173" s="100">
        <v>11</v>
      </c>
      <c r="V173" s="666">
        <v>205.86696428571426</v>
      </c>
      <c r="W173" s="97"/>
      <c r="X173" s="97">
        <f t="shared" si="2"/>
        <v>11</v>
      </c>
      <c r="Y173" s="97"/>
      <c r="AC173" s="100">
        <v>11385.597082953509</v>
      </c>
    </row>
    <row r="174" spans="1:29" ht="15.95" customHeight="1" x14ac:dyDescent="0.2">
      <c r="A174" s="667"/>
      <c r="B174" s="44"/>
      <c r="C174" s="150" t="s">
        <v>291</v>
      </c>
      <c r="D174" s="304"/>
      <c r="E174" s="103">
        <v>0</v>
      </c>
      <c r="F174" s="104">
        <v>0</v>
      </c>
      <c r="G174" s="103">
        <v>0</v>
      </c>
      <c r="H174" s="103">
        <v>0</v>
      </c>
      <c r="I174" s="104"/>
      <c r="J174" s="103">
        <v>0</v>
      </c>
      <c r="K174" s="103"/>
      <c r="L174" s="103"/>
      <c r="M174" s="103">
        <v>0</v>
      </c>
      <c r="N174" s="103"/>
      <c r="O174" s="103">
        <v>0</v>
      </c>
      <c r="P174" s="103">
        <v>0</v>
      </c>
      <c r="Q174" s="272"/>
      <c r="R174" s="103">
        <v>0</v>
      </c>
      <c r="S174" s="103">
        <v>0</v>
      </c>
      <c r="T174" s="103">
        <v>0</v>
      </c>
      <c r="U174" s="103">
        <v>0</v>
      </c>
      <c r="V174" s="668">
        <v>0</v>
      </c>
      <c r="W174" s="97"/>
      <c r="X174" s="97">
        <f t="shared" si="2"/>
        <v>0</v>
      </c>
      <c r="Y174" s="97"/>
      <c r="AC174" s="103">
        <v>0</v>
      </c>
    </row>
    <row r="175" spans="1:29" ht="15.95" customHeight="1" x14ac:dyDescent="0.2">
      <c r="A175" s="665"/>
      <c r="B175" s="42">
        <v>2009</v>
      </c>
      <c r="C175" s="149" t="s">
        <v>412</v>
      </c>
      <c r="D175" s="303">
        <v>487</v>
      </c>
      <c r="E175" s="100">
        <v>23</v>
      </c>
      <c r="F175" s="101">
        <v>93.894080000000017</v>
      </c>
      <c r="G175" s="100">
        <v>63.411255411255411</v>
      </c>
      <c r="H175" s="100">
        <v>42</v>
      </c>
      <c r="I175" s="101">
        <v>64</v>
      </c>
      <c r="J175" s="100">
        <v>45</v>
      </c>
      <c r="K175" s="100">
        <v>71</v>
      </c>
      <c r="L175" s="100"/>
      <c r="M175" s="100">
        <v>63</v>
      </c>
      <c r="N175" s="100"/>
      <c r="O175" s="100">
        <v>2</v>
      </c>
      <c r="P175" s="100">
        <v>3</v>
      </c>
      <c r="Q175" s="102">
        <v>30.041</v>
      </c>
      <c r="R175" s="100">
        <v>82</v>
      </c>
      <c r="S175" s="100">
        <v>93</v>
      </c>
      <c r="T175" s="100">
        <v>89</v>
      </c>
      <c r="U175" s="100">
        <v>12</v>
      </c>
      <c r="V175" s="666">
        <v>231.4928571428571</v>
      </c>
      <c r="W175" s="100"/>
      <c r="X175" s="97">
        <f t="shared" si="2"/>
        <v>12</v>
      </c>
      <c r="Y175" s="97"/>
      <c r="AC175" s="100">
        <v>12477.52247752248</v>
      </c>
    </row>
    <row r="176" spans="1:29" ht="15.95" customHeight="1" x14ac:dyDescent="0.2">
      <c r="A176" s="665"/>
      <c r="B176" s="43"/>
      <c r="C176" s="149" t="s">
        <v>413</v>
      </c>
      <c r="D176" s="303">
        <v>487</v>
      </c>
      <c r="E176" s="100">
        <v>23</v>
      </c>
      <c r="F176" s="101">
        <v>0</v>
      </c>
      <c r="G176" s="100">
        <v>0</v>
      </c>
      <c r="H176" s="100">
        <v>42</v>
      </c>
      <c r="I176" s="101">
        <v>64</v>
      </c>
      <c r="J176" s="100">
        <v>45</v>
      </c>
      <c r="K176" s="100">
        <v>71</v>
      </c>
      <c r="L176" s="100"/>
      <c r="M176" s="100">
        <v>63</v>
      </c>
      <c r="N176" s="100"/>
      <c r="O176" s="100">
        <v>2</v>
      </c>
      <c r="P176" s="100">
        <v>3</v>
      </c>
      <c r="Q176" s="102">
        <v>30.041</v>
      </c>
      <c r="R176" s="100">
        <v>82</v>
      </c>
      <c r="S176" s="100">
        <v>93</v>
      </c>
      <c r="T176" s="100">
        <v>89</v>
      </c>
      <c r="U176" s="100">
        <v>12</v>
      </c>
      <c r="V176" s="666">
        <v>231</v>
      </c>
      <c r="W176" s="97"/>
      <c r="X176" s="97">
        <f t="shared" si="2"/>
        <v>12</v>
      </c>
      <c r="Y176" s="97"/>
      <c r="AC176" s="100">
        <v>12477.52247752248</v>
      </c>
    </row>
    <row r="177" spans="1:29" ht="15.95" customHeight="1" thickBot="1" x14ac:dyDescent="0.25">
      <c r="A177" s="669"/>
      <c r="B177" s="45"/>
      <c r="C177" s="151" t="s">
        <v>414</v>
      </c>
      <c r="D177" s="305"/>
      <c r="E177" s="105">
        <v>0</v>
      </c>
      <c r="F177" s="106">
        <v>43.389800000000001</v>
      </c>
      <c r="G177" s="105">
        <v>0</v>
      </c>
      <c r="H177" s="105">
        <v>0</v>
      </c>
      <c r="I177" s="106"/>
      <c r="J177" s="105">
        <v>0</v>
      </c>
      <c r="K177" s="105"/>
      <c r="L177" s="105"/>
      <c r="M177" s="105">
        <v>0</v>
      </c>
      <c r="N177" s="105"/>
      <c r="O177" s="105">
        <v>0</v>
      </c>
      <c r="P177" s="105">
        <v>0</v>
      </c>
      <c r="Q177" s="273"/>
      <c r="R177" s="105">
        <v>0</v>
      </c>
      <c r="S177" s="105">
        <v>0</v>
      </c>
      <c r="T177" s="105">
        <v>0</v>
      </c>
      <c r="U177" s="105">
        <v>0</v>
      </c>
      <c r="V177" s="670">
        <v>0</v>
      </c>
      <c r="W177" s="97"/>
      <c r="X177" s="97">
        <f t="shared" si="2"/>
        <v>0</v>
      </c>
      <c r="Y177" s="97">
        <f>+IF((AC177-ROUND(AC177,-3)&gt;400)*AND(AC177-ROUND(AC177,-3)&lt;500),1,0)</f>
        <v>0</v>
      </c>
      <c r="AC177" s="105">
        <v>0</v>
      </c>
    </row>
    <row r="178" spans="1:29" ht="15.95" customHeight="1" thickTop="1" x14ac:dyDescent="0.2">
      <c r="A178" s="665" t="s">
        <v>128</v>
      </c>
      <c r="B178" s="42">
        <v>2008</v>
      </c>
      <c r="C178" s="148" t="s">
        <v>289</v>
      </c>
      <c r="D178" s="303">
        <v>37</v>
      </c>
      <c r="E178" s="100">
        <v>2</v>
      </c>
      <c r="F178" s="101">
        <v>9.3894079999999995</v>
      </c>
      <c r="G178" s="100">
        <v>6.2918454935622323</v>
      </c>
      <c r="H178" s="100">
        <v>37</v>
      </c>
      <c r="I178" s="101">
        <v>7</v>
      </c>
      <c r="J178" s="100"/>
      <c r="K178" s="100">
        <v>71</v>
      </c>
      <c r="L178" s="100"/>
      <c r="M178" s="100">
        <v>6</v>
      </c>
      <c r="N178" s="100"/>
      <c r="O178" s="100">
        <v>0</v>
      </c>
      <c r="P178" s="100">
        <v>0</v>
      </c>
      <c r="Q178" s="271">
        <v>3.395</v>
      </c>
      <c r="R178" s="100">
        <v>35</v>
      </c>
      <c r="S178" s="100">
        <v>9</v>
      </c>
      <c r="T178" s="100">
        <v>1</v>
      </c>
      <c r="U178" s="100">
        <v>11</v>
      </c>
      <c r="V178" s="666">
        <v>23.825892857142854</v>
      </c>
      <c r="W178" s="97"/>
      <c r="X178" s="97">
        <f t="shared" si="2"/>
        <v>11</v>
      </c>
      <c r="Y178" s="97"/>
      <c r="AC178" s="100">
        <v>11385.597082953509</v>
      </c>
    </row>
    <row r="179" spans="1:29" ht="15.95" customHeight="1" x14ac:dyDescent="0.2">
      <c r="A179" s="665"/>
      <c r="B179" s="43"/>
      <c r="C179" s="149" t="s">
        <v>290</v>
      </c>
      <c r="D179" s="303">
        <v>37</v>
      </c>
      <c r="E179" s="100">
        <v>2</v>
      </c>
      <c r="F179" s="101">
        <v>9.3894079999999995</v>
      </c>
      <c r="G179" s="100">
        <v>2.722460658082976</v>
      </c>
      <c r="H179" s="100">
        <v>37</v>
      </c>
      <c r="I179" s="101">
        <v>7</v>
      </c>
      <c r="J179" s="100"/>
      <c r="K179" s="100">
        <v>71</v>
      </c>
      <c r="L179" s="100"/>
      <c r="M179" s="100">
        <v>6</v>
      </c>
      <c r="N179" s="100"/>
      <c r="O179" s="100">
        <v>0</v>
      </c>
      <c r="P179" s="100">
        <v>0</v>
      </c>
      <c r="Q179" s="271">
        <v>3.395</v>
      </c>
      <c r="R179" s="100">
        <v>35</v>
      </c>
      <c r="S179" s="100">
        <v>9</v>
      </c>
      <c r="T179" s="100">
        <v>0</v>
      </c>
      <c r="U179" s="100">
        <v>0</v>
      </c>
      <c r="V179" s="666">
        <v>3.617857142857142</v>
      </c>
      <c r="W179" s="97"/>
      <c r="X179" s="97">
        <f t="shared" si="2"/>
        <v>0</v>
      </c>
      <c r="Y179" s="97"/>
      <c r="AC179" s="100">
        <v>0</v>
      </c>
    </row>
    <row r="180" spans="1:29" ht="15.95" customHeight="1" x14ac:dyDescent="0.2">
      <c r="A180" s="667"/>
      <c r="B180" s="44"/>
      <c r="C180" s="150" t="s">
        <v>291</v>
      </c>
      <c r="D180" s="304"/>
      <c r="E180" s="103">
        <v>0</v>
      </c>
      <c r="F180" s="104">
        <v>0</v>
      </c>
      <c r="G180" s="103">
        <v>2.7296137339055795</v>
      </c>
      <c r="H180" s="103">
        <v>0</v>
      </c>
      <c r="I180" s="104"/>
      <c r="J180" s="103"/>
      <c r="K180" s="103"/>
      <c r="L180" s="103"/>
      <c r="M180" s="103">
        <v>0</v>
      </c>
      <c r="N180" s="103"/>
      <c r="O180" s="103">
        <v>0</v>
      </c>
      <c r="P180" s="103">
        <v>0</v>
      </c>
      <c r="Q180" s="272"/>
      <c r="R180" s="103">
        <v>98</v>
      </c>
      <c r="S180" s="103">
        <v>0</v>
      </c>
      <c r="T180" s="103">
        <v>0</v>
      </c>
      <c r="U180" s="103">
        <v>0</v>
      </c>
      <c r="V180" s="668">
        <v>51</v>
      </c>
      <c r="W180" s="97"/>
      <c r="X180" s="97">
        <f t="shared" si="2"/>
        <v>0</v>
      </c>
      <c r="Y180" s="97"/>
      <c r="AC180" s="103">
        <v>0</v>
      </c>
    </row>
    <row r="181" spans="1:29" ht="15.95" customHeight="1" x14ac:dyDescent="0.2">
      <c r="A181" s="665"/>
      <c r="B181" s="42">
        <v>2009</v>
      </c>
      <c r="C181" s="149" t="s">
        <v>412</v>
      </c>
      <c r="D181" s="303">
        <v>49</v>
      </c>
      <c r="E181" s="100">
        <v>3</v>
      </c>
      <c r="F181" s="101">
        <v>9.3894079999999995</v>
      </c>
      <c r="G181" s="100">
        <v>6.5310245310245314</v>
      </c>
      <c r="H181" s="100">
        <v>42</v>
      </c>
      <c r="I181" s="101">
        <v>7</v>
      </c>
      <c r="J181" s="100"/>
      <c r="K181" s="100">
        <v>71</v>
      </c>
      <c r="L181" s="100"/>
      <c r="M181" s="100">
        <v>6</v>
      </c>
      <c r="N181" s="100"/>
      <c r="O181" s="100">
        <v>0</v>
      </c>
      <c r="P181" s="100">
        <v>0</v>
      </c>
      <c r="Q181" s="102">
        <v>3.218</v>
      </c>
      <c r="R181" s="100">
        <v>36</v>
      </c>
      <c r="S181" s="100">
        <v>9</v>
      </c>
      <c r="T181" s="100">
        <v>1</v>
      </c>
      <c r="U181" s="100">
        <v>12</v>
      </c>
      <c r="V181" s="666">
        <v>24.602678571428569</v>
      </c>
      <c r="W181" s="100"/>
      <c r="X181" s="97">
        <f t="shared" si="2"/>
        <v>12</v>
      </c>
      <c r="Y181" s="97"/>
      <c r="AC181" s="100">
        <v>12477.52247752248</v>
      </c>
    </row>
    <row r="182" spans="1:29" ht="15.95" customHeight="1" x14ac:dyDescent="0.2">
      <c r="A182" s="665"/>
      <c r="B182" s="43"/>
      <c r="C182" s="149" t="s">
        <v>413</v>
      </c>
      <c r="D182" s="303">
        <v>49</v>
      </c>
      <c r="E182" s="100">
        <v>1</v>
      </c>
      <c r="F182" s="101">
        <v>9.3894079999999995</v>
      </c>
      <c r="G182" s="100">
        <v>6.5310245310245314</v>
      </c>
      <c r="H182" s="100">
        <v>42</v>
      </c>
      <c r="I182" s="101">
        <v>7</v>
      </c>
      <c r="J182" s="100"/>
      <c r="K182" s="100">
        <v>71</v>
      </c>
      <c r="L182" s="100"/>
      <c r="M182" s="100">
        <v>6</v>
      </c>
      <c r="N182" s="100"/>
      <c r="O182" s="100">
        <v>0</v>
      </c>
      <c r="P182" s="100">
        <v>0</v>
      </c>
      <c r="Q182" s="102">
        <v>3.218</v>
      </c>
      <c r="R182" s="100">
        <v>36</v>
      </c>
      <c r="S182" s="100">
        <v>9</v>
      </c>
      <c r="T182" s="100">
        <v>0</v>
      </c>
      <c r="U182" s="100">
        <v>0</v>
      </c>
      <c r="V182" s="666">
        <v>2</v>
      </c>
      <c r="W182" s="97"/>
      <c r="X182" s="97">
        <f t="shared" si="2"/>
        <v>0</v>
      </c>
      <c r="Y182" s="97"/>
      <c r="AC182" s="100">
        <v>0</v>
      </c>
    </row>
    <row r="183" spans="1:29" ht="15.95" customHeight="1" thickBot="1" x14ac:dyDescent="0.25">
      <c r="A183" s="669"/>
      <c r="B183" s="45"/>
      <c r="C183" s="151" t="s">
        <v>414</v>
      </c>
      <c r="D183" s="305"/>
      <c r="E183" s="105">
        <v>0</v>
      </c>
      <c r="F183" s="106">
        <v>0</v>
      </c>
      <c r="G183" s="105">
        <v>3.6161616161616168</v>
      </c>
      <c r="H183" s="105">
        <v>11</v>
      </c>
      <c r="I183" s="106"/>
      <c r="J183" s="105"/>
      <c r="K183" s="105"/>
      <c r="L183" s="105"/>
      <c r="M183" s="105">
        <v>0</v>
      </c>
      <c r="N183" s="105"/>
      <c r="O183" s="105">
        <v>0</v>
      </c>
      <c r="P183" s="105">
        <v>1</v>
      </c>
      <c r="Q183" s="273"/>
      <c r="R183" s="105">
        <v>99</v>
      </c>
      <c r="S183" s="105">
        <v>0</v>
      </c>
      <c r="T183" s="105">
        <v>1</v>
      </c>
      <c r="U183" s="105">
        <v>0</v>
      </c>
      <c r="V183" s="670">
        <v>20</v>
      </c>
      <c r="W183" s="97"/>
      <c r="X183" s="97">
        <f t="shared" si="2"/>
        <v>0</v>
      </c>
      <c r="Y183" s="97">
        <f>+IF((AC183-ROUND(AC183,-3)&gt;400)*AND(AC183-ROUND(AC183,-3)&lt;500),1,0)</f>
        <v>0</v>
      </c>
      <c r="AC183" s="105">
        <v>0</v>
      </c>
    </row>
    <row r="184" spans="1:29" ht="15.95" customHeight="1" thickTop="1" x14ac:dyDescent="0.2">
      <c r="A184" s="665" t="s">
        <v>129</v>
      </c>
      <c r="B184" s="42">
        <v>2008</v>
      </c>
      <c r="C184" s="148" t="s">
        <v>289</v>
      </c>
      <c r="D184" s="303">
        <v>18</v>
      </c>
      <c r="E184" s="100">
        <v>1</v>
      </c>
      <c r="F184" s="101">
        <v>4.6946972000000002</v>
      </c>
      <c r="G184" s="100">
        <v>0</v>
      </c>
      <c r="H184" s="100">
        <v>37</v>
      </c>
      <c r="I184" s="101">
        <v>3</v>
      </c>
      <c r="J184" s="100"/>
      <c r="K184" s="100">
        <v>18</v>
      </c>
      <c r="L184" s="100"/>
      <c r="M184" s="100">
        <v>3</v>
      </c>
      <c r="N184" s="100"/>
      <c r="O184" s="100">
        <v>0</v>
      </c>
      <c r="P184" s="100">
        <v>0</v>
      </c>
      <c r="Q184" s="271">
        <v>1.1319999999999999</v>
      </c>
      <c r="R184" s="100">
        <v>35</v>
      </c>
      <c r="S184" s="100">
        <v>5</v>
      </c>
      <c r="T184" s="100">
        <v>1</v>
      </c>
      <c r="U184" s="100">
        <v>11</v>
      </c>
      <c r="V184" s="666">
        <v>23.825892857142854</v>
      </c>
      <c r="W184" s="97"/>
      <c r="X184" s="97">
        <f t="shared" si="2"/>
        <v>11</v>
      </c>
      <c r="Y184" s="97"/>
      <c r="AC184" s="100">
        <v>11385.597082953509</v>
      </c>
    </row>
    <row r="185" spans="1:29" ht="15.95" customHeight="1" x14ac:dyDescent="0.2">
      <c r="A185" s="665"/>
      <c r="B185" s="43"/>
      <c r="C185" s="149" t="s">
        <v>290</v>
      </c>
      <c r="D185" s="303">
        <v>18</v>
      </c>
      <c r="E185" s="100">
        <v>0</v>
      </c>
      <c r="F185" s="101">
        <v>4.6946972000000002</v>
      </c>
      <c r="G185" s="100">
        <v>0</v>
      </c>
      <c r="H185" s="100">
        <v>37</v>
      </c>
      <c r="I185" s="101"/>
      <c r="J185" s="100"/>
      <c r="K185" s="100">
        <v>18</v>
      </c>
      <c r="L185" s="100"/>
      <c r="M185" s="100">
        <v>0</v>
      </c>
      <c r="N185" s="100">
        <v>10</v>
      </c>
      <c r="O185" s="100">
        <v>0</v>
      </c>
      <c r="P185" s="100">
        <v>0</v>
      </c>
      <c r="Q185" s="271"/>
      <c r="R185" s="100">
        <v>35</v>
      </c>
      <c r="S185" s="100">
        <v>5</v>
      </c>
      <c r="T185" s="100">
        <v>0</v>
      </c>
      <c r="U185" s="100">
        <v>0</v>
      </c>
      <c r="V185" s="666">
        <v>0</v>
      </c>
      <c r="W185" s="97"/>
      <c r="X185" s="97">
        <f t="shared" si="2"/>
        <v>0</v>
      </c>
      <c r="Y185" s="97"/>
      <c r="AC185" s="100">
        <v>0</v>
      </c>
    </row>
    <row r="186" spans="1:29" ht="15.95" customHeight="1" x14ac:dyDescent="0.2">
      <c r="A186" s="667"/>
      <c r="B186" s="44"/>
      <c r="C186" s="150" t="s">
        <v>291</v>
      </c>
      <c r="D186" s="304"/>
      <c r="E186" s="103">
        <v>0</v>
      </c>
      <c r="F186" s="104">
        <v>33.440658800000001</v>
      </c>
      <c r="G186" s="103">
        <v>0</v>
      </c>
      <c r="H186" s="103">
        <v>0</v>
      </c>
      <c r="I186" s="104"/>
      <c r="J186" s="103"/>
      <c r="K186" s="103"/>
      <c r="L186" s="103"/>
      <c r="M186" s="103">
        <v>0</v>
      </c>
      <c r="N186" s="103"/>
      <c r="O186" s="103">
        <v>0</v>
      </c>
      <c r="P186" s="103">
        <v>0</v>
      </c>
      <c r="Q186" s="272">
        <v>4.8000000000000001E-2</v>
      </c>
      <c r="R186" s="103">
        <v>0</v>
      </c>
      <c r="S186" s="103">
        <v>0</v>
      </c>
      <c r="T186" s="103">
        <v>0</v>
      </c>
      <c r="U186" s="103">
        <v>0</v>
      </c>
      <c r="V186" s="668">
        <v>19.09090909090909</v>
      </c>
      <c r="W186" s="97"/>
      <c r="X186" s="97">
        <f t="shared" si="2"/>
        <v>0</v>
      </c>
      <c r="Y186" s="97"/>
      <c r="AC186" s="103">
        <v>0</v>
      </c>
    </row>
    <row r="187" spans="1:29" ht="15.95" customHeight="1" x14ac:dyDescent="0.2">
      <c r="A187" s="665"/>
      <c r="B187" s="42">
        <v>2009</v>
      </c>
      <c r="C187" s="149" t="s">
        <v>412</v>
      </c>
      <c r="D187" s="303">
        <v>24</v>
      </c>
      <c r="E187" s="100">
        <v>1</v>
      </c>
      <c r="F187" s="101">
        <v>4.6946972000000002</v>
      </c>
      <c r="G187" s="100">
        <v>3.2525252525252526</v>
      </c>
      <c r="H187" s="100">
        <v>42</v>
      </c>
      <c r="I187" s="101">
        <v>3</v>
      </c>
      <c r="J187" s="100"/>
      <c r="K187" s="100">
        <v>18</v>
      </c>
      <c r="L187" s="100"/>
      <c r="M187" s="100">
        <v>3</v>
      </c>
      <c r="N187" s="100"/>
      <c r="O187" s="100">
        <v>0</v>
      </c>
      <c r="P187" s="100">
        <v>0</v>
      </c>
      <c r="Q187" s="102">
        <v>1.073</v>
      </c>
      <c r="R187" s="100">
        <v>36</v>
      </c>
      <c r="S187" s="100">
        <v>5</v>
      </c>
      <c r="T187" s="100">
        <v>1</v>
      </c>
      <c r="U187" s="100">
        <v>12</v>
      </c>
      <c r="V187" s="666">
        <v>25</v>
      </c>
      <c r="W187" s="100"/>
      <c r="X187" s="97">
        <f t="shared" si="2"/>
        <v>12</v>
      </c>
      <c r="Y187" s="97"/>
      <c r="AC187" s="100">
        <v>12477.52247752248</v>
      </c>
    </row>
    <row r="188" spans="1:29" ht="15.95" customHeight="1" x14ac:dyDescent="0.2">
      <c r="A188" s="665"/>
      <c r="B188" s="43"/>
      <c r="C188" s="149" t="s">
        <v>413</v>
      </c>
      <c r="D188" s="303">
        <v>24</v>
      </c>
      <c r="E188" s="100">
        <v>0</v>
      </c>
      <c r="F188" s="101">
        <v>4.6946972000000002</v>
      </c>
      <c r="G188" s="100">
        <v>0</v>
      </c>
      <c r="H188" s="100">
        <v>42</v>
      </c>
      <c r="I188" s="101"/>
      <c r="J188" s="100"/>
      <c r="K188" s="100">
        <v>18</v>
      </c>
      <c r="L188" s="100"/>
      <c r="M188" s="100">
        <v>2</v>
      </c>
      <c r="N188" s="100"/>
      <c r="O188" s="100">
        <v>0</v>
      </c>
      <c r="P188" s="100">
        <v>0</v>
      </c>
      <c r="Q188" s="271"/>
      <c r="R188" s="100">
        <v>36</v>
      </c>
      <c r="S188" s="100">
        <v>3</v>
      </c>
      <c r="T188" s="100">
        <v>0</v>
      </c>
      <c r="U188" s="100">
        <v>0</v>
      </c>
      <c r="V188" s="666">
        <v>0</v>
      </c>
      <c r="W188" s="97"/>
      <c r="X188" s="97">
        <f t="shared" si="2"/>
        <v>0</v>
      </c>
      <c r="Y188" s="97"/>
      <c r="AC188" s="100">
        <v>0</v>
      </c>
    </row>
    <row r="189" spans="1:29" ht="15.95" customHeight="1" thickBot="1" x14ac:dyDescent="0.25">
      <c r="A189" s="669"/>
      <c r="B189" s="45"/>
      <c r="C189" s="151" t="s">
        <v>414</v>
      </c>
      <c r="D189" s="305"/>
      <c r="E189" s="105">
        <v>0</v>
      </c>
      <c r="F189" s="106">
        <v>33.440658800000001</v>
      </c>
      <c r="G189" s="105">
        <v>0</v>
      </c>
      <c r="H189" s="105">
        <v>0</v>
      </c>
      <c r="I189" s="106"/>
      <c r="J189" s="105"/>
      <c r="K189" s="105"/>
      <c r="L189" s="105"/>
      <c r="M189" s="105">
        <v>3</v>
      </c>
      <c r="N189" s="105"/>
      <c r="O189" s="105">
        <v>0</v>
      </c>
      <c r="P189" s="105">
        <v>0</v>
      </c>
      <c r="Q189" s="273">
        <v>13.88</v>
      </c>
      <c r="R189" s="105">
        <v>0</v>
      </c>
      <c r="S189" s="105">
        <v>1</v>
      </c>
      <c r="T189" s="105">
        <v>0</v>
      </c>
      <c r="U189" s="105">
        <v>0</v>
      </c>
      <c r="V189" s="670">
        <v>0</v>
      </c>
      <c r="W189" s="97"/>
      <c r="X189" s="97">
        <f t="shared" si="2"/>
        <v>0</v>
      </c>
      <c r="Y189" s="97">
        <f>+IF((AC189-ROUND(AC189,-3)&gt;400)*AND(AC189-ROUND(AC189,-3)&lt;500),1,0)</f>
        <v>0</v>
      </c>
      <c r="AC189" s="105">
        <v>0</v>
      </c>
    </row>
    <row r="190" spans="1:29" ht="15.95" customHeight="1" thickTop="1" x14ac:dyDescent="0.2">
      <c r="A190" s="665" t="s">
        <v>130</v>
      </c>
      <c r="B190" s="42">
        <v>2008</v>
      </c>
      <c r="C190" s="148" t="s">
        <v>289</v>
      </c>
      <c r="D190" s="303">
        <v>18</v>
      </c>
      <c r="E190" s="100">
        <v>1</v>
      </c>
      <c r="F190" s="101">
        <v>4.6946972000000002</v>
      </c>
      <c r="G190" s="100"/>
      <c r="H190" s="100">
        <v>37</v>
      </c>
      <c r="I190" s="101">
        <v>3</v>
      </c>
      <c r="J190" s="100">
        <v>115</v>
      </c>
      <c r="K190" s="100">
        <v>18</v>
      </c>
      <c r="L190" s="100"/>
      <c r="M190" s="100">
        <v>3</v>
      </c>
      <c r="N190" s="100"/>
      <c r="O190" s="100">
        <v>0</v>
      </c>
      <c r="P190" s="100">
        <v>0</v>
      </c>
      <c r="Q190" s="271">
        <v>1.1319999999999999</v>
      </c>
      <c r="R190" s="100">
        <v>37</v>
      </c>
      <c r="S190" s="100">
        <v>5</v>
      </c>
      <c r="T190" s="100">
        <v>1</v>
      </c>
      <c r="U190" s="100">
        <v>11</v>
      </c>
      <c r="V190" s="666">
        <v>52.364285714285714</v>
      </c>
      <c r="W190" s="97"/>
      <c r="X190" s="97">
        <f t="shared" si="2"/>
        <v>11</v>
      </c>
      <c r="Y190" s="97"/>
      <c r="AC190" s="100">
        <v>11385.597082953509</v>
      </c>
    </row>
    <row r="191" spans="1:29" ht="15.95" customHeight="1" x14ac:dyDescent="0.2">
      <c r="A191" s="665"/>
      <c r="B191" s="43"/>
      <c r="C191" s="149" t="s">
        <v>290</v>
      </c>
      <c r="D191" s="303"/>
      <c r="E191" s="100">
        <v>0</v>
      </c>
      <c r="F191" s="101">
        <v>4.6946972000000002</v>
      </c>
      <c r="G191" s="100"/>
      <c r="H191" s="100">
        <v>37</v>
      </c>
      <c r="I191" s="101">
        <v>3</v>
      </c>
      <c r="J191" s="100">
        <v>0</v>
      </c>
      <c r="K191" s="100">
        <v>18</v>
      </c>
      <c r="L191" s="100"/>
      <c r="M191" s="100">
        <v>3</v>
      </c>
      <c r="N191" s="100"/>
      <c r="O191" s="100">
        <v>0</v>
      </c>
      <c r="P191" s="100">
        <v>0</v>
      </c>
      <c r="Q191" s="271">
        <v>1.1319999999999999</v>
      </c>
      <c r="R191" s="100">
        <v>37</v>
      </c>
      <c r="S191" s="100">
        <v>5</v>
      </c>
      <c r="T191" s="100">
        <v>1</v>
      </c>
      <c r="U191" s="100">
        <v>0</v>
      </c>
      <c r="V191" s="666">
        <v>50.253571428571426</v>
      </c>
      <c r="W191" s="97"/>
      <c r="X191" s="97">
        <f t="shared" si="2"/>
        <v>0</v>
      </c>
      <c r="Y191" s="97"/>
      <c r="AC191" s="100">
        <v>28.495897903372835</v>
      </c>
    </row>
    <row r="192" spans="1:29" ht="15.95" customHeight="1" x14ac:dyDescent="0.2">
      <c r="A192" s="667"/>
      <c r="B192" s="44"/>
      <c r="C192" s="150" t="s">
        <v>291</v>
      </c>
      <c r="D192" s="304"/>
      <c r="E192" s="103">
        <v>0</v>
      </c>
      <c r="F192" s="104">
        <v>0</v>
      </c>
      <c r="G192" s="103"/>
      <c r="H192" s="103">
        <v>16</v>
      </c>
      <c r="I192" s="104">
        <v>22</v>
      </c>
      <c r="J192" s="103">
        <v>0</v>
      </c>
      <c r="K192" s="103"/>
      <c r="L192" s="103"/>
      <c r="M192" s="103">
        <v>0</v>
      </c>
      <c r="N192" s="103"/>
      <c r="O192" s="103">
        <v>0</v>
      </c>
      <c r="P192" s="103">
        <v>0</v>
      </c>
      <c r="Q192" s="272"/>
      <c r="R192" s="103">
        <v>22</v>
      </c>
      <c r="S192" s="103">
        <v>0</v>
      </c>
      <c r="T192" s="103">
        <v>0</v>
      </c>
      <c r="U192" s="103">
        <v>11</v>
      </c>
      <c r="V192" s="668">
        <v>0</v>
      </c>
      <c r="W192" s="97"/>
      <c r="X192" s="97">
        <f t="shared" si="2"/>
        <v>11</v>
      </c>
      <c r="Y192" s="97"/>
      <c r="AC192" s="103">
        <v>11357.101185050136</v>
      </c>
    </row>
    <row r="193" spans="1:29" ht="15.95" customHeight="1" x14ac:dyDescent="0.2">
      <c r="A193" s="665"/>
      <c r="B193" s="42">
        <v>2009</v>
      </c>
      <c r="C193" s="149" t="s">
        <v>412</v>
      </c>
      <c r="D193" s="303">
        <v>24</v>
      </c>
      <c r="E193" s="100">
        <v>1</v>
      </c>
      <c r="F193" s="101">
        <v>4.6946972000000002</v>
      </c>
      <c r="G193" s="100">
        <v>3.2525252525252526</v>
      </c>
      <c r="H193" s="100">
        <v>42</v>
      </c>
      <c r="I193" s="101">
        <v>3</v>
      </c>
      <c r="J193" s="100">
        <v>97</v>
      </c>
      <c r="K193" s="100">
        <v>18</v>
      </c>
      <c r="L193" s="100"/>
      <c r="M193" s="100">
        <v>3</v>
      </c>
      <c r="N193" s="100"/>
      <c r="O193" s="100">
        <v>0</v>
      </c>
      <c r="P193" s="100">
        <v>0</v>
      </c>
      <c r="Q193" s="102">
        <v>1.073</v>
      </c>
      <c r="R193" s="100">
        <v>40</v>
      </c>
      <c r="S193" s="100">
        <v>5</v>
      </c>
      <c r="T193" s="100">
        <v>1</v>
      </c>
      <c r="U193" s="100">
        <v>12</v>
      </c>
      <c r="V193" s="666">
        <v>55.509821428571421</v>
      </c>
      <c r="W193" s="100"/>
      <c r="X193" s="97">
        <f t="shared" si="2"/>
        <v>12</v>
      </c>
      <c r="Y193" s="97"/>
      <c r="AC193" s="100">
        <v>12477.52247752248</v>
      </c>
    </row>
    <row r="194" spans="1:29" ht="15.95" customHeight="1" x14ac:dyDescent="0.2">
      <c r="A194" s="665"/>
      <c r="B194" s="43"/>
      <c r="C194" s="149" t="s">
        <v>413</v>
      </c>
      <c r="D194" s="303">
        <v>24</v>
      </c>
      <c r="E194" s="100">
        <v>0</v>
      </c>
      <c r="F194" s="101">
        <v>4.6946972000000002</v>
      </c>
      <c r="G194" s="100">
        <v>0</v>
      </c>
      <c r="H194" s="100">
        <v>42</v>
      </c>
      <c r="I194" s="101">
        <v>3</v>
      </c>
      <c r="J194" s="100">
        <v>79</v>
      </c>
      <c r="K194" s="100">
        <v>18</v>
      </c>
      <c r="L194" s="100"/>
      <c r="M194" s="100">
        <v>3</v>
      </c>
      <c r="N194" s="100">
        <v>210</v>
      </c>
      <c r="O194" s="100">
        <v>0</v>
      </c>
      <c r="P194" s="100">
        <v>0</v>
      </c>
      <c r="Q194" s="102">
        <v>0.17599999999999999</v>
      </c>
      <c r="R194" s="100">
        <v>40</v>
      </c>
      <c r="S194" s="100">
        <v>5</v>
      </c>
      <c r="T194" s="100">
        <v>1</v>
      </c>
      <c r="U194" s="100">
        <v>0</v>
      </c>
      <c r="V194" s="666">
        <v>53</v>
      </c>
      <c r="W194" s="97"/>
      <c r="X194" s="97">
        <f t="shared" si="2"/>
        <v>0</v>
      </c>
      <c r="Y194" s="97"/>
      <c r="AC194" s="100">
        <v>31.228771228771233</v>
      </c>
    </row>
    <row r="195" spans="1:29" ht="15.95" customHeight="1" thickBot="1" x14ac:dyDescent="0.25">
      <c r="A195" s="669"/>
      <c r="B195" s="45"/>
      <c r="C195" s="151" t="s">
        <v>414</v>
      </c>
      <c r="D195" s="305">
        <v>18</v>
      </c>
      <c r="E195" s="105">
        <v>0</v>
      </c>
      <c r="F195" s="106">
        <v>0</v>
      </c>
      <c r="G195" s="105">
        <v>0</v>
      </c>
      <c r="H195" s="105">
        <v>6</v>
      </c>
      <c r="I195" s="106">
        <v>22</v>
      </c>
      <c r="J195" s="105">
        <v>119</v>
      </c>
      <c r="K195" s="105"/>
      <c r="L195" s="105"/>
      <c r="M195" s="105">
        <v>0</v>
      </c>
      <c r="N195" s="105"/>
      <c r="O195" s="105">
        <v>0</v>
      </c>
      <c r="P195" s="105">
        <v>0</v>
      </c>
      <c r="Q195" s="273"/>
      <c r="R195" s="105">
        <v>22</v>
      </c>
      <c r="S195" s="105">
        <v>0</v>
      </c>
      <c r="T195" s="105">
        <v>0</v>
      </c>
      <c r="U195" s="105">
        <v>12</v>
      </c>
      <c r="V195" s="670">
        <v>2</v>
      </c>
      <c r="W195" s="97"/>
      <c r="X195" s="97">
        <f t="shared" si="2"/>
        <v>12</v>
      </c>
      <c r="Y195" s="97">
        <f>+IF((AC195-ROUND(AC195,-3)&gt;400)*AND(AC195-ROUND(AC195,-3)&lt;500),1,0)</f>
        <v>1</v>
      </c>
      <c r="AC195" s="105">
        <v>12446.293706293707</v>
      </c>
    </row>
    <row r="196" spans="1:29" ht="15.95" customHeight="1" thickTop="1" x14ac:dyDescent="0.2">
      <c r="A196" s="665" t="s">
        <v>131</v>
      </c>
      <c r="B196" s="42">
        <v>2008</v>
      </c>
      <c r="C196" s="148" t="s">
        <v>289</v>
      </c>
      <c r="D196" s="303">
        <v>165</v>
      </c>
      <c r="E196" s="100">
        <v>11</v>
      </c>
      <c r="F196" s="101">
        <v>42.252342800000001</v>
      </c>
      <c r="G196" s="100">
        <v>28.440629470672388</v>
      </c>
      <c r="H196" s="100">
        <v>37</v>
      </c>
      <c r="I196" s="101">
        <v>29</v>
      </c>
      <c r="J196" s="100">
        <v>9</v>
      </c>
      <c r="K196" s="100">
        <v>284</v>
      </c>
      <c r="L196" s="100"/>
      <c r="M196" s="100">
        <v>28</v>
      </c>
      <c r="N196" s="100"/>
      <c r="O196" s="100">
        <v>1</v>
      </c>
      <c r="P196" s="100">
        <v>1</v>
      </c>
      <c r="Q196" s="271">
        <v>14.714</v>
      </c>
      <c r="R196" s="100">
        <v>35</v>
      </c>
      <c r="S196" s="100">
        <v>42</v>
      </c>
      <c r="T196" s="100">
        <v>3</v>
      </c>
      <c r="U196" s="100">
        <v>11</v>
      </c>
      <c r="V196" s="666">
        <v>44.474999999999994</v>
      </c>
      <c r="W196" s="97"/>
      <c r="X196" s="97">
        <f t="shared" si="2"/>
        <v>11</v>
      </c>
      <c r="Y196" s="97"/>
      <c r="AC196" s="100">
        <v>11385.597082953509</v>
      </c>
    </row>
    <row r="197" spans="1:29" ht="15.95" customHeight="1" x14ac:dyDescent="0.2">
      <c r="A197" s="665"/>
      <c r="B197" s="43"/>
      <c r="C197" s="149" t="s">
        <v>290</v>
      </c>
      <c r="D197" s="303"/>
      <c r="E197" s="100">
        <v>0</v>
      </c>
      <c r="F197" s="101">
        <v>42.252342800000001</v>
      </c>
      <c r="G197" s="100">
        <v>0.57510729613733902</v>
      </c>
      <c r="H197" s="100">
        <v>37</v>
      </c>
      <c r="I197" s="101">
        <f>29-5</f>
        <v>24</v>
      </c>
      <c r="J197" s="100">
        <v>0</v>
      </c>
      <c r="K197" s="100"/>
      <c r="L197" s="100"/>
      <c r="M197" s="100">
        <v>28</v>
      </c>
      <c r="N197" s="100">
        <v>381</v>
      </c>
      <c r="O197" s="100">
        <v>0</v>
      </c>
      <c r="P197" s="100">
        <v>0</v>
      </c>
      <c r="Q197" s="271">
        <v>14.714</v>
      </c>
      <c r="R197" s="100">
        <v>35</v>
      </c>
      <c r="S197" s="100">
        <v>42</v>
      </c>
      <c r="T197" s="100">
        <v>0</v>
      </c>
      <c r="U197" s="100">
        <v>11</v>
      </c>
      <c r="V197" s="666">
        <v>0</v>
      </c>
      <c r="W197" s="97"/>
      <c r="X197" s="97">
        <f t="shared" ref="X197:X254" si="3">+ROUND(AC197/1000,0)</f>
        <v>11</v>
      </c>
      <c r="Y197" s="97"/>
      <c r="AC197" s="100">
        <v>11385.597082953509</v>
      </c>
    </row>
    <row r="198" spans="1:29" ht="15.95" customHeight="1" x14ac:dyDescent="0.2">
      <c r="A198" s="667"/>
      <c r="B198" s="44"/>
      <c r="C198" s="150" t="s">
        <v>291</v>
      </c>
      <c r="D198" s="304"/>
      <c r="E198" s="103">
        <v>0</v>
      </c>
      <c r="F198" s="104">
        <v>0</v>
      </c>
      <c r="G198" s="103">
        <v>61.005722460658085</v>
      </c>
      <c r="H198" s="103">
        <v>0</v>
      </c>
      <c r="I198" s="104"/>
      <c r="J198" s="103">
        <v>0</v>
      </c>
      <c r="K198" s="103"/>
      <c r="L198" s="103"/>
      <c r="M198" s="103">
        <v>0</v>
      </c>
      <c r="N198" s="103"/>
      <c r="O198" s="103">
        <v>0</v>
      </c>
      <c r="P198" s="103">
        <v>0</v>
      </c>
      <c r="Q198" s="272"/>
      <c r="R198" s="103">
        <v>8</v>
      </c>
      <c r="S198" s="103">
        <v>0</v>
      </c>
      <c r="T198" s="103">
        <v>0</v>
      </c>
      <c r="U198" s="103">
        <v>8</v>
      </c>
      <c r="V198" s="668">
        <v>0</v>
      </c>
      <c r="W198" s="97"/>
      <c r="X198" s="97">
        <f t="shared" si="3"/>
        <v>8</v>
      </c>
      <c r="Y198" s="97"/>
      <c r="AC198" s="103">
        <v>7898.2224247948952</v>
      </c>
    </row>
    <row r="199" spans="1:29" ht="15.95" customHeight="1" x14ac:dyDescent="0.2">
      <c r="A199" s="665"/>
      <c r="B199" s="42">
        <v>2009</v>
      </c>
      <c r="C199" s="149" t="s">
        <v>412</v>
      </c>
      <c r="D199" s="303">
        <f>219+1</f>
        <v>220</v>
      </c>
      <c r="E199" s="100">
        <v>11</v>
      </c>
      <c r="F199" s="101">
        <v>42.252342800000001</v>
      </c>
      <c r="G199" s="100">
        <v>29.554112554112553</v>
      </c>
      <c r="H199" s="100">
        <v>42</v>
      </c>
      <c r="I199" s="101">
        <v>29</v>
      </c>
      <c r="J199" s="100">
        <v>7</v>
      </c>
      <c r="K199" s="100">
        <v>284</v>
      </c>
      <c r="L199" s="100"/>
      <c r="M199" s="100">
        <v>28</v>
      </c>
      <c r="N199" s="100"/>
      <c r="O199" s="100">
        <v>1</v>
      </c>
      <c r="P199" s="100">
        <v>1</v>
      </c>
      <c r="Q199" s="102">
        <v>13.946999999999999</v>
      </c>
      <c r="R199" s="100">
        <v>36</v>
      </c>
      <c r="S199" s="100">
        <v>42</v>
      </c>
      <c r="T199" s="100">
        <v>3</v>
      </c>
      <c r="U199" s="100">
        <v>12</v>
      </c>
      <c r="V199" s="666">
        <v>45.789285714285711</v>
      </c>
      <c r="W199" s="100"/>
      <c r="X199" s="97">
        <f t="shared" si="3"/>
        <v>12</v>
      </c>
      <c r="Y199" s="97"/>
      <c r="AC199" s="100">
        <v>12477.52247752248</v>
      </c>
    </row>
    <row r="200" spans="1:29" ht="15.95" customHeight="1" x14ac:dyDescent="0.2">
      <c r="A200" s="665"/>
      <c r="B200" s="43"/>
      <c r="C200" s="149" t="s">
        <v>413</v>
      </c>
      <c r="D200" s="303"/>
      <c r="E200" s="100">
        <v>0</v>
      </c>
      <c r="F200" s="101">
        <v>42.252342800000001</v>
      </c>
      <c r="G200" s="100">
        <v>0</v>
      </c>
      <c r="H200" s="100">
        <v>42</v>
      </c>
      <c r="I200" s="101"/>
      <c r="J200" s="100">
        <v>7</v>
      </c>
      <c r="K200" s="100">
        <v>218</v>
      </c>
      <c r="L200" s="100"/>
      <c r="M200" s="100">
        <v>28</v>
      </c>
      <c r="N200" s="100">
        <v>409</v>
      </c>
      <c r="O200" s="100">
        <v>0</v>
      </c>
      <c r="P200" s="100">
        <v>0</v>
      </c>
      <c r="Q200" s="102">
        <v>3.145</v>
      </c>
      <c r="R200" s="100">
        <v>36</v>
      </c>
      <c r="S200" s="100">
        <v>42</v>
      </c>
      <c r="T200" s="100">
        <v>0</v>
      </c>
      <c r="U200" s="100">
        <v>12</v>
      </c>
      <c r="V200" s="666">
        <v>6</v>
      </c>
      <c r="W200" s="97"/>
      <c r="X200" s="97">
        <f t="shared" si="3"/>
        <v>12</v>
      </c>
      <c r="Y200" s="97"/>
      <c r="AC200" s="100">
        <v>12477.52247752248</v>
      </c>
    </row>
    <row r="201" spans="1:29" ht="15.95" customHeight="1" thickBot="1" x14ac:dyDescent="0.25">
      <c r="A201" s="669"/>
      <c r="B201" s="45"/>
      <c r="C201" s="151" t="s">
        <v>414</v>
      </c>
      <c r="D201" s="305"/>
      <c r="E201" s="105">
        <v>0</v>
      </c>
      <c r="F201" s="106">
        <v>0</v>
      </c>
      <c r="G201" s="105">
        <v>28.455988455988461</v>
      </c>
      <c r="H201" s="105">
        <v>0</v>
      </c>
      <c r="I201" s="106">
        <v>5</v>
      </c>
      <c r="J201" s="105">
        <v>8</v>
      </c>
      <c r="K201" s="105">
        <v>284</v>
      </c>
      <c r="L201" s="105"/>
      <c r="M201" s="105">
        <v>0</v>
      </c>
      <c r="N201" s="105"/>
      <c r="O201" s="105">
        <v>0</v>
      </c>
      <c r="P201" s="105">
        <v>0</v>
      </c>
      <c r="Q201" s="273"/>
      <c r="R201" s="105">
        <v>0</v>
      </c>
      <c r="S201" s="105">
        <v>0</v>
      </c>
      <c r="T201" s="105">
        <v>0</v>
      </c>
      <c r="U201" s="105">
        <v>0</v>
      </c>
      <c r="V201" s="670">
        <v>25</v>
      </c>
      <c r="W201" s="97"/>
      <c r="X201" s="97">
        <f t="shared" si="3"/>
        <v>0</v>
      </c>
      <c r="Y201" s="97">
        <f>+IF((AC201-ROUND(AC201,-3)&gt;400)*AND(AC201-ROUND(AC201,-3)&lt;500),1,0)</f>
        <v>0</v>
      </c>
      <c r="AC201" s="105">
        <v>0</v>
      </c>
    </row>
    <row r="202" spans="1:29" ht="15.95" customHeight="1" thickTop="1" x14ac:dyDescent="0.2">
      <c r="A202" s="665" t="s">
        <v>132</v>
      </c>
      <c r="B202" s="42">
        <v>2008</v>
      </c>
      <c r="C202" s="148" t="s">
        <v>289</v>
      </c>
      <c r="D202" s="303">
        <v>54450</v>
      </c>
      <c r="E202" s="100">
        <v>3580</v>
      </c>
      <c r="F202" s="101">
        <v>14046.554368000001</v>
      </c>
      <c r="G202" s="100">
        <v>11416.018597997139</v>
      </c>
      <c r="H202" s="100">
        <v>1509</v>
      </c>
      <c r="I202" s="101">
        <v>9559</v>
      </c>
      <c r="J202" s="100">
        <v>339</v>
      </c>
      <c r="K202" s="100">
        <v>5111</v>
      </c>
      <c r="L202" s="100">
        <v>11149</v>
      </c>
      <c r="M202" s="100">
        <v>9396</v>
      </c>
      <c r="N202" s="100"/>
      <c r="O202" s="100">
        <v>347</v>
      </c>
      <c r="P202" s="100">
        <v>459</v>
      </c>
      <c r="Q202" s="271"/>
      <c r="R202" s="100">
        <v>420</v>
      </c>
      <c r="S202" s="100">
        <v>13827</v>
      </c>
      <c r="T202" s="100">
        <v>436</v>
      </c>
      <c r="U202" s="100">
        <v>1669</v>
      </c>
      <c r="V202" s="666">
        <v>5575.458035714285</v>
      </c>
      <c r="W202" s="97"/>
      <c r="X202" s="97">
        <f>+ROUNDUP(AC202/1000+0.5,0)</f>
        <v>1669</v>
      </c>
      <c r="Y202" s="97"/>
      <c r="AC202" s="100">
        <v>1667989.9726526891</v>
      </c>
    </row>
    <row r="203" spans="1:29" ht="15.95" customHeight="1" x14ac:dyDescent="0.2">
      <c r="A203" s="665"/>
      <c r="B203" s="43"/>
      <c r="C203" s="149" t="s">
        <v>290</v>
      </c>
      <c r="D203" s="303">
        <v>54450</v>
      </c>
      <c r="E203" s="100">
        <v>3580</v>
      </c>
      <c r="F203" s="101">
        <v>14046.554368000001</v>
      </c>
      <c r="G203" s="100">
        <v>0</v>
      </c>
      <c r="H203" s="100">
        <v>1509</v>
      </c>
      <c r="I203" s="101">
        <v>9559</v>
      </c>
      <c r="J203" s="100">
        <v>339</v>
      </c>
      <c r="K203" s="100">
        <v>5111</v>
      </c>
      <c r="L203" s="100">
        <v>11149</v>
      </c>
      <c r="M203" s="100">
        <v>9396</v>
      </c>
      <c r="N203" s="100">
        <v>12297</v>
      </c>
      <c r="O203" s="100">
        <v>347</v>
      </c>
      <c r="P203" s="100">
        <v>459</v>
      </c>
      <c r="Q203" s="271"/>
      <c r="R203" s="100">
        <v>387</v>
      </c>
      <c r="S203" s="100">
        <v>13827</v>
      </c>
      <c r="T203" s="100">
        <v>436</v>
      </c>
      <c r="U203" s="100">
        <v>1669</v>
      </c>
      <c r="V203" s="666">
        <v>5575.8928571428569</v>
      </c>
      <c r="W203" s="97"/>
      <c r="X203" s="97">
        <f>+ROUNDUP(AC203/1000+0.5,0)</f>
        <v>1669</v>
      </c>
      <c r="Y203" s="97"/>
      <c r="AC203" s="100">
        <v>1667989.9726526891</v>
      </c>
    </row>
    <row r="204" spans="1:29" ht="15.95" customHeight="1" x14ac:dyDescent="0.2">
      <c r="A204" s="667"/>
      <c r="B204" s="44"/>
      <c r="C204" s="150" t="s">
        <v>291</v>
      </c>
      <c r="D204" s="304"/>
      <c r="E204" s="103">
        <v>0</v>
      </c>
      <c r="F204" s="104">
        <v>0</v>
      </c>
      <c r="G204" s="103">
        <v>0</v>
      </c>
      <c r="H204" s="103">
        <v>0</v>
      </c>
      <c r="I204" s="104"/>
      <c r="J204" s="103">
        <v>0</v>
      </c>
      <c r="K204" s="103"/>
      <c r="L204" s="103"/>
      <c r="M204" s="103">
        <v>0</v>
      </c>
      <c r="N204" s="103"/>
      <c r="O204" s="103">
        <v>0</v>
      </c>
      <c r="P204" s="103">
        <v>0</v>
      </c>
      <c r="Q204" s="272"/>
      <c r="R204" s="103">
        <v>0</v>
      </c>
      <c r="S204" s="103">
        <v>0</v>
      </c>
      <c r="T204" s="103">
        <v>0</v>
      </c>
      <c r="U204" s="103">
        <v>0</v>
      </c>
      <c r="V204" s="668">
        <v>0</v>
      </c>
      <c r="W204" s="97"/>
      <c r="X204" s="97">
        <f t="shared" si="3"/>
        <v>0</v>
      </c>
      <c r="Y204" s="97"/>
      <c r="AC204" s="103">
        <v>0</v>
      </c>
    </row>
    <row r="205" spans="1:29" ht="15.95" customHeight="1" x14ac:dyDescent="0.2">
      <c r="A205" s="665"/>
      <c r="B205" s="42">
        <v>2009</v>
      </c>
      <c r="C205" s="149" t="s">
        <v>412</v>
      </c>
      <c r="D205" s="303">
        <f>72529+1</f>
        <v>72530</v>
      </c>
      <c r="E205" s="100">
        <v>3626</v>
      </c>
      <c r="F205" s="101">
        <v>14046.554368000001</v>
      </c>
      <c r="G205" s="100">
        <v>11977.383838383839</v>
      </c>
      <c r="H205" s="100">
        <v>1705</v>
      </c>
      <c r="I205" s="101">
        <v>9559</v>
      </c>
      <c r="J205" s="100">
        <v>300</v>
      </c>
      <c r="K205" s="100">
        <v>5111</v>
      </c>
      <c r="L205" s="100">
        <f>22298-L202</f>
        <v>11149</v>
      </c>
      <c r="M205" s="100">
        <v>9396</v>
      </c>
      <c r="N205" s="100"/>
      <c r="O205" s="100">
        <v>344</v>
      </c>
      <c r="P205" s="100">
        <v>459</v>
      </c>
      <c r="Q205" s="271"/>
      <c r="R205" s="100">
        <v>430</v>
      </c>
      <c r="S205" s="100">
        <v>13827</v>
      </c>
      <c r="T205" s="100">
        <v>443</v>
      </c>
      <c r="U205" s="100">
        <v>1829</v>
      </c>
      <c r="V205" s="666">
        <v>5469.1044642857141</v>
      </c>
      <c r="W205" s="100"/>
      <c r="X205" s="97">
        <f>+ROUNDUP(AC205/1000+0.5,0)</f>
        <v>1829</v>
      </c>
      <c r="Y205" s="97"/>
      <c r="AC205" s="100">
        <v>1827957.042957043</v>
      </c>
    </row>
    <row r="206" spans="1:29" ht="15.95" customHeight="1" x14ac:dyDescent="0.2">
      <c r="A206" s="665"/>
      <c r="B206" s="43"/>
      <c r="C206" s="149" t="s">
        <v>413</v>
      </c>
      <c r="D206" s="303">
        <f>72529+1</f>
        <v>72530</v>
      </c>
      <c r="E206" s="100">
        <v>3626</v>
      </c>
      <c r="F206" s="101">
        <v>14046.554368000001</v>
      </c>
      <c r="G206" s="100">
        <v>0</v>
      </c>
      <c r="H206" s="100">
        <v>1705</v>
      </c>
      <c r="I206" s="101">
        <v>9559</v>
      </c>
      <c r="J206" s="100">
        <v>300</v>
      </c>
      <c r="K206" s="100">
        <v>5111</v>
      </c>
      <c r="L206" s="100">
        <v>11149</v>
      </c>
      <c r="M206" s="100">
        <v>9396</v>
      </c>
      <c r="N206" s="100"/>
      <c r="O206" s="100">
        <v>344</v>
      </c>
      <c r="P206" s="100">
        <v>459</v>
      </c>
      <c r="Q206" s="271"/>
      <c r="R206" s="100">
        <v>430</v>
      </c>
      <c r="S206" s="100">
        <v>13827</v>
      </c>
      <c r="T206" s="100">
        <v>443</v>
      </c>
      <c r="U206" s="100">
        <v>1829</v>
      </c>
      <c r="V206" s="666">
        <v>5469</v>
      </c>
      <c r="W206" s="97"/>
      <c r="X206" s="97">
        <f>+ROUNDUP(AC206/1000+0.5,0)</f>
        <v>1829</v>
      </c>
      <c r="Y206" s="97"/>
      <c r="AC206" s="100">
        <v>1827957.042957043</v>
      </c>
    </row>
    <row r="207" spans="1:29" ht="15.95" customHeight="1" thickBot="1" x14ac:dyDescent="0.25">
      <c r="A207" s="669"/>
      <c r="B207" s="45"/>
      <c r="C207" s="151" t="s">
        <v>414</v>
      </c>
      <c r="D207" s="305"/>
      <c r="E207" s="105">
        <v>0</v>
      </c>
      <c r="F207" s="106">
        <v>0</v>
      </c>
      <c r="G207" s="105">
        <v>0</v>
      </c>
      <c r="H207" s="105">
        <v>0</v>
      </c>
      <c r="I207" s="106"/>
      <c r="J207" s="105">
        <v>0</v>
      </c>
      <c r="K207" s="105"/>
      <c r="L207" s="105"/>
      <c r="M207" s="105">
        <v>0</v>
      </c>
      <c r="N207" s="105"/>
      <c r="O207" s="105">
        <v>0</v>
      </c>
      <c r="P207" s="105">
        <v>0</v>
      </c>
      <c r="Q207" s="273"/>
      <c r="R207" s="105">
        <v>3</v>
      </c>
      <c r="S207" s="105">
        <v>0</v>
      </c>
      <c r="T207" s="105">
        <v>0</v>
      </c>
      <c r="U207" s="105">
        <v>0</v>
      </c>
      <c r="V207" s="670">
        <v>0</v>
      </c>
      <c r="W207" s="97"/>
      <c r="X207" s="97">
        <f t="shared" si="3"/>
        <v>0</v>
      </c>
      <c r="Y207" s="97">
        <f>+IF((AC207-ROUND(AC207,-3)&gt;400)*AND(AC207-ROUND(AC207,-3)&lt;500),1,0)</f>
        <v>0</v>
      </c>
      <c r="AC207" s="105">
        <v>0</v>
      </c>
    </row>
    <row r="208" spans="1:29" ht="15.95" customHeight="1" thickTop="1" x14ac:dyDescent="0.2">
      <c r="A208" s="665" t="s">
        <v>133</v>
      </c>
      <c r="B208" s="42">
        <v>2008</v>
      </c>
      <c r="C208" s="148" t="s">
        <v>289</v>
      </c>
      <c r="D208" s="303">
        <v>18</v>
      </c>
      <c r="E208" s="100">
        <v>1</v>
      </c>
      <c r="F208" s="101">
        <v>4.6946972000000002</v>
      </c>
      <c r="G208" s="100"/>
      <c r="H208" s="100">
        <v>37</v>
      </c>
      <c r="I208" s="101">
        <v>3</v>
      </c>
      <c r="J208" s="100">
        <v>8</v>
      </c>
      <c r="K208" s="100">
        <v>35</v>
      </c>
      <c r="L208" s="100"/>
      <c r="M208" s="100">
        <v>3</v>
      </c>
      <c r="N208" s="100"/>
      <c r="O208" s="100">
        <v>0</v>
      </c>
      <c r="P208" s="100">
        <v>0</v>
      </c>
      <c r="Q208" s="271">
        <v>1.1319999999999999</v>
      </c>
      <c r="R208" s="100">
        <v>28</v>
      </c>
      <c r="S208" s="100">
        <v>5</v>
      </c>
      <c r="T208" s="100">
        <v>1</v>
      </c>
      <c r="U208" s="100">
        <v>11</v>
      </c>
      <c r="V208" s="666">
        <v>10.574999999999999</v>
      </c>
      <c r="W208" s="97"/>
      <c r="X208" s="97">
        <f t="shared" si="3"/>
        <v>11</v>
      </c>
      <c r="Y208" s="97"/>
      <c r="AC208" s="100">
        <v>11385.597082953509</v>
      </c>
    </row>
    <row r="209" spans="1:29" ht="15.95" customHeight="1" x14ac:dyDescent="0.2">
      <c r="A209" s="665"/>
      <c r="B209" s="43"/>
      <c r="C209" s="149" t="s">
        <v>290</v>
      </c>
      <c r="D209" s="303">
        <f>1-1</f>
        <v>0</v>
      </c>
      <c r="E209" s="100">
        <v>0</v>
      </c>
      <c r="F209" s="101">
        <v>0</v>
      </c>
      <c r="G209" s="100"/>
      <c r="H209" s="100">
        <v>0</v>
      </c>
      <c r="I209" s="101"/>
      <c r="J209" s="100">
        <v>0</v>
      </c>
      <c r="K209" s="100">
        <v>35</v>
      </c>
      <c r="L209" s="100"/>
      <c r="M209" s="100">
        <v>0</v>
      </c>
      <c r="N209" s="100"/>
      <c r="O209" s="100">
        <v>0</v>
      </c>
      <c r="P209" s="100">
        <v>0</v>
      </c>
      <c r="Q209" s="271"/>
      <c r="R209" s="100">
        <v>0</v>
      </c>
      <c r="S209" s="100">
        <v>5</v>
      </c>
      <c r="T209" s="100">
        <v>0</v>
      </c>
      <c r="U209" s="100">
        <v>0</v>
      </c>
      <c r="V209" s="666">
        <v>0</v>
      </c>
      <c r="W209" s="97"/>
      <c r="X209" s="97">
        <f t="shared" si="3"/>
        <v>0</v>
      </c>
      <c r="Y209" s="97"/>
      <c r="AC209" s="100">
        <v>0</v>
      </c>
    </row>
    <row r="210" spans="1:29" ht="15.95" customHeight="1" x14ac:dyDescent="0.2">
      <c r="A210" s="667"/>
      <c r="B210" s="44"/>
      <c r="C210" s="150" t="s">
        <v>291</v>
      </c>
      <c r="D210" s="304">
        <v>20</v>
      </c>
      <c r="E210" s="103">
        <v>0</v>
      </c>
      <c r="F210" s="104">
        <v>0</v>
      </c>
      <c r="G210" s="103"/>
      <c r="H210" s="103">
        <v>0</v>
      </c>
      <c r="I210" s="104"/>
      <c r="J210" s="103">
        <v>7</v>
      </c>
      <c r="K210" s="103"/>
      <c r="L210" s="103"/>
      <c r="M210" s="103">
        <v>0</v>
      </c>
      <c r="N210" s="103"/>
      <c r="O210" s="103">
        <v>0</v>
      </c>
      <c r="P210" s="103">
        <v>3</v>
      </c>
      <c r="Q210" s="272"/>
      <c r="R210" s="103">
        <v>0</v>
      </c>
      <c r="S210" s="103">
        <v>10</v>
      </c>
      <c r="T210" s="103">
        <v>0</v>
      </c>
      <c r="U210" s="103">
        <v>0</v>
      </c>
      <c r="V210" s="668">
        <v>0</v>
      </c>
      <c r="W210" s="97"/>
      <c r="X210" s="97">
        <f t="shared" si="3"/>
        <v>0</v>
      </c>
      <c r="Y210" s="97"/>
      <c r="AC210" s="103">
        <v>0</v>
      </c>
    </row>
    <row r="211" spans="1:29" ht="15.95" customHeight="1" x14ac:dyDescent="0.2">
      <c r="A211" s="665"/>
      <c r="B211" s="42">
        <v>2009</v>
      </c>
      <c r="C211" s="149" t="s">
        <v>412</v>
      </c>
      <c r="D211" s="303">
        <v>24</v>
      </c>
      <c r="E211" s="100">
        <v>1</v>
      </c>
      <c r="F211" s="101">
        <v>4.6946972000000002</v>
      </c>
      <c r="G211" s="100"/>
      <c r="H211" s="100">
        <v>42</v>
      </c>
      <c r="I211" s="101">
        <v>3</v>
      </c>
      <c r="J211" s="100">
        <v>7</v>
      </c>
      <c r="K211" s="100">
        <v>35</v>
      </c>
      <c r="L211" s="100"/>
      <c r="M211" s="100">
        <v>3</v>
      </c>
      <c r="N211" s="100"/>
      <c r="O211" s="100">
        <v>0</v>
      </c>
      <c r="P211" s="100">
        <v>0</v>
      </c>
      <c r="Q211" s="102">
        <v>1.073</v>
      </c>
      <c r="R211" s="100">
        <v>29</v>
      </c>
      <c r="S211" s="100">
        <v>5</v>
      </c>
      <c r="T211" s="100">
        <v>1</v>
      </c>
      <c r="U211" s="100">
        <v>12</v>
      </c>
      <c r="V211" s="666">
        <v>25</v>
      </c>
      <c r="W211" s="100"/>
      <c r="X211" s="97">
        <f t="shared" si="3"/>
        <v>12</v>
      </c>
      <c r="Y211" s="97"/>
      <c r="AC211" s="100">
        <v>12477.52247752248</v>
      </c>
    </row>
    <row r="212" spans="1:29" ht="15.95" customHeight="1" x14ac:dyDescent="0.2">
      <c r="A212" s="665"/>
      <c r="B212" s="43"/>
      <c r="C212" s="149" t="s">
        <v>413</v>
      </c>
      <c r="D212" s="303">
        <v>24</v>
      </c>
      <c r="E212" s="100">
        <v>0</v>
      </c>
      <c r="F212" s="101">
        <v>4.6946972000000002</v>
      </c>
      <c r="G212" s="100"/>
      <c r="H212" s="100">
        <v>0</v>
      </c>
      <c r="I212" s="101"/>
      <c r="J212" s="100">
        <v>0</v>
      </c>
      <c r="K212" s="100">
        <v>35</v>
      </c>
      <c r="L212" s="100"/>
      <c r="M212" s="100">
        <v>0</v>
      </c>
      <c r="N212" s="100"/>
      <c r="O212" s="100">
        <v>0</v>
      </c>
      <c r="P212" s="100">
        <v>0</v>
      </c>
      <c r="Q212" s="271"/>
      <c r="R212" s="100">
        <v>0</v>
      </c>
      <c r="S212" s="100">
        <v>5</v>
      </c>
      <c r="T212" s="100">
        <v>1</v>
      </c>
      <c r="U212" s="100">
        <v>0</v>
      </c>
      <c r="V212" s="666">
        <v>24</v>
      </c>
      <c r="W212" s="97"/>
      <c r="X212" s="97">
        <f t="shared" si="3"/>
        <v>0</v>
      </c>
      <c r="Y212" s="97"/>
      <c r="AC212" s="100">
        <v>0</v>
      </c>
    </row>
    <row r="213" spans="1:29" ht="15.95" customHeight="1" thickBot="1" x14ac:dyDescent="0.25">
      <c r="A213" s="669"/>
      <c r="B213" s="45"/>
      <c r="C213" s="151" t="s">
        <v>414</v>
      </c>
      <c r="D213" s="305">
        <v>18</v>
      </c>
      <c r="E213" s="105">
        <v>0</v>
      </c>
      <c r="F213" s="106">
        <v>8.8642288000000011</v>
      </c>
      <c r="G213" s="105"/>
      <c r="H213" s="105">
        <v>43</v>
      </c>
      <c r="I213" s="106"/>
      <c r="J213" s="105">
        <v>0</v>
      </c>
      <c r="K213" s="105"/>
      <c r="L213" s="105"/>
      <c r="M213" s="105">
        <v>7</v>
      </c>
      <c r="N213" s="105"/>
      <c r="O213" s="105">
        <v>0</v>
      </c>
      <c r="P213" s="105">
        <v>0</v>
      </c>
      <c r="Q213" s="273"/>
      <c r="R213" s="105">
        <v>0</v>
      </c>
      <c r="S213" s="105">
        <v>8</v>
      </c>
      <c r="T213" s="105">
        <v>16</v>
      </c>
      <c r="U213" s="105">
        <v>0</v>
      </c>
      <c r="V213" s="670">
        <v>11</v>
      </c>
      <c r="W213" s="97"/>
      <c r="X213" s="97">
        <f t="shared" si="3"/>
        <v>0</v>
      </c>
      <c r="Y213" s="97">
        <f>+IF((AC213-ROUND(AC213,-3)&gt;400)*AND(AC213-ROUND(AC213,-3)&lt;500),1,0)</f>
        <v>0</v>
      </c>
      <c r="AC213" s="105">
        <v>0</v>
      </c>
    </row>
    <row r="214" spans="1:29" ht="15.95" customHeight="1" thickTop="1" x14ac:dyDescent="0.2">
      <c r="A214" s="731" t="s">
        <v>64</v>
      </c>
      <c r="B214" s="42">
        <v>2008</v>
      </c>
      <c r="C214" s="148" t="s">
        <v>289</v>
      </c>
      <c r="D214" s="303"/>
      <c r="E214" s="100"/>
      <c r="F214" s="101"/>
      <c r="G214" s="100"/>
      <c r="H214" s="100"/>
      <c r="I214" s="101"/>
      <c r="J214" s="100"/>
      <c r="K214" s="100"/>
      <c r="L214" s="100"/>
      <c r="M214" s="100">
        <v>2</v>
      </c>
      <c r="N214" s="100"/>
      <c r="O214" s="100"/>
      <c r="P214" s="100"/>
      <c r="Q214" s="271"/>
      <c r="R214" s="100"/>
      <c r="S214" s="100"/>
      <c r="T214" s="100"/>
      <c r="U214" s="100"/>
      <c r="V214" s="666"/>
      <c r="W214" s="97"/>
      <c r="X214" s="97">
        <f t="shared" si="3"/>
        <v>0</v>
      </c>
      <c r="Y214" s="97"/>
      <c r="AC214" s="100"/>
    </row>
    <row r="215" spans="1:29" ht="15.95" customHeight="1" x14ac:dyDescent="0.2">
      <c r="A215" s="732"/>
      <c r="B215" s="43"/>
      <c r="C215" s="149" t="s">
        <v>290</v>
      </c>
      <c r="D215" s="303"/>
      <c r="E215" s="100"/>
      <c r="F215" s="101"/>
      <c r="G215" s="100"/>
      <c r="H215" s="100"/>
      <c r="I215" s="101"/>
      <c r="J215" s="100"/>
      <c r="K215" s="100"/>
      <c r="L215" s="100"/>
      <c r="M215" s="100">
        <v>2</v>
      </c>
      <c r="N215" s="100"/>
      <c r="O215" s="100"/>
      <c r="P215" s="100"/>
      <c r="Q215" s="271"/>
      <c r="R215" s="100"/>
      <c r="S215" s="100"/>
      <c r="T215" s="100"/>
      <c r="U215" s="100"/>
      <c r="V215" s="666"/>
      <c r="W215" s="97"/>
      <c r="X215" s="97">
        <f t="shared" si="3"/>
        <v>0</v>
      </c>
      <c r="Y215" s="97"/>
      <c r="AC215" s="100"/>
    </row>
    <row r="216" spans="1:29" ht="15.95" customHeight="1" x14ac:dyDescent="0.2">
      <c r="A216" s="667"/>
      <c r="B216" s="44"/>
      <c r="C216" s="150" t="s">
        <v>291</v>
      </c>
      <c r="D216" s="304"/>
      <c r="E216" s="103"/>
      <c r="F216" s="104"/>
      <c r="G216" s="103"/>
      <c r="H216" s="103"/>
      <c r="I216" s="104"/>
      <c r="J216" s="103"/>
      <c r="K216" s="103"/>
      <c r="L216" s="103"/>
      <c r="M216" s="103">
        <v>0</v>
      </c>
      <c r="N216" s="103"/>
      <c r="O216" s="103"/>
      <c r="P216" s="103"/>
      <c r="Q216" s="272"/>
      <c r="R216" s="103"/>
      <c r="S216" s="103"/>
      <c r="T216" s="103"/>
      <c r="U216" s="103"/>
      <c r="V216" s="668"/>
      <c r="W216" s="97"/>
      <c r="X216" s="97">
        <f t="shared" si="3"/>
        <v>0</v>
      </c>
      <c r="Y216" s="97"/>
      <c r="AC216" s="103"/>
    </row>
    <row r="217" spans="1:29" ht="15.95" customHeight="1" x14ac:dyDescent="0.2">
      <c r="A217" s="665"/>
      <c r="B217" s="42">
        <v>2009</v>
      </c>
      <c r="C217" s="149" t="s">
        <v>412</v>
      </c>
      <c r="D217" s="303"/>
      <c r="E217" s="100"/>
      <c r="F217" s="101"/>
      <c r="G217" s="100"/>
      <c r="H217" s="100"/>
      <c r="I217" s="101"/>
      <c r="J217" s="100"/>
      <c r="K217" s="100"/>
      <c r="L217" s="100"/>
      <c r="M217" s="100">
        <v>2</v>
      </c>
      <c r="N217" s="100"/>
      <c r="O217" s="100"/>
      <c r="P217" s="100"/>
      <c r="Q217" s="271"/>
      <c r="R217" s="100"/>
      <c r="S217" s="100"/>
      <c r="T217" s="100"/>
      <c r="U217" s="100"/>
      <c r="V217" s="666"/>
      <c r="W217" s="100"/>
      <c r="X217" s="97">
        <f t="shared" si="3"/>
        <v>0</v>
      </c>
      <c r="Y217" s="97"/>
      <c r="AC217" s="100"/>
    </row>
    <row r="218" spans="1:29" ht="15.95" customHeight="1" x14ac:dyDescent="0.2">
      <c r="A218" s="665"/>
      <c r="B218" s="43"/>
      <c r="C218" s="149" t="s">
        <v>413</v>
      </c>
      <c r="D218" s="303"/>
      <c r="E218" s="100"/>
      <c r="F218" s="101"/>
      <c r="G218" s="100"/>
      <c r="H218" s="100"/>
      <c r="I218" s="101"/>
      <c r="J218" s="100"/>
      <c r="K218" s="100"/>
      <c r="L218" s="100"/>
      <c r="M218" s="100">
        <v>2</v>
      </c>
      <c r="N218" s="100"/>
      <c r="O218" s="100"/>
      <c r="P218" s="100"/>
      <c r="Q218" s="271"/>
      <c r="R218" s="100"/>
      <c r="S218" s="100"/>
      <c r="T218" s="100"/>
      <c r="U218" s="100"/>
      <c r="V218" s="666"/>
      <c r="W218" s="97"/>
      <c r="X218" s="97">
        <f t="shared" si="3"/>
        <v>0</v>
      </c>
      <c r="Y218" s="97"/>
      <c r="AC218" s="100"/>
    </row>
    <row r="219" spans="1:29" ht="15.95" customHeight="1" thickBot="1" x14ac:dyDescent="0.25">
      <c r="A219" s="669"/>
      <c r="B219" s="45"/>
      <c r="C219" s="151" t="s">
        <v>414</v>
      </c>
      <c r="D219" s="305"/>
      <c r="E219" s="105"/>
      <c r="F219" s="106"/>
      <c r="G219" s="105"/>
      <c r="H219" s="105"/>
      <c r="I219" s="106"/>
      <c r="J219" s="105"/>
      <c r="K219" s="105"/>
      <c r="L219" s="105"/>
      <c r="M219" s="105">
        <v>0</v>
      </c>
      <c r="N219" s="105"/>
      <c r="O219" s="105"/>
      <c r="P219" s="105"/>
      <c r="Q219" s="273"/>
      <c r="R219" s="105"/>
      <c r="S219" s="105"/>
      <c r="T219" s="105"/>
      <c r="U219" s="105"/>
      <c r="V219" s="670"/>
      <c r="W219" s="97"/>
      <c r="X219" s="97">
        <f t="shared" si="3"/>
        <v>0</v>
      </c>
      <c r="Y219" s="97">
        <f>+IF((AC219-ROUND(AC219,-3)&gt;400)*AND(AC219-ROUND(AC219,-3)&lt;500),1,0)</f>
        <v>0</v>
      </c>
      <c r="AC219" s="105"/>
    </row>
    <row r="220" spans="1:29" ht="15.95" customHeight="1" thickTop="1" x14ac:dyDescent="0.2">
      <c r="A220" s="665" t="s">
        <v>74</v>
      </c>
      <c r="B220" s="42">
        <v>2008</v>
      </c>
      <c r="C220" s="148" t="s">
        <v>289</v>
      </c>
      <c r="D220" s="303">
        <v>18</v>
      </c>
      <c r="E220" s="100">
        <v>1</v>
      </c>
      <c r="F220" s="101">
        <v>4.6946972000000002</v>
      </c>
      <c r="G220" s="100">
        <v>3.1459227467811162</v>
      </c>
      <c r="H220" s="100">
        <v>37</v>
      </c>
      <c r="I220" s="101">
        <v>3</v>
      </c>
      <c r="J220" s="100"/>
      <c r="K220" s="100">
        <v>18</v>
      </c>
      <c r="L220" s="100"/>
      <c r="M220" s="100">
        <v>3</v>
      </c>
      <c r="N220" s="100"/>
      <c r="O220" s="100">
        <v>0</v>
      </c>
      <c r="P220" s="100">
        <v>0</v>
      </c>
      <c r="Q220" s="271">
        <v>1.1319999999999999</v>
      </c>
      <c r="R220" s="100">
        <v>35</v>
      </c>
      <c r="S220" s="100">
        <v>5</v>
      </c>
      <c r="T220" s="100">
        <v>1</v>
      </c>
      <c r="U220" s="100">
        <v>11</v>
      </c>
      <c r="V220" s="666">
        <v>23.825892857142854</v>
      </c>
      <c r="W220" s="97"/>
      <c r="X220" s="97">
        <f t="shared" si="3"/>
        <v>11</v>
      </c>
      <c r="Y220" s="97"/>
      <c r="AC220" s="100">
        <v>11385.597082953509</v>
      </c>
    </row>
    <row r="221" spans="1:29" ht="15.95" customHeight="1" x14ac:dyDescent="0.2">
      <c r="A221" s="665" t="s">
        <v>338</v>
      </c>
      <c r="B221" s="43"/>
      <c r="C221" s="149" t="s">
        <v>290</v>
      </c>
      <c r="D221" s="303"/>
      <c r="E221" s="100">
        <v>0</v>
      </c>
      <c r="F221" s="101">
        <v>0</v>
      </c>
      <c r="G221" s="100">
        <v>0</v>
      </c>
      <c r="H221" s="100">
        <v>37</v>
      </c>
      <c r="I221" s="101">
        <v>3</v>
      </c>
      <c r="J221" s="100"/>
      <c r="K221" s="100">
        <v>1</v>
      </c>
      <c r="L221" s="100"/>
      <c r="M221" s="100">
        <v>0</v>
      </c>
      <c r="N221" s="100"/>
      <c r="O221" s="100">
        <v>0</v>
      </c>
      <c r="P221" s="100">
        <v>0</v>
      </c>
      <c r="Q221" s="271"/>
      <c r="R221" s="100">
        <v>0</v>
      </c>
      <c r="S221" s="100">
        <v>0</v>
      </c>
      <c r="T221" s="100">
        <v>0</v>
      </c>
      <c r="U221" s="100">
        <v>0</v>
      </c>
      <c r="V221" s="666">
        <v>0</v>
      </c>
      <c r="W221" s="97"/>
      <c r="X221" s="97">
        <f t="shared" si="3"/>
        <v>0</v>
      </c>
      <c r="Y221" s="97"/>
      <c r="AC221" s="100">
        <v>0</v>
      </c>
    </row>
    <row r="222" spans="1:29" ht="15.95" customHeight="1" x14ac:dyDescent="0.2">
      <c r="A222" s="667"/>
      <c r="B222" s="44"/>
      <c r="C222" s="150" t="s">
        <v>291</v>
      </c>
      <c r="D222" s="304"/>
      <c r="E222" s="103">
        <v>0</v>
      </c>
      <c r="F222" s="104">
        <v>0</v>
      </c>
      <c r="G222" s="103">
        <v>0</v>
      </c>
      <c r="H222" s="103">
        <v>0</v>
      </c>
      <c r="I222" s="104">
        <v>6</v>
      </c>
      <c r="J222" s="103"/>
      <c r="K222" s="103"/>
      <c r="L222" s="103"/>
      <c r="M222" s="103">
        <v>9</v>
      </c>
      <c r="N222" s="103"/>
      <c r="O222" s="103">
        <v>0</v>
      </c>
      <c r="P222" s="103">
        <v>0</v>
      </c>
      <c r="Q222" s="272"/>
      <c r="R222" s="103">
        <v>0</v>
      </c>
      <c r="S222" s="103">
        <v>0</v>
      </c>
      <c r="T222" s="103">
        <v>0</v>
      </c>
      <c r="U222" s="103">
        <v>0</v>
      </c>
      <c r="V222" s="668">
        <v>0</v>
      </c>
      <c r="W222" s="97"/>
      <c r="X222" s="97">
        <f t="shared" si="3"/>
        <v>0</v>
      </c>
      <c r="Y222" s="97"/>
      <c r="AC222" s="103">
        <v>0</v>
      </c>
    </row>
    <row r="223" spans="1:29" ht="15.95" customHeight="1" x14ac:dyDescent="0.2">
      <c r="A223" s="665"/>
      <c r="B223" s="42">
        <v>2009</v>
      </c>
      <c r="C223" s="149" t="s">
        <v>412</v>
      </c>
      <c r="D223" s="303">
        <v>24</v>
      </c>
      <c r="E223" s="100">
        <v>1</v>
      </c>
      <c r="F223" s="101">
        <v>4.6946972000000002</v>
      </c>
      <c r="G223" s="100">
        <v>3.2525252525252526</v>
      </c>
      <c r="H223" s="100">
        <v>42</v>
      </c>
      <c r="I223" s="101">
        <v>3</v>
      </c>
      <c r="J223" s="100"/>
      <c r="K223" s="100">
        <v>18</v>
      </c>
      <c r="L223" s="100"/>
      <c r="M223" s="100">
        <v>3</v>
      </c>
      <c r="N223" s="100"/>
      <c r="O223" s="100">
        <v>0</v>
      </c>
      <c r="P223" s="100">
        <v>0</v>
      </c>
      <c r="Q223" s="102">
        <v>1.073</v>
      </c>
      <c r="R223" s="100">
        <v>36</v>
      </c>
      <c r="S223" s="100">
        <v>5</v>
      </c>
      <c r="T223" s="100">
        <v>1</v>
      </c>
      <c r="U223" s="100">
        <v>12</v>
      </c>
      <c r="V223" s="666">
        <v>25</v>
      </c>
      <c r="W223" s="100"/>
      <c r="X223" s="97">
        <f t="shared" si="3"/>
        <v>12</v>
      </c>
      <c r="Y223" s="97"/>
      <c r="AC223" s="100">
        <v>12477.52247752248</v>
      </c>
    </row>
    <row r="224" spans="1:29" ht="15.95" customHeight="1" x14ac:dyDescent="0.2">
      <c r="A224" s="665"/>
      <c r="B224" s="43"/>
      <c r="C224" s="149" t="s">
        <v>413</v>
      </c>
      <c r="D224" s="303"/>
      <c r="E224" s="100">
        <v>0</v>
      </c>
      <c r="F224" s="101">
        <v>4.6946972000000002</v>
      </c>
      <c r="G224" s="100">
        <v>0</v>
      </c>
      <c r="H224" s="100">
        <v>42</v>
      </c>
      <c r="I224" s="101">
        <v>3</v>
      </c>
      <c r="J224" s="100"/>
      <c r="K224" s="100"/>
      <c r="L224" s="100"/>
      <c r="M224" s="100">
        <v>0</v>
      </c>
      <c r="N224" s="100"/>
      <c r="O224" s="100">
        <v>0</v>
      </c>
      <c r="P224" s="100">
        <v>0</v>
      </c>
      <c r="Q224" s="271"/>
      <c r="R224" s="100">
        <v>0</v>
      </c>
      <c r="S224" s="100">
        <v>0</v>
      </c>
      <c r="T224" s="100">
        <v>0</v>
      </c>
      <c r="U224" s="100">
        <v>0</v>
      </c>
      <c r="V224" s="666">
        <v>0</v>
      </c>
      <c r="W224" s="97"/>
      <c r="X224" s="97">
        <f t="shared" si="3"/>
        <v>0</v>
      </c>
      <c r="Y224" s="97"/>
      <c r="AC224" s="100">
        <v>0</v>
      </c>
    </row>
    <row r="225" spans="1:29" ht="15.95" customHeight="1" thickBot="1" x14ac:dyDescent="0.25">
      <c r="A225" s="669"/>
      <c r="B225" s="45"/>
      <c r="C225" s="151" t="s">
        <v>414</v>
      </c>
      <c r="D225" s="305"/>
      <c r="E225" s="105">
        <v>0</v>
      </c>
      <c r="F225" s="106">
        <v>226.8121036</v>
      </c>
      <c r="G225" s="105">
        <v>0</v>
      </c>
      <c r="H225" s="105">
        <v>0</v>
      </c>
      <c r="I225" s="106">
        <v>7</v>
      </c>
      <c r="J225" s="105"/>
      <c r="K225" s="105"/>
      <c r="L225" s="105"/>
      <c r="M225" s="105">
        <v>4</v>
      </c>
      <c r="N225" s="105"/>
      <c r="O225" s="105">
        <v>0</v>
      </c>
      <c r="P225" s="105">
        <v>0</v>
      </c>
      <c r="Q225" s="273"/>
      <c r="R225" s="105">
        <v>0</v>
      </c>
      <c r="S225" s="105">
        <v>0</v>
      </c>
      <c r="T225" s="105">
        <v>0</v>
      </c>
      <c r="U225" s="105">
        <v>0</v>
      </c>
      <c r="V225" s="670">
        <v>0</v>
      </c>
      <c r="W225" s="97"/>
      <c r="X225" s="97">
        <f t="shared" si="3"/>
        <v>0</v>
      </c>
      <c r="Y225" s="97">
        <f>+IF((AC225-ROUND(AC225,-3)&gt;400)*AND(AC225-ROUND(AC225,-3)&lt;500),1,0)</f>
        <v>0</v>
      </c>
      <c r="AC225" s="105">
        <v>0</v>
      </c>
    </row>
    <row r="226" spans="1:29" ht="15.95" customHeight="1" thickTop="1" x14ac:dyDescent="0.2">
      <c r="A226" s="665" t="s">
        <v>135</v>
      </c>
      <c r="B226" s="42">
        <v>2008</v>
      </c>
      <c r="C226" s="148" t="s">
        <v>289</v>
      </c>
      <c r="D226" s="303">
        <v>18</v>
      </c>
      <c r="E226" s="100">
        <v>1</v>
      </c>
      <c r="F226" s="101">
        <v>4.6946972000000002</v>
      </c>
      <c r="G226" s="100">
        <v>3.1459227467811162</v>
      </c>
      <c r="H226" s="100">
        <v>37</v>
      </c>
      <c r="I226" s="101">
        <v>3</v>
      </c>
      <c r="J226" s="100"/>
      <c r="K226" s="100">
        <v>18</v>
      </c>
      <c r="L226" s="100"/>
      <c r="M226" s="100">
        <v>3</v>
      </c>
      <c r="N226" s="100"/>
      <c r="O226" s="100">
        <v>0</v>
      </c>
      <c r="P226" s="100">
        <v>0</v>
      </c>
      <c r="Q226" s="271">
        <v>1.1319999999999999</v>
      </c>
      <c r="R226" s="100">
        <v>35</v>
      </c>
      <c r="S226" s="100">
        <v>5</v>
      </c>
      <c r="T226" s="100">
        <v>1</v>
      </c>
      <c r="U226" s="100">
        <v>11</v>
      </c>
      <c r="V226" s="666">
        <v>24</v>
      </c>
      <c r="W226" s="97"/>
      <c r="X226" s="97">
        <f t="shared" si="3"/>
        <v>11</v>
      </c>
      <c r="Y226" s="97"/>
      <c r="AC226" s="100">
        <v>11385.597082953509</v>
      </c>
    </row>
    <row r="227" spans="1:29" ht="15.95" customHeight="1" x14ac:dyDescent="0.2">
      <c r="A227" s="665"/>
      <c r="B227" s="43"/>
      <c r="C227" s="149" t="s">
        <v>290</v>
      </c>
      <c r="D227" s="303"/>
      <c r="E227" s="100">
        <v>0</v>
      </c>
      <c r="F227" s="101">
        <v>4.6946972000000002</v>
      </c>
      <c r="G227" s="100">
        <v>0</v>
      </c>
      <c r="H227" s="100">
        <v>37</v>
      </c>
      <c r="I227" s="101">
        <v>3</v>
      </c>
      <c r="J227" s="100"/>
      <c r="K227" s="100"/>
      <c r="L227" s="100"/>
      <c r="M227" s="100">
        <v>3</v>
      </c>
      <c r="N227" s="100"/>
      <c r="O227" s="100">
        <v>0</v>
      </c>
      <c r="P227" s="100">
        <v>0</v>
      </c>
      <c r="Q227" s="271"/>
      <c r="R227" s="100">
        <v>0</v>
      </c>
      <c r="S227" s="100">
        <v>5</v>
      </c>
      <c r="T227" s="100">
        <v>0</v>
      </c>
      <c r="U227" s="100">
        <v>0</v>
      </c>
      <c r="V227" s="666">
        <v>0</v>
      </c>
      <c r="W227" s="97"/>
      <c r="X227" s="97">
        <f t="shared" si="3"/>
        <v>0</v>
      </c>
      <c r="Y227" s="97"/>
      <c r="AC227" s="100">
        <v>0</v>
      </c>
    </row>
    <row r="228" spans="1:29" ht="15.95" customHeight="1" x14ac:dyDescent="0.2">
      <c r="A228" s="667"/>
      <c r="B228" s="44"/>
      <c r="C228" s="150" t="s">
        <v>291</v>
      </c>
      <c r="D228" s="304"/>
      <c r="E228" s="103">
        <v>0</v>
      </c>
      <c r="F228" s="104">
        <v>0</v>
      </c>
      <c r="G228" s="103">
        <v>6.0958512160228899</v>
      </c>
      <c r="H228" s="103">
        <v>176</v>
      </c>
      <c r="I228" s="104">
        <v>10</v>
      </c>
      <c r="J228" s="103"/>
      <c r="K228" s="103"/>
      <c r="L228" s="103"/>
      <c r="M228" s="103">
        <v>0</v>
      </c>
      <c r="N228" s="103"/>
      <c r="O228" s="103">
        <v>0</v>
      </c>
      <c r="P228" s="103">
        <v>0</v>
      </c>
      <c r="Q228" s="272"/>
      <c r="R228" s="103">
        <v>0</v>
      </c>
      <c r="S228" s="103">
        <v>0</v>
      </c>
      <c r="T228" s="103">
        <v>0</v>
      </c>
      <c r="U228" s="103">
        <v>0</v>
      </c>
      <c r="V228" s="668">
        <v>0</v>
      </c>
      <c r="W228" s="97"/>
      <c r="X228" s="97">
        <f t="shared" si="3"/>
        <v>0</v>
      </c>
      <c r="Y228" s="97"/>
      <c r="AC228" s="103">
        <v>0</v>
      </c>
    </row>
    <row r="229" spans="1:29" ht="15.95" customHeight="1" x14ac:dyDescent="0.2">
      <c r="A229" s="665"/>
      <c r="B229" s="42">
        <v>2009</v>
      </c>
      <c r="C229" s="149" t="s">
        <v>412</v>
      </c>
      <c r="D229" s="303">
        <v>24</v>
      </c>
      <c r="E229" s="100">
        <v>1</v>
      </c>
      <c r="F229" s="101">
        <v>4.6946972000000002</v>
      </c>
      <c r="G229" s="100">
        <v>3.2525252525252526</v>
      </c>
      <c r="H229" s="100">
        <v>42</v>
      </c>
      <c r="I229" s="101">
        <v>3</v>
      </c>
      <c r="J229" s="100"/>
      <c r="K229" s="100">
        <v>18</v>
      </c>
      <c r="L229" s="100"/>
      <c r="M229" s="100">
        <v>3</v>
      </c>
      <c r="N229" s="100"/>
      <c r="O229" s="100">
        <v>0</v>
      </c>
      <c r="P229" s="100">
        <v>0</v>
      </c>
      <c r="Q229" s="102">
        <v>1.073</v>
      </c>
      <c r="R229" s="100">
        <v>36</v>
      </c>
      <c r="S229" s="100">
        <v>5</v>
      </c>
      <c r="T229" s="100">
        <v>1</v>
      </c>
      <c r="U229" s="100">
        <v>12</v>
      </c>
      <c r="V229" s="666">
        <v>25</v>
      </c>
      <c r="W229" s="100"/>
      <c r="X229" s="97">
        <f t="shared" si="3"/>
        <v>12</v>
      </c>
      <c r="Y229" s="97"/>
      <c r="AC229" s="100">
        <v>12477.52247752248</v>
      </c>
    </row>
    <row r="230" spans="1:29" ht="15.95" customHeight="1" x14ac:dyDescent="0.2">
      <c r="A230" s="665"/>
      <c r="B230" s="43"/>
      <c r="C230" s="149" t="s">
        <v>413</v>
      </c>
      <c r="D230" s="303">
        <v>24</v>
      </c>
      <c r="E230" s="100">
        <v>0</v>
      </c>
      <c r="F230" s="101">
        <v>4.6946972000000002</v>
      </c>
      <c r="G230" s="100">
        <v>0</v>
      </c>
      <c r="H230" s="100">
        <v>42</v>
      </c>
      <c r="I230" s="101">
        <v>3</v>
      </c>
      <c r="J230" s="100"/>
      <c r="K230" s="100"/>
      <c r="L230" s="100"/>
      <c r="M230" s="100">
        <v>3</v>
      </c>
      <c r="N230" s="100"/>
      <c r="O230" s="100">
        <v>0</v>
      </c>
      <c r="P230" s="100">
        <v>0</v>
      </c>
      <c r="Q230" s="271"/>
      <c r="R230" s="100">
        <v>0</v>
      </c>
      <c r="S230" s="100">
        <v>5</v>
      </c>
      <c r="T230" s="100">
        <v>0</v>
      </c>
      <c r="U230" s="100">
        <v>0</v>
      </c>
      <c r="V230" s="666">
        <v>0</v>
      </c>
      <c r="W230" s="97"/>
      <c r="X230" s="97">
        <f t="shared" si="3"/>
        <v>0</v>
      </c>
      <c r="Y230" s="97"/>
      <c r="AC230" s="100">
        <v>0</v>
      </c>
    </row>
    <row r="231" spans="1:29" ht="15.95" customHeight="1" thickBot="1" x14ac:dyDescent="0.25">
      <c r="A231" s="669"/>
      <c r="B231" s="45"/>
      <c r="C231" s="151" t="s">
        <v>414</v>
      </c>
      <c r="D231" s="305">
        <v>18</v>
      </c>
      <c r="E231" s="105">
        <v>0</v>
      </c>
      <c r="F231" s="106">
        <v>0</v>
      </c>
      <c r="G231" s="105">
        <v>0</v>
      </c>
      <c r="H231" s="105">
        <v>0</v>
      </c>
      <c r="I231" s="106"/>
      <c r="J231" s="105"/>
      <c r="K231" s="105"/>
      <c r="L231" s="105"/>
      <c r="M231" s="105">
        <v>0</v>
      </c>
      <c r="N231" s="105"/>
      <c r="O231" s="105">
        <v>0</v>
      </c>
      <c r="P231" s="105">
        <v>0</v>
      </c>
      <c r="Q231" s="273"/>
      <c r="R231" s="105">
        <v>618</v>
      </c>
      <c r="S231" s="105">
        <v>9</v>
      </c>
      <c r="T231" s="105">
        <v>0</v>
      </c>
      <c r="U231" s="105">
        <v>0</v>
      </c>
      <c r="V231" s="670">
        <v>0</v>
      </c>
      <c r="W231" s="97"/>
      <c r="X231" s="97">
        <f t="shared" si="3"/>
        <v>0</v>
      </c>
      <c r="Y231" s="97">
        <f>+IF((AC231-ROUND(AC231,-3)&gt;400)*AND(AC231-ROUND(AC231,-3)&lt;500),1,0)</f>
        <v>0</v>
      </c>
      <c r="AC231" s="105">
        <v>0</v>
      </c>
    </row>
    <row r="232" spans="1:29" ht="15.95" customHeight="1" thickTop="1" x14ac:dyDescent="0.2">
      <c r="A232" s="665" t="s">
        <v>136</v>
      </c>
      <c r="B232" s="42">
        <v>2008</v>
      </c>
      <c r="C232" s="148" t="s">
        <v>289</v>
      </c>
      <c r="D232" s="303">
        <f>2945+1</f>
        <v>2946</v>
      </c>
      <c r="E232" s="100">
        <v>190</v>
      </c>
      <c r="F232" s="101">
        <v>760.54204799999991</v>
      </c>
      <c r="G232" s="100">
        <v>492.70672389127327</v>
      </c>
      <c r="H232" s="100">
        <v>158</v>
      </c>
      <c r="I232" s="101">
        <v>517</v>
      </c>
      <c r="J232" s="100">
        <v>69</v>
      </c>
      <c r="K232" s="100">
        <v>284</v>
      </c>
      <c r="L232" s="100">
        <v>486</v>
      </c>
      <c r="M232" s="100">
        <v>508</v>
      </c>
      <c r="N232" s="100"/>
      <c r="O232" s="100">
        <v>19</v>
      </c>
      <c r="P232" s="100">
        <v>25</v>
      </c>
      <c r="Q232" s="271">
        <v>253.55500000000001</v>
      </c>
      <c r="R232" s="100">
        <v>140</v>
      </c>
      <c r="S232" s="100">
        <v>748</v>
      </c>
      <c r="T232" s="100">
        <v>11</v>
      </c>
      <c r="U232" s="100">
        <v>92</v>
      </c>
      <c r="V232" s="666">
        <v>493.01160714285709</v>
      </c>
      <c r="W232" s="97"/>
      <c r="X232" s="97">
        <f>+ROUNDUP(AC232/1000,0)</f>
        <v>92</v>
      </c>
      <c r="Y232" s="97"/>
      <c r="AC232" s="100">
        <v>91084.776663628072</v>
      </c>
    </row>
    <row r="233" spans="1:29" ht="15.95" customHeight="1" x14ac:dyDescent="0.2">
      <c r="A233" s="665"/>
      <c r="B233" s="43"/>
      <c r="C233" s="149" t="s">
        <v>290</v>
      </c>
      <c r="D233" s="303"/>
      <c r="E233" s="100">
        <v>2</v>
      </c>
      <c r="F233" s="101">
        <v>351.45738</v>
      </c>
      <c r="G233" s="100">
        <v>0</v>
      </c>
      <c r="H233" s="100">
        <v>158</v>
      </c>
      <c r="I233" s="101">
        <f>517-7</f>
        <v>510</v>
      </c>
      <c r="J233" s="100">
        <v>69</v>
      </c>
      <c r="K233" s="100">
        <v>284</v>
      </c>
      <c r="L233" s="100">
        <v>486</v>
      </c>
      <c r="M233" s="100">
        <v>0</v>
      </c>
      <c r="N233" s="100"/>
      <c r="O233" s="100">
        <v>19</v>
      </c>
      <c r="P233" s="100">
        <v>25</v>
      </c>
      <c r="Q233" s="271"/>
      <c r="R233" s="100">
        <v>58</v>
      </c>
      <c r="S233" s="100">
        <v>748</v>
      </c>
      <c r="T233" s="100">
        <v>11</v>
      </c>
      <c r="U233" s="100">
        <v>92</v>
      </c>
      <c r="V233" s="666">
        <v>344.16071428571422</v>
      </c>
      <c r="W233" s="97"/>
      <c r="X233" s="97">
        <f>+ROUNDUP(AC233/1000,0)</f>
        <v>92</v>
      </c>
      <c r="Y233" s="97"/>
      <c r="AC233" s="100">
        <v>91084.776663628072</v>
      </c>
    </row>
    <row r="234" spans="1:29" ht="15.95" customHeight="1" x14ac:dyDescent="0.2">
      <c r="A234" s="667"/>
      <c r="B234" s="44"/>
      <c r="C234" s="150" t="s">
        <v>291</v>
      </c>
      <c r="D234" s="304">
        <v>1400</v>
      </c>
      <c r="E234" s="103">
        <v>357</v>
      </c>
      <c r="F234" s="104">
        <v>738.69576080000002</v>
      </c>
      <c r="G234" s="103">
        <v>339.55793991416306</v>
      </c>
      <c r="H234" s="103">
        <v>0</v>
      </c>
      <c r="I234" s="104"/>
      <c r="J234" s="103">
        <v>0</v>
      </c>
      <c r="K234" s="103"/>
      <c r="L234" s="103"/>
      <c r="M234" s="103">
        <v>371</v>
      </c>
      <c r="N234" s="103"/>
      <c r="O234" s="103">
        <v>0</v>
      </c>
      <c r="P234" s="103">
        <v>0</v>
      </c>
      <c r="Q234" s="272">
        <v>122.884</v>
      </c>
      <c r="R234" s="103">
        <v>8</v>
      </c>
      <c r="S234" s="103">
        <v>1529</v>
      </c>
      <c r="T234" s="103">
        <v>0</v>
      </c>
      <c r="U234" s="103">
        <v>0</v>
      </c>
      <c r="V234" s="668">
        <v>0</v>
      </c>
      <c r="W234" s="97"/>
      <c r="X234" s="97">
        <f t="shared" si="3"/>
        <v>0</v>
      </c>
      <c r="Y234" s="97"/>
      <c r="AC234" s="103">
        <v>0</v>
      </c>
    </row>
    <row r="235" spans="1:29" ht="15.95" customHeight="1" x14ac:dyDescent="0.2">
      <c r="A235" s="665"/>
      <c r="B235" s="42">
        <v>2009</v>
      </c>
      <c r="C235" s="149" t="s">
        <v>412</v>
      </c>
      <c r="D235" s="303">
        <f>3922+1</f>
        <v>3923</v>
      </c>
      <c r="E235" s="100">
        <v>197</v>
      </c>
      <c r="F235" s="101">
        <v>760.54204799999991</v>
      </c>
      <c r="G235" s="100">
        <v>515.14718614718618</v>
      </c>
      <c r="H235" s="100">
        <v>178</v>
      </c>
      <c r="I235" s="101">
        <v>517</v>
      </c>
      <c r="J235" s="100">
        <v>55</v>
      </c>
      <c r="K235" s="100">
        <v>284</v>
      </c>
      <c r="L235" s="100">
        <f>972-L232</f>
        <v>486</v>
      </c>
      <c r="M235" s="100">
        <v>508</v>
      </c>
      <c r="N235" s="100"/>
      <c r="O235" s="100">
        <v>19</v>
      </c>
      <c r="P235" s="100">
        <v>25</v>
      </c>
      <c r="Q235" s="102">
        <v>240.33</v>
      </c>
      <c r="R235" s="100">
        <v>143</v>
      </c>
      <c r="S235" s="100">
        <v>748</v>
      </c>
      <c r="T235" s="100">
        <v>11</v>
      </c>
      <c r="U235" s="100">
        <v>101</v>
      </c>
      <c r="V235" s="666">
        <v>543.8223214285714</v>
      </c>
      <c r="W235" s="100"/>
      <c r="X235" s="97">
        <f>+ROUNDUP(AC235/1000+0.5,0)</f>
        <v>101</v>
      </c>
      <c r="Y235" s="97"/>
      <c r="AC235" s="100">
        <v>99820.179820179837</v>
      </c>
    </row>
    <row r="236" spans="1:29" ht="15.95" customHeight="1" x14ac:dyDescent="0.2">
      <c r="A236" s="665"/>
      <c r="B236" s="43"/>
      <c r="C236" s="149" t="s">
        <v>413</v>
      </c>
      <c r="D236" s="303"/>
      <c r="E236" s="100">
        <v>87</v>
      </c>
      <c r="F236" s="101">
        <v>760.54204799999991</v>
      </c>
      <c r="G236" s="100">
        <v>0</v>
      </c>
      <c r="H236" s="100">
        <v>178</v>
      </c>
      <c r="I236" s="101">
        <v>517</v>
      </c>
      <c r="J236" s="100">
        <v>55</v>
      </c>
      <c r="K236" s="100">
        <v>194</v>
      </c>
      <c r="L236" s="100">
        <v>486</v>
      </c>
      <c r="M236" s="100">
        <v>0</v>
      </c>
      <c r="N236" s="100">
        <v>60</v>
      </c>
      <c r="O236" s="100">
        <v>18</v>
      </c>
      <c r="P236" s="100">
        <v>25</v>
      </c>
      <c r="Q236" s="271"/>
      <c r="R236" s="100">
        <v>47</v>
      </c>
      <c r="S236" s="100">
        <v>178</v>
      </c>
      <c r="T236" s="100">
        <v>11</v>
      </c>
      <c r="U236" s="100">
        <v>95</v>
      </c>
      <c r="V236" s="666">
        <v>365</v>
      </c>
      <c r="W236" s="97"/>
      <c r="X236" s="97">
        <f>+ROUNDDOWN(AC236/1000,0)</f>
        <v>95</v>
      </c>
      <c r="Y236" s="97"/>
      <c r="AC236" s="100">
        <v>95928.841158841169</v>
      </c>
    </row>
    <row r="237" spans="1:29" ht="15.95" customHeight="1" thickBot="1" x14ac:dyDescent="0.25">
      <c r="A237" s="669"/>
      <c r="B237" s="45"/>
      <c r="C237" s="151" t="s">
        <v>414</v>
      </c>
      <c r="D237" s="305">
        <v>2150</v>
      </c>
      <c r="E237" s="105">
        <v>187</v>
      </c>
      <c r="F237" s="106">
        <v>0.47313040000000001</v>
      </c>
      <c r="G237" s="105">
        <v>632.6940836940837</v>
      </c>
      <c r="H237" s="105">
        <v>0</v>
      </c>
      <c r="I237" s="106">
        <f>7-1</f>
        <v>6</v>
      </c>
      <c r="J237" s="105">
        <v>0</v>
      </c>
      <c r="K237" s="105"/>
      <c r="L237" s="105"/>
      <c r="M237" s="105">
        <v>387</v>
      </c>
      <c r="N237" s="105"/>
      <c r="O237" s="105">
        <v>0</v>
      </c>
      <c r="P237" s="105">
        <v>0</v>
      </c>
      <c r="Q237" s="273">
        <v>482.95299999999997</v>
      </c>
      <c r="R237" s="105">
        <v>83</v>
      </c>
      <c r="S237" s="105">
        <v>0</v>
      </c>
      <c r="T237" s="105">
        <v>0</v>
      </c>
      <c r="U237" s="105">
        <v>0</v>
      </c>
      <c r="V237" s="670">
        <v>148.21428571428569</v>
      </c>
      <c r="W237" s="97"/>
      <c r="X237" s="97">
        <f t="shared" si="3"/>
        <v>0</v>
      </c>
      <c r="Y237" s="97">
        <f>+IF((AC237-ROUND(AC237,-3)&gt;400)*AND(AC237-ROUND(AC237,-3)&lt;500),1,0)</f>
        <v>0</v>
      </c>
      <c r="AC237" s="105">
        <v>0</v>
      </c>
    </row>
    <row r="238" spans="1:29" ht="15.95" customHeight="1" thickTop="1" x14ac:dyDescent="0.2">
      <c r="A238" s="665" t="s">
        <v>137</v>
      </c>
      <c r="B238" s="42">
        <v>2008</v>
      </c>
      <c r="C238" s="148" t="s">
        <v>289</v>
      </c>
      <c r="D238" s="303">
        <v>48780</v>
      </c>
      <c r="E238" s="100">
        <v>3218</v>
      </c>
      <c r="F238" s="101">
        <v>12581.80672</v>
      </c>
      <c r="G238" s="100">
        <v>8038.4177396280402</v>
      </c>
      <c r="H238" s="100">
        <v>1473</v>
      </c>
      <c r="I238" s="101">
        <v>8561</v>
      </c>
      <c r="J238" s="100">
        <v>1437</v>
      </c>
      <c r="K238" s="100">
        <v>2839</v>
      </c>
      <c r="L238" s="100"/>
      <c r="M238" s="100">
        <v>8414</v>
      </c>
      <c r="N238" s="100"/>
      <c r="O238" s="100">
        <v>311</v>
      </c>
      <c r="P238" s="100">
        <v>411</v>
      </c>
      <c r="Q238" s="271">
        <v>4196.1019999999999</v>
      </c>
      <c r="R238" s="100">
        <v>326</v>
      </c>
      <c r="S238" s="100">
        <v>12387</v>
      </c>
      <c r="T238" s="100">
        <v>327</v>
      </c>
      <c r="U238" s="100">
        <v>1492</v>
      </c>
      <c r="V238" s="666">
        <v>8471.3571428571413</v>
      </c>
      <c r="W238" s="97"/>
      <c r="X238" s="97">
        <f t="shared" si="3"/>
        <v>1492</v>
      </c>
      <c r="Y238" s="97"/>
      <c r="AC238" s="100">
        <v>1491513.2178669097</v>
      </c>
    </row>
    <row r="239" spans="1:29" ht="15.95" customHeight="1" x14ac:dyDescent="0.2">
      <c r="A239" s="665"/>
      <c r="B239" s="43"/>
      <c r="C239" s="149" t="s">
        <v>290</v>
      </c>
      <c r="D239" s="303">
        <v>48780</v>
      </c>
      <c r="E239" s="100">
        <v>3218</v>
      </c>
      <c r="F239" s="101">
        <v>12581.80672</v>
      </c>
      <c r="G239" s="100">
        <v>8022.2031473533625</v>
      </c>
      <c r="H239" s="100">
        <v>1473</v>
      </c>
      <c r="I239" s="101">
        <f>8561-202</f>
        <v>8359</v>
      </c>
      <c r="J239" s="100">
        <v>1437</v>
      </c>
      <c r="K239" s="100">
        <v>2839</v>
      </c>
      <c r="L239" s="100"/>
      <c r="M239" s="100">
        <v>8414</v>
      </c>
      <c r="N239" s="100">
        <v>5000</v>
      </c>
      <c r="O239" s="100">
        <v>311</v>
      </c>
      <c r="P239" s="100">
        <v>411</v>
      </c>
      <c r="Q239" s="271">
        <v>4196.1019999999999</v>
      </c>
      <c r="R239" s="100">
        <v>326</v>
      </c>
      <c r="S239" s="100">
        <v>12387</v>
      </c>
      <c r="T239" s="100">
        <v>327</v>
      </c>
      <c r="U239" s="100">
        <v>1492</v>
      </c>
      <c r="V239" s="666">
        <v>8471.3571428571413</v>
      </c>
      <c r="W239" s="97"/>
      <c r="X239" s="97">
        <f t="shared" si="3"/>
        <v>1492</v>
      </c>
      <c r="Y239" s="97"/>
      <c r="AC239" s="100">
        <v>1491513.2178669097</v>
      </c>
    </row>
    <row r="240" spans="1:29" ht="15.95" customHeight="1" x14ac:dyDescent="0.2">
      <c r="A240" s="667"/>
      <c r="B240" s="44"/>
      <c r="C240" s="150" t="s">
        <v>291</v>
      </c>
      <c r="D240" s="304"/>
      <c r="E240" s="103">
        <v>0</v>
      </c>
      <c r="F240" s="104">
        <v>0</v>
      </c>
      <c r="G240" s="103">
        <v>0</v>
      </c>
      <c r="H240" s="103">
        <v>0</v>
      </c>
      <c r="I240" s="104"/>
      <c r="J240" s="103">
        <v>0</v>
      </c>
      <c r="K240" s="103"/>
      <c r="L240" s="103"/>
      <c r="M240" s="103">
        <v>0</v>
      </c>
      <c r="N240" s="103"/>
      <c r="O240" s="103">
        <v>0</v>
      </c>
      <c r="P240" s="103">
        <v>0</v>
      </c>
      <c r="Q240" s="272"/>
      <c r="R240" s="103">
        <v>0</v>
      </c>
      <c r="S240" s="103">
        <v>0</v>
      </c>
      <c r="T240" s="103">
        <v>0</v>
      </c>
      <c r="U240" s="103">
        <v>0</v>
      </c>
      <c r="V240" s="668">
        <v>0</v>
      </c>
      <c r="W240" s="97"/>
      <c r="X240" s="97">
        <f t="shared" si="3"/>
        <v>0</v>
      </c>
      <c r="Y240" s="97"/>
      <c r="AC240" s="103">
        <v>0</v>
      </c>
    </row>
    <row r="241" spans="1:29" ht="15.95" customHeight="1" x14ac:dyDescent="0.2">
      <c r="A241" s="665"/>
      <c r="B241" s="42">
        <v>2009</v>
      </c>
      <c r="C241" s="149" t="s">
        <v>412</v>
      </c>
      <c r="D241" s="303">
        <f>64977+1</f>
        <v>64978</v>
      </c>
      <c r="E241" s="100">
        <v>3278</v>
      </c>
      <c r="F241" s="101">
        <v>12581.80672</v>
      </c>
      <c r="G241" s="100">
        <v>8481.7619047619046</v>
      </c>
      <c r="H241" s="100">
        <v>2618</v>
      </c>
      <c r="I241" s="101">
        <v>8561</v>
      </c>
      <c r="J241" s="100">
        <v>1289</v>
      </c>
      <c r="K241" s="100">
        <v>2839</v>
      </c>
      <c r="L241" s="100"/>
      <c r="M241" s="100">
        <v>8414</v>
      </c>
      <c r="N241" s="100"/>
      <c r="O241" s="100">
        <v>309</v>
      </c>
      <c r="P241" s="100">
        <v>411</v>
      </c>
      <c r="Q241" s="102">
        <v>3977.2489999999998</v>
      </c>
      <c r="R241" s="100">
        <v>354</v>
      </c>
      <c r="S241" s="100">
        <v>12387</v>
      </c>
      <c r="T241" s="100">
        <v>331</v>
      </c>
      <c r="U241" s="100">
        <v>1635</v>
      </c>
      <c r="V241" s="666">
        <v>9662.6633928571428</v>
      </c>
      <c r="W241" s="100"/>
      <c r="X241" s="97">
        <f t="shared" si="3"/>
        <v>1635</v>
      </c>
      <c r="Y241" s="97"/>
      <c r="AC241" s="100">
        <v>1634555.4445554446</v>
      </c>
    </row>
    <row r="242" spans="1:29" ht="15.95" customHeight="1" x14ac:dyDescent="0.2">
      <c r="A242" s="665"/>
      <c r="B242" s="43"/>
      <c r="C242" s="149" t="s">
        <v>413</v>
      </c>
      <c r="D242" s="303">
        <f>64977+1</f>
        <v>64978</v>
      </c>
      <c r="E242" s="100">
        <v>3278</v>
      </c>
      <c r="F242" s="101">
        <v>12581.80672</v>
      </c>
      <c r="G242" s="100">
        <v>8403.6897546897544</v>
      </c>
      <c r="H242" s="100">
        <v>2618</v>
      </c>
      <c r="I242" s="101">
        <v>8561</v>
      </c>
      <c r="J242" s="100">
        <v>1289</v>
      </c>
      <c r="K242" s="100">
        <v>2839</v>
      </c>
      <c r="L242" s="100"/>
      <c r="M242" s="100">
        <v>8414</v>
      </c>
      <c r="N242" s="100">
        <v>5000</v>
      </c>
      <c r="O242" s="100">
        <v>309</v>
      </c>
      <c r="P242" s="100">
        <v>411</v>
      </c>
      <c r="Q242" s="102">
        <v>3977.2489999999998</v>
      </c>
      <c r="R242" s="100">
        <v>354</v>
      </c>
      <c r="S242" s="100">
        <v>12387</v>
      </c>
      <c r="T242" s="100">
        <v>331</v>
      </c>
      <c r="U242" s="100">
        <v>1635</v>
      </c>
      <c r="V242" s="666">
        <v>9663</v>
      </c>
      <c r="W242" s="97"/>
      <c r="X242" s="97">
        <f t="shared" si="3"/>
        <v>1635</v>
      </c>
      <c r="Y242" s="97"/>
      <c r="AC242" s="100">
        <v>1634555.4445554446</v>
      </c>
    </row>
    <row r="243" spans="1:29" ht="15.95" customHeight="1" thickBot="1" x14ac:dyDescent="0.25">
      <c r="A243" s="669"/>
      <c r="B243" s="45"/>
      <c r="C243" s="151" t="s">
        <v>414</v>
      </c>
      <c r="D243" s="305"/>
      <c r="E243" s="105">
        <v>0</v>
      </c>
      <c r="F243" s="106">
        <v>0</v>
      </c>
      <c r="G243" s="105">
        <v>0</v>
      </c>
      <c r="H243" s="105">
        <v>0</v>
      </c>
      <c r="I243" s="106">
        <f>202-1</f>
        <v>201</v>
      </c>
      <c r="J243" s="105">
        <v>0</v>
      </c>
      <c r="K243" s="105"/>
      <c r="L243" s="105"/>
      <c r="M243" s="105">
        <v>0</v>
      </c>
      <c r="N243" s="105"/>
      <c r="O243" s="105">
        <v>0</v>
      </c>
      <c r="P243" s="105">
        <v>0</v>
      </c>
      <c r="Q243" s="273"/>
      <c r="R243" s="105">
        <v>0</v>
      </c>
      <c r="S243" s="105">
        <v>0</v>
      </c>
      <c r="T243" s="105">
        <v>0</v>
      </c>
      <c r="U243" s="105">
        <v>0</v>
      </c>
      <c r="V243" s="670">
        <v>0</v>
      </c>
      <c r="W243" s="97"/>
      <c r="X243" s="97">
        <f t="shared" si="3"/>
        <v>0</v>
      </c>
      <c r="Y243" s="97">
        <f>+IF((AC243-ROUND(AC243,-3)&gt;400)*AND(AC243-ROUND(AC243,-3)&lt;500),1,0)</f>
        <v>0</v>
      </c>
      <c r="AC243" s="105">
        <v>0</v>
      </c>
    </row>
    <row r="244" spans="1:29" ht="15.95" customHeight="1" thickTop="1" x14ac:dyDescent="0.2">
      <c r="A244" s="665" t="s">
        <v>138</v>
      </c>
      <c r="B244" s="42">
        <v>2008</v>
      </c>
      <c r="C244" s="148" t="s">
        <v>289</v>
      </c>
      <c r="D244" s="303">
        <v>1920</v>
      </c>
      <c r="E244" s="100">
        <v>124</v>
      </c>
      <c r="F244" s="101">
        <v>497.63862399999999</v>
      </c>
      <c r="G244" s="100">
        <v>316.98998569384838</v>
      </c>
      <c r="H244" s="100">
        <v>128</v>
      </c>
      <c r="I244" s="101">
        <v>337</v>
      </c>
      <c r="J244" s="100">
        <v>23</v>
      </c>
      <c r="K244" s="100">
        <v>284</v>
      </c>
      <c r="L244" s="100">
        <v>846.3</v>
      </c>
      <c r="M244" s="100">
        <v>331</v>
      </c>
      <c r="N244" s="100"/>
      <c r="O244" s="100">
        <v>12</v>
      </c>
      <c r="P244" s="100">
        <v>16</v>
      </c>
      <c r="Q244" s="271">
        <v>165.26400000000001</v>
      </c>
      <c r="R244" s="100">
        <v>90</v>
      </c>
      <c r="S244" s="100">
        <v>487</v>
      </c>
      <c r="T244" s="100">
        <v>11</v>
      </c>
      <c r="U244" s="100">
        <v>58</v>
      </c>
      <c r="V244" s="666">
        <v>305.78928571428565</v>
      </c>
      <c r="W244" s="97"/>
      <c r="X244" s="97">
        <f>+ROUNDUP(AC244/1000+0.5,0)</f>
        <v>58</v>
      </c>
      <c r="Y244" s="97"/>
      <c r="AC244" s="100">
        <v>56927.985414767551</v>
      </c>
    </row>
    <row r="245" spans="1:29" ht="15.95" customHeight="1" x14ac:dyDescent="0.2">
      <c r="A245" s="665"/>
      <c r="B245" s="43"/>
      <c r="C245" s="149" t="s">
        <v>290</v>
      </c>
      <c r="D245" s="303">
        <v>1920</v>
      </c>
      <c r="E245" s="100">
        <v>0</v>
      </c>
      <c r="F245" s="101">
        <v>497.63862399999999</v>
      </c>
      <c r="G245" s="100">
        <v>279.42632331902718</v>
      </c>
      <c r="H245" s="100">
        <v>128</v>
      </c>
      <c r="I245" s="101">
        <v>337</v>
      </c>
      <c r="J245" s="100">
        <v>23</v>
      </c>
      <c r="K245" s="100">
        <v>284</v>
      </c>
      <c r="L245" s="100">
        <v>846</v>
      </c>
      <c r="M245" s="100">
        <v>325</v>
      </c>
      <c r="N245" s="100"/>
      <c r="O245" s="100">
        <v>12</v>
      </c>
      <c r="P245" s="100">
        <v>16</v>
      </c>
      <c r="Q245" s="271"/>
      <c r="R245" s="100">
        <v>90</v>
      </c>
      <c r="S245" s="100">
        <v>487</v>
      </c>
      <c r="T245" s="100">
        <v>11</v>
      </c>
      <c r="U245" s="100">
        <v>58</v>
      </c>
      <c r="V245" s="666">
        <v>177.35714285714283</v>
      </c>
      <c r="W245" s="97"/>
      <c r="X245" s="97">
        <f>+ROUNDUP(AC245/1000+0.5,0)</f>
        <v>58</v>
      </c>
      <c r="Y245" s="97"/>
      <c r="AC245" s="100">
        <v>56927.985414767551</v>
      </c>
    </row>
    <row r="246" spans="1:29" ht="15.95" customHeight="1" x14ac:dyDescent="0.2">
      <c r="A246" s="667"/>
      <c r="B246" s="44"/>
      <c r="C246" s="150" t="s">
        <v>291</v>
      </c>
      <c r="D246" s="304"/>
      <c r="E246" s="103">
        <v>0</v>
      </c>
      <c r="F246" s="104">
        <v>0</v>
      </c>
      <c r="G246" s="103">
        <v>0</v>
      </c>
      <c r="H246" s="103">
        <v>0</v>
      </c>
      <c r="I246" s="104"/>
      <c r="J246" s="103">
        <v>1</v>
      </c>
      <c r="K246" s="103"/>
      <c r="L246" s="103"/>
      <c r="M246" s="103">
        <v>0</v>
      </c>
      <c r="N246" s="103"/>
      <c r="O246" s="103">
        <v>0</v>
      </c>
      <c r="P246" s="103">
        <v>0</v>
      </c>
      <c r="Q246" s="272"/>
      <c r="R246" s="103">
        <v>0</v>
      </c>
      <c r="S246" s="103">
        <v>0</v>
      </c>
      <c r="T246" s="103">
        <v>0</v>
      </c>
      <c r="U246" s="103">
        <v>0</v>
      </c>
      <c r="V246" s="668">
        <v>0</v>
      </c>
      <c r="W246" s="97"/>
      <c r="X246" s="97">
        <f t="shared" si="3"/>
        <v>0</v>
      </c>
      <c r="Y246" s="97"/>
      <c r="AC246" s="103">
        <v>0</v>
      </c>
    </row>
    <row r="247" spans="1:29" ht="15.95" customHeight="1" x14ac:dyDescent="0.2">
      <c r="A247" s="665"/>
      <c r="B247" s="42">
        <v>2009</v>
      </c>
      <c r="C247" s="149" t="s">
        <v>412</v>
      </c>
      <c r="D247" s="303">
        <f>2558+1</f>
        <v>2559</v>
      </c>
      <c r="E247" s="100">
        <v>128</v>
      </c>
      <c r="F247" s="101">
        <v>497.63862399999999</v>
      </c>
      <c r="G247" s="100">
        <v>330.68831168831167</v>
      </c>
      <c r="H247" s="100">
        <v>143</v>
      </c>
      <c r="I247" s="101">
        <v>337</v>
      </c>
      <c r="J247" s="100">
        <v>21</v>
      </c>
      <c r="K247" s="100">
        <v>284</v>
      </c>
      <c r="L247" s="100">
        <f>1693-L244</f>
        <v>846.7</v>
      </c>
      <c r="M247" s="100">
        <v>331</v>
      </c>
      <c r="N247" s="100"/>
      <c r="O247" s="100">
        <v>12</v>
      </c>
      <c r="P247" s="100">
        <v>16</v>
      </c>
      <c r="Q247" s="102">
        <v>156.64400000000001</v>
      </c>
      <c r="R247" s="100">
        <v>86</v>
      </c>
      <c r="S247" s="100">
        <v>487</v>
      </c>
      <c r="T247" s="100">
        <v>11</v>
      </c>
      <c r="U247" s="100">
        <v>63</v>
      </c>
      <c r="V247" s="666">
        <v>316.6348214285714</v>
      </c>
      <c r="W247" s="100"/>
      <c r="X247" s="97">
        <f>+ROUNDUP(AC247/1000,0)</f>
        <v>63</v>
      </c>
      <c r="Y247" s="97"/>
      <c r="AC247" s="100">
        <v>62387.612387612397</v>
      </c>
    </row>
    <row r="248" spans="1:29" ht="15.95" customHeight="1" x14ac:dyDescent="0.2">
      <c r="A248" s="665"/>
      <c r="B248" s="43"/>
      <c r="C248" s="149" t="s">
        <v>413</v>
      </c>
      <c r="D248" s="303">
        <v>0</v>
      </c>
      <c r="E248" s="100">
        <v>0</v>
      </c>
      <c r="F248" s="101">
        <v>232.32893999999999</v>
      </c>
      <c r="G248" s="100">
        <v>323.3766233766234</v>
      </c>
      <c r="H248" s="100">
        <v>143</v>
      </c>
      <c r="I248" s="101">
        <v>329</v>
      </c>
      <c r="J248" s="100">
        <v>21</v>
      </c>
      <c r="K248" s="100">
        <v>284</v>
      </c>
      <c r="L248" s="100">
        <v>846</v>
      </c>
      <c r="M248" s="100">
        <v>143</v>
      </c>
      <c r="N248" s="100"/>
      <c r="O248" s="100">
        <v>1</v>
      </c>
      <c r="P248" s="100">
        <v>16</v>
      </c>
      <c r="Q248" s="102">
        <v>156.64400000000001</v>
      </c>
      <c r="R248" s="100">
        <v>83</v>
      </c>
      <c r="S248" s="100">
        <v>487</v>
      </c>
      <c r="T248" s="100">
        <v>11</v>
      </c>
      <c r="U248" s="100">
        <v>63</v>
      </c>
      <c r="V248" s="666">
        <v>317</v>
      </c>
      <c r="W248" s="97"/>
      <c r="X248" s="97">
        <f>+ROUNDUP(AC248/1000,0)</f>
        <v>63</v>
      </c>
      <c r="Y248" s="97"/>
      <c r="AC248" s="100">
        <v>62387.612387612397</v>
      </c>
    </row>
    <row r="249" spans="1:29" ht="15.95" customHeight="1" thickBot="1" x14ac:dyDescent="0.25">
      <c r="A249" s="669"/>
      <c r="B249" s="45"/>
      <c r="C249" s="151" t="s">
        <v>414</v>
      </c>
      <c r="D249" s="305"/>
      <c r="E249" s="105">
        <v>0</v>
      </c>
      <c r="F249" s="106">
        <v>0</v>
      </c>
      <c r="G249" s="105">
        <v>19.051948051948052</v>
      </c>
      <c r="H249" s="105">
        <v>0</v>
      </c>
      <c r="I249" s="106"/>
      <c r="J249" s="105">
        <v>0</v>
      </c>
      <c r="K249" s="105"/>
      <c r="L249" s="105"/>
      <c r="M249" s="105">
        <v>6</v>
      </c>
      <c r="N249" s="105"/>
      <c r="O249" s="105">
        <v>0</v>
      </c>
      <c r="P249" s="105">
        <v>0</v>
      </c>
      <c r="Q249" s="273"/>
      <c r="R249" s="105">
        <v>0</v>
      </c>
      <c r="S249" s="105">
        <v>0</v>
      </c>
      <c r="T249" s="105">
        <v>0</v>
      </c>
      <c r="U249" s="105">
        <v>0</v>
      </c>
      <c r="V249" s="670">
        <v>9</v>
      </c>
      <c r="W249" s="97"/>
      <c r="X249" s="97">
        <f t="shared" si="3"/>
        <v>0</v>
      </c>
      <c r="Y249" s="97">
        <f>+IF((AC249-ROUND(AC249,-3)&gt;400)*AND(AC249-ROUND(AC249,-3)&lt;500),1,0)</f>
        <v>0</v>
      </c>
      <c r="AC249" s="105">
        <v>0</v>
      </c>
    </row>
    <row r="250" spans="1:29" ht="15.95" customHeight="1" thickTop="1" x14ac:dyDescent="0.2">
      <c r="A250" s="665" t="s">
        <v>139</v>
      </c>
      <c r="B250" s="42">
        <v>2008</v>
      </c>
      <c r="C250" s="148" t="s">
        <v>289</v>
      </c>
      <c r="D250" s="303">
        <v>18</v>
      </c>
      <c r="E250" s="100">
        <v>1</v>
      </c>
      <c r="F250" s="101">
        <v>4.6946972000000002</v>
      </c>
      <c r="G250" s="100"/>
      <c r="H250" s="100">
        <v>37</v>
      </c>
      <c r="I250" s="101">
        <v>3</v>
      </c>
      <c r="J250" s="100">
        <v>44</v>
      </c>
      <c r="K250" s="100">
        <v>18</v>
      </c>
      <c r="L250" s="100"/>
      <c r="M250" s="100">
        <v>3</v>
      </c>
      <c r="N250" s="100"/>
      <c r="O250" s="100">
        <v>0</v>
      </c>
      <c r="P250" s="100">
        <v>0</v>
      </c>
      <c r="Q250" s="271">
        <v>1.1319999999999999</v>
      </c>
      <c r="R250" s="100"/>
      <c r="S250" s="100">
        <v>5</v>
      </c>
      <c r="T250" s="100">
        <v>1</v>
      </c>
      <c r="U250" s="100">
        <v>11</v>
      </c>
      <c r="V250" s="666"/>
      <c r="W250" s="97"/>
      <c r="X250" s="97">
        <f t="shared" si="3"/>
        <v>11</v>
      </c>
      <c r="Y250" s="97"/>
      <c r="AC250" s="100">
        <v>11385.597082953509</v>
      </c>
    </row>
    <row r="251" spans="1:29" ht="15.95" customHeight="1" x14ac:dyDescent="0.2">
      <c r="A251" s="665"/>
      <c r="B251" s="43"/>
      <c r="C251" s="149" t="s">
        <v>290</v>
      </c>
      <c r="D251" s="303"/>
      <c r="E251" s="100">
        <v>0</v>
      </c>
      <c r="F251" s="101">
        <v>0</v>
      </c>
      <c r="G251" s="100"/>
      <c r="H251" s="100">
        <v>37</v>
      </c>
      <c r="I251" s="101"/>
      <c r="J251" s="100">
        <v>0</v>
      </c>
      <c r="K251" s="100">
        <v>18</v>
      </c>
      <c r="L251" s="100"/>
      <c r="M251" s="100">
        <v>0</v>
      </c>
      <c r="N251" s="100"/>
      <c r="O251" s="100">
        <v>0</v>
      </c>
      <c r="P251" s="100">
        <v>0</v>
      </c>
      <c r="Q251" s="271"/>
      <c r="R251" s="100"/>
      <c r="S251" s="100">
        <v>0</v>
      </c>
      <c r="T251" s="100">
        <v>0</v>
      </c>
      <c r="U251" s="100">
        <v>0</v>
      </c>
      <c r="V251" s="666"/>
      <c r="W251" s="97"/>
      <c r="X251" s="97">
        <f t="shared" si="3"/>
        <v>0</v>
      </c>
      <c r="Y251" s="97"/>
      <c r="AC251" s="100">
        <v>0</v>
      </c>
    </row>
    <row r="252" spans="1:29" ht="15.95" customHeight="1" x14ac:dyDescent="0.2">
      <c r="A252" s="667"/>
      <c r="B252" s="44"/>
      <c r="C252" s="150" t="s">
        <v>291</v>
      </c>
      <c r="D252" s="304"/>
      <c r="E252" s="103">
        <v>0</v>
      </c>
      <c r="F252" s="104">
        <v>0</v>
      </c>
      <c r="G252" s="103"/>
      <c r="H252" s="103">
        <v>0</v>
      </c>
      <c r="I252" s="104"/>
      <c r="J252" s="103">
        <v>0</v>
      </c>
      <c r="K252" s="103"/>
      <c r="L252" s="103"/>
      <c r="M252" s="103">
        <v>0</v>
      </c>
      <c r="N252" s="103"/>
      <c r="O252" s="103">
        <v>0</v>
      </c>
      <c r="P252" s="103">
        <v>0</v>
      </c>
      <c r="Q252" s="272"/>
      <c r="R252" s="103"/>
      <c r="S252" s="103">
        <v>0</v>
      </c>
      <c r="T252" s="103">
        <v>0</v>
      </c>
      <c r="U252" s="103">
        <v>12</v>
      </c>
      <c r="V252" s="668"/>
      <c r="W252" s="97"/>
      <c r="X252" s="97">
        <f t="shared" si="3"/>
        <v>12</v>
      </c>
      <c r="Y252" s="97"/>
      <c r="AC252" s="103">
        <v>11885.597082953509</v>
      </c>
    </row>
    <row r="253" spans="1:29" ht="15.95" customHeight="1" x14ac:dyDescent="0.2">
      <c r="A253" s="665"/>
      <c r="B253" s="42">
        <v>2009</v>
      </c>
      <c r="C253" s="149" t="s">
        <v>412</v>
      </c>
      <c r="D253" s="303">
        <v>24</v>
      </c>
      <c r="E253" s="100">
        <v>1</v>
      </c>
      <c r="F253" s="101">
        <v>4.6946972000000002</v>
      </c>
      <c r="G253" s="100"/>
      <c r="H253" s="100">
        <v>42</v>
      </c>
      <c r="I253" s="101">
        <v>3</v>
      </c>
      <c r="J253" s="100">
        <v>41</v>
      </c>
      <c r="K253" s="100">
        <v>18</v>
      </c>
      <c r="L253" s="100"/>
      <c r="M253" s="100">
        <v>3</v>
      </c>
      <c r="N253" s="100"/>
      <c r="O253" s="100">
        <v>0</v>
      </c>
      <c r="P253" s="100">
        <v>0</v>
      </c>
      <c r="Q253" s="102">
        <v>1.073</v>
      </c>
      <c r="R253" s="100"/>
      <c r="S253" s="100">
        <v>5</v>
      </c>
      <c r="T253" s="100">
        <v>1</v>
      </c>
      <c r="U253" s="100">
        <v>12</v>
      </c>
      <c r="V253" s="666"/>
      <c r="W253" s="100"/>
      <c r="X253" s="97">
        <f t="shared" si="3"/>
        <v>12</v>
      </c>
      <c r="Y253" s="97"/>
      <c r="AC253" s="100">
        <v>12477.52247752248</v>
      </c>
    </row>
    <row r="254" spans="1:29" ht="15.95" customHeight="1" x14ac:dyDescent="0.2">
      <c r="A254" s="665"/>
      <c r="B254" s="43"/>
      <c r="C254" s="149" t="s">
        <v>413</v>
      </c>
      <c r="D254" s="303"/>
      <c r="E254" s="100">
        <v>0</v>
      </c>
      <c r="F254" s="101">
        <v>0</v>
      </c>
      <c r="G254" s="100"/>
      <c r="H254" s="100">
        <v>42</v>
      </c>
      <c r="I254" s="101"/>
      <c r="J254" s="100">
        <v>41</v>
      </c>
      <c r="K254" s="100">
        <v>18</v>
      </c>
      <c r="L254" s="100"/>
      <c r="M254" s="100">
        <v>0</v>
      </c>
      <c r="N254" s="100"/>
      <c r="O254" s="100">
        <v>0</v>
      </c>
      <c r="P254" s="100">
        <v>0</v>
      </c>
      <c r="Q254" s="271"/>
      <c r="R254" s="100"/>
      <c r="S254" s="100">
        <v>0</v>
      </c>
      <c r="T254" s="100">
        <v>0</v>
      </c>
      <c r="U254" s="100">
        <v>0</v>
      </c>
      <c r="V254" s="666"/>
      <c r="W254" s="97"/>
      <c r="X254" s="97">
        <f t="shared" si="3"/>
        <v>0</v>
      </c>
      <c r="Y254" s="97"/>
      <c r="AC254" s="100">
        <v>0</v>
      </c>
    </row>
    <row r="255" spans="1:29" ht="15.95" customHeight="1" thickBot="1" x14ac:dyDescent="0.25">
      <c r="A255" s="669"/>
      <c r="B255" s="45"/>
      <c r="C255" s="151" t="s">
        <v>414</v>
      </c>
      <c r="D255" s="305">
        <v>24</v>
      </c>
      <c r="E255" s="105">
        <v>0</v>
      </c>
      <c r="F255" s="106">
        <v>0</v>
      </c>
      <c r="G255" s="105"/>
      <c r="H255" s="105">
        <v>85</v>
      </c>
      <c r="I255" s="106">
        <v>8</v>
      </c>
      <c r="J255" s="105">
        <v>39</v>
      </c>
      <c r="K255" s="105"/>
      <c r="L255" s="105"/>
      <c r="M255" s="260">
        <v>10</v>
      </c>
      <c r="N255" s="105"/>
      <c r="O255" s="105">
        <v>0</v>
      </c>
      <c r="P255" s="105">
        <v>0</v>
      </c>
      <c r="Q255" s="273"/>
      <c r="R255" s="105"/>
      <c r="S255" s="105">
        <v>0</v>
      </c>
      <c r="T255" s="105">
        <v>0</v>
      </c>
      <c r="U255" s="105">
        <v>0</v>
      </c>
      <c r="V255" s="670"/>
      <c r="W255" s="97"/>
      <c r="X255" s="97">
        <f t="shared" ref="X255:X318" si="4">+ROUND(AC255/1000,0)</f>
        <v>0</v>
      </c>
      <c r="Y255" s="97">
        <f>+IF((AC255-ROUND(AC255,-3)&gt;400)*AND(AC255-ROUND(AC255,-3)&lt;500),1,0)</f>
        <v>0</v>
      </c>
      <c r="AC255" s="105">
        <v>0</v>
      </c>
    </row>
    <row r="256" spans="1:29" ht="15.95" customHeight="1" thickTop="1" x14ac:dyDescent="0.2">
      <c r="A256" s="665" t="s">
        <v>140</v>
      </c>
      <c r="B256" s="42">
        <v>2008</v>
      </c>
      <c r="C256" s="148" t="s">
        <v>289</v>
      </c>
      <c r="D256" s="303">
        <v>18</v>
      </c>
      <c r="E256" s="100">
        <v>1</v>
      </c>
      <c r="F256" s="101">
        <v>4.6946972000000002</v>
      </c>
      <c r="G256" s="100">
        <v>0</v>
      </c>
      <c r="H256" s="100">
        <v>37</v>
      </c>
      <c r="I256" s="101">
        <v>3</v>
      </c>
      <c r="J256" s="100">
        <v>8</v>
      </c>
      <c r="K256" s="100">
        <v>71</v>
      </c>
      <c r="L256" s="100"/>
      <c r="M256" s="100">
        <v>3</v>
      </c>
      <c r="N256" s="100"/>
      <c r="O256" s="100">
        <v>0</v>
      </c>
      <c r="P256" s="100">
        <v>0</v>
      </c>
      <c r="Q256" s="271">
        <v>1.1319999999999999</v>
      </c>
      <c r="R256" s="100">
        <v>35</v>
      </c>
      <c r="S256" s="100">
        <v>5</v>
      </c>
      <c r="T256" s="100">
        <v>3</v>
      </c>
      <c r="U256" s="100">
        <v>11</v>
      </c>
      <c r="V256" s="666">
        <v>42.886607142857137</v>
      </c>
      <c r="W256" s="97"/>
      <c r="X256" s="97">
        <f t="shared" si="4"/>
        <v>11</v>
      </c>
      <c r="Y256" s="97"/>
      <c r="AC256" s="100">
        <v>11385.597082953509</v>
      </c>
    </row>
    <row r="257" spans="1:29" ht="15.95" customHeight="1" x14ac:dyDescent="0.2">
      <c r="A257" s="665"/>
      <c r="B257" s="43"/>
      <c r="C257" s="149" t="s">
        <v>290</v>
      </c>
      <c r="D257" s="303">
        <v>18</v>
      </c>
      <c r="E257" s="100">
        <v>0</v>
      </c>
      <c r="F257" s="101">
        <v>4.6946972000000002</v>
      </c>
      <c r="G257" s="100">
        <v>0</v>
      </c>
      <c r="H257" s="100">
        <v>37</v>
      </c>
      <c r="I257" s="101">
        <v>3</v>
      </c>
      <c r="J257" s="100">
        <v>0</v>
      </c>
      <c r="K257" s="100">
        <v>71</v>
      </c>
      <c r="L257" s="100"/>
      <c r="M257" s="100">
        <v>0</v>
      </c>
      <c r="N257" s="100">
        <v>300</v>
      </c>
      <c r="O257" s="100">
        <v>0</v>
      </c>
      <c r="P257" s="100">
        <v>0</v>
      </c>
      <c r="Q257" s="271">
        <v>1.1319999999999999</v>
      </c>
      <c r="R257" s="100">
        <v>17</v>
      </c>
      <c r="S257" s="100">
        <v>5</v>
      </c>
      <c r="T257" s="100">
        <v>0</v>
      </c>
      <c r="U257" s="100">
        <v>0</v>
      </c>
      <c r="V257" s="666">
        <v>0</v>
      </c>
      <c r="W257" s="97"/>
      <c r="X257" s="97">
        <f t="shared" si="4"/>
        <v>0</v>
      </c>
      <c r="Y257" s="97"/>
      <c r="AC257" s="100">
        <v>0</v>
      </c>
    </row>
    <row r="258" spans="1:29" ht="16.899999999999999" customHeight="1" x14ac:dyDescent="0.2">
      <c r="A258" s="667"/>
      <c r="B258" s="44"/>
      <c r="C258" s="150" t="s">
        <v>291</v>
      </c>
      <c r="D258" s="304"/>
      <c r="E258" s="103">
        <v>0</v>
      </c>
      <c r="F258" s="104">
        <v>0</v>
      </c>
      <c r="G258" s="103">
        <v>0</v>
      </c>
      <c r="H258" s="103">
        <v>0</v>
      </c>
      <c r="I258" s="104"/>
      <c r="J258" s="103">
        <v>0</v>
      </c>
      <c r="K258" s="103"/>
      <c r="L258" s="103"/>
      <c r="M258" s="103">
        <v>0</v>
      </c>
      <c r="N258" s="103">
        <v>100</v>
      </c>
      <c r="O258" s="103">
        <v>0</v>
      </c>
      <c r="P258" s="103">
        <v>0</v>
      </c>
      <c r="Q258" s="272"/>
      <c r="R258" s="103">
        <v>0</v>
      </c>
      <c r="S258" s="103">
        <v>0</v>
      </c>
      <c r="T258" s="103">
        <v>75</v>
      </c>
      <c r="U258" s="103">
        <v>24</v>
      </c>
      <c r="V258" s="668">
        <v>0</v>
      </c>
      <c r="W258" s="97"/>
      <c r="X258" s="97">
        <f>+ROUNDUP(AC258/1000,0)</f>
        <v>24</v>
      </c>
      <c r="Y258" s="97"/>
      <c r="AC258" s="103">
        <v>23386.545123062901</v>
      </c>
    </row>
    <row r="259" spans="1:29" ht="15.95" customHeight="1" x14ac:dyDescent="0.2">
      <c r="A259" s="665"/>
      <c r="B259" s="42">
        <v>2009</v>
      </c>
      <c r="C259" s="149" t="s">
        <v>412</v>
      </c>
      <c r="D259" s="303">
        <v>24</v>
      </c>
      <c r="E259" s="100">
        <v>1</v>
      </c>
      <c r="F259" s="101">
        <v>4.6946972000000002</v>
      </c>
      <c r="G259" s="100">
        <v>3.9971139971139973</v>
      </c>
      <c r="H259" s="100">
        <v>42</v>
      </c>
      <c r="I259" s="101">
        <v>3</v>
      </c>
      <c r="J259" s="100">
        <v>7</v>
      </c>
      <c r="K259" s="100">
        <v>71</v>
      </c>
      <c r="L259" s="100"/>
      <c r="M259" s="100">
        <v>3</v>
      </c>
      <c r="N259" s="100"/>
      <c r="O259" s="100">
        <v>0</v>
      </c>
      <c r="P259" s="100">
        <v>0</v>
      </c>
      <c r="Q259" s="102">
        <v>1.073</v>
      </c>
      <c r="R259" s="100">
        <v>36</v>
      </c>
      <c r="S259" s="100">
        <v>5</v>
      </c>
      <c r="T259" s="100">
        <v>3</v>
      </c>
      <c r="U259" s="100">
        <v>12</v>
      </c>
      <c r="V259" s="666">
        <v>39.364285714285714</v>
      </c>
      <c r="W259" s="100"/>
      <c r="X259" s="97">
        <f t="shared" si="4"/>
        <v>12</v>
      </c>
      <c r="Y259" s="97"/>
      <c r="AC259" s="100">
        <v>12477.52247752248</v>
      </c>
    </row>
    <row r="260" spans="1:29" ht="15.95" customHeight="1" x14ac:dyDescent="0.2">
      <c r="A260" s="665"/>
      <c r="B260" s="43"/>
      <c r="C260" s="149" t="s">
        <v>413</v>
      </c>
      <c r="D260" s="303">
        <v>24</v>
      </c>
      <c r="E260" s="100">
        <v>0</v>
      </c>
      <c r="F260" s="101">
        <v>4.6946972000000002</v>
      </c>
      <c r="G260" s="100">
        <v>0</v>
      </c>
      <c r="H260" s="100">
        <v>42</v>
      </c>
      <c r="I260" s="101">
        <v>3</v>
      </c>
      <c r="J260" s="100">
        <v>7</v>
      </c>
      <c r="K260" s="100">
        <v>71</v>
      </c>
      <c r="L260" s="100"/>
      <c r="M260" s="100">
        <v>3</v>
      </c>
      <c r="N260" s="100"/>
      <c r="O260" s="100">
        <v>0</v>
      </c>
      <c r="P260" s="100">
        <v>0</v>
      </c>
      <c r="Q260" s="102">
        <v>1.073</v>
      </c>
      <c r="R260" s="100">
        <v>36</v>
      </c>
      <c r="S260" s="100">
        <v>5</v>
      </c>
      <c r="T260" s="100">
        <v>0</v>
      </c>
      <c r="U260" s="100">
        <v>12</v>
      </c>
      <c r="V260" s="666">
        <v>0</v>
      </c>
      <c r="W260" s="97"/>
      <c r="X260" s="97">
        <f t="shared" si="4"/>
        <v>12</v>
      </c>
      <c r="Y260" s="97"/>
      <c r="AC260" s="100">
        <v>12477.52247752248</v>
      </c>
    </row>
    <row r="261" spans="1:29" ht="15.95" customHeight="1" thickBot="1" x14ac:dyDescent="0.25">
      <c r="A261" s="669"/>
      <c r="B261" s="45"/>
      <c r="C261" s="151" t="s">
        <v>414</v>
      </c>
      <c r="D261" s="305"/>
      <c r="E261" s="105">
        <v>0</v>
      </c>
      <c r="F261" s="106">
        <v>0</v>
      </c>
      <c r="G261" s="105">
        <v>0</v>
      </c>
      <c r="H261" s="105">
        <v>0</v>
      </c>
      <c r="I261" s="106"/>
      <c r="J261" s="105">
        <v>19</v>
      </c>
      <c r="K261" s="105"/>
      <c r="L261" s="105"/>
      <c r="M261" s="105">
        <v>3</v>
      </c>
      <c r="N261" s="105"/>
      <c r="O261" s="105">
        <v>0</v>
      </c>
      <c r="P261" s="105">
        <v>2</v>
      </c>
      <c r="Q261" s="273"/>
      <c r="R261" s="105">
        <v>33</v>
      </c>
      <c r="S261" s="105">
        <v>0</v>
      </c>
      <c r="T261" s="105">
        <v>110</v>
      </c>
      <c r="U261" s="105">
        <v>113</v>
      </c>
      <c r="V261" s="670">
        <v>0</v>
      </c>
      <c r="W261" s="97"/>
      <c r="X261" s="97">
        <f t="shared" si="4"/>
        <v>113</v>
      </c>
      <c r="Y261" s="97">
        <f>+IF((AC261-ROUND(AC261,-3)&gt;400)*AND(AC261-ROUND(AC261,-3)&lt;500),1,0)</f>
        <v>0</v>
      </c>
      <c r="AC261" s="105">
        <v>112540.3096903097</v>
      </c>
    </row>
    <row r="262" spans="1:29" ht="15.95" customHeight="1" thickTop="1" x14ac:dyDescent="0.2">
      <c r="A262" s="665" t="s">
        <v>141</v>
      </c>
      <c r="B262" s="42">
        <v>2008</v>
      </c>
      <c r="C262" s="148" t="s">
        <v>289</v>
      </c>
      <c r="D262" s="303"/>
      <c r="E262" s="100">
        <v>1</v>
      </c>
      <c r="F262" s="101">
        <v>4.6946972000000002</v>
      </c>
      <c r="G262" s="100"/>
      <c r="H262" s="100">
        <v>37</v>
      </c>
      <c r="I262" s="101"/>
      <c r="J262" s="100"/>
      <c r="K262" s="100"/>
      <c r="L262" s="100"/>
      <c r="M262" s="100">
        <v>3</v>
      </c>
      <c r="N262" s="100"/>
      <c r="O262" s="100">
        <v>0</v>
      </c>
      <c r="P262" s="100">
        <v>0</v>
      </c>
      <c r="Q262" s="271"/>
      <c r="R262" s="100"/>
      <c r="S262" s="100">
        <v>5</v>
      </c>
      <c r="T262" s="100"/>
      <c r="U262" s="100">
        <v>11</v>
      </c>
      <c r="V262" s="666"/>
      <c r="W262" s="97"/>
      <c r="X262" s="97">
        <f t="shared" si="4"/>
        <v>11</v>
      </c>
      <c r="Y262" s="97"/>
      <c r="AC262" s="100">
        <v>11385.597082953509</v>
      </c>
    </row>
    <row r="263" spans="1:29" ht="15.95" customHeight="1" x14ac:dyDescent="0.2">
      <c r="A263" s="665"/>
      <c r="B263" s="43"/>
      <c r="C263" s="149" t="s">
        <v>290</v>
      </c>
      <c r="D263" s="303"/>
      <c r="E263" s="100">
        <v>0</v>
      </c>
      <c r="F263" s="101">
        <v>0</v>
      </c>
      <c r="G263" s="100"/>
      <c r="H263" s="100">
        <v>37</v>
      </c>
      <c r="I263" s="101"/>
      <c r="J263" s="100"/>
      <c r="K263" s="100"/>
      <c r="L263" s="100"/>
      <c r="M263" s="100">
        <v>0</v>
      </c>
      <c r="N263" s="100"/>
      <c r="O263" s="100">
        <v>0</v>
      </c>
      <c r="P263" s="100">
        <v>0</v>
      </c>
      <c r="Q263" s="271"/>
      <c r="R263" s="100"/>
      <c r="S263" s="100">
        <v>5</v>
      </c>
      <c r="T263" s="100"/>
      <c r="U263" s="100">
        <v>0</v>
      </c>
      <c r="V263" s="666"/>
      <c r="W263" s="97"/>
      <c r="X263" s="97">
        <f t="shared" si="4"/>
        <v>0</v>
      </c>
      <c r="Y263" s="97"/>
      <c r="AC263" s="100">
        <v>0</v>
      </c>
    </row>
    <row r="264" spans="1:29" ht="15.95" customHeight="1" x14ac:dyDescent="0.2">
      <c r="A264" s="667"/>
      <c r="B264" s="44"/>
      <c r="C264" s="150" t="s">
        <v>291</v>
      </c>
      <c r="D264" s="304"/>
      <c r="E264" s="103">
        <v>0</v>
      </c>
      <c r="F264" s="104">
        <v>0</v>
      </c>
      <c r="G264" s="103"/>
      <c r="H264" s="103">
        <v>7</v>
      </c>
      <c r="I264" s="104"/>
      <c r="J264" s="103"/>
      <c r="K264" s="103"/>
      <c r="L264" s="103"/>
      <c r="M264" s="103">
        <v>0</v>
      </c>
      <c r="N264" s="103"/>
      <c r="O264" s="103">
        <v>0</v>
      </c>
      <c r="P264" s="103">
        <v>0</v>
      </c>
      <c r="Q264" s="272"/>
      <c r="R264" s="103"/>
      <c r="S264" s="103">
        <v>9</v>
      </c>
      <c r="T264" s="103"/>
      <c r="U264" s="103">
        <v>0</v>
      </c>
      <c r="V264" s="668"/>
      <c r="W264" s="97"/>
      <c r="X264" s="97">
        <f t="shared" si="4"/>
        <v>0</v>
      </c>
      <c r="Y264" s="97"/>
      <c r="AC264" s="103">
        <v>0</v>
      </c>
    </row>
    <row r="265" spans="1:29" ht="15.95" customHeight="1" x14ac:dyDescent="0.2">
      <c r="A265" s="665"/>
      <c r="B265" s="42">
        <v>2009</v>
      </c>
      <c r="C265" s="149" t="s">
        <v>412</v>
      </c>
      <c r="D265" s="303"/>
      <c r="E265" s="100">
        <v>1</v>
      </c>
      <c r="F265" s="101">
        <v>4.6946972000000002</v>
      </c>
      <c r="G265" s="100"/>
      <c r="H265" s="100">
        <v>42</v>
      </c>
      <c r="I265" s="101"/>
      <c r="J265" s="100">
        <v>13</v>
      </c>
      <c r="K265" s="100"/>
      <c r="L265" s="100"/>
      <c r="M265" s="100">
        <v>3</v>
      </c>
      <c r="N265" s="100"/>
      <c r="O265" s="100">
        <v>0</v>
      </c>
      <c r="P265" s="100">
        <v>0</v>
      </c>
      <c r="Q265" s="271"/>
      <c r="R265" s="100"/>
      <c r="S265" s="100">
        <v>5</v>
      </c>
      <c r="T265" s="100"/>
      <c r="U265" s="100">
        <v>12</v>
      </c>
      <c r="V265" s="666"/>
      <c r="W265" s="100"/>
      <c r="X265" s="97">
        <f t="shared" si="4"/>
        <v>12</v>
      </c>
      <c r="Y265" s="97"/>
      <c r="AC265" s="100">
        <v>12477.52247752248</v>
      </c>
    </row>
    <row r="266" spans="1:29" ht="15.95" customHeight="1" x14ac:dyDescent="0.2">
      <c r="A266" s="665"/>
      <c r="B266" s="43"/>
      <c r="C266" s="149" t="s">
        <v>413</v>
      </c>
      <c r="D266" s="303"/>
      <c r="E266" s="100">
        <v>0</v>
      </c>
      <c r="F266" s="101">
        <v>0</v>
      </c>
      <c r="G266" s="100"/>
      <c r="H266" s="100">
        <v>42</v>
      </c>
      <c r="I266" s="101"/>
      <c r="J266" s="100">
        <v>13</v>
      </c>
      <c r="K266" s="100"/>
      <c r="L266" s="100"/>
      <c r="M266" s="100">
        <v>3</v>
      </c>
      <c r="N266" s="100"/>
      <c r="O266" s="100">
        <v>0</v>
      </c>
      <c r="P266" s="100">
        <v>0</v>
      </c>
      <c r="Q266" s="271"/>
      <c r="R266" s="100"/>
      <c r="S266" s="100">
        <v>0</v>
      </c>
      <c r="T266" s="100"/>
      <c r="U266" s="100">
        <v>12</v>
      </c>
      <c r="V266" s="666"/>
      <c r="W266" s="97"/>
      <c r="X266" s="97">
        <f t="shared" si="4"/>
        <v>12</v>
      </c>
      <c r="Y266" s="97"/>
      <c r="AC266" s="100">
        <v>12477.52247752248</v>
      </c>
    </row>
    <row r="267" spans="1:29" ht="15.95" customHeight="1" thickBot="1" x14ac:dyDescent="0.25">
      <c r="A267" s="669"/>
      <c r="B267" s="45"/>
      <c r="C267" s="151" t="s">
        <v>414</v>
      </c>
      <c r="D267" s="305"/>
      <c r="E267" s="105">
        <v>0</v>
      </c>
      <c r="F267" s="106">
        <v>4.6946972000000002</v>
      </c>
      <c r="G267" s="105"/>
      <c r="H267" s="105">
        <v>6</v>
      </c>
      <c r="I267" s="106"/>
      <c r="J267" s="105">
        <v>0</v>
      </c>
      <c r="K267" s="105"/>
      <c r="L267" s="105"/>
      <c r="M267" s="105">
        <v>3</v>
      </c>
      <c r="N267" s="105"/>
      <c r="O267" s="105">
        <v>0</v>
      </c>
      <c r="P267" s="105">
        <v>0</v>
      </c>
      <c r="Q267" s="273"/>
      <c r="R267" s="105"/>
      <c r="S267" s="105">
        <v>0</v>
      </c>
      <c r="T267" s="105"/>
      <c r="U267" s="105">
        <v>12</v>
      </c>
      <c r="V267" s="670"/>
      <c r="W267" s="97"/>
      <c r="X267" s="97">
        <f t="shared" si="4"/>
        <v>12</v>
      </c>
      <c r="Y267" s="97">
        <f>+IF((AC267-ROUND(AC267,-3)&gt;400)*AND(AC267-ROUND(AC267,-3)&lt;500),1,0)</f>
        <v>1</v>
      </c>
      <c r="AC267" s="105">
        <v>12477.52247752248</v>
      </c>
    </row>
    <row r="268" spans="1:29" ht="15.95" customHeight="1" thickTop="1" x14ac:dyDescent="0.2">
      <c r="A268" s="665" t="s">
        <v>142</v>
      </c>
      <c r="B268" s="42">
        <v>2008</v>
      </c>
      <c r="C268" s="148" t="s">
        <v>289</v>
      </c>
      <c r="D268" s="303">
        <f>585+1</f>
        <v>586</v>
      </c>
      <c r="E268" s="100">
        <v>37</v>
      </c>
      <c r="F268" s="101">
        <v>150.23052799999999</v>
      </c>
      <c r="G268" s="100">
        <v>97.958512160228906</v>
      </c>
      <c r="H268" s="100">
        <v>37</v>
      </c>
      <c r="I268" s="101">
        <v>103</v>
      </c>
      <c r="J268" s="100">
        <v>8</v>
      </c>
      <c r="K268" s="100">
        <v>71</v>
      </c>
      <c r="L268" s="100">
        <v>117</v>
      </c>
      <c r="M268" s="261">
        <v>101</v>
      </c>
      <c r="N268" s="100"/>
      <c r="O268" s="100">
        <v>4</v>
      </c>
      <c r="P268" s="100">
        <v>5</v>
      </c>
      <c r="Q268" s="271">
        <v>49.805</v>
      </c>
      <c r="R268" s="100">
        <v>84</v>
      </c>
      <c r="S268" s="100">
        <v>148</v>
      </c>
      <c r="T268" s="100">
        <v>5</v>
      </c>
      <c r="U268" s="100">
        <v>18</v>
      </c>
      <c r="V268" s="666">
        <v>141.3330357142857</v>
      </c>
      <c r="W268" s="97"/>
      <c r="X268" s="97">
        <f>+ROUNDUP(AC268/1000,0)</f>
        <v>18</v>
      </c>
      <c r="Y268" s="97"/>
      <c r="AC268" s="100">
        <v>17078.395624430264</v>
      </c>
    </row>
    <row r="269" spans="1:29" ht="15.95" customHeight="1" x14ac:dyDescent="0.2">
      <c r="A269" s="665"/>
      <c r="B269" s="43"/>
      <c r="C269" s="149" t="s">
        <v>290</v>
      </c>
      <c r="D269" s="303">
        <f>269-1</f>
        <v>268</v>
      </c>
      <c r="E269" s="100">
        <v>0</v>
      </c>
      <c r="F269" s="101">
        <v>0</v>
      </c>
      <c r="G269" s="100">
        <v>0</v>
      </c>
      <c r="H269" s="100">
        <v>0</v>
      </c>
      <c r="I269" s="101">
        <v>103</v>
      </c>
      <c r="J269" s="100">
        <v>8</v>
      </c>
      <c r="K269" s="100">
        <v>71</v>
      </c>
      <c r="L269" s="100">
        <v>117</v>
      </c>
      <c r="M269" s="261">
        <v>0</v>
      </c>
      <c r="N269" s="100"/>
      <c r="O269" s="100">
        <v>0</v>
      </c>
      <c r="P269" s="100">
        <v>0</v>
      </c>
      <c r="Q269" s="271"/>
      <c r="R269" s="100">
        <v>84</v>
      </c>
      <c r="S269" s="100">
        <v>148</v>
      </c>
      <c r="T269" s="100">
        <v>0</v>
      </c>
      <c r="U269" s="100">
        <v>7</v>
      </c>
      <c r="V269" s="666">
        <v>141</v>
      </c>
      <c r="W269" s="97"/>
      <c r="X269" s="97">
        <f>+ROUNDDOWN(AC269/1000-0.5,0)</f>
        <v>7</v>
      </c>
      <c r="Y269" s="97"/>
      <c r="AC269" s="100">
        <v>8308.0309936189606</v>
      </c>
    </row>
    <row r="270" spans="1:29" ht="15.95" customHeight="1" x14ac:dyDescent="0.2">
      <c r="A270" s="667"/>
      <c r="B270" s="44"/>
      <c r="C270" s="150" t="s">
        <v>291</v>
      </c>
      <c r="D270" s="304">
        <v>438</v>
      </c>
      <c r="E270" s="103">
        <v>87</v>
      </c>
      <c r="F270" s="104">
        <v>20.130010000000002</v>
      </c>
      <c r="G270" s="103">
        <v>0.29756795422031473</v>
      </c>
      <c r="H270" s="103">
        <v>0</v>
      </c>
      <c r="I270" s="104">
        <f>74-1</f>
        <v>73</v>
      </c>
      <c r="J270" s="103">
        <v>1</v>
      </c>
      <c r="K270" s="103"/>
      <c r="L270" s="103"/>
      <c r="M270" s="259">
        <v>41</v>
      </c>
      <c r="N270" s="103"/>
      <c r="O270" s="103">
        <v>0</v>
      </c>
      <c r="P270" s="103">
        <v>6</v>
      </c>
      <c r="Q270" s="272">
        <v>5.8760000000000003</v>
      </c>
      <c r="R270" s="103">
        <v>12</v>
      </c>
      <c r="S270" s="103">
        <v>0</v>
      </c>
      <c r="T270" s="103">
        <v>0</v>
      </c>
      <c r="U270" s="103">
        <v>1</v>
      </c>
      <c r="V270" s="668">
        <v>144</v>
      </c>
      <c r="W270" s="97"/>
      <c r="X270" s="97">
        <f t="shared" si="4"/>
        <v>1</v>
      </c>
      <c r="Y270" s="97"/>
      <c r="AC270" s="103">
        <v>821.83226982680037</v>
      </c>
    </row>
    <row r="271" spans="1:29" ht="15.95" customHeight="1" x14ac:dyDescent="0.2">
      <c r="A271" s="665"/>
      <c r="B271" s="42">
        <v>2009</v>
      </c>
      <c r="C271" s="149" t="s">
        <v>412</v>
      </c>
      <c r="D271" s="303">
        <v>780</v>
      </c>
      <c r="E271" s="100">
        <v>39</v>
      </c>
      <c r="F271" s="101">
        <v>150.23052799999999</v>
      </c>
      <c r="G271" s="100">
        <v>101.8023088023088</v>
      </c>
      <c r="H271" s="100">
        <v>42</v>
      </c>
      <c r="I271" s="101">
        <v>103</v>
      </c>
      <c r="J271" s="100">
        <v>7</v>
      </c>
      <c r="K271" s="100">
        <v>71</v>
      </c>
      <c r="L271" s="100">
        <f>234-L268</f>
        <v>117</v>
      </c>
      <c r="M271" s="100">
        <v>101</v>
      </c>
      <c r="N271" s="100"/>
      <c r="O271" s="100">
        <v>4</v>
      </c>
      <c r="P271" s="100">
        <v>5</v>
      </c>
      <c r="Q271" s="102">
        <v>47.207999999999998</v>
      </c>
      <c r="R271" s="100">
        <v>86</v>
      </c>
      <c r="S271" s="100">
        <v>148</v>
      </c>
      <c r="T271" s="100">
        <v>5</v>
      </c>
      <c r="U271" s="100">
        <v>19</v>
      </c>
      <c r="V271" s="666">
        <v>141.05446428571426</v>
      </c>
      <c r="W271" s="100"/>
      <c r="X271" s="97">
        <f t="shared" si="4"/>
        <v>19</v>
      </c>
      <c r="Y271" s="97"/>
      <c r="AC271" s="100">
        <v>18716.283716283717</v>
      </c>
    </row>
    <row r="272" spans="1:29" ht="15.95" customHeight="1" x14ac:dyDescent="0.2">
      <c r="A272" s="665"/>
      <c r="B272" s="43"/>
      <c r="C272" s="149" t="s">
        <v>413</v>
      </c>
      <c r="D272" s="303">
        <v>275</v>
      </c>
      <c r="E272" s="100">
        <v>12</v>
      </c>
      <c r="F272" s="101">
        <v>69.42367999999999</v>
      </c>
      <c r="G272" s="100">
        <v>0</v>
      </c>
      <c r="H272" s="100">
        <v>42</v>
      </c>
      <c r="I272" s="101">
        <v>87</v>
      </c>
      <c r="J272" s="100">
        <v>2</v>
      </c>
      <c r="K272" s="100">
        <v>71</v>
      </c>
      <c r="L272" s="100">
        <v>89</v>
      </c>
      <c r="M272" s="100">
        <v>0</v>
      </c>
      <c r="N272" s="100"/>
      <c r="O272" s="100">
        <v>0</v>
      </c>
      <c r="P272" s="100">
        <v>0</v>
      </c>
      <c r="Q272" s="271"/>
      <c r="R272" s="100">
        <v>86</v>
      </c>
      <c r="S272" s="100">
        <v>97</v>
      </c>
      <c r="T272" s="100">
        <v>5</v>
      </c>
      <c r="U272" s="100">
        <v>5</v>
      </c>
      <c r="V272" s="666">
        <v>141</v>
      </c>
      <c r="W272" s="97"/>
      <c r="X272" s="97">
        <f>+ROUNDDOWN(AC272/1000-0.5,0)</f>
        <v>5</v>
      </c>
      <c r="Y272" s="97"/>
      <c r="AC272" s="100">
        <v>6376.6433566433579</v>
      </c>
    </row>
    <row r="273" spans="1:29" ht="15.95" customHeight="1" thickBot="1" x14ac:dyDescent="0.25">
      <c r="A273" s="669"/>
      <c r="B273" s="45"/>
      <c r="C273" s="151" t="s">
        <v>414</v>
      </c>
      <c r="D273" s="305">
        <v>317</v>
      </c>
      <c r="E273" s="105">
        <v>89</v>
      </c>
      <c r="F273" s="106">
        <v>234.2827048</v>
      </c>
      <c r="G273" s="105">
        <v>55.738816738816745</v>
      </c>
      <c r="H273" s="105">
        <v>43</v>
      </c>
      <c r="I273" s="106"/>
      <c r="J273" s="105">
        <v>0</v>
      </c>
      <c r="K273" s="105"/>
      <c r="L273" s="105"/>
      <c r="M273" s="105">
        <v>204</v>
      </c>
      <c r="N273" s="105"/>
      <c r="O273" s="105">
        <v>5</v>
      </c>
      <c r="P273" s="105">
        <v>8</v>
      </c>
      <c r="Q273" s="273">
        <v>2.5999999999999999E-2</v>
      </c>
      <c r="R273" s="105">
        <v>9</v>
      </c>
      <c r="S273" s="105">
        <v>0</v>
      </c>
      <c r="T273" s="105">
        <v>0</v>
      </c>
      <c r="U273" s="105">
        <v>10</v>
      </c>
      <c r="V273" s="670">
        <v>0</v>
      </c>
      <c r="W273" s="97"/>
      <c r="X273" s="97">
        <f t="shared" si="4"/>
        <v>10</v>
      </c>
      <c r="Y273" s="97">
        <f>+IF((AC273-ROUND(AC273,-3)&gt;400)*AND(AC273-ROUND(AC273,-3)&lt;500),1,0)</f>
        <v>0</v>
      </c>
      <c r="AC273" s="105">
        <v>9611.4785214785225</v>
      </c>
    </row>
    <row r="274" spans="1:29" ht="15.95" customHeight="1" thickTop="1" x14ac:dyDescent="0.2">
      <c r="A274" s="665" t="s">
        <v>143</v>
      </c>
      <c r="B274" s="42">
        <v>2008</v>
      </c>
      <c r="C274" s="148" t="s">
        <v>289</v>
      </c>
      <c r="D274" s="303">
        <v>165</v>
      </c>
      <c r="E274" s="100">
        <v>11</v>
      </c>
      <c r="F274" s="101">
        <v>42.252342800000001</v>
      </c>
      <c r="G274" s="100">
        <v>28.440629470672388</v>
      </c>
      <c r="H274" s="100">
        <v>37</v>
      </c>
      <c r="I274" s="101">
        <v>29</v>
      </c>
      <c r="J274" s="100">
        <v>8</v>
      </c>
      <c r="K274" s="100">
        <v>71</v>
      </c>
      <c r="L274" s="100"/>
      <c r="M274" s="100">
        <v>28</v>
      </c>
      <c r="N274" s="100"/>
      <c r="O274" s="100">
        <v>1</v>
      </c>
      <c r="P274" s="100">
        <v>1</v>
      </c>
      <c r="Q274" s="271">
        <v>14.714</v>
      </c>
      <c r="R274" s="100">
        <v>39</v>
      </c>
      <c r="S274" s="100">
        <v>42</v>
      </c>
      <c r="T274" s="100">
        <v>3</v>
      </c>
      <c r="U274" s="100">
        <v>11</v>
      </c>
      <c r="V274" s="666">
        <v>98.48035714285713</v>
      </c>
      <c r="W274" s="97"/>
      <c r="X274" s="97">
        <f t="shared" si="4"/>
        <v>11</v>
      </c>
      <c r="Y274" s="97"/>
      <c r="AC274" s="100">
        <v>11385.597082953509</v>
      </c>
    </row>
    <row r="275" spans="1:29" ht="15.95" customHeight="1" x14ac:dyDescent="0.2">
      <c r="A275" s="665"/>
      <c r="B275" s="43"/>
      <c r="C275" s="149" t="s">
        <v>290</v>
      </c>
      <c r="D275" s="303"/>
      <c r="E275" s="100">
        <v>0</v>
      </c>
      <c r="F275" s="101">
        <v>0</v>
      </c>
      <c r="G275" s="100">
        <v>0</v>
      </c>
      <c r="H275" s="100">
        <v>37</v>
      </c>
      <c r="I275" s="101">
        <v>1</v>
      </c>
      <c r="J275" s="100">
        <v>8</v>
      </c>
      <c r="K275" s="100">
        <v>71</v>
      </c>
      <c r="L275" s="100"/>
      <c r="M275" s="100">
        <v>0</v>
      </c>
      <c r="N275" s="100"/>
      <c r="O275" s="100">
        <v>0</v>
      </c>
      <c r="P275" s="100">
        <v>1</v>
      </c>
      <c r="Q275" s="271">
        <v>4.7130000000000001</v>
      </c>
      <c r="R275" s="100">
        <v>0</v>
      </c>
      <c r="S275" s="100">
        <v>0</v>
      </c>
      <c r="T275" s="100">
        <v>0</v>
      </c>
      <c r="U275" s="100">
        <v>0</v>
      </c>
      <c r="V275" s="666">
        <v>0</v>
      </c>
      <c r="W275" s="97"/>
      <c r="X275" s="97">
        <f t="shared" si="4"/>
        <v>0</v>
      </c>
      <c r="Y275" s="97"/>
      <c r="AC275" s="100">
        <v>0</v>
      </c>
    </row>
    <row r="276" spans="1:29" ht="15.95" customHeight="1" x14ac:dyDescent="0.2">
      <c r="A276" s="667"/>
      <c r="B276" s="44"/>
      <c r="C276" s="150" t="s">
        <v>291</v>
      </c>
      <c r="D276" s="304"/>
      <c r="E276" s="103">
        <v>0</v>
      </c>
      <c r="F276" s="104">
        <v>0</v>
      </c>
      <c r="G276" s="103">
        <v>213.77110157367667</v>
      </c>
      <c r="H276" s="103">
        <v>0</v>
      </c>
      <c r="I276" s="104">
        <v>71</v>
      </c>
      <c r="J276" s="103">
        <v>10</v>
      </c>
      <c r="K276" s="103"/>
      <c r="L276" s="103"/>
      <c r="M276" s="103">
        <v>0</v>
      </c>
      <c r="N276" s="103"/>
      <c r="O276" s="103">
        <v>0</v>
      </c>
      <c r="P276" s="103">
        <v>0</v>
      </c>
      <c r="Q276" s="272"/>
      <c r="R276" s="103">
        <v>0</v>
      </c>
      <c r="S276" s="103">
        <v>0</v>
      </c>
      <c r="T276" s="103">
        <v>4</v>
      </c>
      <c r="U276" s="103">
        <v>11</v>
      </c>
      <c r="V276" s="668">
        <v>0</v>
      </c>
      <c r="W276" s="97"/>
      <c r="X276" s="97">
        <f t="shared" si="4"/>
        <v>11</v>
      </c>
      <c r="Y276" s="97"/>
      <c r="AC276" s="103">
        <v>11349.416590701914</v>
      </c>
    </row>
    <row r="277" spans="1:29" ht="15.95" customHeight="1" x14ac:dyDescent="0.2">
      <c r="A277" s="665"/>
      <c r="B277" s="42">
        <v>2009</v>
      </c>
      <c r="C277" s="149" t="s">
        <v>412</v>
      </c>
      <c r="D277" s="303">
        <v>219</v>
      </c>
      <c r="E277" s="100">
        <v>10</v>
      </c>
      <c r="F277" s="101">
        <v>42.252342800000001</v>
      </c>
      <c r="G277" s="100">
        <v>29.567099567099568</v>
      </c>
      <c r="H277" s="100">
        <v>42</v>
      </c>
      <c r="I277" s="101">
        <v>29</v>
      </c>
      <c r="J277" s="100">
        <v>7</v>
      </c>
      <c r="K277" s="100">
        <v>71</v>
      </c>
      <c r="L277" s="100"/>
      <c r="M277" s="100">
        <v>28</v>
      </c>
      <c r="N277" s="100"/>
      <c r="O277" s="100">
        <v>1</v>
      </c>
      <c r="P277" s="100">
        <v>1</v>
      </c>
      <c r="Q277" s="102">
        <v>13.946999999999999</v>
      </c>
      <c r="R277" s="100">
        <v>36</v>
      </c>
      <c r="S277" s="100">
        <v>42</v>
      </c>
      <c r="T277" s="100">
        <v>3</v>
      </c>
      <c r="U277" s="100">
        <v>12</v>
      </c>
      <c r="V277" s="666">
        <v>101.69107142857142</v>
      </c>
      <c r="W277" s="100"/>
      <c r="X277" s="97">
        <f t="shared" si="4"/>
        <v>12</v>
      </c>
      <c r="Y277" s="97"/>
      <c r="AC277" s="100">
        <v>12477.52247752248</v>
      </c>
    </row>
    <row r="278" spans="1:29" ht="15.95" customHeight="1" x14ac:dyDescent="0.2">
      <c r="A278" s="665"/>
      <c r="B278" s="43"/>
      <c r="C278" s="149" t="s">
        <v>413</v>
      </c>
      <c r="D278" s="303"/>
      <c r="E278" s="100">
        <v>9</v>
      </c>
      <c r="F278" s="101">
        <v>0</v>
      </c>
      <c r="G278" s="100">
        <v>29.567099567099568</v>
      </c>
      <c r="H278" s="100">
        <v>42</v>
      </c>
      <c r="I278" s="101"/>
      <c r="J278" s="100">
        <v>0</v>
      </c>
      <c r="K278" s="100">
        <v>71</v>
      </c>
      <c r="L278" s="100"/>
      <c r="M278" s="100">
        <v>0</v>
      </c>
      <c r="N278" s="100"/>
      <c r="O278" s="100">
        <v>0</v>
      </c>
      <c r="P278" s="100">
        <v>0</v>
      </c>
      <c r="Q278" s="102">
        <v>13.946999999999999</v>
      </c>
      <c r="R278" s="100">
        <v>0</v>
      </c>
      <c r="S278" s="100">
        <v>0</v>
      </c>
      <c r="T278" s="100">
        <v>0</v>
      </c>
      <c r="U278" s="100">
        <v>0</v>
      </c>
      <c r="V278" s="666">
        <v>0</v>
      </c>
      <c r="W278" s="97"/>
      <c r="X278" s="97">
        <f t="shared" si="4"/>
        <v>0</v>
      </c>
      <c r="Y278" s="97"/>
      <c r="AC278" s="100">
        <v>0</v>
      </c>
    </row>
    <row r="279" spans="1:29" ht="15.95" customHeight="1" thickBot="1" x14ac:dyDescent="0.25">
      <c r="A279" s="669"/>
      <c r="B279" s="45"/>
      <c r="C279" s="151" t="s">
        <v>414</v>
      </c>
      <c r="D279" s="305">
        <v>0</v>
      </c>
      <c r="E279" s="105">
        <v>96</v>
      </c>
      <c r="F279" s="106">
        <v>0</v>
      </c>
      <c r="G279" s="105">
        <v>29.727272727272727</v>
      </c>
      <c r="H279" s="105">
        <v>0</v>
      </c>
      <c r="I279" s="106"/>
      <c r="J279" s="105">
        <v>0</v>
      </c>
      <c r="K279" s="105"/>
      <c r="L279" s="105"/>
      <c r="M279" s="105">
        <v>28</v>
      </c>
      <c r="N279" s="105"/>
      <c r="O279" s="105">
        <v>0</v>
      </c>
      <c r="P279" s="105">
        <v>0</v>
      </c>
      <c r="Q279" s="273">
        <v>9.48</v>
      </c>
      <c r="R279" s="105">
        <v>0</v>
      </c>
      <c r="S279" s="105">
        <v>0</v>
      </c>
      <c r="T279" s="105">
        <v>3</v>
      </c>
      <c r="U279" s="105">
        <v>12</v>
      </c>
      <c r="V279" s="670">
        <v>0</v>
      </c>
      <c r="W279" s="97"/>
      <c r="X279" s="97">
        <f t="shared" si="4"/>
        <v>12</v>
      </c>
      <c r="Y279" s="97">
        <f>+IF((AC279-ROUND(AC279,-3)&gt;400)*AND(AC279-ROUND(AC279,-3)&lt;500),1,0)</f>
        <v>1</v>
      </c>
      <c r="AC279" s="105">
        <v>12477.52247752248</v>
      </c>
    </row>
    <row r="280" spans="1:29" ht="15.95" customHeight="1" thickTop="1" x14ac:dyDescent="0.2">
      <c r="A280" s="665" t="s">
        <v>144</v>
      </c>
      <c r="B280" s="42">
        <v>2008</v>
      </c>
      <c r="C280" s="148" t="s">
        <v>289</v>
      </c>
      <c r="D280" s="303">
        <v>915</v>
      </c>
      <c r="E280" s="100">
        <v>60</v>
      </c>
      <c r="F280" s="101">
        <v>234.73520000000002</v>
      </c>
      <c r="G280" s="100">
        <v>151.03147353361945</v>
      </c>
      <c r="H280" s="100">
        <v>37</v>
      </c>
      <c r="I280" s="101">
        <v>161</v>
      </c>
      <c r="J280" s="100">
        <v>70</v>
      </c>
      <c r="K280" s="100">
        <v>142</v>
      </c>
      <c r="L280" s="100"/>
      <c r="M280" s="100">
        <v>158</v>
      </c>
      <c r="N280" s="100"/>
      <c r="O280" s="100">
        <v>6</v>
      </c>
      <c r="P280" s="100">
        <v>8</v>
      </c>
      <c r="Q280" s="271">
        <v>78.103999999999999</v>
      </c>
      <c r="R280" s="100">
        <v>148</v>
      </c>
      <c r="S280" s="100">
        <v>232</v>
      </c>
      <c r="T280" s="100">
        <v>22</v>
      </c>
      <c r="U280" s="100">
        <v>29</v>
      </c>
      <c r="V280" s="666">
        <v>261.32053571428565</v>
      </c>
      <c r="W280" s="97"/>
      <c r="X280" s="97">
        <f>+ROUNDUP(AC280/1000,0)</f>
        <v>29</v>
      </c>
      <c r="Y280" s="97"/>
      <c r="AC280" s="100">
        <v>28463.992707383775</v>
      </c>
    </row>
    <row r="281" spans="1:29" ht="15.95" customHeight="1" x14ac:dyDescent="0.2">
      <c r="A281" s="665"/>
      <c r="B281" s="43"/>
      <c r="C281" s="149" t="s">
        <v>290</v>
      </c>
      <c r="D281" s="303">
        <v>915</v>
      </c>
      <c r="E281" s="100">
        <v>60</v>
      </c>
      <c r="F281" s="101">
        <v>234.73520000000002</v>
      </c>
      <c r="G281" s="100">
        <v>0</v>
      </c>
      <c r="H281" s="100">
        <v>37</v>
      </c>
      <c r="I281" s="101">
        <v>161</v>
      </c>
      <c r="J281" s="100">
        <v>70</v>
      </c>
      <c r="K281" s="100">
        <v>142</v>
      </c>
      <c r="L281" s="100"/>
      <c r="M281" s="100">
        <v>158</v>
      </c>
      <c r="N281" s="100"/>
      <c r="O281" s="100">
        <v>6</v>
      </c>
      <c r="P281" s="100">
        <v>8</v>
      </c>
      <c r="Q281" s="271">
        <v>78.103999999999999</v>
      </c>
      <c r="R281" s="100">
        <v>148</v>
      </c>
      <c r="S281" s="100">
        <v>232</v>
      </c>
      <c r="T281" s="100">
        <v>0</v>
      </c>
      <c r="U281" s="100">
        <v>29</v>
      </c>
      <c r="V281" s="666">
        <v>261.32053571428565</v>
      </c>
      <c r="W281" s="97"/>
      <c r="X281" s="97">
        <f>+ROUNDUP(AC281/1000,0)</f>
        <v>29</v>
      </c>
      <c r="Y281" s="97"/>
      <c r="AC281" s="100">
        <v>28463.992707383775</v>
      </c>
    </row>
    <row r="282" spans="1:29" ht="15.95" customHeight="1" x14ac:dyDescent="0.2">
      <c r="A282" s="667"/>
      <c r="B282" s="44"/>
      <c r="C282" s="150" t="s">
        <v>291</v>
      </c>
      <c r="D282" s="304"/>
      <c r="E282" s="103">
        <v>0</v>
      </c>
      <c r="F282" s="104">
        <v>0</v>
      </c>
      <c r="G282" s="103">
        <v>0</v>
      </c>
      <c r="H282" s="103">
        <v>0</v>
      </c>
      <c r="I282" s="104">
        <v>111</v>
      </c>
      <c r="J282" s="103">
        <v>0</v>
      </c>
      <c r="K282" s="103"/>
      <c r="L282" s="103"/>
      <c r="M282" s="103">
        <v>0</v>
      </c>
      <c r="N282" s="103"/>
      <c r="O282" s="103">
        <v>2</v>
      </c>
      <c r="P282" s="103">
        <v>0</v>
      </c>
      <c r="Q282" s="272"/>
      <c r="R282" s="103">
        <v>0</v>
      </c>
      <c r="S282" s="103">
        <v>0</v>
      </c>
      <c r="T282" s="103">
        <v>0</v>
      </c>
      <c r="U282" s="103">
        <v>0</v>
      </c>
      <c r="V282" s="668">
        <v>0</v>
      </c>
      <c r="W282" s="97"/>
      <c r="X282" s="97">
        <f t="shared" si="4"/>
        <v>0</v>
      </c>
      <c r="Y282" s="97"/>
      <c r="AC282" s="103">
        <v>0</v>
      </c>
    </row>
    <row r="283" spans="1:29" ht="15.95" customHeight="1" x14ac:dyDescent="0.2">
      <c r="A283" s="665"/>
      <c r="B283" s="42">
        <v>2009</v>
      </c>
      <c r="C283" s="149" t="s">
        <v>412</v>
      </c>
      <c r="D283" s="303">
        <v>1218</v>
      </c>
      <c r="E283" s="100">
        <v>61</v>
      </c>
      <c r="F283" s="101">
        <v>234.73520000000002</v>
      </c>
      <c r="G283" s="100">
        <v>159.65079365079367</v>
      </c>
      <c r="H283" s="100">
        <v>42</v>
      </c>
      <c r="I283" s="101">
        <v>161</v>
      </c>
      <c r="J283" s="100">
        <v>68</v>
      </c>
      <c r="K283" s="100">
        <v>142</v>
      </c>
      <c r="L283" s="100"/>
      <c r="M283" s="100">
        <v>158</v>
      </c>
      <c r="N283" s="100"/>
      <c r="O283" s="100">
        <v>6</v>
      </c>
      <c r="P283" s="100">
        <v>8</v>
      </c>
      <c r="Q283" s="102">
        <v>74.03</v>
      </c>
      <c r="R283" s="100">
        <v>160</v>
      </c>
      <c r="S283" s="100">
        <v>232</v>
      </c>
      <c r="T283" s="100">
        <v>22</v>
      </c>
      <c r="U283" s="100">
        <v>32</v>
      </c>
      <c r="V283" s="666">
        <v>272.3642857142857</v>
      </c>
      <c r="W283" s="100"/>
      <c r="X283" s="97">
        <f>+ROUNDUP(AC283/1000,0)</f>
        <v>32</v>
      </c>
      <c r="Y283" s="97"/>
      <c r="AC283" s="100">
        <v>31193.806193806198</v>
      </c>
    </row>
    <row r="284" spans="1:29" ht="15.95" customHeight="1" x14ac:dyDescent="0.2">
      <c r="A284" s="665"/>
      <c r="B284" s="43"/>
      <c r="C284" s="149" t="s">
        <v>413</v>
      </c>
      <c r="D284" s="303">
        <v>1218</v>
      </c>
      <c r="E284" s="100">
        <v>61</v>
      </c>
      <c r="F284" s="101">
        <v>234.73520000000002</v>
      </c>
      <c r="G284" s="100">
        <v>24.269841269841272</v>
      </c>
      <c r="H284" s="100">
        <v>42</v>
      </c>
      <c r="I284" s="101">
        <v>161</v>
      </c>
      <c r="J284" s="100">
        <v>68</v>
      </c>
      <c r="K284" s="100">
        <v>142</v>
      </c>
      <c r="L284" s="100"/>
      <c r="M284" s="100">
        <v>158</v>
      </c>
      <c r="N284" s="100"/>
      <c r="O284" s="100">
        <v>6</v>
      </c>
      <c r="P284" s="100">
        <v>8</v>
      </c>
      <c r="Q284" s="102">
        <v>74.03</v>
      </c>
      <c r="R284" s="100">
        <v>160</v>
      </c>
      <c r="S284" s="100">
        <v>232</v>
      </c>
      <c r="T284" s="100">
        <v>22</v>
      </c>
      <c r="U284" s="100">
        <v>32</v>
      </c>
      <c r="V284" s="666">
        <v>272</v>
      </c>
      <c r="W284" s="97"/>
      <c r="X284" s="97">
        <f>+ROUNDUP(AC284/1000,0)</f>
        <v>32</v>
      </c>
      <c r="Y284" s="97"/>
      <c r="AC284" s="100">
        <v>31193.806193806198</v>
      </c>
    </row>
    <row r="285" spans="1:29" ht="15.95" customHeight="1" thickBot="1" x14ac:dyDescent="0.25">
      <c r="A285" s="669"/>
      <c r="B285" s="45"/>
      <c r="C285" s="151" t="s">
        <v>414</v>
      </c>
      <c r="D285" s="305"/>
      <c r="E285" s="105">
        <v>0</v>
      </c>
      <c r="F285" s="106">
        <v>0</v>
      </c>
      <c r="G285" s="105">
        <v>0</v>
      </c>
      <c r="H285" s="105">
        <v>0</v>
      </c>
      <c r="I285" s="106"/>
      <c r="J285" s="105">
        <v>0</v>
      </c>
      <c r="K285" s="105"/>
      <c r="L285" s="105"/>
      <c r="M285" s="105">
        <v>0</v>
      </c>
      <c r="N285" s="105"/>
      <c r="O285" s="105">
        <v>0</v>
      </c>
      <c r="P285" s="105">
        <v>0</v>
      </c>
      <c r="Q285" s="273"/>
      <c r="R285" s="105">
        <v>0</v>
      </c>
      <c r="S285" s="105">
        <v>0</v>
      </c>
      <c r="T285" s="105">
        <v>0</v>
      </c>
      <c r="U285" s="105">
        <v>0</v>
      </c>
      <c r="V285" s="670">
        <v>0</v>
      </c>
      <c r="W285" s="97"/>
      <c r="X285" s="97">
        <f t="shared" si="4"/>
        <v>0</v>
      </c>
      <c r="Y285" s="97">
        <f>+IF((AC285-ROUND(AC285,-3)&gt;400)*AND(AC285-ROUND(AC285,-3)&lt;500),1,0)</f>
        <v>0</v>
      </c>
      <c r="AC285" s="105">
        <v>0</v>
      </c>
    </row>
    <row r="286" spans="1:29" ht="15.95" customHeight="1" thickTop="1" x14ac:dyDescent="0.2">
      <c r="A286" s="665" t="s">
        <v>145</v>
      </c>
      <c r="B286" s="42">
        <v>2008</v>
      </c>
      <c r="C286" s="148" t="s">
        <v>289</v>
      </c>
      <c r="D286" s="303">
        <v>988</v>
      </c>
      <c r="E286" s="100"/>
      <c r="F286" s="101">
        <v>253.514016</v>
      </c>
      <c r="G286" s="100">
        <v>164.31902718168814</v>
      </c>
      <c r="H286" s="100">
        <v>43</v>
      </c>
      <c r="I286" s="101">
        <v>173</v>
      </c>
      <c r="J286" s="100">
        <v>10</v>
      </c>
      <c r="K286" s="100">
        <v>71</v>
      </c>
      <c r="L286" s="100">
        <v>657.3</v>
      </c>
      <c r="M286" s="100">
        <v>170</v>
      </c>
      <c r="N286" s="100"/>
      <c r="O286" s="100">
        <v>6</v>
      </c>
      <c r="P286" s="100">
        <v>8</v>
      </c>
      <c r="Q286" s="271">
        <v>84.896000000000001</v>
      </c>
      <c r="R286" s="100">
        <v>95</v>
      </c>
      <c r="S286" s="100">
        <v>251</v>
      </c>
      <c r="T286" s="100">
        <v>5</v>
      </c>
      <c r="U286" s="100">
        <v>29</v>
      </c>
      <c r="V286" s="666">
        <v>93.43214285714285</v>
      </c>
      <c r="W286" s="97"/>
      <c r="X286" s="97">
        <f>+ROUNDUP(AC286/1000,0)</f>
        <v>29</v>
      </c>
      <c r="Y286" s="97"/>
      <c r="AC286" s="100">
        <v>28463.992707383775</v>
      </c>
    </row>
    <row r="287" spans="1:29" ht="15.95" customHeight="1" x14ac:dyDescent="0.2">
      <c r="A287" s="665"/>
      <c r="B287" s="43"/>
      <c r="C287" s="149" t="s">
        <v>290</v>
      </c>
      <c r="D287" s="303">
        <v>988</v>
      </c>
      <c r="E287" s="100"/>
      <c r="F287" s="101">
        <v>0</v>
      </c>
      <c r="G287" s="100">
        <v>0</v>
      </c>
      <c r="H287" s="100">
        <v>43</v>
      </c>
      <c r="I287" s="101">
        <f>173-173</f>
        <v>0</v>
      </c>
      <c r="J287" s="100">
        <v>10</v>
      </c>
      <c r="K287" s="100">
        <v>71</v>
      </c>
      <c r="L287" s="100">
        <v>557</v>
      </c>
      <c r="M287" s="100">
        <v>170</v>
      </c>
      <c r="N287" s="100"/>
      <c r="O287" s="100">
        <v>6</v>
      </c>
      <c r="P287" s="100">
        <v>6</v>
      </c>
      <c r="Q287" s="271"/>
      <c r="R287" s="100">
        <v>95</v>
      </c>
      <c r="S287" s="100">
        <v>251</v>
      </c>
      <c r="T287" s="100">
        <v>5</v>
      </c>
      <c r="U287" s="100">
        <v>7</v>
      </c>
      <c r="V287" s="666">
        <v>93.43214285714285</v>
      </c>
      <c r="W287" s="97"/>
      <c r="X287" s="97">
        <f>+ROUNDDOWN(AC287/1000,0)</f>
        <v>7</v>
      </c>
      <c r="Y287" s="97"/>
      <c r="AC287" s="100">
        <v>7550.1640838650874</v>
      </c>
    </row>
    <row r="288" spans="1:29" ht="15.95" customHeight="1" x14ac:dyDescent="0.2">
      <c r="A288" s="667"/>
      <c r="B288" s="44"/>
      <c r="C288" s="150" t="s">
        <v>291</v>
      </c>
      <c r="D288" s="304"/>
      <c r="E288" s="103"/>
      <c r="F288" s="104">
        <v>149.23624079999999</v>
      </c>
      <c r="G288" s="103">
        <v>100.94420600858371</v>
      </c>
      <c r="H288" s="103">
        <v>0</v>
      </c>
      <c r="I288" s="104"/>
      <c r="J288" s="103">
        <v>0</v>
      </c>
      <c r="K288" s="103"/>
      <c r="L288" s="103">
        <v>181</v>
      </c>
      <c r="M288" s="103">
        <v>0</v>
      </c>
      <c r="N288" s="103"/>
      <c r="O288" s="103">
        <v>0</v>
      </c>
      <c r="P288" s="103">
        <v>0</v>
      </c>
      <c r="Q288" s="272">
        <v>28.175999999999998</v>
      </c>
      <c r="R288" s="103">
        <v>0</v>
      </c>
      <c r="S288" s="103">
        <v>0</v>
      </c>
      <c r="T288" s="103">
        <v>0</v>
      </c>
      <c r="U288" s="103">
        <v>41</v>
      </c>
      <c r="V288" s="668">
        <v>0</v>
      </c>
      <c r="W288" s="97"/>
      <c r="X288" s="97">
        <f t="shared" si="4"/>
        <v>41</v>
      </c>
      <c r="Y288" s="97"/>
      <c r="AC288" s="103">
        <v>41219.206927985419</v>
      </c>
    </row>
    <row r="289" spans="1:29" ht="15.95" customHeight="1" x14ac:dyDescent="0.2">
      <c r="A289" s="665"/>
      <c r="B289" s="42">
        <v>2009</v>
      </c>
      <c r="C289" s="149" t="s">
        <v>412</v>
      </c>
      <c r="D289" s="303">
        <v>1316</v>
      </c>
      <c r="E289" s="100"/>
      <c r="F289" s="101">
        <v>253.514016</v>
      </c>
      <c r="G289" s="100">
        <v>170.76479076479077</v>
      </c>
      <c r="H289" s="100">
        <v>50</v>
      </c>
      <c r="I289" s="101">
        <v>173</v>
      </c>
      <c r="J289" s="100">
        <v>9</v>
      </c>
      <c r="K289" s="100">
        <v>71</v>
      </c>
      <c r="L289" s="100">
        <f>1314.5-L286</f>
        <v>657.2</v>
      </c>
      <c r="M289" s="100">
        <v>170</v>
      </c>
      <c r="N289" s="100"/>
      <c r="O289" s="100">
        <v>6</v>
      </c>
      <c r="P289" s="100">
        <v>8</v>
      </c>
      <c r="Q289" s="102">
        <v>80.468000000000004</v>
      </c>
      <c r="R289" s="100">
        <v>97</v>
      </c>
      <c r="S289" s="100">
        <v>251</v>
      </c>
      <c r="T289" s="100">
        <v>6</v>
      </c>
      <c r="U289" s="100">
        <v>32</v>
      </c>
      <c r="V289" s="666">
        <v>101.17410714285712</v>
      </c>
      <c r="W289" s="100"/>
      <c r="X289" s="97">
        <f>+ROUNDUP(AC289/1000,0)</f>
        <v>32</v>
      </c>
      <c r="Y289" s="97"/>
      <c r="AC289" s="100">
        <v>31193.806193806198</v>
      </c>
    </row>
    <row r="290" spans="1:29" ht="15.95" customHeight="1" x14ac:dyDescent="0.2">
      <c r="A290" s="665"/>
      <c r="B290" s="43"/>
      <c r="C290" s="149" t="s">
        <v>413</v>
      </c>
      <c r="D290" s="303">
        <v>1316</v>
      </c>
      <c r="E290" s="100"/>
      <c r="F290" s="101">
        <v>0</v>
      </c>
      <c r="G290" s="100">
        <v>0</v>
      </c>
      <c r="H290" s="100">
        <v>50</v>
      </c>
      <c r="I290" s="101"/>
      <c r="J290" s="100">
        <v>9</v>
      </c>
      <c r="K290" s="100">
        <v>71</v>
      </c>
      <c r="L290" s="100">
        <v>403</v>
      </c>
      <c r="M290" s="100">
        <v>170</v>
      </c>
      <c r="N290" s="100"/>
      <c r="O290" s="100">
        <v>0</v>
      </c>
      <c r="P290" s="100">
        <v>0</v>
      </c>
      <c r="Q290" s="271"/>
      <c r="R290" s="100">
        <v>97</v>
      </c>
      <c r="S290" s="100">
        <v>106</v>
      </c>
      <c r="T290" s="100">
        <v>6</v>
      </c>
      <c r="U290" s="100">
        <v>0</v>
      </c>
      <c r="V290" s="666">
        <v>101</v>
      </c>
      <c r="W290" s="97"/>
      <c r="X290" s="97">
        <f t="shared" si="4"/>
        <v>0</v>
      </c>
      <c r="Y290" s="97"/>
      <c r="AC290" s="100">
        <v>0.52947052947052953</v>
      </c>
    </row>
    <row r="291" spans="1:29" ht="15.95" customHeight="1" thickBot="1" x14ac:dyDescent="0.25">
      <c r="A291" s="669"/>
      <c r="B291" s="45"/>
      <c r="C291" s="151" t="s">
        <v>414</v>
      </c>
      <c r="D291" s="305"/>
      <c r="E291" s="105"/>
      <c r="F291" s="106">
        <v>233</v>
      </c>
      <c r="G291" s="105">
        <v>124.67965367965368</v>
      </c>
      <c r="H291" s="105">
        <v>0</v>
      </c>
      <c r="I291" s="106">
        <v>173</v>
      </c>
      <c r="J291" s="105">
        <v>0</v>
      </c>
      <c r="K291" s="105"/>
      <c r="L291" s="105">
        <v>101</v>
      </c>
      <c r="M291" s="105">
        <v>0</v>
      </c>
      <c r="N291" s="105"/>
      <c r="O291" s="105">
        <v>0</v>
      </c>
      <c r="P291" s="105">
        <v>0</v>
      </c>
      <c r="Q291" s="273">
        <v>66.313000000000002</v>
      </c>
      <c r="R291" s="105">
        <v>0</v>
      </c>
      <c r="S291" s="105">
        <v>0</v>
      </c>
      <c r="T291" s="105">
        <v>0</v>
      </c>
      <c r="U291" s="105">
        <v>23</v>
      </c>
      <c r="V291" s="670">
        <v>0</v>
      </c>
      <c r="W291" s="97"/>
      <c r="X291" s="97">
        <f t="shared" si="4"/>
        <v>23</v>
      </c>
      <c r="Y291" s="97">
        <f>+IF((AC291-ROUND(AC291,-3)&gt;400)*AND(AC291-ROUND(AC291,-3)&lt;500),1,0)</f>
        <v>0</v>
      </c>
      <c r="AC291" s="105">
        <v>22919.550449550454</v>
      </c>
    </row>
    <row r="292" spans="1:29" ht="15.95" customHeight="1" thickTop="1" x14ac:dyDescent="0.2">
      <c r="A292" s="665" t="s">
        <v>146</v>
      </c>
      <c r="B292" s="42">
        <v>2008</v>
      </c>
      <c r="C292" s="148" t="s">
        <v>289</v>
      </c>
      <c r="D292" s="303">
        <v>805</v>
      </c>
      <c r="E292" s="100">
        <v>54</v>
      </c>
      <c r="F292" s="101">
        <v>206.56697600000001</v>
      </c>
      <c r="G292" s="100">
        <v>165.41773962804007</v>
      </c>
      <c r="H292" s="100">
        <v>37</v>
      </c>
      <c r="I292" s="101">
        <v>141</v>
      </c>
      <c r="J292" s="100">
        <v>1016</v>
      </c>
      <c r="K292" s="100">
        <v>71</v>
      </c>
      <c r="L292" s="100"/>
      <c r="M292" s="100">
        <v>139</v>
      </c>
      <c r="N292" s="100"/>
      <c r="O292" s="100">
        <v>5</v>
      </c>
      <c r="P292" s="100">
        <v>7</v>
      </c>
      <c r="Q292" s="271">
        <v>69.048000000000002</v>
      </c>
      <c r="R292" s="100">
        <v>95</v>
      </c>
      <c r="S292" s="100">
        <v>204</v>
      </c>
      <c r="T292" s="100">
        <v>5</v>
      </c>
      <c r="U292" s="100">
        <v>23</v>
      </c>
      <c r="V292" s="666">
        <v>107.69017857142856</v>
      </c>
      <c r="W292" s="97"/>
      <c r="X292" s="97">
        <f t="shared" si="4"/>
        <v>23</v>
      </c>
      <c r="Y292" s="97"/>
      <c r="AC292" s="100">
        <v>22771.194165907018</v>
      </c>
    </row>
    <row r="293" spans="1:29" ht="15.95" customHeight="1" x14ac:dyDescent="0.2">
      <c r="A293" s="665"/>
      <c r="B293" s="43"/>
      <c r="C293" s="149" t="s">
        <v>290</v>
      </c>
      <c r="D293" s="303">
        <v>805</v>
      </c>
      <c r="E293" s="100">
        <v>54</v>
      </c>
      <c r="F293" s="101">
        <v>206.56697600000001</v>
      </c>
      <c r="G293" s="100">
        <v>162.54649499284693</v>
      </c>
      <c r="H293" s="100">
        <v>37</v>
      </c>
      <c r="I293" s="101">
        <v>141</v>
      </c>
      <c r="J293" s="100">
        <v>1016</v>
      </c>
      <c r="K293" s="100">
        <v>71</v>
      </c>
      <c r="L293" s="100"/>
      <c r="M293" s="100">
        <v>139</v>
      </c>
      <c r="N293" s="100">
        <v>30</v>
      </c>
      <c r="O293" s="100">
        <v>0</v>
      </c>
      <c r="P293" s="100">
        <v>0</v>
      </c>
      <c r="Q293" s="271">
        <v>69.048000000000002</v>
      </c>
      <c r="R293" s="100">
        <v>95</v>
      </c>
      <c r="S293" s="100">
        <v>204</v>
      </c>
      <c r="T293" s="100">
        <v>5</v>
      </c>
      <c r="U293" s="100">
        <v>23</v>
      </c>
      <c r="V293" s="666">
        <v>107.69017857142856</v>
      </c>
      <c r="W293" s="97"/>
      <c r="X293" s="97">
        <f t="shared" si="4"/>
        <v>23</v>
      </c>
      <c r="Y293" s="97"/>
      <c r="AC293" s="100">
        <v>22771.194165907018</v>
      </c>
    </row>
    <row r="294" spans="1:29" ht="15.95" customHeight="1" x14ac:dyDescent="0.2">
      <c r="A294" s="667"/>
      <c r="B294" s="44"/>
      <c r="C294" s="150" t="s">
        <v>291</v>
      </c>
      <c r="D294" s="304"/>
      <c r="E294" s="103">
        <v>0</v>
      </c>
      <c r="F294" s="104">
        <v>0</v>
      </c>
      <c r="G294" s="103">
        <v>0</v>
      </c>
      <c r="H294" s="103">
        <v>0</v>
      </c>
      <c r="I294" s="104"/>
      <c r="J294" s="103">
        <v>0</v>
      </c>
      <c r="K294" s="103"/>
      <c r="L294" s="103"/>
      <c r="M294" s="103">
        <v>0</v>
      </c>
      <c r="N294" s="103"/>
      <c r="O294" s="103">
        <v>5</v>
      </c>
      <c r="P294" s="103">
        <v>7</v>
      </c>
      <c r="Q294" s="272"/>
      <c r="R294" s="103">
        <v>0</v>
      </c>
      <c r="S294" s="103">
        <v>0</v>
      </c>
      <c r="T294" s="103">
        <v>0</v>
      </c>
      <c r="U294" s="103">
        <v>0</v>
      </c>
      <c r="V294" s="668">
        <v>0</v>
      </c>
      <c r="W294" s="97"/>
      <c r="X294" s="97">
        <f t="shared" si="4"/>
        <v>0</v>
      </c>
      <c r="Y294" s="97"/>
      <c r="AC294" s="103">
        <v>0</v>
      </c>
    </row>
    <row r="295" spans="1:29" ht="15.95" customHeight="1" x14ac:dyDescent="0.2">
      <c r="A295" s="665"/>
      <c r="B295" s="42">
        <v>2009</v>
      </c>
      <c r="C295" s="149" t="s">
        <v>412</v>
      </c>
      <c r="D295" s="303">
        <v>1072</v>
      </c>
      <c r="E295" s="100">
        <v>52</v>
      </c>
      <c r="F295" s="101">
        <v>206.56697600000001</v>
      </c>
      <c r="G295" s="100">
        <v>174.7907647907648</v>
      </c>
      <c r="H295" s="100">
        <v>42</v>
      </c>
      <c r="I295" s="101">
        <v>141</v>
      </c>
      <c r="J295" s="100">
        <v>866</v>
      </c>
      <c r="K295" s="100">
        <v>71</v>
      </c>
      <c r="L295" s="100"/>
      <c r="M295" s="100">
        <v>139</v>
      </c>
      <c r="N295" s="100"/>
      <c r="O295" s="100">
        <v>5</v>
      </c>
      <c r="P295" s="100">
        <v>7</v>
      </c>
      <c r="Q295" s="102">
        <v>65.447000000000003</v>
      </c>
      <c r="R295" s="100">
        <v>97</v>
      </c>
      <c r="S295" s="100">
        <v>204</v>
      </c>
      <c r="T295" s="100">
        <v>6</v>
      </c>
      <c r="U295" s="100">
        <v>26</v>
      </c>
      <c r="V295" s="666">
        <v>107.5017857142857</v>
      </c>
      <c r="W295" s="100"/>
      <c r="X295" s="97">
        <f>+ROUNDUP(AC295/1000+0.5,0)</f>
        <v>26</v>
      </c>
      <c r="Y295" s="97"/>
      <c r="AC295" s="100">
        <v>24955.044955044959</v>
      </c>
    </row>
    <row r="296" spans="1:29" ht="15.95" customHeight="1" x14ac:dyDescent="0.2">
      <c r="A296" s="665"/>
      <c r="B296" s="43"/>
      <c r="C296" s="149" t="s">
        <v>413</v>
      </c>
      <c r="D296" s="303">
        <v>1072</v>
      </c>
      <c r="E296" s="100">
        <v>52</v>
      </c>
      <c r="F296" s="101">
        <v>206.56697600000001</v>
      </c>
      <c r="G296" s="100">
        <v>174.7907647907648</v>
      </c>
      <c r="H296" s="100">
        <v>42</v>
      </c>
      <c r="I296" s="101">
        <v>141</v>
      </c>
      <c r="J296" s="100">
        <v>866</v>
      </c>
      <c r="K296" s="100">
        <v>71</v>
      </c>
      <c r="L296" s="100"/>
      <c r="M296" s="100">
        <v>139</v>
      </c>
      <c r="N296" s="100"/>
      <c r="O296" s="100">
        <v>0</v>
      </c>
      <c r="P296" s="100">
        <v>0</v>
      </c>
      <c r="Q296" s="102">
        <v>65.447000000000003</v>
      </c>
      <c r="R296" s="100">
        <v>97</v>
      </c>
      <c r="S296" s="100">
        <v>204</v>
      </c>
      <c r="T296" s="100">
        <v>6</v>
      </c>
      <c r="U296" s="100">
        <v>26</v>
      </c>
      <c r="V296" s="666">
        <v>108</v>
      </c>
      <c r="W296" s="97"/>
      <c r="X296" s="97">
        <f>+ROUNDUP(AC296/1000+0.5,0)</f>
        <v>26</v>
      </c>
      <c r="Y296" s="97"/>
      <c r="AC296" s="100">
        <v>24955.044955044959</v>
      </c>
    </row>
    <row r="297" spans="1:29" ht="15.95" customHeight="1" thickBot="1" x14ac:dyDescent="0.25">
      <c r="A297" s="669"/>
      <c r="B297" s="45"/>
      <c r="C297" s="151" t="s">
        <v>414</v>
      </c>
      <c r="D297" s="305"/>
      <c r="E297" s="105">
        <v>0</v>
      </c>
      <c r="F297" s="106">
        <v>0</v>
      </c>
      <c r="G297" s="105">
        <v>0</v>
      </c>
      <c r="H297" s="105">
        <v>0</v>
      </c>
      <c r="I297" s="106"/>
      <c r="J297" s="105">
        <v>0</v>
      </c>
      <c r="K297" s="105"/>
      <c r="L297" s="105"/>
      <c r="M297" s="105">
        <v>0</v>
      </c>
      <c r="N297" s="105"/>
      <c r="O297" s="105">
        <v>5</v>
      </c>
      <c r="P297" s="105">
        <v>7</v>
      </c>
      <c r="Q297" s="273"/>
      <c r="R297" s="105">
        <v>0</v>
      </c>
      <c r="S297" s="105">
        <v>0</v>
      </c>
      <c r="T297" s="105">
        <v>0</v>
      </c>
      <c r="U297" s="105">
        <v>0</v>
      </c>
      <c r="V297" s="670">
        <v>0</v>
      </c>
      <c r="W297" s="97"/>
      <c r="X297" s="97">
        <f t="shared" si="4"/>
        <v>0</v>
      </c>
      <c r="Y297" s="97">
        <f>+IF((AC297-ROUND(AC297,-3)&gt;400)*AND(AC297-ROUND(AC297,-3)&lt;500),1,0)</f>
        <v>0</v>
      </c>
      <c r="AC297" s="105">
        <v>0</v>
      </c>
    </row>
    <row r="298" spans="1:29" ht="15.95" customHeight="1" thickTop="1" x14ac:dyDescent="0.2">
      <c r="A298" s="665" t="s">
        <v>147</v>
      </c>
      <c r="B298" s="42">
        <v>2008</v>
      </c>
      <c r="C298" s="148" t="s">
        <v>289</v>
      </c>
      <c r="D298" s="303">
        <v>5140</v>
      </c>
      <c r="E298" s="100">
        <v>335</v>
      </c>
      <c r="F298" s="101">
        <v>1323.906528</v>
      </c>
      <c r="G298" s="100">
        <v>857.41344778254654</v>
      </c>
      <c r="H298" s="100">
        <v>110</v>
      </c>
      <c r="I298" s="101">
        <v>902</v>
      </c>
      <c r="J298" s="100">
        <v>41</v>
      </c>
      <c r="K298" s="100">
        <v>284</v>
      </c>
      <c r="L298" s="100"/>
      <c r="M298" s="100">
        <v>887</v>
      </c>
      <c r="N298" s="100"/>
      <c r="O298" s="100">
        <v>33</v>
      </c>
      <c r="P298" s="100">
        <v>43</v>
      </c>
      <c r="Q298" s="271">
        <v>442.59</v>
      </c>
      <c r="R298" s="100">
        <v>168</v>
      </c>
      <c r="S298" s="100">
        <v>1305</v>
      </c>
      <c r="T298" s="100">
        <v>131</v>
      </c>
      <c r="U298" s="100">
        <v>160</v>
      </c>
      <c r="V298" s="666">
        <v>1045.1892857142857</v>
      </c>
      <c r="W298" s="97"/>
      <c r="X298" s="97">
        <f>+ROUNDUP(AC298/1000,0)</f>
        <v>160</v>
      </c>
      <c r="Y298" s="97"/>
      <c r="AC298" s="100">
        <v>159398.35916134913</v>
      </c>
    </row>
    <row r="299" spans="1:29" ht="15.95" customHeight="1" x14ac:dyDescent="0.2">
      <c r="A299" s="665"/>
      <c r="B299" s="43"/>
      <c r="C299" s="149" t="s">
        <v>290</v>
      </c>
      <c r="D299" s="303">
        <v>5140</v>
      </c>
      <c r="E299" s="100">
        <v>335</v>
      </c>
      <c r="F299" s="101">
        <v>1323.906528</v>
      </c>
      <c r="G299" s="100">
        <v>857.41344778254654</v>
      </c>
      <c r="H299" s="100">
        <v>108</v>
      </c>
      <c r="I299" s="101">
        <v>902</v>
      </c>
      <c r="J299" s="100">
        <v>41</v>
      </c>
      <c r="K299" s="100">
        <v>284</v>
      </c>
      <c r="L299" s="100"/>
      <c r="M299" s="100">
        <v>887</v>
      </c>
      <c r="N299" s="100"/>
      <c r="O299" s="100">
        <v>33</v>
      </c>
      <c r="P299" s="100">
        <v>43</v>
      </c>
      <c r="Q299" s="271">
        <v>442.59</v>
      </c>
      <c r="R299" s="100">
        <v>168</v>
      </c>
      <c r="S299" s="100">
        <v>1305</v>
      </c>
      <c r="T299" s="100">
        <v>131</v>
      </c>
      <c r="U299" s="100">
        <v>160</v>
      </c>
      <c r="V299" s="666">
        <v>1045.1892857142857</v>
      </c>
      <c r="W299" s="97"/>
      <c r="X299" s="97">
        <f>+ROUNDUP(AC299/1000,0)</f>
        <v>160</v>
      </c>
      <c r="Y299" s="97"/>
      <c r="AC299" s="100">
        <v>159398.35916134913</v>
      </c>
    </row>
    <row r="300" spans="1:29" ht="15.95" customHeight="1" x14ac:dyDescent="0.2">
      <c r="A300" s="667"/>
      <c r="B300" s="44"/>
      <c r="C300" s="150" t="s">
        <v>291</v>
      </c>
      <c r="D300" s="304"/>
      <c r="E300" s="103">
        <v>0</v>
      </c>
      <c r="F300" s="104">
        <v>0</v>
      </c>
      <c r="G300" s="103">
        <v>0</v>
      </c>
      <c r="H300" s="103">
        <v>0</v>
      </c>
      <c r="I300" s="104"/>
      <c r="J300" s="103">
        <v>0</v>
      </c>
      <c r="K300" s="103"/>
      <c r="L300" s="103"/>
      <c r="M300" s="103">
        <v>0</v>
      </c>
      <c r="N300" s="103"/>
      <c r="O300" s="103">
        <v>0</v>
      </c>
      <c r="P300" s="103">
        <v>0</v>
      </c>
      <c r="Q300" s="272"/>
      <c r="R300" s="103">
        <v>0</v>
      </c>
      <c r="S300" s="103">
        <v>0</v>
      </c>
      <c r="T300" s="103">
        <v>0</v>
      </c>
      <c r="U300" s="103">
        <v>0</v>
      </c>
      <c r="V300" s="668">
        <v>0</v>
      </c>
      <c r="W300" s="97"/>
      <c r="X300" s="97">
        <f t="shared" si="4"/>
        <v>0</v>
      </c>
      <c r="Y300" s="97"/>
      <c r="AC300" s="103">
        <v>0</v>
      </c>
    </row>
    <row r="301" spans="1:29" ht="15.95" customHeight="1" x14ac:dyDescent="0.2">
      <c r="A301" s="665"/>
      <c r="B301" s="42">
        <v>2009</v>
      </c>
      <c r="C301" s="149" t="s">
        <v>412</v>
      </c>
      <c r="D301" s="303">
        <v>6846</v>
      </c>
      <c r="E301" s="100">
        <v>327</v>
      </c>
      <c r="F301" s="101">
        <v>1323.906528</v>
      </c>
      <c r="G301" s="100">
        <v>912.25829725829738</v>
      </c>
      <c r="H301" s="100">
        <v>157</v>
      </c>
      <c r="I301" s="101">
        <v>902</v>
      </c>
      <c r="J301" s="100">
        <v>37</v>
      </c>
      <c r="K301" s="100">
        <v>284</v>
      </c>
      <c r="L301" s="100"/>
      <c r="M301" s="100">
        <v>887</v>
      </c>
      <c r="N301" s="100"/>
      <c r="O301" s="100">
        <v>33</v>
      </c>
      <c r="P301" s="100">
        <v>43</v>
      </c>
      <c r="Q301" s="102">
        <v>419.50599999999997</v>
      </c>
      <c r="R301" s="100">
        <v>172</v>
      </c>
      <c r="S301" s="100">
        <v>1305</v>
      </c>
      <c r="T301" s="100">
        <v>133</v>
      </c>
      <c r="U301" s="100">
        <v>175</v>
      </c>
      <c r="V301" s="666">
        <v>1133.3401785714284</v>
      </c>
      <c r="W301" s="100"/>
      <c r="X301" s="97">
        <f t="shared" si="4"/>
        <v>175</v>
      </c>
      <c r="Y301" s="97"/>
      <c r="AC301" s="100">
        <v>174685.31468531469</v>
      </c>
    </row>
    <row r="302" spans="1:29" ht="15.95" customHeight="1" x14ac:dyDescent="0.2">
      <c r="A302" s="665"/>
      <c r="B302" s="43"/>
      <c r="C302" s="149" t="s">
        <v>413</v>
      </c>
      <c r="D302" s="303">
        <v>6846</v>
      </c>
      <c r="E302" s="100">
        <v>327</v>
      </c>
      <c r="F302" s="101">
        <v>1323.906528</v>
      </c>
      <c r="G302" s="100">
        <v>912.25829725829738</v>
      </c>
      <c r="H302" s="100">
        <v>157</v>
      </c>
      <c r="I302" s="101">
        <v>902</v>
      </c>
      <c r="J302" s="100">
        <v>37</v>
      </c>
      <c r="K302" s="100">
        <v>284</v>
      </c>
      <c r="L302" s="100"/>
      <c r="M302" s="100">
        <v>887</v>
      </c>
      <c r="N302" s="100"/>
      <c r="O302" s="100">
        <v>33</v>
      </c>
      <c r="P302" s="100">
        <v>43</v>
      </c>
      <c r="Q302" s="102">
        <v>419.50599999999997</v>
      </c>
      <c r="R302" s="100">
        <v>172</v>
      </c>
      <c r="S302" s="100">
        <v>1305</v>
      </c>
      <c r="T302" s="100">
        <v>133</v>
      </c>
      <c r="U302" s="100">
        <v>175</v>
      </c>
      <c r="V302" s="666">
        <v>1133</v>
      </c>
      <c r="W302" s="97"/>
      <c r="X302" s="97">
        <f t="shared" si="4"/>
        <v>175</v>
      </c>
      <c r="Y302" s="97"/>
      <c r="AC302" s="100">
        <v>174685.31468531469</v>
      </c>
    </row>
    <row r="303" spans="1:29" ht="15.95" customHeight="1" thickBot="1" x14ac:dyDescent="0.25">
      <c r="A303" s="669"/>
      <c r="B303" s="45"/>
      <c r="C303" s="151" t="s">
        <v>414</v>
      </c>
      <c r="D303" s="305"/>
      <c r="E303" s="105">
        <v>0</v>
      </c>
      <c r="F303" s="106">
        <v>0</v>
      </c>
      <c r="G303" s="105">
        <v>0</v>
      </c>
      <c r="H303" s="105">
        <v>1</v>
      </c>
      <c r="I303" s="106"/>
      <c r="J303" s="105">
        <v>0</v>
      </c>
      <c r="K303" s="105"/>
      <c r="L303" s="105"/>
      <c r="M303" s="105">
        <v>0</v>
      </c>
      <c r="N303" s="105"/>
      <c r="O303" s="105">
        <v>0</v>
      </c>
      <c r="P303" s="105">
        <v>0</v>
      </c>
      <c r="Q303" s="273"/>
      <c r="R303" s="105">
        <v>0</v>
      </c>
      <c r="S303" s="105">
        <v>0</v>
      </c>
      <c r="T303" s="105">
        <v>0</v>
      </c>
      <c r="U303" s="105">
        <v>0</v>
      </c>
      <c r="V303" s="670">
        <v>0</v>
      </c>
      <c r="W303" s="97"/>
      <c r="X303" s="97">
        <f t="shared" si="4"/>
        <v>0</v>
      </c>
      <c r="Y303" s="97">
        <f>+IF((AC303-ROUND(AC303,-3)&gt;400)*AND(AC303-ROUND(AC303,-3)&lt;500),1,0)</f>
        <v>0</v>
      </c>
      <c r="AC303" s="105">
        <v>0</v>
      </c>
    </row>
    <row r="304" spans="1:29" ht="15.95" customHeight="1" thickTop="1" x14ac:dyDescent="0.2">
      <c r="A304" s="665" t="s">
        <v>336</v>
      </c>
      <c r="B304" s="42">
        <v>2008</v>
      </c>
      <c r="C304" s="148" t="s">
        <v>289</v>
      </c>
      <c r="D304" s="303">
        <v>128</v>
      </c>
      <c r="E304" s="100"/>
      <c r="F304" s="101">
        <v>32.862934800000005</v>
      </c>
      <c r="G304" s="100"/>
      <c r="H304" s="100">
        <v>37</v>
      </c>
      <c r="I304" s="101"/>
      <c r="J304" s="100">
        <v>57</v>
      </c>
      <c r="K304" s="100">
        <v>35</v>
      </c>
      <c r="L304" s="100"/>
      <c r="M304" s="100">
        <v>22</v>
      </c>
      <c r="N304" s="100"/>
      <c r="O304" s="100">
        <v>1</v>
      </c>
      <c r="P304" s="100">
        <v>1</v>
      </c>
      <c r="Q304" s="271">
        <v>11.319000000000001</v>
      </c>
      <c r="R304" s="100">
        <v>35</v>
      </c>
      <c r="S304" s="100">
        <v>32</v>
      </c>
      <c r="T304" s="100">
        <v>3</v>
      </c>
      <c r="U304" s="100">
        <v>11</v>
      </c>
      <c r="V304" s="666"/>
      <c r="W304" s="97"/>
      <c r="X304" s="97">
        <f t="shared" si="4"/>
        <v>11</v>
      </c>
      <c r="Y304" s="97"/>
      <c r="AC304" s="100">
        <v>11385.597082953509</v>
      </c>
    </row>
    <row r="305" spans="1:29" ht="15.95" customHeight="1" x14ac:dyDescent="0.2">
      <c r="A305" s="665" t="s">
        <v>352</v>
      </c>
      <c r="B305" s="43"/>
      <c r="C305" s="149" t="s">
        <v>290</v>
      </c>
      <c r="D305" s="303"/>
      <c r="E305" s="100"/>
      <c r="F305" s="101">
        <v>15.18643</v>
      </c>
      <c r="G305" s="100"/>
      <c r="H305" s="100">
        <v>37</v>
      </c>
      <c r="I305" s="101"/>
      <c r="J305" s="100">
        <v>57</v>
      </c>
      <c r="K305" s="100">
        <v>35</v>
      </c>
      <c r="L305" s="100"/>
      <c r="M305" s="100">
        <v>0</v>
      </c>
      <c r="N305" s="100">
        <v>1000</v>
      </c>
      <c r="O305" s="100">
        <v>0</v>
      </c>
      <c r="P305" s="100">
        <v>0</v>
      </c>
      <c r="Q305" s="271">
        <v>3.6110000000000002</v>
      </c>
      <c r="R305" s="100">
        <v>0</v>
      </c>
      <c r="S305" s="100">
        <v>32</v>
      </c>
      <c r="T305" s="100">
        <v>3</v>
      </c>
      <c r="U305" s="100">
        <v>6</v>
      </c>
      <c r="V305" s="666"/>
      <c r="W305" s="97"/>
      <c r="X305" s="97">
        <f t="shared" si="4"/>
        <v>6</v>
      </c>
      <c r="Y305" s="97"/>
      <c r="AC305" s="100">
        <v>6178.6326344576119</v>
      </c>
    </row>
    <row r="306" spans="1:29" ht="15.95" customHeight="1" x14ac:dyDescent="0.2">
      <c r="A306" s="667"/>
      <c r="B306" s="44"/>
      <c r="C306" s="150" t="s">
        <v>291</v>
      </c>
      <c r="D306" s="304"/>
      <c r="E306" s="103"/>
      <c r="F306" s="104">
        <v>0</v>
      </c>
      <c r="G306" s="103"/>
      <c r="H306" s="103">
        <v>0</v>
      </c>
      <c r="I306" s="104"/>
      <c r="J306" s="103">
        <v>0</v>
      </c>
      <c r="K306" s="103"/>
      <c r="L306" s="103"/>
      <c r="M306" s="103">
        <v>0</v>
      </c>
      <c r="N306" s="103"/>
      <c r="O306" s="103">
        <v>0</v>
      </c>
      <c r="P306" s="103">
        <v>0</v>
      </c>
      <c r="Q306" s="272"/>
      <c r="R306" s="103">
        <v>36</v>
      </c>
      <c r="S306" s="103">
        <v>0</v>
      </c>
      <c r="T306" s="103">
        <v>0</v>
      </c>
      <c r="U306" s="103">
        <v>11</v>
      </c>
      <c r="V306" s="668"/>
      <c r="W306" s="97"/>
      <c r="X306" s="97">
        <f t="shared" si="4"/>
        <v>11</v>
      </c>
      <c r="Y306" s="97"/>
      <c r="AC306" s="103">
        <v>11385.961713764813</v>
      </c>
    </row>
    <row r="307" spans="1:29" ht="15.95" customHeight="1" x14ac:dyDescent="0.2">
      <c r="A307" s="665"/>
      <c r="B307" s="42">
        <v>2009</v>
      </c>
      <c r="C307" s="149" t="s">
        <v>412</v>
      </c>
      <c r="D307" s="303">
        <v>171</v>
      </c>
      <c r="E307" s="100"/>
      <c r="F307" s="101">
        <v>32.862934800000005</v>
      </c>
      <c r="G307" s="100"/>
      <c r="H307" s="100">
        <v>42</v>
      </c>
      <c r="I307" s="101"/>
      <c r="J307" s="100">
        <v>47</v>
      </c>
      <c r="K307" s="100">
        <v>35</v>
      </c>
      <c r="L307" s="100"/>
      <c r="M307" s="100">
        <v>22</v>
      </c>
      <c r="N307" s="100"/>
      <c r="O307" s="100">
        <v>1</v>
      </c>
      <c r="P307" s="100">
        <v>1</v>
      </c>
      <c r="Q307" s="102">
        <v>10.728999999999999</v>
      </c>
      <c r="R307" s="100">
        <v>36</v>
      </c>
      <c r="S307" s="100">
        <v>32</v>
      </c>
      <c r="T307" s="100">
        <v>3</v>
      </c>
      <c r="U307" s="100">
        <v>12</v>
      </c>
      <c r="V307" s="666"/>
      <c r="W307" s="100"/>
      <c r="X307" s="97">
        <f t="shared" si="4"/>
        <v>12</v>
      </c>
      <c r="Y307" s="97"/>
      <c r="AC307" s="100">
        <v>12477.52247752248</v>
      </c>
    </row>
    <row r="308" spans="1:29" ht="15.95" customHeight="1" x14ac:dyDescent="0.2">
      <c r="A308" s="665"/>
      <c r="B308" s="43"/>
      <c r="C308" s="149" t="s">
        <v>413</v>
      </c>
      <c r="D308" s="303">
        <v>171</v>
      </c>
      <c r="E308" s="100"/>
      <c r="F308" s="101">
        <v>32.862934800000005</v>
      </c>
      <c r="G308" s="100"/>
      <c r="H308" s="100">
        <v>42</v>
      </c>
      <c r="I308" s="101"/>
      <c r="J308" s="100">
        <v>47</v>
      </c>
      <c r="K308" s="100">
        <v>35</v>
      </c>
      <c r="L308" s="100"/>
      <c r="M308" s="100">
        <v>22</v>
      </c>
      <c r="N308" s="100">
        <v>1000</v>
      </c>
      <c r="O308" s="100">
        <v>1</v>
      </c>
      <c r="P308" s="100">
        <v>1</v>
      </c>
      <c r="Q308" s="102">
        <v>10.728999999999999</v>
      </c>
      <c r="R308" s="100">
        <v>0</v>
      </c>
      <c r="S308" s="100">
        <v>32</v>
      </c>
      <c r="T308" s="100">
        <v>3</v>
      </c>
      <c r="U308" s="100">
        <v>0</v>
      </c>
      <c r="V308" s="666"/>
      <c r="W308" s="97"/>
      <c r="X308" s="97">
        <f t="shared" si="4"/>
        <v>0</v>
      </c>
      <c r="Y308" s="97"/>
      <c r="AC308" s="100">
        <v>0</v>
      </c>
    </row>
    <row r="309" spans="1:29" ht="15.95" customHeight="1" thickBot="1" x14ac:dyDescent="0.25">
      <c r="A309" s="669"/>
      <c r="B309" s="45"/>
      <c r="C309" s="151" t="s">
        <v>414</v>
      </c>
      <c r="D309" s="305">
        <v>128</v>
      </c>
      <c r="E309" s="105"/>
      <c r="F309" s="106">
        <v>17.676504800000004</v>
      </c>
      <c r="G309" s="105"/>
      <c r="H309" s="105">
        <v>0</v>
      </c>
      <c r="I309" s="106"/>
      <c r="J309" s="105">
        <v>0</v>
      </c>
      <c r="K309" s="105"/>
      <c r="L309" s="105"/>
      <c r="M309" s="105">
        <v>22</v>
      </c>
      <c r="N309" s="105"/>
      <c r="O309" s="105">
        <v>3</v>
      </c>
      <c r="P309" s="105">
        <v>3</v>
      </c>
      <c r="Q309" s="273">
        <v>7.3070000000000004</v>
      </c>
      <c r="R309" s="105">
        <v>43</v>
      </c>
      <c r="S309" s="105">
        <v>0</v>
      </c>
      <c r="T309" s="105">
        <v>0</v>
      </c>
      <c r="U309" s="105">
        <v>6</v>
      </c>
      <c r="V309" s="670"/>
      <c r="W309" s="97"/>
      <c r="X309" s="97">
        <f>+ROUNDUP(AC309/1000,0)</f>
        <v>6</v>
      </c>
      <c r="Y309" s="97">
        <f>+IF((AC309-ROUND(AC309,-3)&gt;400)*AND(AC309-ROUND(AC309,-3)&lt;500),1,0)</f>
        <v>1</v>
      </c>
      <c r="Z309" s="41" t="s">
        <v>488</v>
      </c>
      <c r="AC309" s="105">
        <v>5494.5054945054953</v>
      </c>
    </row>
    <row r="310" spans="1:29" ht="15.95" customHeight="1" thickTop="1" x14ac:dyDescent="0.2">
      <c r="A310" s="665" t="s">
        <v>337</v>
      </c>
      <c r="B310" s="42">
        <v>2008</v>
      </c>
      <c r="C310" s="148" t="s">
        <v>289</v>
      </c>
      <c r="D310" s="303">
        <v>55</v>
      </c>
      <c r="E310" s="100">
        <v>4</v>
      </c>
      <c r="F310" s="101">
        <v>14.084118800000001</v>
      </c>
      <c r="G310" s="100">
        <v>9.436337625178826</v>
      </c>
      <c r="H310" s="100">
        <v>37</v>
      </c>
      <c r="I310" s="101">
        <v>10</v>
      </c>
      <c r="J310" s="100">
        <v>8</v>
      </c>
      <c r="K310" s="100">
        <v>18</v>
      </c>
      <c r="L310" s="100"/>
      <c r="M310" s="100">
        <v>9</v>
      </c>
      <c r="N310" s="100"/>
      <c r="O310" s="100">
        <v>0</v>
      </c>
      <c r="P310" s="100">
        <v>1</v>
      </c>
      <c r="Q310" s="271">
        <v>4.5270000000000001</v>
      </c>
      <c r="R310" s="100">
        <v>35</v>
      </c>
      <c r="S310" s="100">
        <v>14</v>
      </c>
      <c r="T310" s="100">
        <v>1</v>
      </c>
      <c r="U310" s="100">
        <v>11</v>
      </c>
      <c r="V310" s="666">
        <v>23.825892857142854</v>
      </c>
      <c r="W310" s="97"/>
      <c r="X310" s="97">
        <f t="shared" si="4"/>
        <v>11</v>
      </c>
      <c r="Y310" s="97"/>
      <c r="AC310" s="100">
        <v>11385.597082953509</v>
      </c>
    </row>
    <row r="311" spans="1:29" ht="15.95" customHeight="1" x14ac:dyDescent="0.2">
      <c r="A311" s="665" t="s">
        <v>75</v>
      </c>
      <c r="B311" s="43"/>
      <c r="C311" s="149" t="s">
        <v>290</v>
      </c>
      <c r="D311" s="303"/>
      <c r="E311" s="100">
        <v>0</v>
      </c>
      <c r="F311" s="101">
        <v>0</v>
      </c>
      <c r="G311" s="100">
        <v>0</v>
      </c>
      <c r="H311" s="100">
        <v>0</v>
      </c>
      <c r="I311" s="101">
        <v>10</v>
      </c>
      <c r="J311" s="100">
        <v>0</v>
      </c>
      <c r="K311" s="100">
        <v>18</v>
      </c>
      <c r="L311" s="100"/>
      <c r="M311" s="100">
        <v>0</v>
      </c>
      <c r="N311" s="100"/>
      <c r="O311" s="100">
        <v>0</v>
      </c>
      <c r="P311" s="100">
        <v>0</v>
      </c>
      <c r="Q311" s="271"/>
      <c r="R311" s="100">
        <v>0</v>
      </c>
      <c r="S311" s="100">
        <v>0</v>
      </c>
      <c r="T311" s="100">
        <v>0</v>
      </c>
      <c r="U311" s="100">
        <v>0</v>
      </c>
      <c r="V311" s="666">
        <v>0</v>
      </c>
      <c r="W311" s="97"/>
      <c r="X311" s="97">
        <f t="shared" si="4"/>
        <v>0</v>
      </c>
      <c r="Y311" s="97"/>
      <c r="AC311" s="100">
        <v>0</v>
      </c>
    </row>
    <row r="312" spans="1:29" ht="15.95" customHeight="1" x14ac:dyDescent="0.2">
      <c r="A312" s="667"/>
      <c r="B312" s="44"/>
      <c r="C312" s="150" t="s">
        <v>291</v>
      </c>
      <c r="D312" s="304"/>
      <c r="E312" s="103">
        <v>0</v>
      </c>
      <c r="F312" s="104">
        <v>0</v>
      </c>
      <c r="G312" s="103">
        <v>0</v>
      </c>
      <c r="H312" s="103">
        <v>0</v>
      </c>
      <c r="I312" s="104">
        <v>25</v>
      </c>
      <c r="J312" s="103">
        <v>0</v>
      </c>
      <c r="K312" s="103"/>
      <c r="L312" s="103"/>
      <c r="M312" s="103">
        <v>0</v>
      </c>
      <c r="N312" s="103"/>
      <c r="O312" s="103">
        <v>0</v>
      </c>
      <c r="P312" s="103">
        <v>0</v>
      </c>
      <c r="Q312" s="272"/>
      <c r="R312" s="103">
        <v>0</v>
      </c>
      <c r="S312" s="103">
        <v>0</v>
      </c>
      <c r="T312" s="103">
        <v>0</v>
      </c>
      <c r="U312" s="103">
        <v>0</v>
      </c>
      <c r="V312" s="668">
        <v>0</v>
      </c>
      <c r="W312" s="97"/>
      <c r="X312" s="97">
        <f t="shared" si="4"/>
        <v>0</v>
      </c>
      <c r="Y312" s="97"/>
      <c r="AC312" s="103">
        <v>0</v>
      </c>
    </row>
    <row r="313" spans="1:29" ht="15.95" customHeight="1" x14ac:dyDescent="0.2">
      <c r="A313" s="665"/>
      <c r="B313" s="42">
        <v>2009</v>
      </c>
      <c r="C313" s="149" t="s">
        <v>412</v>
      </c>
      <c r="D313" s="303">
        <v>73</v>
      </c>
      <c r="E313" s="100">
        <v>4</v>
      </c>
      <c r="F313" s="101">
        <v>14.084118800000001</v>
      </c>
      <c r="G313" s="100">
        <v>9.7604617604617623</v>
      </c>
      <c r="H313" s="100">
        <v>42</v>
      </c>
      <c r="I313" s="101">
        <v>10</v>
      </c>
      <c r="J313" s="100">
        <v>7</v>
      </c>
      <c r="K313" s="100">
        <v>18</v>
      </c>
      <c r="L313" s="100"/>
      <c r="M313" s="100">
        <v>9</v>
      </c>
      <c r="N313" s="100"/>
      <c r="O313" s="100">
        <v>0</v>
      </c>
      <c r="P313" s="100">
        <v>1</v>
      </c>
      <c r="Q313" s="102">
        <v>4.2910000000000004</v>
      </c>
      <c r="R313" s="100">
        <v>36</v>
      </c>
      <c r="S313" s="100">
        <v>14</v>
      </c>
      <c r="T313" s="100">
        <v>1</v>
      </c>
      <c r="U313" s="100">
        <v>12</v>
      </c>
      <c r="V313" s="666">
        <v>25</v>
      </c>
      <c r="W313" s="100"/>
      <c r="X313" s="97">
        <f t="shared" si="4"/>
        <v>12</v>
      </c>
      <c r="Y313" s="97"/>
      <c r="AC313" s="100">
        <v>12477.52247752248</v>
      </c>
    </row>
    <row r="314" spans="1:29" ht="15.95" customHeight="1" x14ac:dyDescent="0.2">
      <c r="A314" s="665"/>
      <c r="B314" s="43"/>
      <c r="C314" s="149" t="s">
        <v>413</v>
      </c>
      <c r="D314" s="303"/>
      <c r="E314" s="100">
        <v>0</v>
      </c>
      <c r="F314" s="101">
        <v>14.084118800000001</v>
      </c>
      <c r="G314" s="100">
        <v>0</v>
      </c>
      <c r="H314" s="100">
        <v>0</v>
      </c>
      <c r="I314" s="101"/>
      <c r="J314" s="100">
        <v>0</v>
      </c>
      <c r="K314" s="100">
        <v>18</v>
      </c>
      <c r="L314" s="100"/>
      <c r="M314" s="100">
        <v>9</v>
      </c>
      <c r="N314" s="100"/>
      <c r="O314" s="100">
        <v>0</v>
      </c>
      <c r="P314" s="100">
        <v>0</v>
      </c>
      <c r="Q314" s="271"/>
      <c r="R314" s="100">
        <v>0</v>
      </c>
      <c r="S314" s="100">
        <v>0</v>
      </c>
      <c r="T314" s="100">
        <v>0</v>
      </c>
      <c r="U314" s="100">
        <v>0</v>
      </c>
      <c r="V314" s="666">
        <v>0</v>
      </c>
      <c r="W314" s="97"/>
      <c r="X314" s="97">
        <f t="shared" si="4"/>
        <v>0</v>
      </c>
      <c r="Y314" s="97"/>
      <c r="AC314" s="100">
        <v>0</v>
      </c>
    </row>
    <row r="315" spans="1:29" ht="15.95" customHeight="1" thickBot="1" x14ac:dyDescent="0.25">
      <c r="A315" s="669"/>
      <c r="B315" s="45"/>
      <c r="C315" s="151" t="s">
        <v>414</v>
      </c>
      <c r="D315" s="305">
        <v>55</v>
      </c>
      <c r="E315" s="105">
        <v>0</v>
      </c>
      <c r="F315" s="106">
        <v>79.598840400000014</v>
      </c>
      <c r="G315" s="105">
        <v>0</v>
      </c>
      <c r="H315" s="105">
        <v>0</v>
      </c>
      <c r="I315" s="106"/>
      <c r="J315" s="105">
        <v>0</v>
      </c>
      <c r="K315" s="105"/>
      <c r="L315" s="105"/>
      <c r="M315" s="105">
        <v>31</v>
      </c>
      <c r="N315" s="105"/>
      <c r="O315" s="105">
        <v>0</v>
      </c>
      <c r="P315" s="105">
        <v>0</v>
      </c>
      <c r="Q315" s="273"/>
      <c r="R315" s="105">
        <v>0</v>
      </c>
      <c r="S315" s="105">
        <v>0</v>
      </c>
      <c r="T315" s="105">
        <v>0</v>
      </c>
      <c r="U315" s="105">
        <v>0</v>
      </c>
      <c r="V315" s="670">
        <v>0</v>
      </c>
      <c r="W315" s="97"/>
      <c r="X315" s="97">
        <f t="shared" si="4"/>
        <v>0</v>
      </c>
      <c r="Y315" s="97">
        <f>+IF((AC315-ROUND(AC315,-3)&gt;400)*AND(AC315-ROUND(AC315,-3)&lt;500),1,0)</f>
        <v>0</v>
      </c>
      <c r="AC315" s="105">
        <v>0</v>
      </c>
    </row>
    <row r="316" spans="1:29" ht="15.95" customHeight="1" thickTop="1" x14ac:dyDescent="0.2">
      <c r="A316" s="665" t="s">
        <v>76</v>
      </c>
      <c r="B316" s="42">
        <v>2008</v>
      </c>
      <c r="C316" s="148" t="s">
        <v>289</v>
      </c>
      <c r="D316" s="303">
        <v>18</v>
      </c>
      <c r="E316" s="100">
        <v>0</v>
      </c>
      <c r="F316" s="101">
        <v>4.6946972000000002</v>
      </c>
      <c r="G316" s="100"/>
      <c r="H316" s="100">
        <v>37</v>
      </c>
      <c r="I316" s="101">
        <v>3</v>
      </c>
      <c r="J316" s="100">
        <v>8</v>
      </c>
      <c r="K316" s="100"/>
      <c r="L316" s="100"/>
      <c r="M316" s="100">
        <v>3</v>
      </c>
      <c r="N316" s="100"/>
      <c r="O316" s="100"/>
      <c r="P316" s="100">
        <v>0</v>
      </c>
      <c r="Q316" s="271">
        <v>1.1319999999999999</v>
      </c>
      <c r="R316" s="100">
        <v>32</v>
      </c>
      <c r="S316" s="100">
        <v>5</v>
      </c>
      <c r="T316" s="100"/>
      <c r="U316" s="100"/>
      <c r="V316" s="666"/>
      <c r="W316" s="97"/>
      <c r="X316" s="97">
        <f t="shared" si="4"/>
        <v>0</v>
      </c>
      <c r="Y316" s="97"/>
      <c r="AC316" s="100"/>
    </row>
    <row r="317" spans="1:29" ht="15.95" customHeight="1" x14ac:dyDescent="0.2">
      <c r="A317" s="665" t="s">
        <v>684</v>
      </c>
      <c r="B317" s="43"/>
      <c r="C317" s="149" t="s">
        <v>290</v>
      </c>
      <c r="D317" s="303">
        <v>3</v>
      </c>
      <c r="E317" s="100">
        <v>0</v>
      </c>
      <c r="F317" s="101">
        <v>0</v>
      </c>
      <c r="G317" s="100"/>
      <c r="H317" s="100">
        <v>0</v>
      </c>
      <c r="I317" s="101">
        <v>3</v>
      </c>
      <c r="J317" s="100">
        <v>8</v>
      </c>
      <c r="K317" s="100"/>
      <c r="L317" s="100"/>
      <c r="M317" s="100">
        <v>0</v>
      </c>
      <c r="N317" s="100"/>
      <c r="O317" s="100"/>
      <c r="P317" s="100">
        <v>0</v>
      </c>
      <c r="Q317" s="271">
        <v>7.1999999999999995E-2</v>
      </c>
      <c r="R317" s="100">
        <v>31</v>
      </c>
      <c r="S317" s="100">
        <v>5</v>
      </c>
      <c r="T317" s="100"/>
      <c r="U317" s="100"/>
      <c r="V317" s="666"/>
      <c r="W317" s="97"/>
      <c r="X317" s="97">
        <f t="shared" si="4"/>
        <v>0</v>
      </c>
      <c r="Y317" s="97"/>
      <c r="AC317" s="100"/>
    </row>
    <row r="318" spans="1:29" ht="15.95" customHeight="1" x14ac:dyDescent="0.2">
      <c r="A318" s="667"/>
      <c r="B318" s="44"/>
      <c r="C318" s="150" t="s">
        <v>291</v>
      </c>
      <c r="D318" s="304">
        <v>17</v>
      </c>
      <c r="E318" s="103">
        <v>0</v>
      </c>
      <c r="F318" s="104">
        <v>0</v>
      </c>
      <c r="G318" s="103"/>
      <c r="H318" s="103">
        <v>0</v>
      </c>
      <c r="I318" s="104"/>
      <c r="J318" s="103">
        <v>0</v>
      </c>
      <c r="K318" s="103"/>
      <c r="L318" s="103"/>
      <c r="M318" s="103">
        <v>0</v>
      </c>
      <c r="N318" s="103"/>
      <c r="O318" s="103"/>
      <c r="P318" s="103">
        <v>0</v>
      </c>
      <c r="Q318" s="272"/>
      <c r="R318" s="103">
        <v>0</v>
      </c>
      <c r="S318" s="103">
        <v>0</v>
      </c>
      <c r="T318" s="103"/>
      <c r="U318" s="103"/>
      <c r="V318" s="668"/>
      <c r="W318" s="97"/>
      <c r="X318" s="97">
        <f t="shared" si="4"/>
        <v>0</v>
      </c>
      <c r="Y318" s="97"/>
      <c r="AC318" s="103"/>
    </row>
    <row r="319" spans="1:29" ht="15.95" customHeight="1" x14ac:dyDescent="0.2">
      <c r="A319" s="665"/>
      <c r="B319" s="42">
        <v>2009</v>
      </c>
      <c r="C319" s="149" t="s">
        <v>412</v>
      </c>
      <c r="D319" s="303">
        <v>24</v>
      </c>
      <c r="E319" s="100">
        <v>1</v>
      </c>
      <c r="F319" s="101">
        <v>4.6946972000000002</v>
      </c>
      <c r="G319" s="100"/>
      <c r="H319" s="100">
        <v>42</v>
      </c>
      <c r="I319" s="101">
        <v>3</v>
      </c>
      <c r="J319" s="100">
        <v>7</v>
      </c>
      <c r="K319" s="100"/>
      <c r="L319" s="100"/>
      <c r="M319" s="100">
        <v>3</v>
      </c>
      <c r="N319" s="100"/>
      <c r="O319" s="100">
        <v>0</v>
      </c>
      <c r="P319" s="100">
        <v>0</v>
      </c>
      <c r="Q319" s="102">
        <v>1.073</v>
      </c>
      <c r="R319" s="100">
        <v>32</v>
      </c>
      <c r="S319" s="100">
        <v>5</v>
      </c>
      <c r="T319" s="100"/>
      <c r="U319" s="100">
        <v>2</v>
      </c>
      <c r="V319" s="666"/>
      <c r="W319" s="100"/>
      <c r="X319" s="97">
        <f>+ROUNDUP(AC319/1000+0.5,0)</f>
        <v>2</v>
      </c>
      <c r="Y319" s="97"/>
      <c r="AC319" s="100">
        <v>957.1828171828173</v>
      </c>
    </row>
    <row r="320" spans="1:29" ht="15.95" customHeight="1" x14ac:dyDescent="0.2">
      <c r="A320" s="665"/>
      <c r="B320" s="43"/>
      <c r="C320" s="149" t="s">
        <v>413</v>
      </c>
      <c r="D320" s="303"/>
      <c r="E320" s="100">
        <v>0</v>
      </c>
      <c r="F320" s="101">
        <v>2.1694899999999997</v>
      </c>
      <c r="G320" s="100"/>
      <c r="H320" s="100">
        <v>0</v>
      </c>
      <c r="I320" s="101">
        <v>3</v>
      </c>
      <c r="J320" s="100">
        <v>6</v>
      </c>
      <c r="K320" s="100"/>
      <c r="L320" s="100"/>
      <c r="M320" s="100">
        <v>0</v>
      </c>
      <c r="N320" s="100"/>
      <c r="O320" s="100">
        <v>0</v>
      </c>
      <c r="P320" s="100">
        <v>0</v>
      </c>
      <c r="Q320" s="271"/>
      <c r="R320" s="100"/>
      <c r="S320" s="100">
        <v>5</v>
      </c>
      <c r="T320" s="100"/>
      <c r="U320" s="100">
        <v>0</v>
      </c>
      <c r="V320" s="666"/>
      <c r="W320" s="97"/>
      <c r="X320" s="97">
        <f t="shared" ref="X320:X382" si="5">+ROUND(AC320/1000,0)</f>
        <v>0</v>
      </c>
      <c r="Y320" s="97"/>
      <c r="AC320" s="100"/>
    </row>
    <row r="321" spans="1:29" ht="15.95" customHeight="1" thickBot="1" x14ac:dyDescent="0.25">
      <c r="A321" s="669"/>
      <c r="B321" s="45"/>
      <c r="C321" s="151" t="s">
        <v>414</v>
      </c>
      <c r="D321" s="305"/>
      <c r="E321" s="105">
        <v>0</v>
      </c>
      <c r="F321" s="106">
        <v>3.9348000000000001</v>
      </c>
      <c r="G321" s="105"/>
      <c r="H321" s="105">
        <v>0</v>
      </c>
      <c r="I321" s="106"/>
      <c r="J321" s="105">
        <v>0</v>
      </c>
      <c r="K321" s="105"/>
      <c r="L321" s="105"/>
      <c r="M321" s="105">
        <v>7</v>
      </c>
      <c r="N321" s="105"/>
      <c r="O321" s="105">
        <v>0</v>
      </c>
      <c r="P321" s="105">
        <v>0</v>
      </c>
      <c r="Q321" s="273"/>
      <c r="R321" s="105"/>
      <c r="S321" s="105">
        <v>0</v>
      </c>
      <c r="T321" s="105"/>
      <c r="U321" s="105">
        <v>0</v>
      </c>
      <c r="V321" s="670"/>
      <c r="W321" s="97"/>
      <c r="X321" s="97">
        <f t="shared" si="5"/>
        <v>0</v>
      </c>
      <c r="Y321" s="97">
        <f>+IF((AC321-ROUND(AC321,-3)&gt;400)*AND(AC321-ROUND(AC321,-3)&lt;500),1,0)</f>
        <v>0</v>
      </c>
      <c r="AC321" s="105"/>
    </row>
    <row r="322" spans="1:29" ht="15.95" customHeight="1" thickTop="1" x14ac:dyDescent="0.2">
      <c r="A322" s="665" t="s">
        <v>148</v>
      </c>
      <c r="B322" s="42">
        <v>2008</v>
      </c>
      <c r="C322" s="148" t="s">
        <v>289</v>
      </c>
      <c r="D322" s="303">
        <v>13516</v>
      </c>
      <c r="E322" s="100">
        <v>882</v>
      </c>
      <c r="F322" s="101">
        <v>3488.1650788000002</v>
      </c>
      <c r="G322" s="100">
        <v>2843.5550786838339</v>
      </c>
      <c r="H322" s="100">
        <v>340</v>
      </c>
      <c r="I322" s="101">
        <v>2371</v>
      </c>
      <c r="J322" s="100">
        <v>516</v>
      </c>
      <c r="K322" s="100">
        <v>568</v>
      </c>
      <c r="L322" s="100"/>
      <c r="M322" s="100">
        <v>2332</v>
      </c>
      <c r="N322" s="100"/>
      <c r="O322" s="100">
        <v>86</v>
      </c>
      <c r="P322" s="100">
        <v>114</v>
      </c>
      <c r="Q322" s="271">
        <v>1162.5039999999999</v>
      </c>
      <c r="R322" s="100">
        <v>0</v>
      </c>
      <c r="S322" s="100">
        <v>3432</v>
      </c>
      <c r="T322" s="100">
        <v>436</v>
      </c>
      <c r="U322" s="100">
        <v>416</v>
      </c>
      <c r="V322" s="666">
        <v>1558.7124999999999</v>
      </c>
      <c r="W322" s="97"/>
      <c r="X322" s="97">
        <f t="shared" si="5"/>
        <v>416</v>
      </c>
      <c r="Y322" s="97"/>
      <c r="AC322" s="100">
        <v>415574.29352780309</v>
      </c>
    </row>
    <row r="323" spans="1:29" ht="15.95" customHeight="1" x14ac:dyDescent="0.2">
      <c r="A323" s="665"/>
      <c r="B323" s="43"/>
      <c r="C323" s="149" t="s">
        <v>290</v>
      </c>
      <c r="D323" s="303">
        <v>13516</v>
      </c>
      <c r="E323" s="100">
        <v>882</v>
      </c>
      <c r="F323" s="101">
        <v>3488.1650788000002</v>
      </c>
      <c r="G323" s="100">
        <v>0</v>
      </c>
      <c r="H323" s="100">
        <v>340</v>
      </c>
      <c r="I323" s="101">
        <v>2371</v>
      </c>
      <c r="J323" s="100">
        <v>516</v>
      </c>
      <c r="K323" s="100">
        <v>568</v>
      </c>
      <c r="L323" s="100"/>
      <c r="M323" s="100">
        <v>2332</v>
      </c>
      <c r="N323" s="100">
        <v>4120</v>
      </c>
      <c r="O323" s="100">
        <v>86</v>
      </c>
      <c r="P323" s="100">
        <v>114</v>
      </c>
      <c r="Q323" s="271">
        <v>1162.5039999999999</v>
      </c>
      <c r="R323" s="100">
        <v>0</v>
      </c>
      <c r="S323" s="100">
        <v>3432</v>
      </c>
      <c r="T323" s="100">
        <v>436</v>
      </c>
      <c r="U323" s="100">
        <v>416</v>
      </c>
      <c r="V323" s="666">
        <v>1558.9285714285713</v>
      </c>
      <c r="W323" s="97"/>
      <c r="X323" s="97">
        <f t="shared" si="5"/>
        <v>416</v>
      </c>
      <c r="Y323" s="97"/>
      <c r="AC323" s="100">
        <v>415574.29352780309</v>
      </c>
    </row>
    <row r="324" spans="1:29" ht="15.95" customHeight="1" x14ac:dyDescent="0.2">
      <c r="A324" s="667"/>
      <c r="B324" s="44"/>
      <c r="C324" s="150" t="s">
        <v>291</v>
      </c>
      <c r="D324" s="304"/>
      <c r="E324" s="103">
        <v>0</v>
      </c>
      <c r="F324" s="104">
        <v>0</v>
      </c>
      <c r="G324" s="103">
        <v>0</v>
      </c>
      <c r="H324" s="103">
        <v>0</v>
      </c>
      <c r="I324" s="104"/>
      <c r="J324" s="103">
        <v>0</v>
      </c>
      <c r="K324" s="103"/>
      <c r="L324" s="103"/>
      <c r="M324" s="103">
        <v>0</v>
      </c>
      <c r="N324" s="103"/>
      <c r="O324" s="103">
        <v>0</v>
      </c>
      <c r="P324" s="103">
        <v>3</v>
      </c>
      <c r="Q324" s="272"/>
      <c r="R324" s="103">
        <v>0</v>
      </c>
      <c r="S324" s="103">
        <v>0</v>
      </c>
      <c r="T324" s="103">
        <v>0</v>
      </c>
      <c r="U324" s="103">
        <v>0</v>
      </c>
      <c r="V324" s="668">
        <v>0</v>
      </c>
      <c r="W324" s="97"/>
      <c r="X324" s="97">
        <f t="shared" si="5"/>
        <v>0</v>
      </c>
      <c r="Y324" s="97"/>
      <c r="AC324" s="103">
        <v>0</v>
      </c>
    </row>
    <row r="325" spans="1:29" ht="15.95" customHeight="1" x14ac:dyDescent="0.2">
      <c r="A325" s="665"/>
      <c r="B325" s="42">
        <v>2009</v>
      </c>
      <c r="C325" s="149" t="s">
        <v>412</v>
      </c>
      <c r="D325" s="303">
        <v>18004</v>
      </c>
      <c r="E325" s="100">
        <v>844</v>
      </c>
      <c r="F325" s="101">
        <v>3488.1650788000002</v>
      </c>
      <c r="G325" s="100">
        <v>2961.4242424242425</v>
      </c>
      <c r="H325" s="100">
        <v>385</v>
      </c>
      <c r="I325" s="101">
        <v>2371</v>
      </c>
      <c r="J325" s="100">
        <v>465</v>
      </c>
      <c r="K325" s="100">
        <v>568</v>
      </c>
      <c r="L325" s="100"/>
      <c r="M325" s="100">
        <v>2332</v>
      </c>
      <c r="N325" s="100"/>
      <c r="O325" s="100">
        <v>86</v>
      </c>
      <c r="P325" s="100">
        <v>114</v>
      </c>
      <c r="Q325" s="102">
        <v>1101.8720000000001</v>
      </c>
      <c r="R325" s="100">
        <v>0</v>
      </c>
      <c r="S325" s="100">
        <v>3432</v>
      </c>
      <c r="T325" s="100">
        <v>443</v>
      </c>
      <c r="U325" s="100">
        <v>456</v>
      </c>
      <c r="V325" s="666">
        <v>1610.9642857142856</v>
      </c>
      <c r="W325" s="100"/>
      <c r="X325" s="97">
        <f>+ROUNDUP(AC325/1000,0)</f>
        <v>456</v>
      </c>
      <c r="Y325" s="97"/>
      <c r="AC325" s="100">
        <v>455429.57042957051</v>
      </c>
    </row>
    <row r="326" spans="1:29" ht="15.95" customHeight="1" x14ac:dyDescent="0.2">
      <c r="A326" s="665"/>
      <c r="B326" s="43"/>
      <c r="C326" s="149" t="s">
        <v>413</v>
      </c>
      <c r="D326" s="303">
        <v>18004</v>
      </c>
      <c r="E326" s="100">
        <v>844</v>
      </c>
      <c r="F326" s="101">
        <v>3488.1650788000002</v>
      </c>
      <c r="G326" s="100">
        <v>2807.3391053391056</v>
      </c>
      <c r="H326" s="100">
        <v>385</v>
      </c>
      <c r="I326" s="101">
        <v>2371</v>
      </c>
      <c r="J326" s="100">
        <v>465</v>
      </c>
      <c r="K326" s="100">
        <v>568</v>
      </c>
      <c r="L326" s="100"/>
      <c r="M326" s="100">
        <v>2332</v>
      </c>
      <c r="N326" s="100">
        <v>3375</v>
      </c>
      <c r="O326" s="100">
        <v>86</v>
      </c>
      <c r="P326" s="100">
        <v>114</v>
      </c>
      <c r="Q326" s="102">
        <v>1101.8720000000001</v>
      </c>
      <c r="R326" s="100">
        <v>0</v>
      </c>
      <c r="S326" s="100">
        <v>3432</v>
      </c>
      <c r="T326" s="100">
        <v>443</v>
      </c>
      <c r="U326" s="100">
        <v>456</v>
      </c>
      <c r="V326" s="666">
        <v>1611</v>
      </c>
      <c r="W326" s="97"/>
      <c r="X326" s="97">
        <f>+ROUNDUP(AC326/1000,0)</f>
        <v>456</v>
      </c>
      <c r="Y326" s="97"/>
      <c r="AC326" s="100">
        <v>455429.57042957051</v>
      </c>
    </row>
    <row r="327" spans="1:29" ht="15.95" customHeight="1" thickBot="1" x14ac:dyDescent="0.25">
      <c r="A327" s="669"/>
      <c r="B327" s="45"/>
      <c r="C327" s="151" t="s">
        <v>414</v>
      </c>
      <c r="D327" s="305"/>
      <c r="E327" s="105">
        <v>0</v>
      </c>
      <c r="F327" s="106">
        <v>0</v>
      </c>
      <c r="G327" s="105">
        <v>0</v>
      </c>
      <c r="H327" s="105">
        <v>0</v>
      </c>
      <c r="I327" s="106"/>
      <c r="J327" s="105">
        <v>0</v>
      </c>
      <c r="K327" s="105"/>
      <c r="L327" s="105"/>
      <c r="M327" s="105">
        <v>0</v>
      </c>
      <c r="N327" s="105"/>
      <c r="O327" s="105">
        <v>0</v>
      </c>
      <c r="P327" s="105">
        <v>0</v>
      </c>
      <c r="Q327" s="273"/>
      <c r="R327" s="105">
        <v>0</v>
      </c>
      <c r="S327" s="105">
        <v>0</v>
      </c>
      <c r="T327" s="105">
        <v>0</v>
      </c>
      <c r="U327" s="105">
        <v>0</v>
      </c>
      <c r="V327" s="670">
        <v>0</v>
      </c>
      <c r="W327" s="97"/>
      <c r="X327" s="97">
        <f t="shared" si="5"/>
        <v>0</v>
      </c>
      <c r="Y327" s="97">
        <f>+IF((AC327-ROUND(AC327,-3)&gt;400)*AND(AC327-ROUND(AC327,-3)&lt;500),1,0)</f>
        <v>0</v>
      </c>
      <c r="AC327" s="105">
        <v>0</v>
      </c>
    </row>
    <row r="328" spans="1:29" ht="15.95" customHeight="1" thickTop="1" x14ac:dyDescent="0.2">
      <c r="A328" s="665" t="s">
        <v>149</v>
      </c>
      <c r="B328" s="42">
        <v>2008</v>
      </c>
      <c r="C328" s="148" t="s">
        <v>289</v>
      </c>
      <c r="D328" s="303">
        <v>18</v>
      </c>
      <c r="E328" s="100">
        <v>1</v>
      </c>
      <c r="F328" s="101">
        <v>4.6946972000000002</v>
      </c>
      <c r="G328" s="100"/>
      <c r="H328" s="100">
        <v>37</v>
      </c>
      <c r="I328" s="101">
        <v>3</v>
      </c>
      <c r="J328" s="100">
        <v>8</v>
      </c>
      <c r="K328" s="100">
        <v>18</v>
      </c>
      <c r="L328" s="100"/>
      <c r="M328" s="100">
        <v>3</v>
      </c>
      <c r="N328" s="100"/>
      <c r="O328" s="100">
        <v>0</v>
      </c>
      <c r="P328" s="100">
        <v>0</v>
      </c>
      <c r="Q328" s="271">
        <v>1.1319999999999999</v>
      </c>
      <c r="R328" s="100">
        <v>32</v>
      </c>
      <c r="S328" s="100">
        <v>5</v>
      </c>
      <c r="T328" s="100">
        <v>1</v>
      </c>
      <c r="U328" s="100">
        <v>11</v>
      </c>
      <c r="V328" s="666">
        <v>23.825892857142854</v>
      </c>
      <c r="W328" s="97"/>
      <c r="X328" s="97">
        <f t="shared" si="5"/>
        <v>11</v>
      </c>
      <c r="Y328" s="97"/>
      <c r="AC328" s="100">
        <v>11385.597082953509</v>
      </c>
    </row>
    <row r="329" spans="1:29" ht="15.95" customHeight="1" x14ac:dyDescent="0.2">
      <c r="A329" s="665"/>
      <c r="B329" s="43"/>
      <c r="C329" s="149" t="s">
        <v>290</v>
      </c>
      <c r="D329" s="303">
        <v>18</v>
      </c>
      <c r="E329" s="100">
        <v>0</v>
      </c>
      <c r="F329" s="101">
        <v>4.0800000000000003E-2</v>
      </c>
      <c r="G329" s="100"/>
      <c r="H329" s="100">
        <v>0</v>
      </c>
      <c r="I329" s="101"/>
      <c r="J329" s="100">
        <v>0</v>
      </c>
      <c r="K329" s="100">
        <v>18</v>
      </c>
      <c r="L329" s="100"/>
      <c r="M329" s="100">
        <v>0</v>
      </c>
      <c r="N329" s="100"/>
      <c r="O329" s="100">
        <v>0</v>
      </c>
      <c r="P329" s="100">
        <v>0</v>
      </c>
      <c r="Q329" s="271"/>
      <c r="R329" s="100">
        <v>0</v>
      </c>
      <c r="S329" s="100">
        <v>0</v>
      </c>
      <c r="T329" s="100">
        <v>0</v>
      </c>
      <c r="U329" s="100">
        <v>0</v>
      </c>
      <c r="V329" s="666">
        <v>0</v>
      </c>
      <c r="W329" s="97"/>
      <c r="X329" s="97">
        <f t="shared" si="5"/>
        <v>0</v>
      </c>
      <c r="Y329" s="97"/>
      <c r="AC329" s="100">
        <v>0</v>
      </c>
    </row>
    <row r="330" spans="1:29" ht="15.95" customHeight="1" x14ac:dyDescent="0.2">
      <c r="A330" s="667"/>
      <c r="B330" s="44"/>
      <c r="C330" s="150" t="s">
        <v>291</v>
      </c>
      <c r="D330" s="304">
        <v>20</v>
      </c>
      <c r="E330" s="103">
        <v>0</v>
      </c>
      <c r="F330" s="104">
        <v>0</v>
      </c>
      <c r="G330" s="103"/>
      <c r="H330" s="103">
        <v>0</v>
      </c>
      <c r="I330" s="104"/>
      <c r="J330" s="103">
        <v>0</v>
      </c>
      <c r="K330" s="103"/>
      <c r="L330" s="103"/>
      <c r="M330" s="103">
        <v>0</v>
      </c>
      <c r="N330" s="103"/>
      <c r="O330" s="103">
        <v>0</v>
      </c>
      <c r="P330" s="103">
        <v>0</v>
      </c>
      <c r="Q330" s="272"/>
      <c r="R330" s="103">
        <v>0</v>
      </c>
      <c r="S330" s="103">
        <v>0</v>
      </c>
      <c r="T330" s="103">
        <v>0</v>
      </c>
      <c r="U330" s="103">
        <v>11</v>
      </c>
      <c r="V330" s="668">
        <v>0</v>
      </c>
      <c r="W330" s="97"/>
      <c r="X330" s="97">
        <f t="shared" si="5"/>
        <v>11</v>
      </c>
      <c r="Y330" s="97"/>
      <c r="AC330" s="103">
        <v>11385.597082953509</v>
      </c>
    </row>
    <row r="331" spans="1:29" ht="15.95" customHeight="1" x14ac:dyDescent="0.2">
      <c r="A331" s="665"/>
      <c r="B331" s="42">
        <v>2009</v>
      </c>
      <c r="C331" s="149" t="s">
        <v>412</v>
      </c>
      <c r="D331" s="303">
        <v>24</v>
      </c>
      <c r="E331" s="100">
        <v>1</v>
      </c>
      <c r="F331" s="101">
        <v>4.6946972000000002</v>
      </c>
      <c r="G331" s="100"/>
      <c r="H331" s="100">
        <v>42</v>
      </c>
      <c r="I331" s="101">
        <v>3</v>
      </c>
      <c r="J331" s="100">
        <v>7</v>
      </c>
      <c r="K331" s="100">
        <v>18</v>
      </c>
      <c r="L331" s="100"/>
      <c r="M331" s="100">
        <v>3</v>
      </c>
      <c r="N331" s="100"/>
      <c r="O331" s="100">
        <v>0</v>
      </c>
      <c r="P331" s="100">
        <v>0</v>
      </c>
      <c r="Q331" s="102">
        <v>1.073</v>
      </c>
      <c r="R331" s="100">
        <v>32</v>
      </c>
      <c r="S331" s="100">
        <v>5</v>
      </c>
      <c r="T331" s="100">
        <v>1</v>
      </c>
      <c r="U331" s="100">
        <v>12</v>
      </c>
      <c r="V331" s="666">
        <v>25</v>
      </c>
      <c r="W331" s="100"/>
      <c r="X331" s="97">
        <f t="shared" si="5"/>
        <v>12</v>
      </c>
      <c r="Y331" s="97"/>
      <c r="AC331" s="100">
        <v>12477.52247752248</v>
      </c>
    </row>
    <row r="332" spans="1:29" ht="15.95" customHeight="1" x14ac:dyDescent="0.2">
      <c r="A332" s="665"/>
      <c r="B332" s="43"/>
      <c r="C332" s="149" t="s">
        <v>413</v>
      </c>
      <c r="D332" s="303">
        <v>0</v>
      </c>
      <c r="E332" s="100">
        <v>0</v>
      </c>
      <c r="F332" s="101">
        <v>0</v>
      </c>
      <c r="G332" s="100"/>
      <c r="H332" s="100">
        <v>0</v>
      </c>
      <c r="I332" s="101"/>
      <c r="J332" s="100">
        <v>7</v>
      </c>
      <c r="K332" s="100">
        <v>18</v>
      </c>
      <c r="L332" s="100"/>
      <c r="M332" s="100">
        <v>3</v>
      </c>
      <c r="N332" s="100"/>
      <c r="O332" s="100">
        <v>0</v>
      </c>
      <c r="P332" s="100">
        <v>0</v>
      </c>
      <c r="Q332" s="271"/>
      <c r="R332" s="100">
        <v>0</v>
      </c>
      <c r="S332" s="100">
        <v>0</v>
      </c>
      <c r="T332" s="100">
        <v>0</v>
      </c>
      <c r="U332" s="100">
        <v>0</v>
      </c>
      <c r="V332" s="666">
        <v>0</v>
      </c>
      <c r="W332" s="97"/>
      <c r="X332" s="97">
        <f t="shared" si="5"/>
        <v>0</v>
      </c>
      <c r="Y332" s="97"/>
      <c r="AC332" s="100">
        <v>0</v>
      </c>
    </row>
    <row r="333" spans="1:29" ht="15.95" customHeight="1" thickBot="1" x14ac:dyDescent="0.25">
      <c r="A333" s="669"/>
      <c r="B333" s="45"/>
      <c r="C333" s="151" t="s">
        <v>414</v>
      </c>
      <c r="D333" s="305"/>
      <c r="E333" s="105">
        <v>0</v>
      </c>
      <c r="F333" s="106">
        <v>0</v>
      </c>
      <c r="G333" s="105"/>
      <c r="H333" s="105">
        <v>0</v>
      </c>
      <c r="I333" s="106"/>
      <c r="J333" s="105">
        <v>93</v>
      </c>
      <c r="K333" s="105"/>
      <c r="L333" s="105"/>
      <c r="M333" s="105">
        <v>48</v>
      </c>
      <c r="N333" s="105"/>
      <c r="O333" s="105">
        <v>0</v>
      </c>
      <c r="P333" s="105">
        <v>0</v>
      </c>
      <c r="Q333" s="273"/>
      <c r="R333" s="105">
        <v>0</v>
      </c>
      <c r="S333" s="105">
        <v>0</v>
      </c>
      <c r="T333" s="105">
        <v>0</v>
      </c>
      <c r="U333" s="105">
        <v>0</v>
      </c>
      <c r="V333" s="670">
        <v>0</v>
      </c>
      <c r="W333" s="97"/>
      <c r="X333" s="97">
        <f t="shared" si="5"/>
        <v>0</v>
      </c>
      <c r="Y333" s="97">
        <f>+IF((AC333-ROUND(AC333,-3)&gt;400)*AND(AC333-ROUND(AC333,-3)&lt;500),1,0)</f>
        <v>0</v>
      </c>
      <c r="AC333" s="105">
        <v>0</v>
      </c>
    </row>
    <row r="334" spans="1:29" ht="15.95" customHeight="1" thickTop="1" x14ac:dyDescent="0.2">
      <c r="A334" s="665" t="s">
        <v>150</v>
      </c>
      <c r="B334" s="42">
        <v>2008</v>
      </c>
      <c r="C334" s="148" t="s">
        <v>289</v>
      </c>
      <c r="D334" s="303">
        <v>18</v>
      </c>
      <c r="E334" s="100"/>
      <c r="F334" s="101">
        <v>4.6946972000000002</v>
      </c>
      <c r="G334" s="100"/>
      <c r="H334" s="100"/>
      <c r="I334" s="101">
        <v>3</v>
      </c>
      <c r="J334" s="100">
        <v>46</v>
      </c>
      <c r="K334" s="100">
        <v>18</v>
      </c>
      <c r="L334" s="100">
        <v>18</v>
      </c>
      <c r="M334" s="100">
        <v>3</v>
      </c>
      <c r="N334" s="100"/>
      <c r="O334" s="100">
        <v>0</v>
      </c>
      <c r="P334" s="100">
        <v>0</v>
      </c>
      <c r="Q334" s="271">
        <v>1.1319999999999999</v>
      </c>
      <c r="R334" s="100"/>
      <c r="S334" s="100">
        <v>5</v>
      </c>
      <c r="T334" s="100">
        <v>3</v>
      </c>
      <c r="U334" s="100">
        <v>11</v>
      </c>
      <c r="V334" s="666">
        <v>23.825892857142854</v>
      </c>
      <c r="W334" s="97"/>
      <c r="X334" s="97">
        <f t="shared" si="5"/>
        <v>11</v>
      </c>
      <c r="Y334" s="97"/>
      <c r="AC334" s="100">
        <v>11385.597082953509</v>
      </c>
    </row>
    <row r="335" spans="1:29" ht="15.95" customHeight="1" x14ac:dyDescent="0.2">
      <c r="A335" s="665"/>
      <c r="B335" s="43"/>
      <c r="C335" s="149" t="s">
        <v>290</v>
      </c>
      <c r="D335" s="303">
        <v>18</v>
      </c>
      <c r="E335" s="100"/>
      <c r="F335" s="101">
        <v>2.1694899999999997</v>
      </c>
      <c r="G335" s="100"/>
      <c r="H335" s="100"/>
      <c r="I335" s="101"/>
      <c r="J335" s="100">
        <v>0</v>
      </c>
      <c r="K335" s="100">
        <v>18</v>
      </c>
      <c r="L335" s="100"/>
      <c r="M335" s="100">
        <v>0</v>
      </c>
      <c r="N335" s="100"/>
      <c r="O335" s="100">
        <v>0</v>
      </c>
      <c r="P335" s="100">
        <v>0</v>
      </c>
      <c r="Q335" s="271"/>
      <c r="R335" s="100"/>
      <c r="S335" s="100">
        <v>0</v>
      </c>
      <c r="T335" s="100">
        <v>3</v>
      </c>
      <c r="U335" s="100">
        <v>0</v>
      </c>
      <c r="V335" s="666">
        <v>0</v>
      </c>
      <c r="W335" s="97"/>
      <c r="X335" s="97">
        <f t="shared" si="5"/>
        <v>0</v>
      </c>
      <c r="Y335" s="97"/>
      <c r="AC335" s="100">
        <v>0</v>
      </c>
    </row>
    <row r="336" spans="1:29" ht="15.95" customHeight="1" x14ac:dyDescent="0.2">
      <c r="A336" s="667"/>
      <c r="B336" s="44"/>
      <c r="C336" s="150" t="s">
        <v>291</v>
      </c>
      <c r="D336" s="304"/>
      <c r="E336" s="103"/>
      <c r="F336" s="104">
        <v>0</v>
      </c>
      <c r="G336" s="103"/>
      <c r="H336" s="103"/>
      <c r="I336" s="104">
        <v>3</v>
      </c>
      <c r="J336" s="103">
        <v>0</v>
      </c>
      <c r="K336" s="103"/>
      <c r="L336" s="103">
        <v>17</v>
      </c>
      <c r="M336" s="103">
        <v>0</v>
      </c>
      <c r="N336" s="103"/>
      <c r="O336" s="103">
        <v>0</v>
      </c>
      <c r="P336" s="103">
        <v>0</v>
      </c>
      <c r="Q336" s="272">
        <v>0.32400000000000001</v>
      </c>
      <c r="R336" s="103"/>
      <c r="S336" s="103">
        <v>0</v>
      </c>
      <c r="T336" s="103">
        <v>5</v>
      </c>
      <c r="U336" s="103">
        <v>0</v>
      </c>
      <c r="V336" s="668">
        <v>24.545454545454543</v>
      </c>
      <c r="W336" s="97"/>
      <c r="X336" s="97">
        <f t="shared" si="5"/>
        <v>0</v>
      </c>
      <c r="Y336" s="97"/>
      <c r="AC336" s="103">
        <v>0</v>
      </c>
    </row>
    <row r="337" spans="1:29" ht="15.95" customHeight="1" x14ac:dyDescent="0.2">
      <c r="A337" s="665"/>
      <c r="B337" s="42">
        <v>2009</v>
      </c>
      <c r="C337" s="149" t="s">
        <v>412</v>
      </c>
      <c r="D337" s="303">
        <v>24</v>
      </c>
      <c r="E337" s="100"/>
      <c r="F337" s="101">
        <v>4.6946972000000002</v>
      </c>
      <c r="G337" s="100"/>
      <c r="H337" s="100"/>
      <c r="I337" s="101">
        <v>3</v>
      </c>
      <c r="J337" s="100">
        <v>51</v>
      </c>
      <c r="K337" s="100">
        <v>18</v>
      </c>
      <c r="L337" s="100">
        <f>36-L334</f>
        <v>18</v>
      </c>
      <c r="M337" s="100">
        <v>3</v>
      </c>
      <c r="N337" s="100"/>
      <c r="O337" s="100">
        <v>0</v>
      </c>
      <c r="P337" s="100">
        <v>0</v>
      </c>
      <c r="Q337" s="102">
        <v>1.073</v>
      </c>
      <c r="R337" s="100"/>
      <c r="S337" s="100">
        <v>5</v>
      </c>
      <c r="T337" s="100">
        <v>3</v>
      </c>
      <c r="U337" s="100">
        <v>12</v>
      </c>
      <c r="V337" s="666">
        <v>25</v>
      </c>
      <c r="W337" s="100"/>
      <c r="X337" s="97">
        <f t="shared" si="5"/>
        <v>12</v>
      </c>
      <c r="Y337" s="97"/>
      <c r="AC337" s="100">
        <v>12477.52247752248</v>
      </c>
    </row>
    <row r="338" spans="1:29" ht="15.95" customHeight="1" x14ac:dyDescent="0.2">
      <c r="A338" s="665"/>
      <c r="B338" s="43"/>
      <c r="C338" s="149" t="s">
        <v>413</v>
      </c>
      <c r="D338" s="303">
        <v>24</v>
      </c>
      <c r="E338" s="100"/>
      <c r="F338" s="101">
        <v>4.6946972000000002</v>
      </c>
      <c r="G338" s="100"/>
      <c r="H338" s="100"/>
      <c r="I338" s="101"/>
      <c r="J338" s="100">
        <v>1</v>
      </c>
      <c r="K338" s="100"/>
      <c r="L338" s="100"/>
      <c r="M338" s="100">
        <v>0</v>
      </c>
      <c r="N338" s="100"/>
      <c r="O338" s="100">
        <v>0</v>
      </c>
      <c r="P338" s="100">
        <v>0</v>
      </c>
      <c r="Q338" s="271"/>
      <c r="R338" s="100"/>
      <c r="S338" s="100">
        <v>0</v>
      </c>
      <c r="T338" s="100">
        <v>3</v>
      </c>
      <c r="U338" s="100">
        <v>0</v>
      </c>
      <c r="V338" s="666">
        <v>0</v>
      </c>
      <c r="W338" s="97"/>
      <c r="X338" s="97">
        <f t="shared" si="5"/>
        <v>0</v>
      </c>
      <c r="Y338" s="97"/>
      <c r="AC338" s="100">
        <v>0</v>
      </c>
    </row>
    <row r="339" spans="1:29" ht="15.95" customHeight="1" thickBot="1" x14ac:dyDescent="0.25">
      <c r="A339" s="669"/>
      <c r="B339" s="45"/>
      <c r="C339" s="151" t="s">
        <v>414</v>
      </c>
      <c r="D339" s="305"/>
      <c r="E339" s="105"/>
      <c r="F339" s="106">
        <v>4.9294288000000002</v>
      </c>
      <c r="G339" s="105"/>
      <c r="H339" s="105"/>
      <c r="I339" s="106"/>
      <c r="J339" s="105">
        <v>40</v>
      </c>
      <c r="K339" s="105"/>
      <c r="L339" s="105">
        <v>35</v>
      </c>
      <c r="M339" s="105">
        <v>0</v>
      </c>
      <c r="N339" s="105"/>
      <c r="O339" s="105">
        <v>0</v>
      </c>
      <c r="P339" s="105">
        <v>0</v>
      </c>
      <c r="Q339" s="273">
        <v>0.20499999999999999</v>
      </c>
      <c r="R339" s="105"/>
      <c r="S339" s="105">
        <v>0</v>
      </c>
      <c r="T339" s="105">
        <v>0</v>
      </c>
      <c r="U339" s="105">
        <v>12</v>
      </c>
      <c r="V339" s="670">
        <v>25</v>
      </c>
      <c r="W339" s="97"/>
      <c r="X339" s="97">
        <f t="shared" si="5"/>
        <v>12</v>
      </c>
      <c r="Y339" s="97">
        <f>+IF((AC339-ROUND(AC339,-3)&gt;400)*AND(AC339-ROUND(AC339,-3)&lt;500),1,0)</f>
        <v>1</v>
      </c>
      <c r="AC339" s="105">
        <v>12477.52247752248</v>
      </c>
    </row>
    <row r="340" spans="1:29" ht="15.95" customHeight="1" thickTop="1" x14ac:dyDescent="0.2">
      <c r="A340" s="665" t="s">
        <v>151</v>
      </c>
      <c r="B340" s="42">
        <v>2008</v>
      </c>
      <c r="C340" s="148" t="s">
        <v>289</v>
      </c>
      <c r="D340" s="303">
        <v>439</v>
      </c>
      <c r="E340" s="100">
        <v>28</v>
      </c>
      <c r="F340" s="101">
        <v>112.67289600000001</v>
      </c>
      <c r="G340" s="100">
        <v>72.679542203147363</v>
      </c>
      <c r="H340" s="100">
        <v>37</v>
      </c>
      <c r="I340" s="101">
        <v>77</v>
      </c>
      <c r="J340" s="100">
        <v>8</v>
      </c>
      <c r="K340" s="100">
        <v>71</v>
      </c>
      <c r="L340" s="100">
        <v>162</v>
      </c>
      <c r="M340" s="100">
        <v>76</v>
      </c>
      <c r="N340" s="100"/>
      <c r="O340" s="100">
        <v>3</v>
      </c>
      <c r="P340" s="100">
        <v>4</v>
      </c>
      <c r="Q340" s="271">
        <v>37.353999999999999</v>
      </c>
      <c r="R340" s="100">
        <v>95</v>
      </c>
      <c r="S340" s="100">
        <v>111</v>
      </c>
      <c r="T340" s="100">
        <v>5</v>
      </c>
      <c r="U340" s="100">
        <v>11</v>
      </c>
      <c r="V340" s="666">
        <v>158.37232142857141</v>
      </c>
      <c r="W340" s="97"/>
      <c r="X340" s="97">
        <f t="shared" si="5"/>
        <v>11</v>
      </c>
      <c r="Y340" s="97"/>
      <c r="AC340" s="100">
        <v>11385.597082953509</v>
      </c>
    </row>
    <row r="341" spans="1:29" ht="15.95" customHeight="1" x14ac:dyDescent="0.2">
      <c r="A341" s="665"/>
      <c r="B341" s="43"/>
      <c r="C341" s="149" t="s">
        <v>290</v>
      </c>
      <c r="D341" s="303"/>
      <c r="E341" s="100">
        <v>0</v>
      </c>
      <c r="F341" s="101">
        <v>0</v>
      </c>
      <c r="G341" s="100">
        <v>0</v>
      </c>
      <c r="H341" s="100">
        <v>37</v>
      </c>
      <c r="I341" s="101">
        <v>77</v>
      </c>
      <c r="J341" s="100">
        <v>8</v>
      </c>
      <c r="K341" s="100">
        <v>71</v>
      </c>
      <c r="L341" s="100">
        <v>162</v>
      </c>
      <c r="M341" s="100">
        <v>76</v>
      </c>
      <c r="N341" s="100"/>
      <c r="O341" s="100">
        <v>0</v>
      </c>
      <c r="P341" s="100">
        <v>0</v>
      </c>
      <c r="Q341" s="271"/>
      <c r="R341" s="100">
        <v>95</v>
      </c>
      <c r="S341" s="100">
        <v>111</v>
      </c>
      <c r="T341" s="100">
        <v>0</v>
      </c>
      <c r="U341" s="100">
        <v>0</v>
      </c>
      <c r="V341" s="666">
        <v>151.78571428571428</v>
      </c>
      <c r="W341" s="97"/>
      <c r="X341" s="97">
        <f t="shared" si="5"/>
        <v>0</v>
      </c>
      <c r="Y341" s="97"/>
      <c r="AC341" s="100">
        <v>0</v>
      </c>
    </row>
    <row r="342" spans="1:29" ht="15.95" customHeight="1" x14ac:dyDescent="0.2">
      <c r="A342" s="667"/>
      <c r="B342" s="44"/>
      <c r="C342" s="150" t="s">
        <v>291</v>
      </c>
      <c r="D342" s="304">
        <v>883</v>
      </c>
      <c r="E342" s="103">
        <v>0</v>
      </c>
      <c r="F342" s="104">
        <v>52.06776</v>
      </c>
      <c r="G342" s="103">
        <v>0</v>
      </c>
      <c r="H342" s="103">
        <v>0</v>
      </c>
      <c r="I342" s="104"/>
      <c r="J342" s="103">
        <v>1</v>
      </c>
      <c r="K342" s="103"/>
      <c r="L342" s="103"/>
      <c r="M342" s="103">
        <v>0</v>
      </c>
      <c r="N342" s="103"/>
      <c r="O342" s="103">
        <v>0</v>
      </c>
      <c r="P342" s="103">
        <v>4</v>
      </c>
      <c r="Q342" s="272"/>
      <c r="R342" s="103">
        <v>0</v>
      </c>
      <c r="S342" s="103">
        <v>65</v>
      </c>
      <c r="T342" s="103">
        <v>4</v>
      </c>
      <c r="U342" s="103">
        <v>17</v>
      </c>
      <c r="V342" s="668">
        <v>7.2727272727272725</v>
      </c>
      <c r="W342" s="97"/>
      <c r="X342" s="97">
        <f t="shared" si="5"/>
        <v>17</v>
      </c>
      <c r="Y342" s="97"/>
      <c r="AC342" s="103">
        <v>17078.395624430264</v>
      </c>
    </row>
    <row r="343" spans="1:29" ht="15.95" customHeight="1" x14ac:dyDescent="0.2">
      <c r="A343" s="665"/>
      <c r="B343" s="42">
        <v>2009</v>
      </c>
      <c r="C343" s="149" t="s">
        <v>412</v>
      </c>
      <c r="D343" s="303">
        <v>585</v>
      </c>
      <c r="E343" s="100">
        <v>29</v>
      </c>
      <c r="F343" s="101">
        <v>112.67289600000001</v>
      </c>
      <c r="G343" s="100">
        <v>75.531024531024542</v>
      </c>
      <c r="H343" s="100">
        <v>42</v>
      </c>
      <c r="I343" s="101">
        <v>77</v>
      </c>
      <c r="J343" s="100">
        <v>7</v>
      </c>
      <c r="K343" s="100">
        <v>71</v>
      </c>
      <c r="L343" s="100">
        <f>324-L340</f>
        <v>162</v>
      </c>
      <c r="M343" s="100">
        <v>76</v>
      </c>
      <c r="N343" s="100"/>
      <c r="O343" s="100">
        <v>3</v>
      </c>
      <c r="P343" s="100">
        <v>4</v>
      </c>
      <c r="Q343" s="102">
        <v>35.405999999999999</v>
      </c>
      <c r="R343" s="100">
        <v>97</v>
      </c>
      <c r="S343" s="100">
        <v>111</v>
      </c>
      <c r="T343" s="100">
        <v>6</v>
      </c>
      <c r="U343" s="100">
        <v>12</v>
      </c>
      <c r="V343" s="666">
        <v>151.83124999999998</v>
      </c>
      <c r="W343" s="100"/>
      <c r="X343" s="97">
        <f t="shared" si="5"/>
        <v>12</v>
      </c>
      <c r="Y343" s="97"/>
      <c r="AC343" s="100">
        <v>12477.52247752248</v>
      </c>
    </row>
    <row r="344" spans="1:29" ht="15.95" customHeight="1" x14ac:dyDescent="0.2">
      <c r="A344" s="665"/>
      <c r="B344" s="43"/>
      <c r="C344" s="149" t="s">
        <v>413</v>
      </c>
      <c r="D344" s="303">
        <v>552</v>
      </c>
      <c r="E344" s="100">
        <v>0</v>
      </c>
      <c r="F344" s="101">
        <v>0</v>
      </c>
      <c r="G344" s="100">
        <v>0</v>
      </c>
      <c r="H344" s="100">
        <v>42</v>
      </c>
      <c r="I344" s="101"/>
      <c r="J344" s="100">
        <v>1</v>
      </c>
      <c r="K344" s="100">
        <v>71</v>
      </c>
      <c r="L344" s="100">
        <v>162</v>
      </c>
      <c r="M344" s="100">
        <v>76</v>
      </c>
      <c r="N344" s="100"/>
      <c r="O344" s="100">
        <v>0</v>
      </c>
      <c r="P344" s="100">
        <v>0</v>
      </c>
      <c r="Q344" s="271"/>
      <c r="R344" s="100">
        <v>97</v>
      </c>
      <c r="S344" s="100">
        <v>111</v>
      </c>
      <c r="T344" s="100">
        <v>0</v>
      </c>
      <c r="U344" s="100">
        <v>0</v>
      </c>
      <c r="V344" s="666">
        <v>0</v>
      </c>
      <c r="W344" s="97"/>
      <c r="X344" s="97">
        <f t="shared" si="5"/>
        <v>0</v>
      </c>
      <c r="Y344" s="97"/>
      <c r="AC344" s="100">
        <v>0</v>
      </c>
    </row>
    <row r="345" spans="1:29" ht="15.95" customHeight="1" thickBot="1" x14ac:dyDescent="0.25">
      <c r="A345" s="669"/>
      <c r="B345" s="45"/>
      <c r="C345" s="151" t="s">
        <v>414</v>
      </c>
      <c r="D345" s="305">
        <f>465+1</f>
        <v>466</v>
      </c>
      <c r="E345" s="105">
        <v>13</v>
      </c>
      <c r="F345" s="106">
        <v>111.7495172</v>
      </c>
      <c r="G345" s="105">
        <v>72.458874458874462</v>
      </c>
      <c r="H345" s="105">
        <v>0</v>
      </c>
      <c r="I345" s="106"/>
      <c r="J345" s="105">
        <v>0</v>
      </c>
      <c r="K345" s="105"/>
      <c r="L345" s="105"/>
      <c r="M345" s="105">
        <v>0</v>
      </c>
      <c r="N345" s="105"/>
      <c r="O345" s="105">
        <v>3</v>
      </c>
      <c r="P345" s="105">
        <v>0</v>
      </c>
      <c r="Q345" s="273"/>
      <c r="R345" s="105">
        <v>0</v>
      </c>
      <c r="S345" s="105">
        <v>71</v>
      </c>
      <c r="T345" s="105">
        <v>5</v>
      </c>
      <c r="U345" s="105">
        <v>0</v>
      </c>
      <c r="V345" s="670">
        <v>0</v>
      </c>
      <c r="W345" s="97"/>
      <c r="X345" s="97">
        <f t="shared" si="5"/>
        <v>0</v>
      </c>
      <c r="Y345" s="97">
        <f>+IF((AC345-ROUND(AC345,-3)&gt;400)*AND(AC345-ROUND(AC345,-3)&lt;500),1,0)</f>
        <v>0</v>
      </c>
      <c r="AC345" s="105">
        <v>0</v>
      </c>
    </row>
    <row r="346" spans="1:29" ht="15.95" customHeight="1" thickTop="1" x14ac:dyDescent="0.2">
      <c r="A346" s="665" t="s">
        <v>152</v>
      </c>
      <c r="B346" s="42">
        <v>2008</v>
      </c>
      <c r="C346" s="148" t="s">
        <v>289</v>
      </c>
      <c r="D346" s="303">
        <v>384</v>
      </c>
      <c r="E346" s="100">
        <v>23</v>
      </c>
      <c r="F346" s="101">
        <v>98.588790799999998</v>
      </c>
      <c r="G346" s="100">
        <v>62.969957081545068</v>
      </c>
      <c r="H346" s="100">
        <v>37</v>
      </c>
      <c r="I346" s="101">
        <v>67</v>
      </c>
      <c r="J346" s="100">
        <v>21</v>
      </c>
      <c r="K346" s="100">
        <v>71</v>
      </c>
      <c r="L346" s="100">
        <v>162</v>
      </c>
      <c r="M346" s="100">
        <v>66</v>
      </c>
      <c r="N346" s="100"/>
      <c r="O346" s="100">
        <v>3</v>
      </c>
      <c r="P346" s="100">
        <v>3</v>
      </c>
      <c r="Q346" s="271">
        <v>32.826000000000001</v>
      </c>
      <c r="R346" s="100">
        <v>59</v>
      </c>
      <c r="S346" s="100">
        <v>97</v>
      </c>
      <c r="T346" s="100">
        <v>5</v>
      </c>
      <c r="U346" s="100">
        <v>11</v>
      </c>
      <c r="V346" s="666">
        <v>139.25178571428569</v>
      </c>
      <c r="W346" s="97"/>
      <c r="X346" s="97">
        <f t="shared" si="5"/>
        <v>11</v>
      </c>
      <c r="Y346" s="97"/>
      <c r="AC346" s="100">
        <v>11385.597082953509</v>
      </c>
    </row>
    <row r="347" spans="1:29" ht="15.95" customHeight="1" x14ac:dyDescent="0.2">
      <c r="A347" s="665"/>
      <c r="B347" s="43"/>
      <c r="C347" s="149" t="s">
        <v>290</v>
      </c>
      <c r="D347" s="303"/>
      <c r="E347" s="100">
        <v>22</v>
      </c>
      <c r="F347" s="101">
        <v>92.566411600000009</v>
      </c>
      <c r="G347" s="100">
        <v>62.061516452074393</v>
      </c>
      <c r="H347" s="100">
        <v>37</v>
      </c>
      <c r="I347" s="101">
        <f>67-67</f>
        <v>0</v>
      </c>
      <c r="J347" s="100">
        <v>0</v>
      </c>
      <c r="K347" s="100">
        <v>71</v>
      </c>
      <c r="L347" s="100">
        <v>162</v>
      </c>
      <c r="M347" s="100">
        <v>66</v>
      </c>
      <c r="N347" s="100">
        <v>50</v>
      </c>
      <c r="O347" s="100">
        <v>3</v>
      </c>
      <c r="P347" s="100">
        <v>3</v>
      </c>
      <c r="Q347" s="271"/>
      <c r="R347" s="100">
        <v>59</v>
      </c>
      <c r="S347" s="100">
        <v>97</v>
      </c>
      <c r="T347" s="100">
        <v>0</v>
      </c>
      <c r="U347" s="100">
        <v>11</v>
      </c>
      <c r="V347" s="666">
        <v>139.28571428571428</v>
      </c>
      <c r="W347" s="97"/>
      <c r="X347" s="97">
        <f t="shared" si="5"/>
        <v>11</v>
      </c>
      <c r="Y347" s="97"/>
      <c r="AC347" s="100">
        <v>11356.253418413855</v>
      </c>
    </row>
    <row r="348" spans="1:29" ht="15.95" customHeight="1" x14ac:dyDescent="0.2">
      <c r="A348" s="667"/>
      <c r="B348" s="44"/>
      <c r="C348" s="150" t="s">
        <v>291</v>
      </c>
      <c r="D348" s="304">
        <v>384</v>
      </c>
      <c r="E348" s="103">
        <v>12</v>
      </c>
      <c r="F348" s="104">
        <v>0</v>
      </c>
      <c r="G348" s="103">
        <v>0</v>
      </c>
      <c r="H348" s="103">
        <v>0</v>
      </c>
      <c r="I348" s="104"/>
      <c r="J348" s="103">
        <v>0</v>
      </c>
      <c r="K348" s="103"/>
      <c r="L348" s="103"/>
      <c r="M348" s="103">
        <v>0</v>
      </c>
      <c r="N348" s="103"/>
      <c r="O348" s="103">
        <v>0</v>
      </c>
      <c r="P348" s="103">
        <v>0</v>
      </c>
      <c r="Q348" s="272">
        <v>3.331</v>
      </c>
      <c r="R348" s="103">
        <v>0</v>
      </c>
      <c r="S348" s="103">
        <v>15</v>
      </c>
      <c r="T348" s="103">
        <v>0</v>
      </c>
      <c r="U348" s="103">
        <v>0</v>
      </c>
      <c r="V348" s="668">
        <v>0</v>
      </c>
      <c r="W348" s="97"/>
      <c r="X348" s="97">
        <f t="shared" si="5"/>
        <v>0</v>
      </c>
      <c r="Y348" s="97"/>
      <c r="AC348" s="103">
        <v>0</v>
      </c>
    </row>
    <row r="349" spans="1:29" ht="15.95" customHeight="1" x14ac:dyDescent="0.2">
      <c r="A349" s="665"/>
      <c r="B349" s="42">
        <v>2009</v>
      </c>
      <c r="C349" s="149" t="s">
        <v>412</v>
      </c>
      <c r="D349" s="303">
        <v>512</v>
      </c>
      <c r="E349" s="100">
        <v>24</v>
      </c>
      <c r="F349" s="101">
        <v>98.588790799999998</v>
      </c>
      <c r="G349" s="100">
        <v>65.679653679653683</v>
      </c>
      <c r="H349" s="100">
        <v>42</v>
      </c>
      <c r="I349" s="101">
        <v>67</v>
      </c>
      <c r="J349" s="100">
        <v>19</v>
      </c>
      <c r="K349" s="100">
        <v>71</v>
      </c>
      <c r="L349" s="100">
        <f>324-L346</f>
        <v>162</v>
      </c>
      <c r="M349" s="100">
        <v>66</v>
      </c>
      <c r="N349" s="100"/>
      <c r="O349" s="100">
        <v>2</v>
      </c>
      <c r="P349" s="100">
        <v>3</v>
      </c>
      <c r="Q349" s="102">
        <v>31.114000000000001</v>
      </c>
      <c r="R349" s="100">
        <v>64</v>
      </c>
      <c r="S349" s="100">
        <v>97</v>
      </c>
      <c r="T349" s="100">
        <v>6</v>
      </c>
      <c r="U349" s="100">
        <v>12</v>
      </c>
      <c r="V349" s="666">
        <v>148.22142857142856</v>
      </c>
      <c r="W349" s="100"/>
      <c r="X349" s="97">
        <f t="shared" si="5"/>
        <v>12</v>
      </c>
      <c r="Y349" s="97"/>
      <c r="AC349" s="100">
        <v>12477.52247752248</v>
      </c>
    </row>
    <row r="350" spans="1:29" ht="15.95" customHeight="1" x14ac:dyDescent="0.2">
      <c r="A350" s="665"/>
      <c r="B350" s="43"/>
      <c r="C350" s="149" t="s">
        <v>413</v>
      </c>
      <c r="D350" s="303">
        <v>128</v>
      </c>
      <c r="E350" s="100">
        <v>24</v>
      </c>
      <c r="F350" s="101">
        <v>98.588790799999998</v>
      </c>
      <c r="G350" s="100">
        <v>41.688311688311686</v>
      </c>
      <c r="H350" s="100">
        <v>42</v>
      </c>
      <c r="I350" s="101">
        <v>12</v>
      </c>
      <c r="J350" s="100">
        <v>19</v>
      </c>
      <c r="K350" s="100">
        <v>71</v>
      </c>
      <c r="L350" s="100">
        <v>162</v>
      </c>
      <c r="M350" s="100">
        <v>66</v>
      </c>
      <c r="N350" s="100"/>
      <c r="O350" s="100">
        <v>2</v>
      </c>
      <c r="P350" s="100">
        <v>3</v>
      </c>
      <c r="Q350" s="271"/>
      <c r="R350" s="100">
        <v>64</v>
      </c>
      <c r="S350" s="100">
        <v>97</v>
      </c>
      <c r="T350" s="100">
        <v>6</v>
      </c>
      <c r="U350" s="100">
        <v>12</v>
      </c>
      <c r="V350" s="666">
        <v>148</v>
      </c>
      <c r="W350" s="97"/>
      <c r="X350" s="97">
        <f t="shared" si="5"/>
        <v>12</v>
      </c>
      <c r="Y350" s="97"/>
      <c r="AC350" s="100">
        <v>12477.52247752248</v>
      </c>
    </row>
    <row r="351" spans="1:29" ht="15.95" customHeight="1" thickBot="1" x14ac:dyDescent="0.25">
      <c r="A351" s="669"/>
      <c r="B351" s="45"/>
      <c r="C351" s="151" t="s">
        <v>414</v>
      </c>
      <c r="D351" s="305">
        <v>467</v>
      </c>
      <c r="E351" s="105">
        <v>1</v>
      </c>
      <c r="F351" s="106">
        <v>6.0223792000000014</v>
      </c>
      <c r="G351" s="105">
        <v>0</v>
      </c>
      <c r="H351" s="105">
        <v>0</v>
      </c>
      <c r="I351" s="106">
        <f>67-1</f>
        <v>66</v>
      </c>
      <c r="J351" s="105">
        <v>18</v>
      </c>
      <c r="K351" s="105"/>
      <c r="L351" s="105"/>
      <c r="M351" s="105">
        <v>0</v>
      </c>
      <c r="N351" s="105"/>
      <c r="O351" s="105">
        <v>0</v>
      </c>
      <c r="P351" s="105">
        <v>0</v>
      </c>
      <c r="Q351" s="273">
        <v>0.64</v>
      </c>
      <c r="R351" s="105">
        <v>0</v>
      </c>
      <c r="S351" s="105">
        <v>0</v>
      </c>
      <c r="T351" s="105">
        <v>0</v>
      </c>
      <c r="U351" s="105">
        <v>0</v>
      </c>
      <c r="V351" s="670">
        <v>0</v>
      </c>
      <c r="W351" s="97"/>
      <c r="X351" s="97">
        <f t="shared" si="5"/>
        <v>0</v>
      </c>
      <c r="Y351" s="97">
        <f>+IF((AC351-ROUND(AC351,-3)&gt;400)*AND(AC351-ROUND(AC351,-3)&lt;500),1,0)</f>
        <v>0</v>
      </c>
      <c r="AC351" s="105">
        <v>32.157842157842161</v>
      </c>
    </row>
    <row r="352" spans="1:29" ht="15.95" customHeight="1" thickTop="1" x14ac:dyDescent="0.2">
      <c r="A352" s="665" t="s">
        <v>153</v>
      </c>
      <c r="B352" s="42">
        <v>2008</v>
      </c>
      <c r="C352" s="148" t="s">
        <v>289</v>
      </c>
      <c r="D352" s="303">
        <v>1610</v>
      </c>
      <c r="E352" s="100">
        <v>109</v>
      </c>
      <c r="F352" s="101">
        <v>417.82866280000007</v>
      </c>
      <c r="G352" s="100">
        <v>270.89556509299001</v>
      </c>
      <c r="H352" s="100">
        <v>103</v>
      </c>
      <c r="I352" s="101">
        <v>282</v>
      </c>
      <c r="J352" s="100">
        <v>80</v>
      </c>
      <c r="K352" s="100">
        <v>142</v>
      </c>
      <c r="L352" s="100"/>
      <c r="M352" s="100">
        <v>278</v>
      </c>
      <c r="N352" s="100"/>
      <c r="O352" s="100">
        <v>10</v>
      </c>
      <c r="P352" s="100">
        <v>14</v>
      </c>
      <c r="Q352" s="271">
        <v>138.09700000000001</v>
      </c>
      <c r="R352" s="100">
        <v>152</v>
      </c>
      <c r="S352" s="100">
        <v>408</v>
      </c>
      <c r="T352" s="100">
        <v>5</v>
      </c>
      <c r="U352" s="100">
        <v>52</v>
      </c>
      <c r="V352" s="666">
        <v>384.33749999999998</v>
      </c>
      <c r="W352" s="97"/>
      <c r="X352" s="97">
        <f>+ROUNDUP(AC352/1000,0)</f>
        <v>52</v>
      </c>
      <c r="Y352" s="97"/>
      <c r="AC352" s="100">
        <v>51235.186873290797</v>
      </c>
    </row>
    <row r="353" spans="1:29" ht="15.95" customHeight="1" x14ac:dyDescent="0.2">
      <c r="A353" s="665"/>
      <c r="B353" s="43"/>
      <c r="C353" s="149" t="s">
        <v>290</v>
      </c>
      <c r="D353" s="303">
        <v>1610</v>
      </c>
      <c r="E353" s="100">
        <v>109</v>
      </c>
      <c r="F353" s="101">
        <v>417.82866280000007</v>
      </c>
      <c r="G353" s="100">
        <v>223.78826895565095</v>
      </c>
      <c r="H353" s="100">
        <v>103</v>
      </c>
      <c r="I353" s="101">
        <v>282</v>
      </c>
      <c r="J353" s="100">
        <v>80</v>
      </c>
      <c r="K353" s="100">
        <v>142</v>
      </c>
      <c r="L353" s="100"/>
      <c r="M353" s="100">
        <v>278</v>
      </c>
      <c r="N353" s="100"/>
      <c r="O353" s="100">
        <v>0</v>
      </c>
      <c r="P353" s="100">
        <v>4</v>
      </c>
      <c r="Q353" s="271">
        <v>24.936</v>
      </c>
      <c r="R353" s="100">
        <v>152</v>
      </c>
      <c r="S353" s="100">
        <v>408</v>
      </c>
      <c r="T353" s="100">
        <v>5</v>
      </c>
      <c r="U353" s="100">
        <v>52</v>
      </c>
      <c r="V353" s="666">
        <v>383.92857142857139</v>
      </c>
      <c r="W353" s="97"/>
      <c r="X353" s="97">
        <f>+ROUNDUP(AC353/1000,0)</f>
        <v>52</v>
      </c>
      <c r="Y353" s="97"/>
      <c r="AC353" s="100">
        <v>51235.186873290797</v>
      </c>
    </row>
    <row r="354" spans="1:29" ht="15.95" customHeight="1" x14ac:dyDescent="0.2">
      <c r="A354" s="667"/>
      <c r="B354" s="44"/>
      <c r="C354" s="150" t="s">
        <v>291</v>
      </c>
      <c r="D354" s="304"/>
      <c r="E354" s="103">
        <v>0</v>
      </c>
      <c r="F354" s="104">
        <v>0</v>
      </c>
      <c r="G354" s="103">
        <v>0</v>
      </c>
      <c r="H354" s="103">
        <v>0</v>
      </c>
      <c r="I354" s="104"/>
      <c r="J354" s="103">
        <v>0</v>
      </c>
      <c r="K354" s="103"/>
      <c r="L354" s="103"/>
      <c r="M354" s="103">
        <v>0</v>
      </c>
      <c r="N354" s="103"/>
      <c r="O354" s="103">
        <v>0</v>
      </c>
      <c r="P354" s="103">
        <v>0</v>
      </c>
      <c r="Q354" s="272"/>
      <c r="R354" s="103">
        <v>0</v>
      </c>
      <c r="S354" s="103">
        <v>0</v>
      </c>
      <c r="T354" s="103">
        <v>0</v>
      </c>
      <c r="U354" s="103">
        <v>0</v>
      </c>
      <c r="V354" s="668">
        <v>0</v>
      </c>
      <c r="W354" s="97"/>
      <c r="X354" s="97">
        <f t="shared" si="5"/>
        <v>0</v>
      </c>
      <c r="Y354" s="97"/>
      <c r="AC354" s="103">
        <v>0</v>
      </c>
    </row>
    <row r="355" spans="1:29" ht="15.95" customHeight="1" x14ac:dyDescent="0.2">
      <c r="A355" s="665"/>
      <c r="B355" s="42">
        <v>2009</v>
      </c>
      <c r="C355" s="149" t="s">
        <v>412</v>
      </c>
      <c r="D355" s="303">
        <v>2144</v>
      </c>
      <c r="E355" s="100">
        <v>100</v>
      </c>
      <c r="F355" s="101">
        <v>417.82866280000007</v>
      </c>
      <c r="G355" s="100">
        <v>284.19191919191923</v>
      </c>
      <c r="H355" s="100">
        <v>114</v>
      </c>
      <c r="I355" s="101">
        <v>282</v>
      </c>
      <c r="J355" s="100">
        <v>64</v>
      </c>
      <c r="K355" s="100">
        <v>142</v>
      </c>
      <c r="L355" s="100"/>
      <c r="M355" s="100">
        <v>278</v>
      </c>
      <c r="N355" s="100"/>
      <c r="O355" s="100">
        <v>10</v>
      </c>
      <c r="P355" s="100">
        <v>14</v>
      </c>
      <c r="Q355" s="102">
        <v>130.89400000000001</v>
      </c>
      <c r="R355" s="100">
        <v>143</v>
      </c>
      <c r="S355" s="100">
        <v>408</v>
      </c>
      <c r="T355" s="100">
        <v>6</v>
      </c>
      <c r="U355" s="100">
        <v>57</v>
      </c>
      <c r="V355" s="666">
        <v>406.34375</v>
      </c>
      <c r="W355" s="100"/>
      <c r="X355" s="97">
        <f>+ROUNDUP(AC355/1000,0)</f>
        <v>57</v>
      </c>
      <c r="Y355" s="97"/>
      <c r="AC355" s="100">
        <v>56148.851148851158</v>
      </c>
    </row>
    <row r="356" spans="1:29" ht="15.95" customHeight="1" x14ac:dyDescent="0.2">
      <c r="A356" s="665"/>
      <c r="B356" s="43"/>
      <c r="C356" s="149" t="s">
        <v>413</v>
      </c>
      <c r="D356" s="303">
        <v>2144</v>
      </c>
      <c r="E356" s="100">
        <v>100</v>
      </c>
      <c r="F356" s="101">
        <v>417.82866280000007</v>
      </c>
      <c r="G356" s="100">
        <v>284.19191919191923</v>
      </c>
      <c r="H356" s="100">
        <v>114</v>
      </c>
      <c r="I356" s="101">
        <v>282</v>
      </c>
      <c r="J356" s="100">
        <v>64</v>
      </c>
      <c r="K356" s="100">
        <v>142</v>
      </c>
      <c r="L356" s="100"/>
      <c r="M356" s="100">
        <v>278</v>
      </c>
      <c r="N356" s="100"/>
      <c r="O356" s="100">
        <v>0</v>
      </c>
      <c r="P356" s="100">
        <v>0</v>
      </c>
      <c r="Q356" s="102">
        <v>130.89400000000001</v>
      </c>
      <c r="R356" s="100">
        <v>143</v>
      </c>
      <c r="S356" s="100">
        <v>408</v>
      </c>
      <c r="T356" s="100">
        <v>6</v>
      </c>
      <c r="U356" s="100">
        <v>57</v>
      </c>
      <c r="V356" s="666">
        <v>406</v>
      </c>
      <c r="W356" s="97"/>
      <c r="X356" s="97">
        <f>+ROUNDUP(AC356/1000,0)</f>
        <v>57</v>
      </c>
      <c r="Y356" s="97"/>
      <c r="AC356" s="100">
        <v>56148.851148851158</v>
      </c>
    </row>
    <row r="357" spans="1:29" ht="15.95" customHeight="1" thickBot="1" x14ac:dyDescent="0.25">
      <c r="A357" s="669"/>
      <c r="B357" s="45"/>
      <c r="C357" s="151" t="s">
        <v>414</v>
      </c>
      <c r="D357" s="305"/>
      <c r="E357" s="105">
        <v>0</v>
      </c>
      <c r="F357" s="106">
        <v>0</v>
      </c>
      <c r="G357" s="105">
        <v>0</v>
      </c>
      <c r="H357" s="105">
        <v>0</v>
      </c>
      <c r="I357" s="106"/>
      <c r="J357" s="105">
        <v>0</v>
      </c>
      <c r="K357" s="105"/>
      <c r="L357" s="105"/>
      <c r="M357" s="105">
        <v>0</v>
      </c>
      <c r="N357" s="105"/>
      <c r="O357" s="105">
        <v>0</v>
      </c>
      <c r="P357" s="105">
        <v>0</v>
      </c>
      <c r="Q357" s="273">
        <v>107.259</v>
      </c>
      <c r="R357" s="105">
        <v>0</v>
      </c>
      <c r="S357" s="105">
        <v>0</v>
      </c>
      <c r="T357" s="105">
        <v>0</v>
      </c>
      <c r="U357" s="105">
        <v>0</v>
      </c>
      <c r="V357" s="670">
        <v>0</v>
      </c>
      <c r="W357" s="97"/>
      <c r="X357" s="97">
        <f t="shared" si="5"/>
        <v>0</v>
      </c>
      <c r="Y357" s="97">
        <f>+IF((AC357-ROUND(AC357,-3)&gt;400)*AND(AC357-ROUND(AC357,-3)&lt;500),1,0)</f>
        <v>0</v>
      </c>
      <c r="AC357" s="105">
        <v>0</v>
      </c>
    </row>
    <row r="358" spans="1:29" ht="15.95" customHeight="1" thickTop="1" x14ac:dyDescent="0.2">
      <c r="A358" s="665" t="s">
        <v>154</v>
      </c>
      <c r="B358" s="42">
        <v>2008</v>
      </c>
      <c r="C358" s="148" t="s">
        <v>289</v>
      </c>
      <c r="D358" s="303">
        <v>366</v>
      </c>
      <c r="E358" s="100">
        <v>23</v>
      </c>
      <c r="F358" s="101">
        <v>93.894080000000017</v>
      </c>
      <c r="G358" s="100">
        <v>60.038626609442062</v>
      </c>
      <c r="H358" s="100">
        <v>37</v>
      </c>
      <c r="I358" s="101">
        <v>64</v>
      </c>
      <c r="J358" s="100">
        <v>8</v>
      </c>
      <c r="K358" s="100">
        <v>71</v>
      </c>
      <c r="L358" s="100">
        <v>63</v>
      </c>
      <c r="M358" s="100">
        <v>63</v>
      </c>
      <c r="N358" s="100"/>
      <c r="O358" s="100">
        <v>2</v>
      </c>
      <c r="P358" s="100">
        <v>3</v>
      </c>
      <c r="Q358" s="271">
        <v>31.693999999999999</v>
      </c>
      <c r="R358" s="100">
        <v>63</v>
      </c>
      <c r="S358" s="100">
        <v>93</v>
      </c>
      <c r="T358" s="100">
        <v>5</v>
      </c>
      <c r="U358" s="100">
        <v>11</v>
      </c>
      <c r="V358" s="666">
        <v>90.529464285714283</v>
      </c>
      <c r="W358" s="97"/>
      <c r="X358" s="97">
        <f t="shared" si="5"/>
        <v>11</v>
      </c>
      <c r="Y358" s="97"/>
      <c r="AC358" s="100">
        <v>11385.597082953509</v>
      </c>
    </row>
    <row r="359" spans="1:29" ht="15.95" customHeight="1" x14ac:dyDescent="0.2">
      <c r="A359" s="665"/>
      <c r="B359" s="43"/>
      <c r="C359" s="149" t="s">
        <v>290</v>
      </c>
      <c r="D359" s="303">
        <v>366</v>
      </c>
      <c r="E359" s="100">
        <v>0</v>
      </c>
      <c r="F359" s="101">
        <v>93.894080000000017</v>
      </c>
      <c r="G359" s="100">
        <v>0</v>
      </c>
      <c r="H359" s="100">
        <v>0</v>
      </c>
      <c r="I359" s="101">
        <f>59-59</f>
        <v>0</v>
      </c>
      <c r="J359" s="100">
        <v>0</v>
      </c>
      <c r="K359" s="100">
        <v>71</v>
      </c>
      <c r="L359" s="100">
        <v>63</v>
      </c>
      <c r="M359" s="100">
        <v>0</v>
      </c>
      <c r="N359" s="100"/>
      <c r="O359" s="100">
        <v>0</v>
      </c>
      <c r="P359" s="100">
        <v>0</v>
      </c>
      <c r="Q359" s="271"/>
      <c r="R359" s="100">
        <v>63</v>
      </c>
      <c r="S359" s="100">
        <v>93</v>
      </c>
      <c r="T359" s="100">
        <v>5</v>
      </c>
      <c r="U359" s="100">
        <v>0</v>
      </c>
      <c r="V359" s="666">
        <v>0</v>
      </c>
      <c r="W359" s="97"/>
      <c r="X359" s="97">
        <f t="shared" si="5"/>
        <v>0</v>
      </c>
      <c r="Y359" s="97"/>
      <c r="AC359" s="100">
        <v>0</v>
      </c>
    </row>
    <row r="360" spans="1:29" ht="15.95" customHeight="1" x14ac:dyDescent="0.2">
      <c r="A360" s="667"/>
      <c r="B360" s="44"/>
      <c r="C360" s="150" t="s">
        <v>291</v>
      </c>
      <c r="D360" s="304"/>
      <c r="E360" s="103">
        <v>0</v>
      </c>
      <c r="F360" s="104">
        <v>0</v>
      </c>
      <c r="G360" s="103">
        <v>0</v>
      </c>
      <c r="H360" s="103">
        <v>0</v>
      </c>
      <c r="I360" s="104"/>
      <c r="J360" s="103">
        <v>0</v>
      </c>
      <c r="K360" s="103"/>
      <c r="L360" s="103"/>
      <c r="M360" s="103">
        <v>0</v>
      </c>
      <c r="N360" s="103"/>
      <c r="O360" s="103">
        <v>0</v>
      </c>
      <c r="P360" s="103">
        <v>0</v>
      </c>
      <c r="Q360" s="272"/>
      <c r="R360" s="103">
        <v>11</v>
      </c>
      <c r="S360" s="103">
        <v>0</v>
      </c>
      <c r="T360" s="103">
        <v>0</v>
      </c>
      <c r="U360" s="103">
        <v>0</v>
      </c>
      <c r="V360" s="668">
        <v>0</v>
      </c>
      <c r="W360" s="97"/>
      <c r="X360" s="97">
        <f t="shared" si="5"/>
        <v>0</v>
      </c>
      <c r="Y360" s="97"/>
      <c r="AC360" s="103">
        <v>0</v>
      </c>
    </row>
    <row r="361" spans="1:29" ht="15.95" customHeight="1" x14ac:dyDescent="0.2">
      <c r="A361" s="665"/>
      <c r="B361" s="42">
        <v>2009</v>
      </c>
      <c r="C361" s="149" t="s">
        <v>412</v>
      </c>
      <c r="D361" s="303">
        <v>487</v>
      </c>
      <c r="E361" s="100">
        <v>24</v>
      </c>
      <c r="F361" s="101">
        <v>93.894080000000017</v>
      </c>
      <c r="G361" s="100">
        <v>62.393939393939398</v>
      </c>
      <c r="H361" s="100">
        <v>42</v>
      </c>
      <c r="I361" s="101">
        <v>64</v>
      </c>
      <c r="J361" s="100">
        <v>7</v>
      </c>
      <c r="K361" s="100">
        <v>71</v>
      </c>
      <c r="L361" s="100">
        <f>126-L358</f>
        <v>63</v>
      </c>
      <c r="M361" s="100">
        <v>63</v>
      </c>
      <c r="N361" s="100"/>
      <c r="O361" s="100">
        <v>2</v>
      </c>
      <c r="P361" s="100">
        <v>3</v>
      </c>
      <c r="Q361" s="102">
        <v>30.041</v>
      </c>
      <c r="R361" s="100">
        <v>64</v>
      </c>
      <c r="S361" s="100">
        <v>93</v>
      </c>
      <c r="T361" s="100">
        <v>6</v>
      </c>
      <c r="U361" s="100">
        <v>12</v>
      </c>
      <c r="V361" s="666">
        <v>88.437499999999986</v>
      </c>
      <c r="W361" s="100"/>
      <c r="X361" s="97">
        <f t="shared" si="5"/>
        <v>12</v>
      </c>
      <c r="Y361" s="97"/>
      <c r="AC361" s="100">
        <v>12477.52247752248</v>
      </c>
    </row>
    <row r="362" spans="1:29" ht="15.95" customHeight="1" x14ac:dyDescent="0.2">
      <c r="A362" s="665"/>
      <c r="B362" s="43"/>
      <c r="C362" s="149" t="s">
        <v>413</v>
      </c>
      <c r="D362" s="303">
        <v>337</v>
      </c>
      <c r="E362" s="100">
        <v>0</v>
      </c>
      <c r="F362" s="101">
        <v>90.090024000000014</v>
      </c>
      <c r="G362" s="100">
        <v>0</v>
      </c>
      <c r="H362" s="100">
        <v>42</v>
      </c>
      <c r="I362" s="101"/>
      <c r="J362" s="100">
        <v>7</v>
      </c>
      <c r="K362" s="100">
        <v>71</v>
      </c>
      <c r="L362" s="100">
        <v>32</v>
      </c>
      <c r="M362" s="100">
        <v>0</v>
      </c>
      <c r="N362" s="100"/>
      <c r="O362" s="100">
        <v>0</v>
      </c>
      <c r="P362" s="100">
        <v>0</v>
      </c>
      <c r="Q362" s="271"/>
      <c r="R362" s="100">
        <v>64</v>
      </c>
      <c r="S362" s="100">
        <v>0</v>
      </c>
      <c r="T362" s="100">
        <v>6</v>
      </c>
      <c r="U362" s="100">
        <v>0</v>
      </c>
      <c r="V362" s="666">
        <v>0</v>
      </c>
      <c r="W362" s="97"/>
      <c r="X362" s="97">
        <f t="shared" si="5"/>
        <v>0</v>
      </c>
      <c r="Y362" s="97"/>
      <c r="AC362" s="100">
        <v>0</v>
      </c>
    </row>
    <row r="363" spans="1:29" ht="15.95" customHeight="1" thickBot="1" x14ac:dyDescent="0.25">
      <c r="A363" s="669"/>
      <c r="B363" s="45"/>
      <c r="C363" s="151" t="s">
        <v>414</v>
      </c>
      <c r="D363" s="305"/>
      <c r="E363" s="105">
        <v>0</v>
      </c>
      <c r="F363" s="106">
        <v>0</v>
      </c>
      <c r="G363" s="105">
        <v>0</v>
      </c>
      <c r="H363" s="105">
        <v>0</v>
      </c>
      <c r="I363" s="106">
        <f>8+59</f>
        <v>67</v>
      </c>
      <c r="J363" s="105">
        <v>7</v>
      </c>
      <c r="K363" s="105"/>
      <c r="L363" s="105"/>
      <c r="M363" s="105">
        <v>60</v>
      </c>
      <c r="N363" s="105"/>
      <c r="O363" s="105">
        <v>0</v>
      </c>
      <c r="P363" s="105">
        <v>0</v>
      </c>
      <c r="Q363" s="273"/>
      <c r="R363" s="105">
        <v>13</v>
      </c>
      <c r="S363" s="105">
        <v>0</v>
      </c>
      <c r="T363" s="105">
        <v>0</v>
      </c>
      <c r="U363" s="105">
        <v>0</v>
      </c>
      <c r="V363" s="670">
        <v>83</v>
      </c>
      <c r="W363" s="97"/>
      <c r="X363" s="97">
        <f t="shared" si="5"/>
        <v>0</v>
      </c>
      <c r="Y363" s="97">
        <f>+IF((AC363-ROUND(AC363,-3)&gt;400)*AND(AC363-ROUND(AC363,-3)&lt;500),1,0)</f>
        <v>0</v>
      </c>
      <c r="AC363" s="105">
        <v>0</v>
      </c>
    </row>
    <row r="364" spans="1:29" ht="15.95" customHeight="1" thickTop="1" x14ac:dyDescent="0.2">
      <c r="A364" s="665" t="s">
        <v>155</v>
      </c>
      <c r="B364" s="42">
        <v>2008</v>
      </c>
      <c r="C364" s="148" t="s">
        <v>289</v>
      </c>
      <c r="D364" s="303">
        <v>37</v>
      </c>
      <c r="E364" s="100">
        <v>2</v>
      </c>
      <c r="F364" s="101">
        <v>9.3894079999999995</v>
      </c>
      <c r="G364" s="100"/>
      <c r="H364" s="100">
        <v>37</v>
      </c>
      <c r="I364" s="101">
        <v>7</v>
      </c>
      <c r="J364" s="100">
        <v>8</v>
      </c>
      <c r="K364" s="100">
        <v>35</v>
      </c>
      <c r="L364" s="100"/>
      <c r="M364" s="100">
        <v>6</v>
      </c>
      <c r="N364" s="100"/>
      <c r="O364" s="100">
        <v>0</v>
      </c>
      <c r="P364" s="100">
        <v>0</v>
      </c>
      <c r="Q364" s="271">
        <v>3.395</v>
      </c>
      <c r="R364" s="100">
        <v>28</v>
      </c>
      <c r="S364" s="100">
        <v>9</v>
      </c>
      <c r="T364" s="100">
        <v>1</v>
      </c>
      <c r="U364" s="100"/>
      <c r="V364" s="666"/>
      <c r="W364" s="97"/>
      <c r="X364" s="97">
        <f t="shared" si="5"/>
        <v>0</v>
      </c>
      <c r="Y364" s="97"/>
      <c r="AC364" s="100"/>
    </row>
    <row r="365" spans="1:29" ht="15.95" customHeight="1" x14ac:dyDescent="0.2">
      <c r="A365" s="665"/>
      <c r="B365" s="43"/>
      <c r="C365" s="149" t="s">
        <v>290</v>
      </c>
      <c r="D365" s="303">
        <v>37</v>
      </c>
      <c r="E365" s="100">
        <v>0</v>
      </c>
      <c r="F365" s="101">
        <v>4.7077724000000005</v>
      </c>
      <c r="G365" s="100"/>
      <c r="H365" s="100">
        <v>37</v>
      </c>
      <c r="I365" s="101">
        <v>7</v>
      </c>
      <c r="J365" s="100">
        <v>8</v>
      </c>
      <c r="K365" s="100">
        <v>35</v>
      </c>
      <c r="L365" s="100"/>
      <c r="M365" s="100">
        <v>6</v>
      </c>
      <c r="N365" s="100"/>
      <c r="O365" s="100">
        <v>0</v>
      </c>
      <c r="P365" s="100">
        <v>0</v>
      </c>
      <c r="Q365" s="271"/>
      <c r="R365" s="100">
        <v>28</v>
      </c>
      <c r="S365" s="100">
        <v>0</v>
      </c>
      <c r="T365" s="100">
        <v>1</v>
      </c>
      <c r="U365" s="100"/>
      <c r="V365" s="666"/>
      <c r="W365" s="97"/>
      <c r="X365" s="97">
        <f t="shared" si="5"/>
        <v>0</v>
      </c>
      <c r="Y365" s="97"/>
      <c r="AC365" s="100"/>
    </row>
    <row r="366" spans="1:29" ht="15.95" customHeight="1" x14ac:dyDescent="0.2">
      <c r="A366" s="667"/>
      <c r="B366" s="44"/>
      <c r="C366" s="150" t="s">
        <v>291</v>
      </c>
      <c r="D366" s="304"/>
      <c r="E366" s="103">
        <v>0</v>
      </c>
      <c r="F366" s="104">
        <v>0</v>
      </c>
      <c r="G366" s="103"/>
      <c r="H366" s="103">
        <v>0</v>
      </c>
      <c r="I366" s="104"/>
      <c r="J366" s="103">
        <v>137</v>
      </c>
      <c r="K366" s="103"/>
      <c r="L366" s="103"/>
      <c r="M366" s="103">
        <v>0</v>
      </c>
      <c r="N366" s="103"/>
      <c r="O366" s="103">
        <v>0</v>
      </c>
      <c r="P366" s="103">
        <v>0</v>
      </c>
      <c r="Q366" s="272">
        <v>1.123</v>
      </c>
      <c r="R366" s="103">
        <v>1</v>
      </c>
      <c r="S366" s="103">
        <v>0</v>
      </c>
      <c r="T366" s="103">
        <v>0</v>
      </c>
      <c r="U366" s="103"/>
      <c r="V366" s="668"/>
      <c r="W366" s="97"/>
      <c r="X366" s="97">
        <f t="shared" si="5"/>
        <v>0</v>
      </c>
      <c r="Y366" s="97"/>
      <c r="AC366" s="103"/>
    </row>
    <row r="367" spans="1:29" ht="15.95" customHeight="1" x14ac:dyDescent="0.2">
      <c r="A367" s="665"/>
      <c r="B367" s="42">
        <v>2009</v>
      </c>
      <c r="C367" s="149" t="s">
        <v>412</v>
      </c>
      <c r="D367" s="303">
        <v>49</v>
      </c>
      <c r="E367" s="100">
        <v>2</v>
      </c>
      <c r="F367" s="101">
        <v>9.3894079999999995</v>
      </c>
      <c r="G367" s="100"/>
      <c r="H367" s="100">
        <v>42</v>
      </c>
      <c r="I367" s="101">
        <v>7</v>
      </c>
      <c r="J367" s="100">
        <v>7</v>
      </c>
      <c r="K367" s="100">
        <v>35</v>
      </c>
      <c r="L367" s="100"/>
      <c r="M367" s="100">
        <v>6</v>
      </c>
      <c r="N367" s="100"/>
      <c r="O367" s="100">
        <v>0</v>
      </c>
      <c r="P367" s="100">
        <v>0</v>
      </c>
      <c r="Q367" s="102">
        <v>3.218</v>
      </c>
      <c r="R367" s="100">
        <v>29</v>
      </c>
      <c r="S367" s="100">
        <v>9</v>
      </c>
      <c r="T367" s="100">
        <v>1</v>
      </c>
      <c r="U367" s="100"/>
      <c r="V367" s="666"/>
      <c r="W367" s="100"/>
      <c r="X367" s="97">
        <f t="shared" si="5"/>
        <v>0</v>
      </c>
      <c r="Y367" s="97"/>
      <c r="AC367" s="100"/>
    </row>
    <row r="368" spans="1:29" ht="15.95" customHeight="1" x14ac:dyDescent="0.2">
      <c r="A368" s="665"/>
      <c r="B368" s="43"/>
      <c r="C368" s="149" t="s">
        <v>413</v>
      </c>
      <c r="D368" s="303">
        <v>49</v>
      </c>
      <c r="E368" s="100">
        <v>0</v>
      </c>
      <c r="F368" s="101">
        <v>0</v>
      </c>
      <c r="G368" s="100"/>
      <c r="H368" s="100">
        <v>42</v>
      </c>
      <c r="I368" s="101">
        <v>7</v>
      </c>
      <c r="J368" s="100">
        <v>0</v>
      </c>
      <c r="K368" s="100"/>
      <c r="L368" s="100"/>
      <c r="M368" s="100">
        <v>6</v>
      </c>
      <c r="N368" s="100"/>
      <c r="O368" s="100">
        <v>0</v>
      </c>
      <c r="P368" s="100">
        <v>0</v>
      </c>
      <c r="Q368" s="271"/>
      <c r="R368" s="100">
        <v>0</v>
      </c>
      <c r="S368" s="100">
        <v>0</v>
      </c>
      <c r="T368" s="100">
        <v>0</v>
      </c>
      <c r="U368" s="100"/>
      <c r="V368" s="666"/>
      <c r="W368" s="97"/>
      <c r="X368" s="97">
        <f t="shared" si="5"/>
        <v>0</v>
      </c>
      <c r="Y368" s="97"/>
      <c r="AC368" s="100"/>
    </row>
    <row r="369" spans="1:29" ht="15.95" customHeight="1" thickBot="1" x14ac:dyDescent="0.25">
      <c r="A369" s="669"/>
      <c r="B369" s="45"/>
      <c r="C369" s="151" t="s">
        <v>414</v>
      </c>
      <c r="D369" s="305"/>
      <c r="E369" s="105">
        <v>0</v>
      </c>
      <c r="F369" s="106">
        <v>0</v>
      </c>
      <c r="G369" s="105"/>
      <c r="H369" s="105">
        <v>0</v>
      </c>
      <c r="I369" s="106"/>
      <c r="J369" s="105">
        <v>0</v>
      </c>
      <c r="K369" s="105"/>
      <c r="L369" s="105"/>
      <c r="M369" s="105">
        <v>0</v>
      </c>
      <c r="N369" s="105"/>
      <c r="O369" s="105">
        <v>0</v>
      </c>
      <c r="P369" s="105">
        <v>0</v>
      </c>
      <c r="Q369" s="273">
        <v>0.17199999999999999</v>
      </c>
      <c r="R369" s="105">
        <v>0</v>
      </c>
      <c r="S369" s="105">
        <v>0</v>
      </c>
      <c r="T369" s="105">
        <v>0</v>
      </c>
      <c r="U369" s="105"/>
      <c r="V369" s="670"/>
      <c r="W369" s="97"/>
      <c r="X369" s="97">
        <f t="shared" si="5"/>
        <v>0</v>
      </c>
      <c r="Y369" s="97">
        <f>+IF((AC369-ROUND(AC369,-3)&gt;400)*AND(AC369-ROUND(AC369,-3)&lt;500),1,0)</f>
        <v>0</v>
      </c>
      <c r="AC369" s="105"/>
    </row>
    <row r="370" spans="1:29" ht="15.95" customHeight="1" thickTop="1" x14ac:dyDescent="0.2">
      <c r="A370" s="665" t="s">
        <v>156</v>
      </c>
      <c r="B370" s="42">
        <v>2008</v>
      </c>
      <c r="C370" s="148" t="s">
        <v>289</v>
      </c>
      <c r="D370" s="303">
        <v>20</v>
      </c>
      <c r="E370" s="100">
        <v>1</v>
      </c>
      <c r="F370" s="101">
        <v>4.6946972000000002</v>
      </c>
      <c r="G370" s="100">
        <v>3.1101573676680974</v>
      </c>
      <c r="H370" s="100">
        <v>37</v>
      </c>
      <c r="I370" s="101">
        <v>3</v>
      </c>
      <c r="J370" s="100">
        <v>8</v>
      </c>
      <c r="K370" s="100">
        <v>18</v>
      </c>
      <c r="L370" s="100"/>
      <c r="M370" s="100">
        <v>3</v>
      </c>
      <c r="N370" s="100"/>
      <c r="O370" s="100">
        <v>0</v>
      </c>
      <c r="P370" s="100">
        <v>0</v>
      </c>
      <c r="Q370" s="271">
        <v>1.1319999999999999</v>
      </c>
      <c r="R370" s="100">
        <v>35</v>
      </c>
      <c r="S370" s="100">
        <v>5</v>
      </c>
      <c r="T370" s="100">
        <v>1</v>
      </c>
      <c r="U370" s="100">
        <v>11</v>
      </c>
      <c r="V370" s="666"/>
      <c r="W370" s="97"/>
      <c r="X370" s="97">
        <f t="shared" si="5"/>
        <v>11</v>
      </c>
      <c r="Y370" s="97"/>
      <c r="AC370" s="100">
        <v>11385.597082953509</v>
      </c>
    </row>
    <row r="371" spans="1:29" ht="15.95" customHeight="1" x14ac:dyDescent="0.2">
      <c r="A371" s="665"/>
      <c r="B371" s="43"/>
      <c r="C371" s="149" t="s">
        <v>290</v>
      </c>
      <c r="D371" s="303">
        <v>20</v>
      </c>
      <c r="E371" s="100">
        <v>0</v>
      </c>
      <c r="F371" s="101">
        <v>0</v>
      </c>
      <c r="G371" s="100">
        <v>3.1101573676680974</v>
      </c>
      <c r="H371" s="100">
        <v>0</v>
      </c>
      <c r="I371" s="101">
        <v>3</v>
      </c>
      <c r="J371" s="100">
        <v>8</v>
      </c>
      <c r="K371" s="100"/>
      <c r="L371" s="100"/>
      <c r="M371" s="100">
        <v>3</v>
      </c>
      <c r="N371" s="100"/>
      <c r="O371" s="100">
        <v>0</v>
      </c>
      <c r="P371" s="100">
        <v>0</v>
      </c>
      <c r="Q371" s="271">
        <v>0.52100000000000002</v>
      </c>
      <c r="R371" s="100">
        <v>35</v>
      </c>
      <c r="S371" s="100">
        <v>5</v>
      </c>
      <c r="T371" s="100">
        <v>0</v>
      </c>
      <c r="U371" s="100">
        <v>0</v>
      </c>
      <c r="V371" s="666"/>
      <c r="W371" s="97"/>
      <c r="X371" s="97">
        <f t="shared" si="5"/>
        <v>0</v>
      </c>
      <c r="Y371" s="97"/>
      <c r="AC371" s="100">
        <v>0</v>
      </c>
    </row>
    <row r="372" spans="1:29" ht="15.95" customHeight="1" x14ac:dyDescent="0.2">
      <c r="A372" s="667"/>
      <c r="B372" s="44"/>
      <c r="C372" s="150" t="s">
        <v>291</v>
      </c>
      <c r="D372" s="304">
        <v>36</v>
      </c>
      <c r="E372" s="103">
        <v>0</v>
      </c>
      <c r="F372" s="104">
        <v>0</v>
      </c>
      <c r="G372" s="103">
        <v>2.6251788268955654</v>
      </c>
      <c r="H372" s="103">
        <v>0</v>
      </c>
      <c r="I372" s="104"/>
      <c r="J372" s="103">
        <v>0</v>
      </c>
      <c r="K372" s="103"/>
      <c r="L372" s="103"/>
      <c r="M372" s="103">
        <v>0</v>
      </c>
      <c r="N372" s="103"/>
      <c r="O372" s="103">
        <v>0</v>
      </c>
      <c r="P372" s="103">
        <v>0</v>
      </c>
      <c r="Q372" s="272"/>
      <c r="R372" s="103">
        <v>0</v>
      </c>
      <c r="S372" s="103">
        <v>0</v>
      </c>
      <c r="T372" s="103">
        <v>0</v>
      </c>
      <c r="U372" s="103">
        <v>0</v>
      </c>
      <c r="V372" s="668"/>
      <c r="W372" s="97"/>
      <c r="X372" s="97">
        <f t="shared" si="5"/>
        <v>0</v>
      </c>
      <c r="Y372" s="97"/>
      <c r="AC372" s="103">
        <v>0</v>
      </c>
    </row>
    <row r="373" spans="1:29" ht="15.95" customHeight="1" x14ac:dyDescent="0.2">
      <c r="A373" s="665"/>
      <c r="B373" s="42">
        <v>2009</v>
      </c>
      <c r="C373" s="149" t="s">
        <v>412</v>
      </c>
      <c r="D373" s="303">
        <v>24</v>
      </c>
      <c r="E373" s="100">
        <v>1</v>
      </c>
      <c r="F373" s="101">
        <v>4.6946972000000002</v>
      </c>
      <c r="G373" s="100">
        <v>3.2525252525252526</v>
      </c>
      <c r="H373" s="100">
        <v>42</v>
      </c>
      <c r="I373" s="101">
        <v>3</v>
      </c>
      <c r="J373" s="100">
        <v>7</v>
      </c>
      <c r="K373" s="100">
        <v>18</v>
      </c>
      <c r="L373" s="100"/>
      <c r="M373" s="100">
        <v>3</v>
      </c>
      <c r="N373" s="100"/>
      <c r="O373" s="100">
        <v>0</v>
      </c>
      <c r="P373" s="100">
        <v>0</v>
      </c>
      <c r="Q373" s="102">
        <v>1.073</v>
      </c>
      <c r="R373" s="100">
        <v>36</v>
      </c>
      <c r="S373" s="100">
        <v>5</v>
      </c>
      <c r="T373" s="100">
        <v>1</v>
      </c>
      <c r="U373" s="100">
        <v>12</v>
      </c>
      <c r="V373" s="666"/>
      <c r="W373" s="100"/>
      <c r="X373" s="97">
        <f t="shared" si="5"/>
        <v>12</v>
      </c>
      <c r="Y373" s="97"/>
      <c r="AC373" s="100">
        <v>12477.52247752248</v>
      </c>
    </row>
    <row r="374" spans="1:29" ht="15.95" customHeight="1" x14ac:dyDescent="0.2">
      <c r="A374" s="665"/>
      <c r="B374" s="43"/>
      <c r="C374" s="149" t="s">
        <v>413</v>
      </c>
      <c r="D374" s="303">
        <v>24</v>
      </c>
      <c r="E374" s="100">
        <v>0</v>
      </c>
      <c r="F374" s="101">
        <v>4.6946972000000002</v>
      </c>
      <c r="G374" s="100">
        <v>0</v>
      </c>
      <c r="H374" s="100">
        <v>0</v>
      </c>
      <c r="I374" s="101">
        <v>3</v>
      </c>
      <c r="J374" s="100">
        <v>7</v>
      </c>
      <c r="K374" s="100">
        <v>18</v>
      </c>
      <c r="L374" s="100"/>
      <c r="M374" s="100">
        <v>3</v>
      </c>
      <c r="N374" s="100">
        <v>20</v>
      </c>
      <c r="O374" s="100">
        <v>0</v>
      </c>
      <c r="P374" s="100">
        <v>0</v>
      </c>
      <c r="Q374" s="102">
        <v>1.073</v>
      </c>
      <c r="R374" s="100">
        <v>36</v>
      </c>
      <c r="S374" s="100">
        <v>5</v>
      </c>
      <c r="T374" s="100">
        <v>1</v>
      </c>
      <c r="U374" s="100">
        <v>12</v>
      </c>
      <c r="V374" s="666"/>
      <c r="W374" s="97"/>
      <c r="X374" s="97">
        <f t="shared" si="5"/>
        <v>12</v>
      </c>
      <c r="Y374" s="97"/>
      <c r="AC374" s="100">
        <v>12477.52247752248</v>
      </c>
    </row>
    <row r="375" spans="1:29" ht="15.95" customHeight="1" thickBot="1" x14ac:dyDescent="0.25">
      <c r="A375" s="669"/>
      <c r="B375" s="45"/>
      <c r="C375" s="151" t="s">
        <v>414</v>
      </c>
      <c r="D375" s="305"/>
      <c r="E375" s="105">
        <v>0</v>
      </c>
      <c r="F375" s="106">
        <v>4.6946972000000002</v>
      </c>
      <c r="G375" s="105">
        <v>0</v>
      </c>
      <c r="H375" s="105">
        <v>0</v>
      </c>
      <c r="I375" s="106"/>
      <c r="J375" s="105">
        <v>0</v>
      </c>
      <c r="K375" s="105">
        <v>18</v>
      </c>
      <c r="L375" s="105"/>
      <c r="M375" s="105">
        <v>0</v>
      </c>
      <c r="N375" s="105"/>
      <c r="O375" s="105">
        <v>0</v>
      </c>
      <c r="P375" s="105">
        <v>0</v>
      </c>
      <c r="Q375" s="273">
        <v>0.57899999999999996</v>
      </c>
      <c r="R375" s="105">
        <v>0</v>
      </c>
      <c r="S375" s="105">
        <v>0</v>
      </c>
      <c r="T375" s="105">
        <v>3</v>
      </c>
      <c r="U375" s="105">
        <v>12</v>
      </c>
      <c r="V375" s="670"/>
      <c r="W375" s="97"/>
      <c r="X375" s="97">
        <f t="shared" si="5"/>
        <v>12</v>
      </c>
      <c r="Y375" s="97">
        <f>+IF((AC375-ROUND(AC375,-3)&gt;400)*AND(AC375-ROUND(AC375,-3)&lt;500),1,0)</f>
        <v>1</v>
      </c>
      <c r="AC375" s="105">
        <v>12477.52247752248</v>
      </c>
    </row>
    <row r="376" spans="1:29" ht="15.95" customHeight="1" thickTop="1" x14ac:dyDescent="0.2">
      <c r="A376" s="665" t="s">
        <v>157</v>
      </c>
      <c r="B376" s="42">
        <v>2008</v>
      </c>
      <c r="C376" s="148" t="s">
        <v>289</v>
      </c>
      <c r="D376" s="303">
        <v>293</v>
      </c>
      <c r="E376" s="100">
        <v>19</v>
      </c>
      <c r="F376" s="101">
        <v>75.115263999999996</v>
      </c>
      <c r="G376" s="100">
        <v>47.198855507868387</v>
      </c>
      <c r="H376" s="100">
        <v>37</v>
      </c>
      <c r="I376" s="101">
        <v>51</v>
      </c>
      <c r="J376" s="100">
        <v>29</v>
      </c>
      <c r="K376" s="100">
        <v>71</v>
      </c>
      <c r="L376" s="100"/>
      <c r="M376" s="100">
        <v>50</v>
      </c>
      <c r="N376" s="100"/>
      <c r="O376" s="100">
        <v>2</v>
      </c>
      <c r="P376" s="100">
        <v>3</v>
      </c>
      <c r="Q376" s="271"/>
      <c r="R376" s="100"/>
      <c r="S376" s="100">
        <v>74</v>
      </c>
      <c r="T376" s="100">
        <v>11</v>
      </c>
      <c r="U376" s="100">
        <v>11</v>
      </c>
      <c r="V376" s="666">
        <v>128.20535714285714</v>
      </c>
      <c r="W376" s="97"/>
      <c r="X376" s="97">
        <f t="shared" si="5"/>
        <v>11</v>
      </c>
      <c r="Y376" s="97"/>
      <c r="AC376" s="100">
        <v>11385.597082953509</v>
      </c>
    </row>
    <row r="377" spans="1:29" ht="15.95" customHeight="1" x14ac:dyDescent="0.2">
      <c r="A377" s="665"/>
      <c r="B377" s="43"/>
      <c r="C377" s="149" t="s">
        <v>290</v>
      </c>
      <c r="D377" s="303">
        <v>293</v>
      </c>
      <c r="E377" s="100">
        <v>19</v>
      </c>
      <c r="F377" s="101">
        <v>75.115263999999996</v>
      </c>
      <c r="G377" s="100">
        <v>0</v>
      </c>
      <c r="H377" s="100">
        <v>37</v>
      </c>
      <c r="I377" s="101">
        <v>51</v>
      </c>
      <c r="J377" s="100">
        <v>29</v>
      </c>
      <c r="K377" s="100">
        <v>71</v>
      </c>
      <c r="L377" s="100"/>
      <c r="M377" s="100">
        <v>50</v>
      </c>
      <c r="N377" s="100"/>
      <c r="O377" s="100">
        <v>2</v>
      </c>
      <c r="P377" s="100">
        <v>3</v>
      </c>
      <c r="Q377" s="271"/>
      <c r="R377" s="100"/>
      <c r="S377" s="100">
        <v>74</v>
      </c>
      <c r="T377" s="100">
        <v>11</v>
      </c>
      <c r="U377" s="100">
        <v>11</v>
      </c>
      <c r="V377" s="666">
        <v>128.20535714285714</v>
      </c>
      <c r="W377" s="97"/>
      <c r="X377" s="97">
        <f t="shared" si="5"/>
        <v>11</v>
      </c>
      <c r="Y377" s="97"/>
      <c r="AC377" s="100">
        <v>11385.597082953509</v>
      </c>
    </row>
    <row r="378" spans="1:29" ht="15.95" customHeight="1" x14ac:dyDescent="0.2">
      <c r="A378" s="667"/>
      <c r="B378" s="44"/>
      <c r="C378" s="150" t="s">
        <v>291</v>
      </c>
      <c r="D378" s="304"/>
      <c r="E378" s="103">
        <v>0</v>
      </c>
      <c r="F378" s="104">
        <v>0</v>
      </c>
      <c r="G378" s="103">
        <v>0</v>
      </c>
      <c r="H378" s="103">
        <v>0</v>
      </c>
      <c r="I378" s="104"/>
      <c r="J378" s="103">
        <v>0</v>
      </c>
      <c r="K378" s="103"/>
      <c r="L378" s="103"/>
      <c r="M378" s="103">
        <v>0</v>
      </c>
      <c r="N378" s="103"/>
      <c r="O378" s="103">
        <v>0</v>
      </c>
      <c r="P378" s="103">
        <v>0</v>
      </c>
      <c r="Q378" s="272"/>
      <c r="R378" s="103"/>
      <c r="S378" s="103">
        <v>0</v>
      </c>
      <c r="T378" s="103">
        <v>0</v>
      </c>
      <c r="U378" s="103">
        <v>0</v>
      </c>
      <c r="V378" s="668">
        <v>0</v>
      </c>
      <c r="W378" s="97"/>
      <c r="X378" s="97">
        <f t="shared" si="5"/>
        <v>0</v>
      </c>
      <c r="Y378" s="97"/>
      <c r="AC378" s="103">
        <v>0</v>
      </c>
    </row>
    <row r="379" spans="1:29" ht="15.95" customHeight="1" x14ac:dyDescent="0.2">
      <c r="A379" s="665"/>
      <c r="B379" s="42">
        <v>2009</v>
      </c>
      <c r="C379" s="149" t="s">
        <v>412</v>
      </c>
      <c r="D379" s="303">
        <v>390</v>
      </c>
      <c r="E379" s="100">
        <v>18</v>
      </c>
      <c r="F379" s="101">
        <v>75.115263999999996</v>
      </c>
      <c r="G379" s="100">
        <v>49.890331890331893</v>
      </c>
      <c r="H379" s="100">
        <v>42</v>
      </c>
      <c r="I379" s="101">
        <v>51</v>
      </c>
      <c r="J379" s="100">
        <v>23</v>
      </c>
      <c r="K379" s="100">
        <v>71</v>
      </c>
      <c r="L379" s="100"/>
      <c r="M379" s="100">
        <v>50</v>
      </c>
      <c r="N379" s="100"/>
      <c r="O379" s="100">
        <v>2</v>
      </c>
      <c r="P379" s="100">
        <v>3</v>
      </c>
      <c r="Q379" s="271"/>
      <c r="R379" s="100"/>
      <c r="S379" s="100">
        <v>74</v>
      </c>
      <c r="T379" s="100">
        <v>11</v>
      </c>
      <c r="U379" s="100">
        <v>12</v>
      </c>
      <c r="V379" s="666">
        <v>143.39017857142858</v>
      </c>
      <c r="W379" s="100"/>
      <c r="X379" s="97">
        <f t="shared" si="5"/>
        <v>12</v>
      </c>
      <c r="Y379" s="97"/>
      <c r="AC379" s="100">
        <v>12477.52247752248</v>
      </c>
    </row>
    <row r="380" spans="1:29" ht="15.95" customHeight="1" x14ac:dyDescent="0.2">
      <c r="A380" s="665"/>
      <c r="B380" s="43"/>
      <c r="C380" s="149" t="s">
        <v>413</v>
      </c>
      <c r="D380" s="303">
        <v>390</v>
      </c>
      <c r="E380" s="100">
        <v>18</v>
      </c>
      <c r="F380" s="101">
        <v>75.115263999999996</v>
      </c>
      <c r="G380" s="100">
        <v>49.890331890331893</v>
      </c>
      <c r="H380" s="100">
        <v>42</v>
      </c>
      <c r="I380" s="101">
        <v>51</v>
      </c>
      <c r="J380" s="100">
        <v>23</v>
      </c>
      <c r="K380" s="100">
        <v>71</v>
      </c>
      <c r="L380" s="100"/>
      <c r="M380" s="100">
        <v>50</v>
      </c>
      <c r="N380" s="100"/>
      <c r="O380" s="100">
        <v>2</v>
      </c>
      <c r="P380" s="100">
        <v>3</v>
      </c>
      <c r="Q380" s="271"/>
      <c r="R380" s="100"/>
      <c r="S380" s="100">
        <v>74</v>
      </c>
      <c r="T380" s="100">
        <v>11</v>
      </c>
      <c r="U380" s="100">
        <v>12</v>
      </c>
      <c r="V380" s="666">
        <v>143</v>
      </c>
      <c r="W380" s="97"/>
      <c r="X380" s="97">
        <f t="shared" si="5"/>
        <v>12</v>
      </c>
      <c r="Y380" s="97"/>
      <c r="AC380" s="100">
        <v>12477.52247752248</v>
      </c>
    </row>
    <row r="381" spans="1:29" ht="15.95" customHeight="1" thickBot="1" x14ac:dyDescent="0.25">
      <c r="A381" s="669"/>
      <c r="B381" s="45"/>
      <c r="C381" s="151" t="s">
        <v>414</v>
      </c>
      <c r="D381" s="305"/>
      <c r="E381" s="105">
        <v>0</v>
      </c>
      <c r="F381" s="106">
        <v>0</v>
      </c>
      <c r="G381" s="105">
        <v>0</v>
      </c>
      <c r="H381" s="105">
        <v>0</v>
      </c>
      <c r="I381" s="106"/>
      <c r="J381" s="105">
        <v>0</v>
      </c>
      <c r="K381" s="105"/>
      <c r="L381" s="105"/>
      <c r="M381" s="105">
        <v>0</v>
      </c>
      <c r="N381" s="105"/>
      <c r="O381" s="105">
        <v>0</v>
      </c>
      <c r="P381" s="105">
        <v>0</v>
      </c>
      <c r="Q381" s="273"/>
      <c r="R381" s="105"/>
      <c r="S381" s="105">
        <v>0</v>
      </c>
      <c r="T381" s="105">
        <v>0</v>
      </c>
      <c r="U381" s="105">
        <v>0</v>
      </c>
      <c r="V381" s="670">
        <v>0</v>
      </c>
      <c r="W381" s="97"/>
      <c r="X381" s="97">
        <f t="shared" si="5"/>
        <v>0</v>
      </c>
      <c r="Y381" s="97">
        <f>+IF((AC381-ROUND(AC381,-3)&gt;400)*AND(AC381-ROUND(AC381,-3)&lt;500),1,0)</f>
        <v>0</v>
      </c>
      <c r="AC381" s="105">
        <v>0</v>
      </c>
    </row>
    <row r="382" spans="1:29" ht="15.95" customHeight="1" thickTop="1" x14ac:dyDescent="0.2">
      <c r="A382" s="665" t="s">
        <v>158</v>
      </c>
      <c r="B382" s="42">
        <v>2008</v>
      </c>
      <c r="C382" s="148" t="s">
        <v>289</v>
      </c>
      <c r="D382" s="303">
        <v>55</v>
      </c>
      <c r="E382" s="100">
        <v>4</v>
      </c>
      <c r="F382" s="101">
        <v>14.084118800000001</v>
      </c>
      <c r="G382" s="100">
        <v>9.4134477825464966</v>
      </c>
      <c r="H382" s="100">
        <v>43</v>
      </c>
      <c r="I382" s="101">
        <v>10</v>
      </c>
      <c r="J382" s="100">
        <v>13</v>
      </c>
      <c r="K382" s="100">
        <v>18</v>
      </c>
      <c r="L382" s="100"/>
      <c r="M382" s="100">
        <v>9</v>
      </c>
      <c r="N382" s="100"/>
      <c r="O382" s="100">
        <v>0</v>
      </c>
      <c r="P382" s="100">
        <v>1</v>
      </c>
      <c r="Q382" s="271">
        <v>4.5270000000000001</v>
      </c>
      <c r="R382" s="100">
        <v>35</v>
      </c>
      <c r="S382" s="100">
        <v>14</v>
      </c>
      <c r="T382" s="100">
        <v>1</v>
      </c>
      <c r="U382" s="100">
        <v>11</v>
      </c>
      <c r="V382" s="666"/>
      <c r="W382" s="97"/>
      <c r="X382" s="97">
        <f t="shared" si="5"/>
        <v>11</v>
      </c>
      <c r="Y382" s="97"/>
      <c r="AC382" s="100">
        <v>11385.597082953509</v>
      </c>
    </row>
    <row r="383" spans="1:29" ht="15.95" customHeight="1" x14ac:dyDescent="0.2">
      <c r="A383" s="665"/>
      <c r="B383" s="43"/>
      <c r="C383" s="149" t="s">
        <v>290</v>
      </c>
      <c r="D383" s="303">
        <v>55</v>
      </c>
      <c r="E383" s="100">
        <v>4</v>
      </c>
      <c r="F383" s="101">
        <v>14.084118800000001</v>
      </c>
      <c r="G383" s="100">
        <v>8.9084406294706735</v>
      </c>
      <c r="H383" s="100">
        <v>42</v>
      </c>
      <c r="I383" s="101">
        <v>10</v>
      </c>
      <c r="J383" s="100">
        <v>13</v>
      </c>
      <c r="K383" s="100">
        <v>18</v>
      </c>
      <c r="L383" s="100"/>
      <c r="M383" s="100">
        <v>9</v>
      </c>
      <c r="N383" s="100"/>
      <c r="O383" s="100">
        <v>0</v>
      </c>
      <c r="P383" s="100">
        <v>1</v>
      </c>
      <c r="Q383" s="271">
        <v>4.5270000000000001</v>
      </c>
      <c r="R383" s="100">
        <v>35</v>
      </c>
      <c r="S383" s="100">
        <v>14</v>
      </c>
      <c r="T383" s="100">
        <v>1</v>
      </c>
      <c r="U383" s="100">
        <v>11</v>
      </c>
      <c r="V383" s="666"/>
      <c r="W383" s="97"/>
      <c r="X383" s="97">
        <f t="shared" ref="X383:X446" si="6">+ROUND(AC383/1000,0)</f>
        <v>11</v>
      </c>
      <c r="Y383" s="97"/>
      <c r="AC383" s="100">
        <v>11385.597082953509</v>
      </c>
    </row>
    <row r="384" spans="1:29" ht="15.95" customHeight="1" x14ac:dyDescent="0.2">
      <c r="A384" s="667"/>
      <c r="B384" s="44"/>
      <c r="C384" s="150" t="s">
        <v>291</v>
      </c>
      <c r="D384" s="304"/>
      <c r="E384" s="103">
        <v>0</v>
      </c>
      <c r="F384" s="104">
        <v>0</v>
      </c>
      <c r="G384" s="103">
        <v>0</v>
      </c>
      <c r="H384" s="103">
        <v>0</v>
      </c>
      <c r="I384" s="104"/>
      <c r="J384" s="103">
        <v>0</v>
      </c>
      <c r="K384" s="103"/>
      <c r="L384" s="103"/>
      <c r="M384" s="103">
        <v>0</v>
      </c>
      <c r="N384" s="103"/>
      <c r="O384" s="103">
        <v>0</v>
      </c>
      <c r="P384" s="103">
        <v>1</v>
      </c>
      <c r="Q384" s="272"/>
      <c r="R384" s="103">
        <v>0</v>
      </c>
      <c r="S384" s="103">
        <v>0</v>
      </c>
      <c r="T384" s="103">
        <v>0</v>
      </c>
      <c r="U384" s="103">
        <v>0</v>
      </c>
      <c r="V384" s="668"/>
      <c r="W384" s="97"/>
      <c r="X384" s="97">
        <f t="shared" si="6"/>
        <v>0</v>
      </c>
      <c r="Y384" s="97"/>
      <c r="AC384" s="103">
        <v>0</v>
      </c>
    </row>
    <row r="385" spans="1:29" ht="15.95" customHeight="1" x14ac:dyDescent="0.2">
      <c r="A385" s="665"/>
      <c r="B385" s="42">
        <v>2009</v>
      </c>
      <c r="C385" s="149" t="s">
        <v>412</v>
      </c>
      <c r="D385" s="303">
        <v>73</v>
      </c>
      <c r="E385" s="100">
        <v>3</v>
      </c>
      <c r="F385" s="101">
        <v>14.084118800000001</v>
      </c>
      <c r="G385" s="100">
        <v>9.9365079365079367</v>
      </c>
      <c r="H385" s="100">
        <v>42</v>
      </c>
      <c r="I385" s="101">
        <v>10</v>
      </c>
      <c r="J385" s="100">
        <v>11</v>
      </c>
      <c r="K385" s="100">
        <v>18</v>
      </c>
      <c r="L385" s="100"/>
      <c r="M385" s="100">
        <v>9</v>
      </c>
      <c r="N385" s="100"/>
      <c r="O385" s="100">
        <v>0</v>
      </c>
      <c r="P385" s="100">
        <v>1</v>
      </c>
      <c r="Q385" s="102">
        <v>4.2910000000000004</v>
      </c>
      <c r="R385" s="100">
        <v>36</v>
      </c>
      <c r="S385" s="100">
        <v>14</v>
      </c>
      <c r="T385" s="100">
        <v>1</v>
      </c>
      <c r="U385" s="100">
        <v>12</v>
      </c>
      <c r="V385" s="666"/>
      <c r="W385" s="100"/>
      <c r="X385" s="97">
        <f t="shared" si="6"/>
        <v>12</v>
      </c>
      <c r="Y385" s="97"/>
      <c r="AC385" s="100">
        <v>12477.52247752248</v>
      </c>
    </row>
    <row r="386" spans="1:29" ht="15.95" customHeight="1" x14ac:dyDescent="0.2">
      <c r="A386" s="665"/>
      <c r="B386" s="43"/>
      <c r="C386" s="149" t="s">
        <v>413</v>
      </c>
      <c r="D386" s="303">
        <v>73</v>
      </c>
      <c r="E386" s="100">
        <v>3</v>
      </c>
      <c r="F386" s="101">
        <v>14.084118800000001</v>
      </c>
      <c r="G386" s="100">
        <v>9.9365079365079367</v>
      </c>
      <c r="H386" s="100">
        <v>42</v>
      </c>
      <c r="I386" s="101">
        <v>10</v>
      </c>
      <c r="J386" s="100">
        <v>11</v>
      </c>
      <c r="K386" s="100">
        <v>18</v>
      </c>
      <c r="L386" s="100"/>
      <c r="M386" s="100">
        <v>9</v>
      </c>
      <c r="N386" s="100"/>
      <c r="O386" s="100">
        <v>0</v>
      </c>
      <c r="P386" s="100">
        <v>1</v>
      </c>
      <c r="Q386" s="102">
        <v>4.2910000000000004</v>
      </c>
      <c r="R386" s="100">
        <v>36</v>
      </c>
      <c r="S386" s="100">
        <v>14</v>
      </c>
      <c r="T386" s="100">
        <v>1</v>
      </c>
      <c r="U386" s="100">
        <v>12</v>
      </c>
      <c r="V386" s="666"/>
      <c r="W386" s="97"/>
      <c r="X386" s="97">
        <f t="shared" si="6"/>
        <v>12</v>
      </c>
      <c r="Y386" s="97"/>
      <c r="AC386" s="100">
        <v>12477.52247752248</v>
      </c>
    </row>
    <row r="387" spans="1:29" ht="15.95" customHeight="1" thickBot="1" x14ac:dyDescent="0.25">
      <c r="A387" s="669"/>
      <c r="B387" s="45"/>
      <c r="C387" s="151" t="s">
        <v>414</v>
      </c>
      <c r="D387" s="305"/>
      <c r="E387" s="105">
        <v>0</v>
      </c>
      <c r="F387" s="106">
        <v>0</v>
      </c>
      <c r="G387" s="105">
        <v>0</v>
      </c>
      <c r="H387" s="105">
        <v>1</v>
      </c>
      <c r="I387" s="106"/>
      <c r="J387" s="105">
        <v>0</v>
      </c>
      <c r="K387" s="105"/>
      <c r="L387" s="105"/>
      <c r="M387" s="105">
        <v>0</v>
      </c>
      <c r="N387" s="105"/>
      <c r="O387" s="105">
        <v>0</v>
      </c>
      <c r="P387" s="105">
        <v>0</v>
      </c>
      <c r="Q387" s="273"/>
      <c r="R387" s="105">
        <v>0</v>
      </c>
      <c r="S387" s="105">
        <v>0</v>
      </c>
      <c r="T387" s="105">
        <v>0</v>
      </c>
      <c r="U387" s="105">
        <v>0</v>
      </c>
      <c r="V387" s="670"/>
      <c r="W387" s="97"/>
      <c r="X387" s="97">
        <f t="shared" si="6"/>
        <v>0</v>
      </c>
      <c r="Y387" s="97">
        <f>+IF((AC387-ROUND(AC387,-3)&gt;400)*AND(AC387-ROUND(AC387,-3)&lt;500),1,0)</f>
        <v>0</v>
      </c>
      <c r="AC387" s="105">
        <v>0</v>
      </c>
    </row>
    <row r="388" spans="1:29" ht="15.95" customHeight="1" thickTop="1" x14ac:dyDescent="0.2">
      <c r="A388" s="665" t="s">
        <v>679</v>
      </c>
      <c r="B388" s="42">
        <v>2008</v>
      </c>
      <c r="C388" s="148" t="s">
        <v>289</v>
      </c>
      <c r="D388" s="303"/>
      <c r="E388" s="100"/>
      <c r="F388" s="101"/>
      <c r="G388" s="100"/>
      <c r="H388" s="100"/>
      <c r="I388" s="101"/>
      <c r="J388" s="100"/>
      <c r="K388" s="100"/>
      <c r="L388" s="100"/>
      <c r="M388" s="100"/>
      <c r="N388" s="100"/>
      <c r="O388" s="100">
        <v>230</v>
      </c>
      <c r="P388" s="100">
        <v>395</v>
      </c>
      <c r="Q388" s="271"/>
      <c r="R388" s="100"/>
      <c r="S388" s="100"/>
      <c r="T388" s="100"/>
      <c r="U388" s="100"/>
      <c r="V388" s="666"/>
      <c r="W388" s="97"/>
      <c r="X388" s="97">
        <f t="shared" si="6"/>
        <v>0</v>
      </c>
      <c r="Y388" s="97"/>
      <c r="AC388" s="100"/>
    </row>
    <row r="389" spans="1:29" ht="15.95" customHeight="1" x14ac:dyDescent="0.2">
      <c r="A389" s="665"/>
      <c r="B389" s="43"/>
      <c r="C389" s="149" t="s">
        <v>290</v>
      </c>
      <c r="D389" s="303"/>
      <c r="E389" s="100"/>
      <c r="F389" s="101"/>
      <c r="G389" s="100"/>
      <c r="H389" s="100"/>
      <c r="I389" s="101"/>
      <c r="J389" s="100"/>
      <c r="K389" s="100"/>
      <c r="L389" s="100"/>
      <c r="M389" s="100"/>
      <c r="N389" s="100"/>
      <c r="O389" s="100">
        <v>230</v>
      </c>
      <c r="P389" s="100">
        <v>395</v>
      </c>
      <c r="Q389" s="271"/>
      <c r="R389" s="100"/>
      <c r="S389" s="100"/>
      <c r="T389" s="100"/>
      <c r="U389" s="100"/>
      <c r="V389" s="666"/>
      <c r="W389" s="97"/>
      <c r="X389" s="97">
        <f t="shared" si="6"/>
        <v>0</v>
      </c>
      <c r="Y389" s="97"/>
      <c r="AC389" s="100"/>
    </row>
    <row r="390" spans="1:29" ht="15.95" customHeight="1" x14ac:dyDescent="0.2">
      <c r="A390" s="667"/>
      <c r="B390" s="44"/>
      <c r="C390" s="150" t="s">
        <v>291</v>
      </c>
      <c r="D390" s="304"/>
      <c r="E390" s="103"/>
      <c r="F390" s="104"/>
      <c r="G390" s="103"/>
      <c r="H390" s="103"/>
      <c r="I390" s="104"/>
      <c r="J390" s="103"/>
      <c r="K390" s="103"/>
      <c r="L390" s="103"/>
      <c r="M390" s="103"/>
      <c r="N390" s="103"/>
      <c r="O390" s="103">
        <v>0</v>
      </c>
      <c r="P390" s="103">
        <v>0</v>
      </c>
      <c r="Q390" s="272"/>
      <c r="R390" s="103"/>
      <c r="S390" s="103"/>
      <c r="T390" s="103"/>
      <c r="U390" s="103"/>
      <c r="V390" s="668"/>
      <c r="W390" s="97"/>
      <c r="X390" s="97">
        <f t="shared" si="6"/>
        <v>0</v>
      </c>
      <c r="Y390" s="97"/>
      <c r="AC390" s="103"/>
    </row>
    <row r="391" spans="1:29" ht="15.95" customHeight="1" x14ac:dyDescent="0.2">
      <c r="A391" s="665"/>
      <c r="B391" s="42">
        <v>2009</v>
      </c>
      <c r="C391" s="149" t="s">
        <v>412</v>
      </c>
      <c r="D391" s="303"/>
      <c r="E391" s="100"/>
      <c r="F391" s="101"/>
      <c r="G391" s="100"/>
      <c r="H391" s="100"/>
      <c r="I391" s="101"/>
      <c r="J391" s="100"/>
      <c r="K391" s="100"/>
      <c r="L391" s="100"/>
      <c r="M391" s="100"/>
      <c r="N391" s="100"/>
      <c r="O391" s="100">
        <v>230</v>
      </c>
      <c r="P391" s="100">
        <v>395</v>
      </c>
      <c r="Q391" s="271"/>
      <c r="R391" s="100"/>
      <c r="S391" s="100"/>
      <c r="T391" s="100"/>
      <c r="U391" s="100"/>
      <c r="V391" s="666"/>
      <c r="W391" s="100"/>
      <c r="X391" s="97">
        <f t="shared" si="6"/>
        <v>0</v>
      </c>
      <c r="Y391" s="97"/>
      <c r="AC391" s="100"/>
    </row>
    <row r="392" spans="1:29" ht="15.95" customHeight="1" x14ac:dyDescent="0.2">
      <c r="A392" s="665"/>
      <c r="B392" s="43"/>
      <c r="C392" s="149" t="s">
        <v>413</v>
      </c>
      <c r="D392" s="303"/>
      <c r="E392" s="100"/>
      <c r="F392" s="101"/>
      <c r="G392" s="100"/>
      <c r="H392" s="100"/>
      <c r="I392" s="101"/>
      <c r="J392" s="100"/>
      <c r="K392" s="100"/>
      <c r="L392" s="100"/>
      <c r="M392" s="100"/>
      <c r="N392" s="100"/>
      <c r="O392" s="100">
        <v>230</v>
      </c>
      <c r="P392" s="100">
        <v>395</v>
      </c>
      <c r="Q392" s="271"/>
      <c r="R392" s="100"/>
      <c r="S392" s="100"/>
      <c r="T392" s="100"/>
      <c r="U392" s="100"/>
      <c r="V392" s="666"/>
      <c r="W392" s="97"/>
      <c r="X392" s="97">
        <f t="shared" si="6"/>
        <v>0</v>
      </c>
      <c r="Y392" s="97"/>
      <c r="AC392" s="100"/>
    </row>
    <row r="393" spans="1:29" ht="15.95" customHeight="1" thickBot="1" x14ac:dyDescent="0.25">
      <c r="A393" s="669"/>
      <c r="B393" s="45"/>
      <c r="C393" s="151" t="s">
        <v>414</v>
      </c>
      <c r="D393" s="305"/>
      <c r="E393" s="105"/>
      <c r="F393" s="106"/>
      <c r="G393" s="105"/>
      <c r="H393" s="105"/>
      <c r="I393" s="106"/>
      <c r="J393" s="105"/>
      <c r="K393" s="105"/>
      <c r="L393" s="105"/>
      <c r="M393" s="105"/>
      <c r="N393" s="105"/>
      <c r="O393" s="105">
        <v>0</v>
      </c>
      <c r="P393" s="105">
        <v>0</v>
      </c>
      <c r="Q393" s="273"/>
      <c r="R393" s="105"/>
      <c r="S393" s="105"/>
      <c r="T393" s="105"/>
      <c r="U393" s="105"/>
      <c r="V393" s="670"/>
      <c r="W393" s="97"/>
      <c r="X393" s="97">
        <f t="shared" si="6"/>
        <v>0</v>
      </c>
      <c r="Y393" s="97">
        <f>+IF((AC393-ROUND(AC393,-3)&gt;400)*AND(AC393-ROUND(AC393,-3)&lt;500),1,0)</f>
        <v>0</v>
      </c>
      <c r="AC393" s="105"/>
    </row>
    <row r="394" spans="1:29" ht="15.95" customHeight="1" thickTop="1" x14ac:dyDescent="0.2">
      <c r="A394" s="665" t="s">
        <v>28</v>
      </c>
      <c r="B394" s="42">
        <v>2008</v>
      </c>
      <c r="C394" s="148" t="s">
        <v>289</v>
      </c>
      <c r="D394" s="101"/>
      <c r="E394" s="100"/>
      <c r="F394" s="101"/>
      <c r="G394" s="100"/>
      <c r="H394" s="100"/>
      <c r="I394" s="101"/>
      <c r="J394" s="100">
        <v>7</v>
      </c>
      <c r="K394" s="100"/>
      <c r="L394" s="100"/>
      <c r="M394" s="100">
        <v>0</v>
      </c>
      <c r="N394" s="100"/>
      <c r="O394" s="100"/>
      <c r="P394" s="100"/>
      <c r="Q394" s="271"/>
      <c r="R394" s="100"/>
      <c r="S394" s="100"/>
      <c r="T394" s="100"/>
      <c r="U394" s="100"/>
      <c r="V394" s="666"/>
      <c r="W394" s="97"/>
      <c r="X394" s="97">
        <f t="shared" si="6"/>
        <v>0</v>
      </c>
      <c r="Y394" s="97"/>
      <c r="AC394" s="100"/>
    </row>
    <row r="395" spans="1:29" ht="15.95" customHeight="1" x14ac:dyDescent="0.2">
      <c r="A395" s="665" t="s">
        <v>29</v>
      </c>
      <c r="B395" s="43"/>
      <c r="C395" s="149" t="s">
        <v>290</v>
      </c>
      <c r="D395" s="101"/>
      <c r="E395" s="100"/>
      <c r="F395" s="101"/>
      <c r="G395" s="100"/>
      <c r="H395" s="100"/>
      <c r="I395" s="101"/>
      <c r="J395" s="100">
        <v>7</v>
      </c>
      <c r="K395" s="100"/>
      <c r="L395" s="100"/>
      <c r="M395" s="100">
        <v>0</v>
      </c>
      <c r="N395" s="100"/>
      <c r="O395" s="100"/>
      <c r="P395" s="100"/>
      <c r="Q395" s="271"/>
      <c r="R395" s="100"/>
      <c r="S395" s="100"/>
      <c r="T395" s="100"/>
      <c r="U395" s="100"/>
      <c r="V395" s="666"/>
      <c r="W395" s="97"/>
      <c r="X395" s="97">
        <f t="shared" si="6"/>
        <v>0</v>
      </c>
      <c r="Y395" s="97"/>
      <c r="AC395" s="100"/>
    </row>
    <row r="396" spans="1:29" ht="15.95" customHeight="1" x14ac:dyDescent="0.2">
      <c r="A396" s="667"/>
      <c r="B396" s="44"/>
      <c r="C396" s="150" t="s">
        <v>291</v>
      </c>
      <c r="D396" s="104"/>
      <c r="E396" s="103"/>
      <c r="F396" s="104"/>
      <c r="G396" s="103"/>
      <c r="H396" s="103"/>
      <c r="I396" s="104"/>
      <c r="J396" s="103">
        <v>0</v>
      </c>
      <c r="K396" s="103"/>
      <c r="L396" s="103"/>
      <c r="M396" s="103">
        <v>0</v>
      </c>
      <c r="N396" s="103"/>
      <c r="O396" s="103"/>
      <c r="P396" s="103"/>
      <c r="Q396" s="272"/>
      <c r="R396" s="103"/>
      <c r="S396" s="103"/>
      <c r="T396" s="103"/>
      <c r="U396" s="103"/>
      <c r="V396" s="668"/>
      <c r="W396" s="97"/>
      <c r="X396" s="97">
        <f t="shared" si="6"/>
        <v>0</v>
      </c>
      <c r="Y396" s="97"/>
      <c r="AC396" s="103"/>
    </row>
    <row r="397" spans="1:29" ht="16.899999999999999" customHeight="1" x14ac:dyDescent="0.2">
      <c r="A397" s="665"/>
      <c r="B397" s="42">
        <v>2009</v>
      </c>
      <c r="C397" s="149" t="s">
        <v>412</v>
      </c>
      <c r="D397" s="101"/>
      <c r="E397" s="100"/>
      <c r="F397" s="101"/>
      <c r="G397" s="100"/>
      <c r="H397" s="100"/>
      <c r="I397" s="101"/>
      <c r="J397" s="100">
        <v>6</v>
      </c>
      <c r="K397" s="100"/>
      <c r="L397" s="100"/>
      <c r="M397" s="100">
        <v>0</v>
      </c>
      <c r="N397" s="100"/>
      <c r="O397" s="100"/>
      <c r="P397" s="100"/>
      <c r="Q397" s="271"/>
      <c r="R397" s="100"/>
      <c r="S397" s="100"/>
      <c r="T397" s="100"/>
      <c r="U397" s="100"/>
      <c r="V397" s="666"/>
      <c r="W397" s="100"/>
      <c r="X397" s="97">
        <f t="shared" si="6"/>
        <v>0</v>
      </c>
      <c r="Y397" s="97"/>
      <c r="AC397" s="100"/>
    </row>
    <row r="398" spans="1:29" ht="15.95" customHeight="1" x14ac:dyDescent="0.2">
      <c r="A398" s="665"/>
      <c r="B398" s="43"/>
      <c r="C398" s="149" t="s">
        <v>413</v>
      </c>
      <c r="D398" s="101"/>
      <c r="E398" s="100"/>
      <c r="F398" s="101"/>
      <c r="G398" s="100"/>
      <c r="H398" s="100"/>
      <c r="I398" s="101"/>
      <c r="J398" s="100">
        <v>6</v>
      </c>
      <c r="K398" s="100"/>
      <c r="L398" s="100"/>
      <c r="M398" s="100">
        <v>0</v>
      </c>
      <c r="N398" s="100"/>
      <c r="O398" s="100"/>
      <c r="P398" s="100"/>
      <c r="Q398" s="271"/>
      <c r="R398" s="100"/>
      <c r="S398" s="100"/>
      <c r="T398" s="100"/>
      <c r="U398" s="100"/>
      <c r="V398" s="666"/>
      <c r="W398" s="97"/>
      <c r="X398" s="97">
        <f t="shared" si="6"/>
        <v>0</v>
      </c>
      <c r="Y398" s="97"/>
      <c r="AC398" s="100"/>
    </row>
    <row r="399" spans="1:29" ht="15.95" customHeight="1" thickBot="1" x14ac:dyDescent="0.25">
      <c r="A399" s="669"/>
      <c r="B399" s="45"/>
      <c r="C399" s="151" t="s">
        <v>414</v>
      </c>
      <c r="D399" s="106"/>
      <c r="E399" s="105"/>
      <c r="F399" s="106"/>
      <c r="G399" s="105"/>
      <c r="H399" s="105"/>
      <c r="I399" s="106"/>
      <c r="J399" s="105">
        <v>0</v>
      </c>
      <c r="K399" s="105"/>
      <c r="L399" s="105"/>
      <c r="M399" s="105">
        <v>0</v>
      </c>
      <c r="N399" s="105"/>
      <c r="O399" s="105"/>
      <c r="P399" s="105"/>
      <c r="Q399" s="274"/>
      <c r="R399" s="105"/>
      <c r="S399" s="105"/>
      <c r="T399" s="105"/>
      <c r="U399" s="105"/>
      <c r="V399" s="670"/>
      <c r="W399" s="97"/>
      <c r="X399" s="97">
        <f t="shared" si="6"/>
        <v>0</v>
      </c>
      <c r="Y399" s="97">
        <f>+IF((AC399-ROUND(AC399,-3)&gt;400)*AND(AC399-ROUND(AC399,-3)&lt;500),1,0)</f>
        <v>0</v>
      </c>
      <c r="AC399" s="105"/>
    </row>
    <row r="400" spans="1:29" ht="15.95" customHeight="1" thickTop="1" x14ac:dyDescent="0.2">
      <c r="A400" s="665" t="s">
        <v>159</v>
      </c>
      <c r="B400" s="42">
        <v>2008</v>
      </c>
      <c r="C400" s="148" t="s">
        <v>289</v>
      </c>
      <c r="D400" s="303">
        <v>55</v>
      </c>
      <c r="E400" s="100">
        <v>4</v>
      </c>
      <c r="F400" s="101">
        <v>14.084118800000001</v>
      </c>
      <c r="G400" s="100"/>
      <c r="H400" s="100">
        <v>37</v>
      </c>
      <c r="I400" s="101">
        <v>10</v>
      </c>
      <c r="J400" s="100">
        <v>8</v>
      </c>
      <c r="K400" s="100">
        <v>71</v>
      </c>
      <c r="L400" s="100"/>
      <c r="M400" s="100">
        <v>9</v>
      </c>
      <c r="N400" s="100"/>
      <c r="O400" s="100">
        <v>0</v>
      </c>
      <c r="P400" s="100">
        <v>1</v>
      </c>
      <c r="Q400" s="271">
        <v>4.5270000000000001</v>
      </c>
      <c r="R400" s="100">
        <v>42</v>
      </c>
      <c r="S400" s="100">
        <v>14</v>
      </c>
      <c r="T400" s="100">
        <v>3</v>
      </c>
      <c r="U400" s="100">
        <v>11</v>
      </c>
      <c r="V400" s="666">
        <v>23.737499999999997</v>
      </c>
      <c r="W400" s="97"/>
      <c r="X400" s="97">
        <f t="shared" si="6"/>
        <v>11</v>
      </c>
      <c r="Y400" s="97"/>
      <c r="AC400" s="100">
        <v>11385.597082953509</v>
      </c>
    </row>
    <row r="401" spans="1:29" ht="15.95" customHeight="1" x14ac:dyDescent="0.2">
      <c r="A401" s="665"/>
      <c r="B401" s="43"/>
      <c r="C401" s="149" t="s">
        <v>290</v>
      </c>
      <c r="D401" s="303">
        <v>55</v>
      </c>
      <c r="E401" s="100">
        <v>4</v>
      </c>
      <c r="F401" s="101">
        <v>14.084118800000001</v>
      </c>
      <c r="G401" s="100"/>
      <c r="H401" s="100">
        <v>35</v>
      </c>
      <c r="I401" s="101">
        <v>10</v>
      </c>
      <c r="J401" s="100">
        <v>0</v>
      </c>
      <c r="K401" s="100">
        <v>71</v>
      </c>
      <c r="L401" s="100"/>
      <c r="M401" s="100">
        <v>9</v>
      </c>
      <c r="N401" s="100">
        <v>10</v>
      </c>
      <c r="O401" s="100">
        <v>0</v>
      </c>
      <c r="P401" s="100">
        <v>1</v>
      </c>
      <c r="Q401" s="271"/>
      <c r="R401" s="100">
        <v>42</v>
      </c>
      <c r="S401" s="100">
        <v>14</v>
      </c>
      <c r="T401" s="100">
        <v>3</v>
      </c>
      <c r="U401" s="100">
        <v>11</v>
      </c>
      <c r="V401" s="666">
        <v>22.705357142857139</v>
      </c>
      <c r="W401" s="97"/>
      <c r="X401" s="97">
        <f t="shared" si="6"/>
        <v>11</v>
      </c>
      <c r="Y401" s="97"/>
      <c r="AC401" s="100">
        <v>11385.597082953509</v>
      </c>
    </row>
    <row r="402" spans="1:29" ht="15.95" customHeight="1" x14ac:dyDescent="0.2">
      <c r="A402" s="667"/>
      <c r="B402" s="44"/>
      <c r="C402" s="150" t="s">
        <v>291</v>
      </c>
      <c r="D402" s="304"/>
      <c r="E402" s="103">
        <v>0</v>
      </c>
      <c r="F402" s="104">
        <v>0</v>
      </c>
      <c r="G402" s="103"/>
      <c r="H402" s="103">
        <v>0</v>
      </c>
      <c r="I402" s="104"/>
      <c r="J402" s="103">
        <v>0</v>
      </c>
      <c r="K402" s="103"/>
      <c r="L402" s="103"/>
      <c r="M402" s="103">
        <v>0</v>
      </c>
      <c r="N402" s="103"/>
      <c r="O402" s="103">
        <v>1</v>
      </c>
      <c r="P402" s="103">
        <v>0</v>
      </c>
      <c r="Q402" s="272">
        <v>10.439</v>
      </c>
      <c r="R402" s="103">
        <v>0</v>
      </c>
      <c r="S402" s="103">
        <v>0</v>
      </c>
      <c r="T402" s="103">
        <v>0</v>
      </c>
      <c r="U402" s="103">
        <v>0</v>
      </c>
      <c r="V402" s="668">
        <v>0</v>
      </c>
      <c r="W402" s="97"/>
      <c r="X402" s="97">
        <f t="shared" si="6"/>
        <v>0</v>
      </c>
      <c r="Y402" s="97"/>
      <c r="AC402" s="103">
        <v>0</v>
      </c>
    </row>
    <row r="403" spans="1:29" ht="15.95" customHeight="1" x14ac:dyDescent="0.2">
      <c r="A403" s="665"/>
      <c r="B403" s="42">
        <v>2009</v>
      </c>
      <c r="C403" s="149" t="s">
        <v>412</v>
      </c>
      <c r="D403" s="303">
        <v>73</v>
      </c>
      <c r="E403" s="100">
        <v>4</v>
      </c>
      <c r="F403" s="101">
        <v>14.084118800000001</v>
      </c>
      <c r="G403" s="100"/>
      <c r="H403" s="100">
        <v>42</v>
      </c>
      <c r="I403" s="101">
        <v>10</v>
      </c>
      <c r="J403" s="100">
        <v>7</v>
      </c>
      <c r="K403" s="100">
        <v>71</v>
      </c>
      <c r="L403" s="100"/>
      <c r="M403" s="100">
        <v>9</v>
      </c>
      <c r="N403" s="100"/>
      <c r="O403" s="100">
        <v>0</v>
      </c>
      <c r="P403" s="100">
        <v>1</v>
      </c>
      <c r="Q403" s="102">
        <v>4.2910000000000004</v>
      </c>
      <c r="R403" s="100">
        <v>43</v>
      </c>
      <c r="S403" s="100">
        <v>14</v>
      </c>
      <c r="T403" s="100">
        <v>3</v>
      </c>
      <c r="U403" s="100">
        <v>12</v>
      </c>
      <c r="V403" s="666">
        <v>25</v>
      </c>
      <c r="W403" s="100"/>
      <c r="X403" s="97">
        <f t="shared" si="6"/>
        <v>12</v>
      </c>
      <c r="Y403" s="97"/>
      <c r="AC403" s="100">
        <v>12477.52247752248</v>
      </c>
    </row>
    <row r="404" spans="1:29" ht="15.95" customHeight="1" x14ac:dyDescent="0.2">
      <c r="A404" s="665"/>
      <c r="B404" s="43"/>
      <c r="C404" s="149" t="s">
        <v>413</v>
      </c>
      <c r="D404" s="303">
        <v>55</v>
      </c>
      <c r="E404" s="100">
        <v>0</v>
      </c>
      <c r="F404" s="101">
        <v>14.084118800000001</v>
      </c>
      <c r="G404" s="100"/>
      <c r="H404" s="100">
        <v>42</v>
      </c>
      <c r="I404" s="101">
        <v>10</v>
      </c>
      <c r="J404" s="100">
        <v>7</v>
      </c>
      <c r="K404" s="100">
        <v>63</v>
      </c>
      <c r="L404" s="100"/>
      <c r="M404" s="100">
        <v>9</v>
      </c>
      <c r="N404" s="100"/>
      <c r="O404" s="100">
        <v>0</v>
      </c>
      <c r="P404" s="100">
        <v>0</v>
      </c>
      <c r="Q404" s="271"/>
      <c r="R404" s="100">
        <v>39</v>
      </c>
      <c r="S404" s="100">
        <v>14</v>
      </c>
      <c r="T404" s="100">
        <v>3</v>
      </c>
      <c r="U404" s="100">
        <v>12</v>
      </c>
      <c r="V404" s="666">
        <v>24</v>
      </c>
      <c r="W404" s="97"/>
      <c r="X404" s="97">
        <f t="shared" si="6"/>
        <v>12</v>
      </c>
      <c r="Y404" s="97"/>
      <c r="AC404" s="100">
        <v>12477.52247752248</v>
      </c>
    </row>
    <row r="405" spans="1:29" ht="15.95" customHeight="1" thickBot="1" x14ac:dyDescent="0.25">
      <c r="A405" s="669"/>
      <c r="B405" s="45"/>
      <c r="C405" s="151" t="s">
        <v>414</v>
      </c>
      <c r="D405" s="305">
        <v>0</v>
      </c>
      <c r="E405" s="105">
        <v>0</v>
      </c>
      <c r="F405" s="106">
        <v>0</v>
      </c>
      <c r="G405" s="105"/>
      <c r="H405" s="105">
        <v>2</v>
      </c>
      <c r="I405" s="106"/>
      <c r="J405" s="105">
        <v>13</v>
      </c>
      <c r="K405" s="105"/>
      <c r="L405" s="105"/>
      <c r="M405" s="105">
        <v>0</v>
      </c>
      <c r="N405" s="105"/>
      <c r="O405" s="105">
        <v>0</v>
      </c>
      <c r="P405" s="105">
        <v>0</v>
      </c>
      <c r="Q405" s="273">
        <v>3.5870000000000002</v>
      </c>
      <c r="R405" s="105">
        <v>0</v>
      </c>
      <c r="S405" s="105">
        <v>0</v>
      </c>
      <c r="T405" s="105">
        <v>0</v>
      </c>
      <c r="U405" s="105">
        <v>0</v>
      </c>
      <c r="V405" s="670">
        <v>0</v>
      </c>
      <c r="W405" s="97"/>
      <c r="X405" s="97">
        <f t="shared" si="6"/>
        <v>0</v>
      </c>
      <c r="Y405" s="97">
        <f>+IF((AC405-ROUND(AC405,-3)&gt;400)*AND(AC405-ROUND(AC405,-3)&lt;500),1,0)</f>
        <v>0</v>
      </c>
      <c r="AC405" s="105">
        <v>0</v>
      </c>
    </row>
    <row r="406" spans="1:29" ht="15.95" customHeight="1" thickTop="1" x14ac:dyDescent="0.2">
      <c r="A406" s="665" t="s">
        <v>160</v>
      </c>
      <c r="B406" s="42">
        <v>2008</v>
      </c>
      <c r="C406" s="148" t="s">
        <v>289</v>
      </c>
      <c r="D406" s="303">
        <v>10316</v>
      </c>
      <c r="E406" s="100">
        <v>673</v>
      </c>
      <c r="F406" s="101">
        <v>2661.8971748000004</v>
      </c>
      <c r="G406" s="100">
        <v>2161.4649499284697</v>
      </c>
      <c r="H406" s="100">
        <v>292</v>
      </c>
      <c r="I406" s="101">
        <v>1810</v>
      </c>
      <c r="J406" s="100">
        <v>116</v>
      </c>
      <c r="K406" s="100">
        <v>1136</v>
      </c>
      <c r="L406" s="100"/>
      <c r="M406" s="100">
        <v>1779</v>
      </c>
      <c r="N406" s="100"/>
      <c r="O406" s="100">
        <v>66</v>
      </c>
      <c r="P406" s="100">
        <v>87</v>
      </c>
      <c r="Q406" s="271">
        <v>887.44200000000001</v>
      </c>
      <c r="R406" s="100"/>
      <c r="S406" s="100">
        <v>2619</v>
      </c>
      <c r="T406" s="100">
        <v>436</v>
      </c>
      <c r="U406" s="100">
        <v>314</v>
      </c>
      <c r="V406" s="666">
        <v>995.12946428571422</v>
      </c>
      <c r="W406" s="97"/>
      <c r="X406" s="97">
        <f>+ROUNDUP(AC406/1000,0)</f>
        <v>314</v>
      </c>
      <c r="Y406" s="97"/>
      <c r="AC406" s="100">
        <v>313103.91978122154</v>
      </c>
    </row>
    <row r="407" spans="1:29" ht="15.95" customHeight="1" x14ac:dyDescent="0.2">
      <c r="A407" s="665"/>
      <c r="B407" s="43"/>
      <c r="C407" s="149" t="s">
        <v>290</v>
      </c>
      <c r="D407" s="303">
        <v>10316</v>
      </c>
      <c r="E407" s="100">
        <v>673</v>
      </c>
      <c r="F407" s="101">
        <v>2661.8971748000004</v>
      </c>
      <c r="G407" s="100">
        <v>2116.7711015736768</v>
      </c>
      <c r="H407" s="100">
        <v>292</v>
      </c>
      <c r="I407" s="101">
        <v>1810</v>
      </c>
      <c r="J407" s="100">
        <v>116</v>
      </c>
      <c r="K407" s="100">
        <v>1136</v>
      </c>
      <c r="L407" s="100"/>
      <c r="M407" s="100">
        <v>1779</v>
      </c>
      <c r="N407" s="100">
        <v>2963</v>
      </c>
      <c r="O407" s="100">
        <v>66</v>
      </c>
      <c r="P407" s="100">
        <v>87</v>
      </c>
      <c r="Q407" s="271">
        <v>887.44200000000001</v>
      </c>
      <c r="R407" s="100"/>
      <c r="S407" s="100">
        <v>2619</v>
      </c>
      <c r="T407" s="100">
        <v>436</v>
      </c>
      <c r="U407" s="100">
        <v>314</v>
      </c>
      <c r="V407" s="666">
        <v>994.642857142857</v>
      </c>
      <c r="W407" s="97"/>
      <c r="X407" s="97">
        <f>+ROUNDUP(AC407/1000,0)</f>
        <v>314</v>
      </c>
      <c r="Y407" s="97"/>
      <c r="AC407" s="100">
        <v>313103.91978122154</v>
      </c>
    </row>
    <row r="408" spans="1:29" ht="15.95" customHeight="1" x14ac:dyDescent="0.2">
      <c r="A408" s="667"/>
      <c r="B408" s="44"/>
      <c r="C408" s="150" t="s">
        <v>291</v>
      </c>
      <c r="D408" s="304"/>
      <c r="E408" s="103">
        <v>0</v>
      </c>
      <c r="F408" s="104">
        <v>0</v>
      </c>
      <c r="G408" s="103">
        <v>0</v>
      </c>
      <c r="H408" s="103">
        <v>0</v>
      </c>
      <c r="I408" s="104"/>
      <c r="J408" s="103">
        <v>0</v>
      </c>
      <c r="K408" s="103"/>
      <c r="L408" s="103"/>
      <c r="M408" s="103">
        <v>0</v>
      </c>
      <c r="N408" s="103"/>
      <c r="O408" s="103">
        <v>0</v>
      </c>
      <c r="P408" s="103">
        <v>0</v>
      </c>
      <c r="Q408" s="272"/>
      <c r="R408" s="103"/>
      <c r="S408" s="103">
        <v>0</v>
      </c>
      <c r="T408" s="103">
        <v>0</v>
      </c>
      <c r="U408" s="103">
        <v>0</v>
      </c>
      <c r="V408" s="668">
        <v>0</v>
      </c>
      <c r="W408" s="97"/>
      <c r="X408" s="97">
        <f t="shared" si="6"/>
        <v>0</v>
      </c>
      <c r="Y408" s="97"/>
      <c r="AC408" s="103">
        <v>0</v>
      </c>
    </row>
    <row r="409" spans="1:29" ht="15.95" customHeight="1" x14ac:dyDescent="0.2">
      <c r="A409" s="665"/>
      <c r="B409" s="42">
        <v>2009</v>
      </c>
      <c r="C409" s="149" t="s">
        <v>412</v>
      </c>
      <c r="D409" s="303">
        <f>13741+1</f>
        <v>13742</v>
      </c>
      <c r="E409" s="100">
        <v>657</v>
      </c>
      <c r="F409" s="101">
        <v>2661.8971748000004</v>
      </c>
      <c r="G409" s="100">
        <v>2263.998556998557</v>
      </c>
      <c r="H409" s="100">
        <v>335</v>
      </c>
      <c r="I409" s="101">
        <v>1810</v>
      </c>
      <c r="J409" s="100">
        <v>104</v>
      </c>
      <c r="K409" s="100">
        <v>1136</v>
      </c>
      <c r="L409" s="100"/>
      <c r="M409" s="100">
        <v>1779</v>
      </c>
      <c r="N409" s="100"/>
      <c r="O409" s="100">
        <v>65</v>
      </c>
      <c r="P409" s="100">
        <v>87</v>
      </c>
      <c r="Q409" s="102">
        <v>841.15599999999995</v>
      </c>
      <c r="R409" s="100"/>
      <c r="S409" s="100">
        <v>2619</v>
      </c>
      <c r="T409" s="100">
        <v>443</v>
      </c>
      <c r="U409" s="100">
        <v>344</v>
      </c>
      <c r="V409" s="666">
        <v>1040.4857142857143</v>
      </c>
      <c r="W409" s="100"/>
      <c r="X409" s="97">
        <f>+ROUNDUP(AC409/1000,0)</f>
        <v>344</v>
      </c>
      <c r="Y409" s="97"/>
      <c r="AC409" s="100">
        <v>343131.86813186819</v>
      </c>
    </row>
    <row r="410" spans="1:29" ht="15.95" customHeight="1" x14ac:dyDescent="0.2">
      <c r="A410" s="665"/>
      <c r="B410" s="43"/>
      <c r="C410" s="149" t="s">
        <v>413</v>
      </c>
      <c r="D410" s="303">
        <f>13741+1</f>
        <v>13742</v>
      </c>
      <c r="E410" s="100">
        <v>657</v>
      </c>
      <c r="F410" s="101">
        <v>2661.8971748000004</v>
      </c>
      <c r="G410" s="100">
        <v>2263.998556998557</v>
      </c>
      <c r="H410" s="100">
        <v>335</v>
      </c>
      <c r="I410" s="101">
        <v>1810</v>
      </c>
      <c r="J410" s="100">
        <v>104</v>
      </c>
      <c r="K410" s="100">
        <v>1136</v>
      </c>
      <c r="L410" s="100"/>
      <c r="M410" s="100">
        <v>1779</v>
      </c>
      <c r="N410" s="100">
        <v>3160</v>
      </c>
      <c r="O410" s="100">
        <v>65</v>
      </c>
      <c r="P410" s="100">
        <v>87</v>
      </c>
      <c r="Q410" s="102">
        <v>841.15599999999995</v>
      </c>
      <c r="R410" s="100"/>
      <c r="S410" s="100">
        <v>2619</v>
      </c>
      <c r="T410" s="100">
        <v>443</v>
      </c>
      <c r="U410" s="100">
        <v>344</v>
      </c>
      <c r="V410" s="666">
        <v>1040</v>
      </c>
      <c r="W410" s="97"/>
      <c r="X410" s="97">
        <f>+ROUNDUP(AC410/1000,0)</f>
        <v>344</v>
      </c>
      <c r="Y410" s="97"/>
      <c r="AC410" s="100">
        <v>343131.86813186819</v>
      </c>
    </row>
    <row r="411" spans="1:29" ht="15.95" customHeight="1" thickBot="1" x14ac:dyDescent="0.25">
      <c r="A411" s="669"/>
      <c r="B411" s="45"/>
      <c r="C411" s="151" t="s">
        <v>414</v>
      </c>
      <c r="D411" s="305"/>
      <c r="E411" s="105">
        <v>0</v>
      </c>
      <c r="F411" s="106">
        <v>0</v>
      </c>
      <c r="G411" s="105">
        <v>0</v>
      </c>
      <c r="H411" s="105">
        <v>0</v>
      </c>
      <c r="I411" s="106"/>
      <c r="J411" s="105">
        <v>0</v>
      </c>
      <c r="K411" s="105"/>
      <c r="L411" s="105"/>
      <c r="M411" s="105">
        <v>0</v>
      </c>
      <c r="N411" s="105"/>
      <c r="O411" s="105">
        <v>0</v>
      </c>
      <c r="P411" s="105">
        <v>0</v>
      </c>
      <c r="Q411" s="273"/>
      <c r="R411" s="105"/>
      <c r="S411" s="105">
        <v>0</v>
      </c>
      <c r="T411" s="105">
        <v>0</v>
      </c>
      <c r="U411" s="105">
        <v>0</v>
      </c>
      <c r="V411" s="670">
        <v>0</v>
      </c>
      <c r="W411" s="97"/>
      <c r="X411" s="97">
        <f t="shared" si="6"/>
        <v>0</v>
      </c>
      <c r="Y411" s="97">
        <f>+IF((AC411-ROUND(AC411,-3)&gt;400)*AND(AC411-ROUND(AC411,-3)&lt;500),1,0)</f>
        <v>0</v>
      </c>
      <c r="AC411" s="105">
        <v>0</v>
      </c>
    </row>
    <row r="412" spans="1:29" ht="15.95" customHeight="1" thickTop="1" x14ac:dyDescent="0.2">
      <c r="A412" s="665" t="s">
        <v>161</v>
      </c>
      <c r="B412" s="42">
        <v>2008</v>
      </c>
      <c r="C412" s="148" t="s">
        <v>289</v>
      </c>
      <c r="D412" s="303">
        <v>115246</v>
      </c>
      <c r="E412" s="100">
        <v>7671</v>
      </c>
      <c r="F412" s="101">
        <v>29726.865728000001</v>
      </c>
      <c r="G412" s="100">
        <v>24149.942775393418</v>
      </c>
      <c r="H412" s="100">
        <v>3146</v>
      </c>
      <c r="I412" s="101">
        <v>20227</v>
      </c>
      <c r="J412" s="100">
        <v>601</v>
      </c>
      <c r="K412" s="100">
        <v>8518</v>
      </c>
      <c r="L412" s="100">
        <v>260</v>
      </c>
      <c r="M412" s="100">
        <v>19883</v>
      </c>
      <c r="N412" s="100"/>
      <c r="O412" s="100">
        <v>734</v>
      </c>
      <c r="P412" s="100">
        <v>972</v>
      </c>
      <c r="Q412" s="271">
        <v>9913.5329999999994</v>
      </c>
      <c r="R412" s="100">
        <v>448</v>
      </c>
      <c r="S412" s="100">
        <v>30476</v>
      </c>
      <c r="T412" s="100">
        <v>1090</v>
      </c>
      <c r="U412" s="100">
        <v>3524</v>
      </c>
      <c r="V412" s="666">
        <v>7718.0937499999991</v>
      </c>
      <c r="W412" s="97"/>
      <c r="X412" s="97">
        <f t="shared" si="6"/>
        <v>3524</v>
      </c>
      <c r="Y412" s="97"/>
      <c r="AC412" s="100">
        <v>3523842.2971741115</v>
      </c>
    </row>
    <row r="413" spans="1:29" ht="15.95" customHeight="1" x14ac:dyDescent="0.2">
      <c r="A413" s="665"/>
      <c r="B413" s="43"/>
      <c r="C413" s="149" t="s">
        <v>290</v>
      </c>
      <c r="D413" s="303">
        <v>115246</v>
      </c>
      <c r="E413" s="100">
        <v>7671</v>
      </c>
      <c r="F413" s="101">
        <v>29726.865728000001</v>
      </c>
      <c r="G413" s="100">
        <v>23626.991416309014</v>
      </c>
      <c r="H413" s="100">
        <v>3146</v>
      </c>
      <c r="I413" s="101">
        <v>20227</v>
      </c>
      <c r="J413" s="100">
        <v>601</v>
      </c>
      <c r="K413" s="100">
        <v>8518</v>
      </c>
      <c r="L413" s="100">
        <v>260</v>
      </c>
      <c r="M413" s="100">
        <v>19883</v>
      </c>
      <c r="N413" s="100">
        <v>10144</v>
      </c>
      <c r="O413" s="100">
        <v>734</v>
      </c>
      <c r="P413" s="100">
        <v>972</v>
      </c>
      <c r="Q413" s="271">
        <v>9913.5329999999994</v>
      </c>
      <c r="R413" s="100">
        <v>448</v>
      </c>
      <c r="S413" s="100">
        <v>30476</v>
      </c>
      <c r="T413" s="100">
        <v>1090</v>
      </c>
      <c r="U413" s="100">
        <v>3524</v>
      </c>
      <c r="V413" s="666">
        <v>7717.8571428571422</v>
      </c>
      <c r="W413" s="97"/>
      <c r="X413" s="97">
        <f t="shared" si="6"/>
        <v>3524</v>
      </c>
      <c r="Y413" s="97"/>
      <c r="AC413" s="100">
        <v>3523842.2971741115</v>
      </c>
    </row>
    <row r="414" spans="1:29" ht="15.95" customHeight="1" x14ac:dyDescent="0.2">
      <c r="A414" s="667"/>
      <c r="B414" s="44"/>
      <c r="C414" s="150" t="s">
        <v>291</v>
      </c>
      <c r="D414" s="304"/>
      <c r="E414" s="103">
        <v>0</v>
      </c>
      <c r="F414" s="104">
        <v>0</v>
      </c>
      <c r="G414" s="103">
        <v>0</v>
      </c>
      <c r="H414" s="103">
        <v>0</v>
      </c>
      <c r="I414" s="104"/>
      <c r="J414" s="103">
        <v>0</v>
      </c>
      <c r="K414" s="103"/>
      <c r="L414" s="103"/>
      <c r="M414" s="103">
        <v>0</v>
      </c>
      <c r="N414" s="103"/>
      <c r="O414" s="103">
        <v>4</v>
      </c>
      <c r="P414" s="103">
        <v>0</v>
      </c>
      <c r="Q414" s="272"/>
      <c r="R414" s="103">
        <v>0</v>
      </c>
      <c r="S414" s="103">
        <v>0</v>
      </c>
      <c r="T414" s="103">
        <v>0</v>
      </c>
      <c r="U414" s="103">
        <v>0</v>
      </c>
      <c r="V414" s="668">
        <v>0</v>
      </c>
      <c r="W414" s="97"/>
      <c r="X414" s="97">
        <f t="shared" si="6"/>
        <v>0</v>
      </c>
      <c r="Y414" s="97"/>
      <c r="AC414" s="103">
        <v>0</v>
      </c>
    </row>
    <row r="415" spans="1:29" ht="15.95" customHeight="1" x14ac:dyDescent="0.2">
      <c r="A415" s="665"/>
      <c r="B415" s="42">
        <v>2009</v>
      </c>
      <c r="C415" s="149" t="s">
        <v>412</v>
      </c>
      <c r="D415" s="303">
        <v>153512</v>
      </c>
      <c r="E415" s="100">
        <v>7201</v>
      </c>
      <c r="F415" s="101">
        <v>29726.865728000001</v>
      </c>
      <c r="G415" s="100">
        <v>25389.057720057721</v>
      </c>
      <c r="H415" s="100">
        <v>3567</v>
      </c>
      <c r="I415" s="101">
        <v>20227</v>
      </c>
      <c r="J415" s="100">
        <v>523</v>
      </c>
      <c r="K415" s="100">
        <v>8518</v>
      </c>
      <c r="L415" s="100">
        <f>520-L412</f>
        <v>260</v>
      </c>
      <c r="M415" s="100">
        <v>19883</v>
      </c>
      <c r="N415" s="100"/>
      <c r="O415" s="100">
        <v>729</v>
      </c>
      <c r="P415" s="100">
        <v>971</v>
      </c>
      <c r="Q415" s="102">
        <v>9396.4789999999994</v>
      </c>
      <c r="R415" s="100">
        <v>459</v>
      </c>
      <c r="S415" s="100">
        <v>30476</v>
      </c>
      <c r="T415" s="100">
        <v>1106</v>
      </c>
      <c r="U415" s="100">
        <v>3863</v>
      </c>
      <c r="V415" s="666">
        <v>7732.3044642857139</v>
      </c>
      <c r="W415" s="100"/>
      <c r="X415" s="97">
        <f>+ROUNDUP(AC415/1000+0.5,0)</f>
        <v>3863</v>
      </c>
      <c r="Y415" s="97"/>
      <c r="AC415" s="100">
        <v>3861793.2067932072</v>
      </c>
    </row>
    <row r="416" spans="1:29" ht="15.95" customHeight="1" x14ac:dyDescent="0.2">
      <c r="A416" s="665"/>
      <c r="B416" s="43"/>
      <c r="C416" s="149" t="s">
        <v>413</v>
      </c>
      <c r="D416" s="303">
        <v>153512</v>
      </c>
      <c r="E416" s="100">
        <v>7201</v>
      </c>
      <c r="F416" s="101">
        <v>29726.865728000001</v>
      </c>
      <c r="G416" s="100">
        <v>24854.974025974028</v>
      </c>
      <c r="H416" s="100">
        <v>3567</v>
      </c>
      <c r="I416" s="101">
        <v>20227</v>
      </c>
      <c r="J416" s="100">
        <v>523</v>
      </c>
      <c r="K416" s="100">
        <v>8518</v>
      </c>
      <c r="L416" s="100">
        <v>260</v>
      </c>
      <c r="M416" s="100">
        <v>19883</v>
      </c>
      <c r="N416" s="100">
        <v>11855</v>
      </c>
      <c r="O416" s="100">
        <v>729</v>
      </c>
      <c r="P416" s="100">
        <v>971</v>
      </c>
      <c r="Q416" s="102">
        <v>9396.4789999999994</v>
      </c>
      <c r="R416" s="100">
        <v>459</v>
      </c>
      <c r="S416" s="100">
        <v>29266</v>
      </c>
      <c r="T416" s="100">
        <v>1106</v>
      </c>
      <c r="U416" s="100">
        <v>3863</v>
      </c>
      <c r="V416" s="666">
        <v>7732</v>
      </c>
      <c r="W416" s="97"/>
      <c r="X416" s="97">
        <f>+ROUNDUP(AC416/1000+0.5,0)</f>
        <v>3863</v>
      </c>
      <c r="Y416" s="97"/>
      <c r="AC416" s="100">
        <v>3861793.2067932072</v>
      </c>
    </row>
    <row r="417" spans="1:29" ht="15.95" customHeight="1" thickBot="1" x14ac:dyDescent="0.25">
      <c r="A417" s="669"/>
      <c r="B417" s="45"/>
      <c r="C417" s="151" t="s">
        <v>414</v>
      </c>
      <c r="D417" s="305"/>
      <c r="E417" s="105">
        <v>0</v>
      </c>
      <c r="F417" s="106">
        <v>0</v>
      </c>
      <c r="G417" s="105">
        <v>0</v>
      </c>
      <c r="H417" s="105">
        <v>0</v>
      </c>
      <c r="I417" s="106"/>
      <c r="J417" s="105">
        <v>0</v>
      </c>
      <c r="K417" s="105"/>
      <c r="L417" s="105"/>
      <c r="M417" s="105">
        <v>0</v>
      </c>
      <c r="N417" s="105"/>
      <c r="O417" s="105">
        <v>0</v>
      </c>
      <c r="P417" s="105">
        <v>0</v>
      </c>
      <c r="Q417" s="273"/>
      <c r="R417" s="105">
        <v>0</v>
      </c>
      <c r="S417" s="105">
        <v>0</v>
      </c>
      <c r="T417" s="105">
        <v>0</v>
      </c>
      <c r="U417" s="105">
        <v>0</v>
      </c>
      <c r="V417" s="670">
        <v>0</v>
      </c>
      <c r="W417" s="97"/>
      <c r="X417" s="97">
        <f t="shared" si="6"/>
        <v>0</v>
      </c>
      <c r="Y417" s="97">
        <f>+IF((AC417-ROUND(AC417,-3)&gt;400)*AND(AC417-ROUND(AC417,-3)&lt;500),1,0)</f>
        <v>0</v>
      </c>
      <c r="AC417" s="105">
        <v>0</v>
      </c>
    </row>
    <row r="418" spans="1:29" ht="15.95" customHeight="1" thickTop="1" x14ac:dyDescent="0.2">
      <c r="A418" s="665" t="s">
        <v>162</v>
      </c>
      <c r="B418" s="42">
        <v>2008</v>
      </c>
      <c r="C418" s="148" t="s">
        <v>289</v>
      </c>
      <c r="D418" s="303"/>
      <c r="E418" s="100"/>
      <c r="F418" s="101"/>
      <c r="G418" s="100"/>
      <c r="H418" s="100"/>
      <c r="I418" s="101"/>
      <c r="J418" s="100"/>
      <c r="K418" s="100"/>
      <c r="L418" s="100"/>
      <c r="M418" s="100"/>
      <c r="N418" s="100"/>
      <c r="O418" s="100"/>
      <c r="P418" s="100"/>
      <c r="Q418" s="271"/>
      <c r="R418" s="100"/>
      <c r="S418" s="100"/>
      <c r="T418" s="100"/>
      <c r="U418" s="100">
        <v>11</v>
      </c>
      <c r="V418" s="666"/>
      <c r="W418" s="97"/>
      <c r="X418" s="97">
        <f t="shared" si="6"/>
        <v>11</v>
      </c>
      <c r="Y418" s="97"/>
      <c r="AC418" s="100">
        <v>11385.597082953509</v>
      </c>
    </row>
    <row r="419" spans="1:29" ht="15.95" customHeight="1" x14ac:dyDescent="0.2">
      <c r="A419" s="665"/>
      <c r="B419" s="43"/>
      <c r="C419" s="149" t="s">
        <v>290</v>
      </c>
      <c r="D419" s="303"/>
      <c r="E419" s="100"/>
      <c r="F419" s="101"/>
      <c r="G419" s="100"/>
      <c r="H419" s="100"/>
      <c r="I419" s="101"/>
      <c r="J419" s="100"/>
      <c r="K419" s="100"/>
      <c r="L419" s="100"/>
      <c r="M419" s="100"/>
      <c r="N419" s="100"/>
      <c r="O419" s="100"/>
      <c r="P419" s="100"/>
      <c r="Q419" s="271"/>
      <c r="R419" s="100"/>
      <c r="S419" s="100"/>
      <c r="T419" s="100"/>
      <c r="U419" s="100">
        <v>11</v>
      </c>
      <c r="V419" s="666"/>
      <c r="W419" s="97"/>
      <c r="X419" s="97">
        <f t="shared" si="6"/>
        <v>11</v>
      </c>
      <c r="Y419" s="97"/>
      <c r="AC419" s="100">
        <v>11385.597082953509</v>
      </c>
    </row>
    <row r="420" spans="1:29" ht="15.95" customHeight="1" x14ac:dyDescent="0.2">
      <c r="A420" s="667"/>
      <c r="B420" s="44"/>
      <c r="C420" s="150" t="s">
        <v>291</v>
      </c>
      <c r="D420" s="304"/>
      <c r="E420" s="103"/>
      <c r="F420" s="104"/>
      <c r="G420" s="103"/>
      <c r="H420" s="103"/>
      <c r="I420" s="104"/>
      <c r="J420" s="103"/>
      <c r="K420" s="103"/>
      <c r="L420" s="103"/>
      <c r="M420" s="103"/>
      <c r="N420" s="103"/>
      <c r="O420" s="103"/>
      <c r="P420" s="103"/>
      <c r="Q420" s="272"/>
      <c r="R420" s="103"/>
      <c r="S420" s="103"/>
      <c r="T420" s="103"/>
      <c r="U420" s="103">
        <v>0</v>
      </c>
      <c r="V420" s="668"/>
      <c r="W420" s="97"/>
      <c r="X420" s="97">
        <f t="shared" si="6"/>
        <v>0</v>
      </c>
      <c r="Y420" s="97"/>
      <c r="AC420" s="103">
        <v>0</v>
      </c>
    </row>
    <row r="421" spans="1:29" ht="15.95" customHeight="1" x14ac:dyDescent="0.2">
      <c r="A421" s="665"/>
      <c r="B421" s="42">
        <v>2009</v>
      </c>
      <c r="C421" s="149" t="s">
        <v>412</v>
      </c>
      <c r="D421" s="303"/>
      <c r="E421" s="100"/>
      <c r="F421" s="101"/>
      <c r="G421" s="100"/>
      <c r="H421" s="100"/>
      <c r="I421" s="101"/>
      <c r="J421" s="100"/>
      <c r="K421" s="100"/>
      <c r="L421" s="100"/>
      <c r="M421" s="100"/>
      <c r="N421" s="100"/>
      <c r="O421" s="100"/>
      <c r="P421" s="100"/>
      <c r="Q421" s="271"/>
      <c r="R421" s="100"/>
      <c r="S421" s="100"/>
      <c r="T421" s="100"/>
      <c r="U421" s="100">
        <v>12</v>
      </c>
      <c r="V421" s="666"/>
      <c r="W421" s="100"/>
      <c r="X421" s="97">
        <f t="shared" si="6"/>
        <v>12</v>
      </c>
      <c r="Y421" s="97"/>
      <c r="AC421" s="100">
        <v>12477.52247752248</v>
      </c>
    </row>
    <row r="422" spans="1:29" ht="15.95" customHeight="1" x14ac:dyDescent="0.2">
      <c r="A422" s="665"/>
      <c r="B422" s="43"/>
      <c r="C422" s="149" t="s">
        <v>413</v>
      </c>
      <c r="D422" s="303"/>
      <c r="E422" s="100"/>
      <c r="F422" s="101"/>
      <c r="G422" s="100"/>
      <c r="H422" s="100"/>
      <c r="I422" s="101"/>
      <c r="J422" s="100"/>
      <c r="K422" s="100"/>
      <c r="L422" s="100"/>
      <c r="M422" s="100"/>
      <c r="N422" s="100"/>
      <c r="O422" s="100"/>
      <c r="P422" s="100"/>
      <c r="Q422" s="271"/>
      <c r="R422" s="100"/>
      <c r="S422" s="100"/>
      <c r="T422" s="100"/>
      <c r="U422" s="100">
        <v>12</v>
      </c>
      <c r="V422" s="666"/>
      <c r="W422" s="97"/>
      <c r="X422" s="97">
        <f t="shared" si="6"/>
        <v>12</v>
      </c>
      <c r="Y422" s="97"/>
      <c r="AC422" s="100">
        <v>12477.52247752248</v>
      </c>
    </row>
    <row r="423" spans="1:29" ht="15.95" customHeight="1" thickBot="1" x14ac:dyDescent="0.25">
      <c r="A423" s="669"/>
      <c r="B423" s="45"/>
      <c r="C423" s="151" t="s">
        <v>414</v>
      </c>
      <c r="D423" s="305"/>
      <c r="E423" s="105"/>
      <c r="F423" s="106"/>
      <c r="G423" s="105"/>
      <c r="H423" s="105"/>
      <c r="I423" s="106"/>
      <c r="J423" s="105"/>
      <c r="K423" s="105"/>
      <c r="L423" s="105"/>
      <c r="M423" s="105"/>
      <c r="N423" s="105"/>
      <c r="O423" s="105"/>
      <c r="P423" s="105"/>
      <c r="Q423" s="273"/>
      <c r="R423" s="105"/>
      <c r="S423" s="105"/>
      <c r="T423" s="105"/>
      <c r="U423" s="105">
        <v>0</v>
      </c>
      <c r="V423" s="670"/>
      <c r="W423" s="97"/>
      <c r="X423" s="97">
        <f t="shared" si="6"/>
        <v>0</v>
      </c>
      <c r="Y423" s="97">
        <f>+IF((AC423-ROUND(AC423,-3)&gt;400)*AND(AC423-ROUND(AC423,-3)&lt;500),1,0)</f>
        <v>0</v>
      </c>
      <c r="AC423" s="105">
        <v>0</v>
      </c>
    </row>
    <row r="424" spans="1:29" ht="15.95" customHeight="1" thickTop="1" x14ac:dyDescent="0.2">
      <c r="A424" s="665" t="s">
        <v>163</v>
      </c>
      <c r="B424" s="42">
        <v>2008</v>
      </c>
      <c r="C424" s="148" t="s">
        <v>289</v>
      </c>
      <c r="D424" s="303">
        <v>146</v>
      </c>
      <c r="E424" s="100">
        <v>9</v>
      </c>
      <c r="F424" s="101">
        <v>37.557631999999998</v>
      </c>
      <c r="G424" s="100">
        <v>25.430615164520745</v>
      </c>
      <c r="H424" s="100">
        <v>37</v>
      </c>
      <c r="I424" s="101">
        <v>26</v>
      </c>
      <c r="J424" s="100">
        <v>8</v>
      </c>
      <c r="K424" s="100">
        <v>71</v>
      </c>
      <c r="L424" s="100"/>
      <c r="M424" s="100">
        <v>25</v>
      </c>
      <c r="N424" s="100"/>
      <c r="O424" s="100">
        <v>1</v>
      </c>
      <c r="P424" s="100">
        <v>1</v>
      </c>
      <c r="Q424" s="271">
        <v>12.451000000000001</v>
      </c>
      <c r="R424" s="100">
        <v>65</v>
      </c>
      <c r="S424" s="100">
        <v>37</v>
      </c>
      <c r="T424" s="100">
        <v>3</v>
      </c>
      <c r="U424" s="100">
        <v>11</v>
      </c>
      <c r="V424" s="666">
        <v>42.886607142857137</v>
      </c>
      <c r="W424" s="97"/>
      <c r="X424" s="97">
        <f t="shared" si="6"/>
        <v>11</v>
      </c>
      <c r="Y424" s="97"/>
      <c r="AC424" s="100">
        <v>11385.597082953509</v>
      </c>
    </row>
    <row r="425" spans="1:29" ht="15.95" customHeight="1" x14ac:dyDescent="0.2">
      <c r="A425" s="665"/>
      <c r="B425" s="43"/>
      <c r="C425" s="149" t="s">
        <v>290</v>
      </c>
      <c r="D425" s="303">
        <v>146</v>
      </c>
      <c r="E425" s="100">
        <v>0</v>
      </c>
      <c r="F425" s="101">
        <v>37.557631999999998</v>
      </c>
      <c r="G425" s="100">
        <v>0</v>
      </c>
      <c r="H425" s="100">
        <v>37</v>
      </c>
      <c r="I425" s="101">
        <v>26</v>
      </c>
      <c r="J425" s="100">
        <v>8</v>
      </c>
      <c r="K425" s="100">
        <v>71</v>
      </c>
      <c r="L425" s="100"/>
      <c r="M425" s="100">
        <v>0</v>
      </c>
      <c r="N425" s="100"/>
      <c r="O425" s="100">
        <v>1</v>
      </c>
      <c r="P425" s="100">
        <v>1</v>
      </c>
      <c r="Q425" s="271"/>
      <c r="R425" s="100">
        <v>65</v>
      </c>
      <c r="S425" s="100">
        <v>37</v>
      </c>
      <c r="T425" s="100">
        <v>0</v>
      </c>
      <c r="U425" s="100">
        <v>0</v>
      </c>
      <c r="V425" s="666">
        <v>0</v>
      </c>
      <c r="W425" s="97"/>
      <c r="X425" s="97">
        <f t="shared" si="6"/>
        <v>0</v>
      </c>
      <c r="Y425" s="97"/>
      <c r="AC425" s="100">
        <v>0</v>
      </c>
    </row>
    <row r="426" spans="1:29" ht="15.95" customHeight="1" x14ac:dyDescent="0.2">
      <c r="A426" s="667"/>
      <c r="B426" s="44"/>
      <c r="C426" s="150" t="s">
        <v>291</v>
      </c>
      <c r="D426" s="304">
        <v>160</v>
      </c>
      <c r="E426" s="103">
        <v>0</v>
      </c>
      <c r="F426" s="104">
        <v>0</v>
      </c>
      <c r="G426" s="103">
        <v>108.36909871244636</v>
      </c>
      <c r="H426" s="103">
        <v>0</v>
      </c>
      <c r="I426" s="104">
        <v>23</v>
      </c>
      <c r="J426" s="103">
        <v>1</v>
      </c>
      <c r="K426" s="103"/>
      <c r="L426" s="103"/>
      <c r="M426" s="103">
        <v>0</v>
      </c>
      <c r="N426" s="103">
        <v>281</v>
      </c>
      <c r="O426" s="103">
        <v>0</v>
      </c>
      <c r="P426" s="103">
        <v>0</v>
      </c>
      <c r="Q426" s="272">
        <v>23.018999999999998</v>
      </c>
      <c r="R426" s="103">
        <v>4</v>
      </c>
      <c r="S426" s="103">
        <v>0</v>
      </c>
      <c r="T426" s="103">
        <v>14</v>
      </c>
      <c r="U426" s="103">
        <v>0</v>
      </c>
      <c r="V426" s="668">
        <v>10.909090909090908</v>
      </c>
      <c r="W426" s="97"/>
      <c r="X426" s="97">
        <f t="shared" si="6"/>
        <v>0</v>
      </c>
      <c r="Y426" s="97"/>
      <c r="AC426" s="103">
        <v>0</v>
      </c>
    </row>
    <row r="427" spans="1:29" ht="15.95" customHeight="1" x14ac:dyDescent="0.2">
      <c r="A427" s="665"/>
      <c r="B427" s="42">
        <v>2009</v>
      </c>
      <c r="C427" s="149" t="s">
        <v>412</v>
      </c>
      <c r="D427" s="303">
        <v>195</v>
      </c>
      <c r="E427" s="100">
        <v>10</v>
      </c>
      <c r="F427" s="101">
        <v>37.557631999999998</v>
      </c>
      <c r="G427" s="100">
        <v>27.070707070707073</v>
      </c>
      <c r="H427" s="100">
        <v>42</v>
      </c>
      <c r="I427" s="101">
        <v>26</v>
      </c>
      <c r="J427" s="100">
        <v>7</v>
      </c>
      <c r="K427" s="100">
        <v>71</v>
      </c>
      <c r="L427" s="100"/>
      <c r="M427" s="100">
        <v>25</v>
      </c>
      <c r="N427" s="100"/>
      <c r="O427" s="100">
        <v>1</v>
      </c>
      <c r="P427" s="100">
        <v>1</v>
      </c>
      <c r="Q427" s="102">
        <v>11.802</v>
      </c>
      <c r="R427" s="100">
        <v>64</v>
      </c>
      <c r="S427" s="100">
        <v>37</v>
      </c>
      <c r="T427" s="100">
        <v>3</v>
      </c>
      <c r="U427" s="100">
        <v>12</v>
      </c>
      <c r="V427" s="666">
        <v>39.364285714285714</v>
      </c>
      <c r="W427" s="100"/>
      <c r="X427" s="97">
        <f t="shared" si="6"/>
        <v>12</v>
      </c>
      <c r="Y427" s="97"/>
      <c r="AC427" s="100">
        <v>12477.52247752248</v>
      </c>
    </row>
    <row r="428" spans="1:29" ht="15.95" customHeight="1" x14ac:dyDescent="0.2">
      <c r="A428" s="665"/>
      <c r="B428" s="43"/>
      <c r="C428" s="149" t="s">
        <v>413</v>
      </c>
      <c r="D428" s="303">
        <v>51</v>
      </c>
      <c r="E428" s="100">
        <v>0</v>
      </c>
      <c r="F428" s="101">
        <v>0</v>
      </c>
      <c r="G428" s="100">
        <v>27.070707070707073</v>
      </c>
      <c r="H428" s="100">
        <v>42</v>
      </c>
      <c r="I428" s="101">
        <v>26</v>
      </c>
      <c r="J428" s="100">
        <v>4</v>
      </c>
      <c r="K428" s="100">
        <v>0.6</v>
      </c>
      <c r="L428" s="100"/>
      <c r="M428" s="100">
        <v>25</v>
      </c>
      <c r="N428" s="100"/>
      <c r="O428" s="100">
        <v>0</v>
      </c>
      <c r="P428" s="100">
        <v>0</v>
      </c>
      <c r="Q428" s="271"/>
      <c r="R428" s="100">
        <v>64</v>
      </c>
      <c r="S428" s="100">
        <v>37</v>
      </c>
      <c r="T428" s="100">
        <v>0</v>
      </c>
      <c r="U428" s="100">
        <v>0</v>
      </c>
      <c r="V428" s="666">
        <v>10</v>
      </c>
      <c r="W428" s="97"/>
      <c r="X428" s="97">
        <f t="shared" si="6"/>
        <v>0</v>
      </c>
      <c r="Y428" s="97"/>
      <c r="AC428" s="100">
        <v>0</v>
      </c>
    </row>
    <row r="429" spans="1:29" ht="15.95" customHeight="1" thickBot="1" x14ac:dyDescent="0.25">
      <c r="A429" s="669"/>
      <c r="B429" s="45"/>
      <c r="C429" s="151" t="s">
        <v>414</v>
      </c>
      <c r="D429" s="305"/>
      <c r="E429" s="105">
        <v>0</v>
      </c>
      <c r="F429" s="106">
        <v>0</v>
      </c>
      <c r="G429" s="105">
        <v>45.291486291486294</v>
      </c>
      <c r="H429" s="105">
        <v>0</v>
      </c>
      <c r="I429" s="106"/>
      <c r="J429" s="105">
        <v>0</v>
      </c>
      <c r="K429" s="105"/>
      <c r="L429" s="105"/>
      <c r="M429" s="105">
        <v>25</v>
      </c>
      <c r="N429" s="105"/>
      <c r="O429" s="105">
        <v>0</v>
      </c>
      <c r="P429" s="105">
        <v>0</v>
      </c>
      <c r="Q429" s="273">
        <v>0.17199999999999999</v>
      </c>
      <c r="R429" s="105">
        <v>118</v>
      </c>
      <c r="S429" s="105">
        <v>0</v>
      </c>
      <c r="T429" s="105">
        <v>13</v>
      </c>
      <c r="U429" s="105">
        <v>0</v>
      </c>
      <c r="V429" s="670">
        <v>0</v>
      </c>
      <c r="W429" s="97"/>
      <c r="X429" s="97">
        <f t="shared" si="6"/>
        <v>0</v>
      </c>
      <c r="Y429" s="97">
        <f>+IF((AC429-ROUND(AC429,-3)&gt;400)*AND(AC429-ROUND(AC429,-3)&lt;500),1,0)</f>
        <v>0</v>
      </c>
      <c r="AC429" s="105">
        <v>0</v>
      </c>
    </row>
    <row r="430" spans="1:29" ht="15.95" customHeight="1" thickTop="1" x14ac:dyDescent="0.2">
      <c r="A430" s="665" t="s">
        <v>164</v>
      </c>
      <c r="B430" s="42">
        <v>2008</v>
      </c>
      <c r="C430" s="148" t="s">
        <v>289</v>
      </c>
      <c r="D430" s="303">
        <v>18</v>
      </c>
      <c r="E430" s="100">
        <v>1</v>
      </c>
      <c r="F430" s="101">
        <v>4.6946972000000002</v>
      </c>
      <c r="G430" s="100"/>
      <c r="H430" s="100">
        <v>37</v>
      </c>
      <c r="I430" s="101">
        <v>3</v>
      </c>
      <c r="J430" s="100">
        <v>8</v>
      </c>
      <c r="K430" s="100">
        <v>35</v>
      </c>
      <c r="L430" s="100"/>
      <c r="M430" s="100">
        <v>3</v>
      </c>
      <c r="N430" s="100"/>
      <c r="O430" s="100">
        <v>0</v>
      </c>
      <c r="P430" s="100">
        <v>0</v>
      </c>
      <c r="Q430" s="271">
        <v>1.1319999999999999</v>
      </c>
      <c r="R430" s="100">
        <v>35</v>
      </c>
      <c r="S430" s="100">
        <v>5</v>
      </c>
      <c r="T430" s="100">
        <v>1</v>
      </c>
      <c r="U430" s="100">
        <v>11</v>
      </c>
      <c r="V430" s="666">
        <v>23.825892857142854</v>
      </c>
      <c r="W430" s="97"/>
      <c r="X430" s="97">
        <f t="shared" si="6"/>
        <v>11</v>
      </c>
      <c r="Y430" s="97"/>
      <c r="AC430" s="100">
        <v>11385.597082953509</v>
      </c>
    </row>
    <row r="431" spans="1:29" ht="15.95" customHeight="1" x14ac:dyDescent="0.2">
      <c r="A431" s="665"/>
      <c r="B431" s="43"/>
      <c r="C431" s="149" t="s">
        <v>290</v>
      </c>
      <c r="D431" s="303">
        <v>18</v>
      </c>
      <c r="E431" s="100">
        <v>0</v>
      </c>
      <c r="F431" s="101">
        <v>4.6946972000000002</v>
      </c>
      <c r="G431" s="100"/>
      <c r="H431" s="100">
        <v>0</v>
      </c>
      <c r="I431" s="101"/>
      <c r="J431" s="100">
        <v>0</v>
      </c>
      <c r="K431" s="100"/>
      <c r="L431" s="100"/>
      <c r="M431" s="100">
        <v>0</v>
      </c>
      <c r="N431" s="100"/>
      <c r="O431" s="100">
        <v>0</v>
      </c>
      <c r="P431" s="100">
        <v>0</v>
      </c>
      <c r="Q431" s="271"/>
      <c r="R431" s="100">
        <v>0</v>
      </c>
      <c r="S431" s="100">
        <v>5</v>
      </c>
      <c r="T431" s="100">
        <v>0</v>
      </c>
      <c r="U431" s="100">
        <v>2</v>
      </c>
      <c r="V431" s="666">
        <v>0</v>
      </c>
      <c r="W431" s="97"/>
      <c r="X431" s="97">
        <f>+ROUNDDOWN(AC431/1000,0)</f>
        <v>2</v>
      </c>
      <c r="Y431" s="97"/>
      <c r="AC431" s="100">
        <v>2809.3163172288059</v>
      </c>
    </row>
    <row r="432" spans="1:29" ht="15.95" customHeight="1" x14ac:dyDescent="0.2">
      <c r="A432" s="667"/>
      <c r="B432" s="44"/>
      <c r="C432" s="150" t="s">
        <v>291</v>
      </c>
      <c r="D432" s="304">
        <v>25</v>
      </c>
      <c r="E432" s="103">
        <v>0</v>
      </c>
      <c r="F432" s="104">
        <v>80.703666400000003</v>
      </c>
      <c r="G432" s="103"/>
      <c r="H432" s="103">
        <v>0</v>
      </c>
      <c r="I432" s="104"/>
      <c r="J432" s="103">
        <v>0</v>
      </c>
      <c r="K432" s="103"/>
      <c r="L432" s="103"/>
      <c r="M432" s="103">
        <v>58</v>
      </c>
      <c r="N432" s="103"/>
      <c r="O432" s="103">
        <v>0</v>
      </c>
      <c r="P432" s="103">
        <v>0</v>
      </c>
      <c r="Q432" s="272">
        <v>18.341000000000001</v>
      </c>
      <c r="R432" s="103">
        <v>0</v>
      </c>
      <c r="S432" s="103">
        <v>0</v>
      </c>
      <c r="T432" s="103">
        <v>12</v>
      </c>
      <c r="U432" s="103">
        <v>34</v>
      </c>
      <c r="V432" s="668">
        <v>27.27272727272727</v>
      </c>
      <c r="W432" s="97"/>
      <c r="X432" s="97">
        <f t="shared" si="6"/>
        <v>34</v>
      </c>
      <c r="Y432" s="97"/>
      <c r="AC432" s="103">
        <v>34139.9453053783</v>
      </c>
    </row>
    <row r="433" spans="1:29" ht="15.95" customHeight="1" x14ac:dyDescent="0.2">
      <c r="A433" s="665"/>
      <c r="B433" s="42">
        <v>2009</v>
      </c>
      <c r="C433" s="149" t="s">
        <v>412</v>
      </c>
      <c r="D433" s="303">
        <v>24</v>
      </c>
      <c r="E433" s="100">
        <v>1</v>
      </c>
      <c r="F433" s="101">
        <v>4.6946972000000002</v>
      </c>
      <c r="G433" s="100"/>
      <c r="H433" s="100">
        <v>42</v>
      </c>
      <c r="I433" s="101">
        <v>3</v>
      </c>
      <c r="J433" s="100">
        <v>7</v>
      </c>
      <c r="K433" s="100">
        <v>35</v>
      </c>
      <c r="L433" s="100"/>
      <c r="M433" s="100">
        <v>3</v>
      </c>
      <c r="N433" s="100"/>
      <c r="O433" s="100">
        <v>0</v>
      </c>
      <c r="P433" s="100">
        <v>0</v>
      </c>
      <c r="Q433" s="102">
        <v>1.073</v>
      </c>
      <c r="R433" s="100">
        <v>36</v>
      </c>
      <c r="S433" s="100">
        <v>5</v>
      </c>
      <c r="T433" s="100">
        <v>1</v>
      </c>
      <c r="U433" s="100">
        <v>12</v>
      </c>
      <c r="V433" s="666">
        <v>25</v>
      </c>
      <c r="W433" s="100"/>
      <c r="X433" s="97">
        <f t="shared" si="6"/>
        <v>12</v>
      </c>
      <c r="Y433" s="97"/>
      <c r="AC433" s="100">
        <v>12477.52247752248</v>
      </c>
    </row>
    <row r="434" spans="1:29" ht="15.95" customHeight="1" x14ac:dyDescent="0.2">
      <c r="A434" s="665"/>
      <c r="B434" s="43"/>
      <c r="C434" s="149" t="s">
        <v>413</v>
      </c>
      <c r="D434" s="303"/>
      <c r="E434" s="100">
        <v>1</v>
      </c>
      <c r="F434" s="101">
        <v>4.6946972000000002</v>
      </c>
      <c r="G434" s="100"/>
      <c r="H434" s="100">
        <v>0</v>
      </c>
      <c r="I434" s="101"/>
      <c r="J434" s="100">
        <v>7</v>
      </c>
      <c r="K434" s="100"/>
      <c r="L434" s="100"/>
      <c r="M434" s="100">
        <v>3</v>
      </c>
      <c r="N434" s="100"/>
      <c r="O434" s="100">
        <v>0</v>
      </c>
      <c r="P434" s="100">
        <v>0</v>
      </c>
      <c r="Q434" s="271"/>
      <c r="R434" s="100">
        <v>0</v>
      </c>
      <c r="S434" s="100">
        <v>5</v>
      </c>
      <c r="T434" s="100">
        <v>1</v>
      </c>
      <c r="U434" s="100">
        <v>12</v>
      </c>
      <c r="V434" s="666">
        <v>0</v>
      </c>
      <c r="W434" s="97"/>
      <c r="X434" s="97">
        <f t="shared" si="6"/>
        <v>12</v>
      </c>
      <c r="Y434" s="97"/>
      <c r="AC434" s="100">
        <v>12477.52247752248</v>
      </c>
    </row>
    <row r="435" spans="1:29" ht="15.95" customHeight="1" thickBot="1" x14ac:dyDescent="0.25">
      <c r="A435" s="669"/>
      <c r="B435" s="45"/>
      <c r="C435" s="151" t="s">
        <v>414</v>
      </c>
      <c r="D435" s="305"/>
      <c r="E435" s="105">
        <v>2</v>
      </c>
      <c r="F435" s="106">
        <v>0</v>
      </c>
      <c r="G435" s="105"/>
      <c r="H435" s="105">
        <v>0</v>
      </c>
      <c r="I435" s="106"/>
      <c r="J435" s="105">
        <v>7</v>
      </c>
      <c r="K435" s="105"/>
      <c r="L435" s="105"/>
      <c r="M435" s="260">
        <v>26</v>
      </c>
      <c r="N435" s="105"/>
      <c r="O435" s="105">
        <v>0</v>
      </c>
      <c r="P435" s="105">
        <v>0</v>
      </c>
      <c r="Q435" s="273">
        <v>4.2910000000000004</v>
      </c>
      <c r="R435" s="105">
        <v>0</v>
      </c>
      <c r="S435" s="105">
        <v>9</v>
      </c>
      <c r="T435" s="105">
        <v>4</v>
      </c>
      <c r="U435" s="105">
        <v>9</v>
      </c>
      <c r="V435" s="670">
        <v>0</v>
      </c>
      <c r="W435" s="97"/>
      <c r="X435" s="97">
        <f t="shared" si="6"/>
        <v>9</v>
      </c>
      <c r="Y435" s="97">
        <f>+IF((AC435-ROUND(AC435,-3)&gt;400)*AND(AC435-ROUND(AC435,-3)&lt;500),1,0)</f>
        <v>0</v>
      </c>
      <c r="AC435" s="105">
        <v>9398.7812187812196</v>
      </c>
    </row>
    <row r="436" spans="1:29" ht="15.95" customHeight="1" thickTop="1" x14ac:dyDescent="0.2">
      <c r="A436" s="665" t="s">
        <v>165</v>
      </c>
      <c r="B436" s="42">
        <v>2008</v>
      </c>
      <c r="C436" s="148" t="s">
        <v>289</v>
      </c>
      <c r="D436" s="303">
        <v>55</v>
      </c>
      <c r="E436" s="100">
        <v>3</v>
      </c>
      <c r="F436" s="101">
        <v>14.084118800000001</v>
      </c>
      <c r="G436" s="100">
        <v>9.354792560801144</v>
      </c>
      <c r="H436" s="100">
        <v>37</v>
      </c>
      <c r="I436" s="101">
        <v>10</v>
      </c>
      <c r="J436" s="100">
        <v>61</v>
      </c>
      <c r="K436" s="100">
        <v>71</v>
      </c>
      <c r="L436" s="100"/>
      <c r="M436" s="100">
        <v>9</v>
      </c>
      <c r="N436" s="100"/>
      <c r="O436" s="100">
        <v>0</v>
      </c>
      <c r="P436" s="100">
        <v>1</v>
      </c>
      <c r="Q436" s="271">
        <v>4.5270000000000001</v>
      </c>
      <c r="R436" s="100">
        <v>42</v>
      </c>
      <c r="S436" s="100">
        <v>14</v>
      </c>
      <c r="T436" s="100">
        <v>11</v>
      </c>
      <c r="U436" s="100">
        <v>11</v>
      </c>
      <c r="V436" s="666">
        <v>28.546428571428571</v>
      </c>
      <c r="W436" s="97"/>
      <c r="X436" s="97">
        <f t="shared" si="6"/>
        <v>11</v>
      </c>
      <c r="Y436" s="97"/>
      <c r="AC436" s="100">
        <v>11385.597082953509</v>
      </c>
    </row>
    <row r="437" spans="1:29" ht="15.95" customHeight="1" x14ac:dyDescent="0.2">
      <c r="A437" s="665"/>
      <c r="B437" s="43"/>
      <c r="C437" s="149" t="s">
        <v>290</v>
      </c>
      <c r="D437" s="303">
        <v>55</v>
      </c>
      <c r="E437" s="100">
        <v>3</v>
      </c>
      <c r="F437" s="101">
        <v>14.084118800000001</v>
      </c>
      <c r="G437" s="100">
        <v>9.354792560801144</v>
      </c>
      <c r="H437" s="100">
        <v>37</v>
      </c>
      <c r="I437" s="101">
        <v>10</v>
      </c>
      <c r="J437" s="100">
        <v>61</v>
      </c>
      <c r="K437" s="100">
        <v>71</v>
      </c>
      <c r="L437" s="100"/>
      <c r="M437" s="100">
        <v>9</v>
      </c>
      <c r="N437" s="100"/>
      <c r="O437" s="100">
        <v>0</v>
      </c>
      <c r="P437" s="100">
        <v>1</v>
      </c>
      <c r="Q437" s="271"/>
      <c r="R437" s="100">
        <v>42</v>
      </c>
      <c r="S437" s="100">
        <v>14</v>
      </c>
      <c r="T437" s="100">
        <v>11</v>
      </c>
      <c r="U437" s="100">
        <v>0</v>
      </c>
      <c r="V437" s="666">
        <v>28.571428571428569</v>
      </c>
      <c r="W437" s="97"/>
      <c r="X437" s="97">
        <f t="shared" si="6"/>
        <v>0</v>
      </c>
      <c r="Y437" s="97"/>
      <c r="AC437" s="100">
        <v>0</v>
      </c>
    </row>
    <row r="438" spans="1:29" ht="15.95" customHeight="1" x14ac:dyDescent="0.2">
      <c r="A438" s="667"/>
      <c r="B438" s="44"/>
      <c r="C438" s="150" t="s">
        <v>291</v>
      </c>
      <c r="D438" s="304"/>
      <c r="E438" s="103">
        <v>51</v>
      </c>
      <c r="F438" s="104">
        <v>20</v>
      </c>
      <c r="G438" s="103">
        <v>91.13876967095851</v>
      </c>
      <c r="H438" s="103">
        <v>21</v>
      </c>
      <c r="I438" s="104">
        <v>50</v>
      </c>
      <c r="J438" s="103">
        <v>0</v>
      </c>
      <c r="K438" s="103"/>
      <c r="L438" s="103"/>
      <c r="M438" s="103">
        <v>39</v>
      </c>
      <c r="N438" s="103"/>
      <c r="O438" s="103">
        <v>0</v>
      </c>
      <c r="P438" s="103">
        <v>1</v>
      </c>
      <c r="Q438" s="272"/>
      <c r="R438" s="103">
        <v>79</v>
      </c>
      <c r="S438" s="103">
        <v>131</v>
      </c>
      <c r="T438" s="103">
        <v>0</v>
      </c>
      <c r="U438" s="103">
        <v>0</v>
      </c>
      <c r="V438" s="668">
        <v>0</v>
      </c>
      <c r="W438" s="97"/>
      <c r="X438" s="97">
        <f t="shared" si="6"/>
        <v>0</v>
      </c>
      <c r="Y438" s="97"/>
      <c r="AC438" s="103">
        <v>0</v>
      </c>
    </row>
    <row r="439" spans="1:29" ht="15.95" customHeight="1" x14ac:dyDescent="0.2">
      <c r="A439" s="665"/>
      <c r="B439" s="42">
        <v>2009</v>
      </c>
      <c r="C439" s="149" t="s">
        <v>412</v>
      </c>
      <c r="D439" s="303">
        <v>73</v>
      </c>
      <c r="E439" s="100">
        <v>4</v>
      </c>
      <c r="F439" s="101">
        <v>14.084118800000001</v>
      </c>
      <c r="G439" s="100">
        <v>9.7532467532467546</v>
      </c>
      <c r="H439" s="100">
        <v>42</v>
      </c>
      <c r="I439" s="101">
        <v>10</v>
      </c>
      <c r="J439" s="100">
        <v>47</v>
      </c>
      <c r="K439" s="100">
        <v>71</v>
      </c>
      <c r="L439" s="100"/>
      <c r="M439" s="100">
        <v>9</v>
      </c>
      <c r="N439" s="100"/>
      <c r="O439" s="100">
        <v>0</v>
      </c>
      <c r="P439" s="100">
        <v>1</v>
      </c>
      <c r="Q439" s="102">
        <v>4.2910000000000004</v>
      </c>
      <c r="R439" s="100">
        <v>43</v>
      </c>
      <c r="S439" s="100">
        <v>14</v>
      </c>
      <c r="T439" s="100">
        <v>11</v>
      </c>
      <c r="U439" s="100">
        <v>12</v>
      </c>
      <c r="V439" s="666">
        <v>32.628571428571419</v>
      </c>
      <c r="W439" s="100"/>
      <c r="X439" s="97">
        <f t="shared" si="6"/>
        <v>12</v>
      </c>
      <c r="Y439" s="97"/>
      <c r="AC439" s="100">
        <v>12477.52247752248</v>
      </c>
    </row>
    <row r="440" spans="1:29" ht="15.95" customHeight="1" x14ac:dyDescent="0.2">
      <c r="A440" s="665"/>
      <c r="B440" s="43"/>
      <c r="C440" s="149" t="s">
        <v>413</v>
      </c>
      <c r="D440" s="303">
        <v>73</v>
      </c>
      <c r="E440" s="100">
        <v>3</v>
      </c>
      <c r="F440" s="101">
        <v>14.084118800000001</v>
      </c>
      <c r="G440" s="100">
        <v>8.5844155844155843</v>
      </c>
      <c r="H440" s="100">
        <v>42</v>
      </c>
      <c r="I440" s="101">
        <v>10</v>
      </c>
      <c r="J440" s="100">
        <v>47</v>
      </c>
      <c r="K440" s="100">
        <v>71</v>
      </c>
      <c r="L440" s="100"/>
      <c r="M440" s="100">
        <v>9</v>
      </c>
      <c r="N440" s="100"/>
      <c r="O440" s="100">
        <v>0</v>
      </c>
      <c r="P440" s="100">
        <v>1</v>
      </c>
      <c r="Q440" s="271"/>
      <c r="R440" s="100">
        <v>43</v>
      </c>
      <c r="S440" s="100">
        <v>14</v>
      </c>
      <c r="T440" s="100">
        <v>11</v>
      </c>
      <c r="U440" s="100">
        <v>0</v>
      </c>
      <c r="V440" s="666">
        <v>33</v>
      </c>
      <c r="W440" s="97"/>
      <c r="X440" s="97">
        <f t="shared" si="6"/>
        <v>0</v>
      </c>
      <c r="Y440" s="97"/>
      <c r="AC440" s="100">
        <v>0</v>
      </c>
    </row>
    <row r="441" spans="1:29" ht="15.95" customHeight="1" thickBot="1" x14ac:dyDescent="0.25">
      <c r="A441" s="669"/>
      <c r="B441" s="45"/>
      <c r="C441" s="151" t="s">
        <v>414</v>
      </c>
      <c r="D441" s="305"/>
      <c r="E441" s="105">
        <v>37</v>
      </c>
      <c r="F441" s="106">
        <v>20</v>
      </c>
      <c r="G441" s="105">
        <v>91.927849927849934</v>
      </c>
      <c r="H441" s="105">
        <v>25</v>
      </c>
      <c r="I441" s="106">
        <v>50</v>
      </c>
      <c r="J441" s="105">
        <v>0</v>
      </c>
      <c r="K441" s="105"/>
      <c r="L441" s="105"/>
      <c r="M441" s="105">
        <v>40</v>
      </c>
      <c r="N441" s="105"/>
      <c r="O441" s="105">
        <v>0</v>
      </c>
      <c r="P441" s="105">
        <v>0</v>
      </c>
      <c r="Q441" s="273"/>
      <c r="R441" s="105">
        <v>0</v>
      </c>
      <c r="S441" s="105">
        <v>222</v>
      </c>
      <c r="T441" s="105">
        <v>0</v>
      </c>
      <c r="U441" s="105">
        <v>81</v>
      </c>
      <c r="V441" s="670">
        <v>0</v>
      </c>
      <c r="W441" s="97"/>
      <c r="X441" s="97">
        <f t="shared" si="6"/>
        <v>81</v>
      </c>
      <c r="Y441" s="97">
        <f>+IF((AC441-ROUND(AC441,-3)&gt;400)*AND(AC441-ROUND(AC441,-3)&lt;500),1,0)</f>
        <v>1</v>
      </c>
      <c r="AC441" s="105">
        <v>81424.595404595413</v>
      </c>
    </row>
    <row r="442" spans="1:29" ht="15.95" customHeight="1" thickTop="1" x14ac:dyDescent="0.2">
      <c r="A442" s="665" t="s">
        <v>166</v>
      </c>
      <c r="B442" s="42">
        <v>2008</v>
      </c>
      <c r="C442" s="148" t="s">
        <v>289</v>
      </c>
      <c r="D442" s="303">
        <v>156875</v>
      </c>
      <c r="E442" s="100">
        <v>10232</v>
      </c>
      <c r="F442" s="101">
        <v>40463.653782800007</v>
      </c>
      <c r="G442" s="100">
        <v>32876.852646638057</v>
      </c>
      <c r="H442" s="100">
        <v>4308</v>
      </c>
      <c r="I442" s="101">
        <v>27534</v>
      </c>
      <c r="J442" s="100">
        <v>1021</v>
      </c>
      <c r="K442" s="100">
        <v>8518</v>
      </c>
      <c r="L442" s="100"/>
      <c r="M442" s="100">
        <v>27064</v>
      </c>
      <c r="N442" s="100"/>
      <c r="O442" s="100">
        <v>999</v>
      </c>
      <c r="P442" s="100">
        <v>1323</v>
      </c>
      <c r="Q442" s="271">
        <v>13494.993</v>
      </c>
      <c r="R442" s="100">
        <v>448</v>
      </c>
      <c r="S442" s="100">
        <v>39837</v>
      </c>
      <c r="T442" s="100">
        <v>1090</v>
      </c>
      <c r="U442" s="100">
        <v>4805</v>
      </c>
      <c r="V442" s="666">
        <v>14026.246428571429</v>
      </c>
      <c r="W442" s="97"/>
      <c r="X442" s="97">
        <f t="shared" si="6"/>
        <v>4805</v>
      </c>
      <c r="Y442" s="97"/>
      <c r="AC442" s="100">
        <v>4804721.969006381</v>
      </c>
    </row>
    <row r="443" spans="1:29" ht="15.95" customHeight="1" x14ac:dyDescent="0.2">
      <c r="A443" s="665"/>
      <c r="B443" s="43"/>
      <c r="C443" s="149" t="s">
        <v>290</v>
      </c>
      <c r="D443" s="303">
        <v>156875</v>
      </c>
      <c r="E443" s="100">
        <v>10232</v>
      </c>
      <c r="F443" s="101">
        <v>40463.6537828</v>
      </c>
      <c r="G443" s="100">
        <v>32026.130185979975</v>
      </c>
      <c r="H443" s="100">
        <v>4308</v>
      </c>
      <c r="I443" s="101">
        <v>27534</v>
      </c>
      <c r="J443" s="100">
        <v>1021</v>
      </c>
      <c r="K443" s="100">
        <v>8518</v>
      </c>
      <c r="L443" s="100"/>
      <c r="M443" s="100">
        <v>27064</v>
      </c>
      <c r="N443" s="100"/>
      <c r="O443" s="100">
        <v>999</v>
      </c>
      <c r="P443" s="100">
        <v>1323</v>
      </c>
      <c r="Q443" s="271">
        <v>13494.993</v>
      </c>
      <c r="R443" s="100">
        <v>448</v>
      </c>
      <c r="S443" s="100">
        <v>39837</v>
      </c>
      <c r="T443" s="100">
        <v>1090</v>
      </c>
      <c r="U443" s="100">
        <v>4805</v>
      </c>
      <c r="V443" s="666">
        <v>14026</v>
      </c>
      <c r="W443" s="97"/>
      <c r="X443" s="97">
        <f t="shared" si="6"/>
        <v>4805</v>
      </c>
      <c r="Y443" s="97"/>
      <c r="AC443" s="100">
        <v>4804721.969006381</v>
      </c>
    </row>
    <row r="444" spans="1:29" ht="15.95" customHeight="1" x14ac:dyDescent="0.2">
      <c r="A444" s="667"/>
      <c r="B444" s="44"/>
      <c r="C444" s="150" t="s">
        <v>291</v>
      </c>
      <c r="D444" s="304"/>
      <c r="E444" s="103">
        <v>0</v>
      </c>
      <c r="F444" s="104">
        <v>0</v>
      </c>
      <c r="G444" s="103">
        <v>0</v>
      </c>
      <c r="H444" s="103">
        <v>0</v>
      </c>
      <c r="I444" s="104"/>
      <c r="J444" s="103">
        <v>0</v>
      </c>
      <c r="K444" s="103"/>
      <c r="L444" s="103"/>
      <c r="M444" s="103">
        <v>0</v>
      </c>
      <c r="N444" s="103"/>
      <c r="O444" s="103">
        <v>0</v>
      </c>
      <c r="P444" s="103">
        <v>0</v>
      </c>
      <c r="Q444" s="272"/>
      <c r="R444" s="103">
        <v>0</v>
      </c>
      <c r="S444" s="103">
        <v>0</v>
      </c>
      <c r="T444" s="103">
        <v>0</v>
      </c>
      <c r="U444" s="103">
        <v>0</v>
      </c>
      <c r="V444" s="668">
        <v>0</v>
      </c>
      <c r="W444" s="97"/>
      <c r="X444" s="97">
        <f t="shared" si="6"/>
        <v>0</v>
      </c>
      <c r="Y444" s="97"/>
      <c r="AC444" s="103">
        <v>0</v>
      </c>
    </row>
    <row r="445" spans="1:29" ht="15.95" customHeight="1" x14ac:dyDescent="0.2">
      <c r="A445" s="665"/>
      <c r="B445" s="42">
        <v>2009</v>
      </c>
      <c r="C445" s="149" t="s">
        <v>412</v>
      </c>
      <c r="D445" s="303">
        <f>208963+1</f>
        <v>208964</v>
      </c>
      <c r="E445" s="100">
        <v>9988</v>
      </c>
      <c r="F445" s="101">
        <v>40463.653782800007</v>
      </c>
      <c r="G445" s="100">
        <v>34422.985569985576</v>
      </c>
      <c r="H445" s="100">
        <v>4887</v>
      </c>
      <c r="I445" s="101">
        <v>27534</v>
      </c>
      <c r="J445" s="100">
        <v>929</v>
      </c>
      <c r="K445" s="100">
        <v>8518</v>
      </c>
      <c r="L445" s="100"/>
      <c r="M445" s="100">
        <v>27064</v>
      </c>
      <c r="N445" s="100"/>
      <c r="O445" s="100">
        <v>992</v>
      </c>
      <c r="P445" s="100">
        <v>1321</v>
      </c>
      <c r="Q445" s="102">
        <v>12791.143</v>
      </c>
      <c r="R445" s="100">
        <v>459</v>
      </c>
      <c r="S445" s="100">
        <v>39837</v>
      </c>
      <c r="T445" s="100">
        <v>1106</v>
      </c>
      <c r="U445" s="100">
        <v>5266</v>
      </c>
      <c r="V445" s="666">
        <v>14341.686607142856</v>
      </c>
      <c r="W445" s="100"/>
      <c r="X445" s="97">
        <f t="shared" si="6"/>
        <v>5266</v>
      </c>
      <c r="Y445" s="97"/>
      <c r="AC445" s="100">
        <v>5265514.4855144862</v>
      </c>
    </row>
    <row r="446" spans="1:29" ht="15.95" customHeight="1" x14ac:dyDescent="0.2">
      <c r="A446" s="665"/>
      <c r="B446" s="43"/>
      <c r="C446" s="149" t="s">
        <v>413</v>
      </c>
      <c r="D446" s="303">
        <f>208963+1</f>
        <v>208964</v>
      </c>
      <c r="E446" s="100">
        <v>9988</v>
      </c>
      <c r="F446" s="101">
        <v>40463.6537828</v>
      </c>
      <c r="G446" s="100">
        <v>33739.55411255412</v>
      </c>
      <c r="H446" s="100">
        <v>4887</v>
      </c>
      <c r="I446" s="101">
        <v>27534</v>
      </c>
      <c r="J446" s="100">
        <v>929</v>
      </c>
      <c r="K446" s="100">
        <v>8518</v>
      </c>
      <c r="L446" s="100"/>
      <c r="M446" s="100">
        <v>27064</v>
      </c>
      <c r="N446" s="100">
        <v>34332</v>
      </c>
      <c r="O446" s="100">
        <v>992</v>
      </c>
      <c r="P446" s="100">
        <v>1321</v>
      </c>
      <c r="Q446" s="102">
        <v>12791.143</v>
      </c>
      <c r="R446" s="100">
        <v>459</v>
      </c>
      <c r="S446" s="100">
        <v>39837</v>
      </c>
      <c r="T446" s="100">
        <v>1106</v>
      </c>
      <c r="U446" s="100">
        <v>5266</v>
      </c>
      <c r="V446" s="666">
        <v>14342</v>
      </c>
      <c r="W446" s="97"/>
      <c r="X446" s="97">
        <f t="shared" si="6"/>
        <v>5266</v>
      </c>
      <c r="Y446" s="97"/>
      <c r="AC446" s="100">
        <v>5265514.4855144862</v>
      </c>
    </row>
    <row r="447" spans="1:29" ht="15.95" customHeight="1" thickBot="1" x14ac:dyDescent="0.25">
      <c r="A447" s="669"/>
      <c r="B447" s="45"/>
      <c r="C447" s="151" t="s">
        <v>414</v>
      </c>
      <c r="D447" s="305"/>
      <c r="E447" s="105">
        <v>0</v>
      </c>
      <c r="F447" s="106">
        <v>0</v>
      </c>
      <c r="G447" s="105">
        <v>0</v>
      </c>
      <c r="H447" s="105">
        <v>0</v>
      </c>
      <c r="I447" s="106"/>
      <c r="J447" s="105">
        <v>0</v>
      </c>
      <c r="K447" s="105"/>
      <c r="L447" s="105"/>
      <c r="M447" s="105">
        <v>0</v>
      </c>
      <c r="N447" s="105"/>
      <c r="O447" s="105">
        <v>0</v>
      </c>
      <c r="P447" s="105">
        <v>0</v>
      </c>
      <c r="Q447" s="273"/>
      <c r="R447" s="105">
        <v>0</v>
      </c>
      <c r="S447" s="105">
        <v>0</v>
      </c>
      <c r="T447" s="105">
        <v>0</v>
      </c>
      <c r="U447" s="105">
        <v>0</v>
      </c>
      <c r="V447" s="670">
        <v>0</v>
      </c>
      <c r="W447" s="97"/>
      <c r="X447" s="97">
        <f t="shared" ref="X447:X510" si="7">+ROUND(AC447/1000,0)</f>
        <v>0</v>
      </c>
      <c r="Y447" s="97">
        <f>+IF((AC447-ROUND(AC447,-3)&gt;400)*AND(AC447-ROUND(AC447,-3)&lt;500),1,0)</f>
        <v>0</v>
      </c>
      <c r="AC447" s="105">
        <v>0</v>
      </c>
    </row>
    <row r="448" spans="1:29" ht="15.95" customHeight="1" thickTop="1" x14ac:dyDescent="0.2">
      <c r="A448" s="665" t="s">
        <v>167</v>
      </c>
      <c r="B448" s="42">
        <v>2008</v>
      </c>
      <c r="C448" s="148" t="s">
        <v>289</v>
      </c>
      <c r="D448" s="303">
        <v>73</v>
      </c>
      <c r="E448" s="100">
        <v>5</v>
      </c>
      <c r="F448" s="101">
        <v>18.778815999999999</v>
      </c>
      <c r="G448" s="100">
        <v>12.640915593705294</v>
      </c>
      <c r="H448" s="100">
        <v>37</v>
      </c>
      <c r="I448" s="101">
        <v>13</v>
      </c>
      <c r="J448" s="100">
        <v>12</v>
      </c>
      <c r="K448" s="100">
        <v>71</v>
      </c>
      <c r="L448" s="100"/>
      <c r="M448" s="100">
        <v>13</v>
      </c>
      <c r="N448" s="100"/>
      <c r="O448" s="100">
        <v>1</v>
      </c>
      <c r="P448" s="100">
        <v>1</v>
      </c>
      <c r="Q448" s="271">
        <v>6.7919999999999998</v>
      </c>
      <c r="R448" s="100">
        <v>42</v>
      </c>
      <c r="S448" s="100">
        <v>18</v>
      </c>
      <c r="T448" s="100">
        <v>3</v>
      </c>
      <c r="U448" s="100">
        <v>11</v>
      </c>
      <c r="V448" s="666">
        <v>63.529464285714283</v>
      </c>
      <c r="W448" s="97"/>
      <c r="X448" s="97">
        <f t="shared" si="7"/>
        <v>11</v>
      </c>
      <c r="Y448" s="97"/>
      <c r="AC448" s="100">
        <v>11385.597082953509</v>
      </c>
    </row>
    <row r="449" spans="1:29" ht="15.95" customHeight="1" x14ac:dyDescent="0.2">
      <c r="A449" s="665"/>
      <c r="B449" s="43"/>
      <c r="C449" s="149" t="s">
        <v>290</v>
      </c>
      <c r="D449" s="303">
        <v>73</v>
      </c>
      <c r="E449" s="100">
        <v>0</v>
      </c>
      <c r="F449" s="101">
        <v>16.678099200000002</v>
      </c>
      <c r="G449" s="100">
        <v>0</v>
      </c>
      <c r="H449" s="100">
        <v>37</v>
      </c>
      <c r="I449" s="101">
        <f>13-13</f>
        <v>0</v>
      </c>
      <c r="J449" s="100">
        <v>12</v>
      </c>
      <c r="K449" s="100">
        <v>71</v>
      </c>
      <c r="L449" s="100"/>
      <c r="M449" s="100">
        <v>0</v>
      </c>
      <c r="N449" s="100">
        <v>400</v>
      </c>
      <c r="O449" s="100">
        <v>0</v>
      </c>
      <c r="P449" s="100">
        <v>0</v>
      </c>
      <c r="Q449" s="271">
        <v>6.7919999999999998</v>
      </c>
      <c r="R449" s="100">
        <v>42</v>
      </c>
      <c r="S449" s="100">
        <v>7</v>
      </c>
      <c r="T449" s="100">
        <v>3</v>
      </c>
      <c r="U449" s="100">
        <v>0</v>
      </c>
      <c r="V449" s="666">
        <v>63.392857142857139</v>
      </c>
      <c r="W449" s="97"/>
      <c r="X449" s="97">
        <f t="shared" si="7"/>
        <v>0</v>
      </c>
      <c r="Y449" s="97"/>
      <c r="AC449" s="100">
        <v>0</v>
      </c>
    </row>
    <row r="450" spans="1:29" ht="15.95" customHeight="1" x14ac:dyDescent="0.2">
      <c r="A450" s="667"/>
      <c r="B450" s="44"/>
      <c r="C450" s="150" t="s">
        <v>291</v>
      </c>
      <c r="D450" s="304"/>
      <c r="E450" s="103">
        <v>0</v>
      </c>
      <c r="F450" s="104">
        <v>0</v>
      </c>
      <c r="G450" s="103">
        <v>10.543633762517883</v>
      </c>
      <c r="H450" s="103">
        <v>0</v>
      </c>
      <c r="I450" s="104"/>
      <c r="J450" s="103">
        <v>0</v>
      </c>
      <c r="K450" s="103"/>
      <c r="L450" s="103"/>
      <c r="M450" s="103">
        <v>0</v>
      </c>
      <c r="N450" s="103">
        <v>300</v>
      </c>
      <c r="O450" s="103">
        <v>0</v>
      </c>
      <c r="P450" s="103">
        <v>0</v>
      </c>
      <c r="Q450" s="272">
        <v>6.3849999999999998</v>
      </c>
      <c r="R450" s="103">
        <v>0</v>
      </c>
      <c r="S450" s="103">
        <v>0</v>
      </c>
      <c r="T450" s="103">
        <v>236</v>
      </c>
      <c r="U450" s="103">
        <v>0</v>
      </c>
      <c r="V450" s="668">
        <v>0</v>
      </c>
      <c r="W450" s="97"/>
      <c r="X450" s="97">
        <f t="shared" si="7"/>
        <v>0</v>
      </c>
      <c r="Y450" s="97"/>
      <c r="AC450" s="103">
        <v>0</v>
      </c>
    </row>
    <row r="451" spans="1:29" ht="15.95" customHeight="1" x14ac:dyDescent="0.2">
      <c r="A451" s="665"/>
      <c r="B451" s="42">
        <v>2009</v>
      </c>
      <c r="C451" s="149" t="s">
        <v>412</v>
      </c>
      <c r="D451" s="303">
        <v>97</v>
      </c>
      <c r="E451" s="100">
        <v>5</v>
      </c>
      <c r="F451" s="101">
        <v>18.778815999999999</v>
      </c>
      <c r="G451" s="100">
        <v>13.135642135642136</v>
      </c>
      <c r="H451" s="100">
        <v>42</v>
      </c>
      <c r="I451" s="101">
        <v>13</v>
      </c>
      <c r="J451" s="100">
        <v>11</v>
      </c>
      <c r="K451" s="100">
        <v>71</v>
      </c>
      <c r="L451" s="100"/>
      <c r="M451" s="100">
        <v>13</v>
      </c>
      <c r="N451" s="100"/>
      <c r="O451" s="100">
        <v>0</v>
      </c>
      <c r="P451" s="100">
        <v>1</v>
      </c>
      <c r="Q451" s="102">
        <v>6.4379999999999997</v>
      </c>
      <c r="R451" s="100">
        <v>43</v>
      </c>
      <c r="S451" s="100">
        <v>18</v>
      </c>
      <c r="T451" s="100">
        <v>3</v>
      </c>
      <c r="U451" s="100">
        <v>12</v>
      </c>
      <c r="V451" s="666">
        <v>68.841071428571425</v>
      </c>
      <c r="W451" s="100"/>
      <c r="X451" s="97">
        <f t="shared" si="7"/>
        <v>12</v>
      </c>
      <c r="Y451" s="97"/>
      <c r="AC451" s="100">
        <v>12477.52247752248</v>
      </c>
    </row>
    <row r="452" spans="1:29" ht="15.95" customHeight="1" x14ac:dyDescent="0.2">
      <c r="A452" s="665"/>
      <c r="B452" s="43"/>
      <c r="C452" s="149" t="s">
        <v>413</v>
      </c>
      <c r="D452" s="303"/>
      <c r="E452" s="100">
        <v>0</v>
      </c>
      <c r="F452" s="101">
        <v>18.5641672</v>
      </c>
      <c r="G452" s="100">
        <v>0</v>
      </c>
      <c r="H452" s="100">
        <v>42</v>
      </c>
      <c r="I452" s="101">
        <v>1</v>
      </c>
      <c r="J452" s="100">
        <v>11</v>
      </c>
      <c r="K452" s="100">
        <v>71</v>
      </c>
      <c r="L452" s="100"/>
      <c r="M452" s="100">
        <v>12</v>
      </c>
      <c r="N452" s="100"/>
      <c r="O452" s="100">
        <v>0</v>
      </c>
      <c r="P452" s="100">
        <v>0</v>
      </c>
      <c r="Q452" s="102">
        <v>6.4379999999999997</v>
      </c>
      <c r="R452" s="100">
        <v>43</v>
      </c>
      <c r="S452" s="100">
        <v>0</v>
      </c>
      <c r="T452" s="100">
        <v>3</v>
      </c>
      <c r="U452" s="100">
        <v>12</v>
      </c>
      <c r="V452" s="666">
        <v>0</v>
      </c>
      <c r="W452" s="97"/>
      <c r="X452" s="97">
        <f t="shared" si="7"/>
        <v>12</v>
      </c>
      <c r="Y452" s="97"/>
      <c r="AC452" s="100">
        <v>12477.52247752248</v>
      </c>
    </row>
    <row r="453" spans="1:29" ht="15.95" customHeight="1" thickBot="1" x14ac:dyDescent="0.25">
      <c r="A453" s="669"/>
      <c r="B453" s="45"/>
      <c r="C453" s="151" t="s">
        <v>414</v>
      </c>
      <c r="D453" s="305"/>
      <c r="E453" s="105">
        <v>0</v>
      </c>
      <c r="F453" s="106">
        <v>2.1007168000000003</v>
      </c>
      <c r="G453" s="105">
        <v>22.933621933621936</v>
      </c>
      <c r="H453" s="105">
        <v>0</v>
      </c>
      <c r="I453" s="106">
        <v>13</v>
      </c>
      <c r="J453" s="105">
        <v>0</v>
      </c>
      <c r="K453" s="105"/>
      <c r="L453" s="105"/>
      <c r="M453" s="105">
        <v>13</v>
      </c>
      <c r="N453" s="105"/>
      <c r="O453" s="105">
        <v>0</v>
      </c>
      <c r="P453" s="105">
        <v>0</v>
      </c>
      <c r="Q453" s="273"/>
      <c r="R453" s="105">
        <v>0</v>
      </c>
      <c r="S453" s="105">
        <v>0</v>
      </c>
      <c r="T453" s="105">
        <v>0</v>
      </c>
      <c r="U453" s="105">
        <v>13</v>
      </c>
      <c r="V453" s="670">
        <v>0</v>
      </c>
      <c r="W453" s="97"/>
      <c r="X453" s="97">
        <f t="shared" si="7"/>
        <v>13</v>
      </c>
      <c r="Y453" s="97">
        <f>+IF((AC453-ROUND(AC453,-3)&gt;400)*AND(AC453-ROUND(AC453,-3)&lt;500),1,0)</f>
        <v>0</v>
      </c>
      <c r="AC453" s="105">
        <v>12896.943056943059</v>
      </c>
    </row>
    <row r="454" spans="1:29" ht="15.95" customHeight="1" thickTop="1" x14ac:dyDescent="0.2">
      <c r="A454" s="665" t="s">
        <v>168</v>
      </c>
      <c r="B454" s="42">
        <v>2008</v>
      </c>
      <c r="C454" s="148" t="s">
        <v>289</v>
      </c>
      <c r="D454" s="303">
        <v>10901</v>
      </c>
      <c r="E454" s="100">
        <v>667</v>
      </c>
      <c r="F454" s="101">
        <v>2812.1277028</v>
      </c>
      <c r="G454" s="100">
        <v>2008.8669527896996</v>
      </c>
      <c r="H454" s="100">
        <v>280</v>
      </c>
      <c r="I454" s="101">
        <v>1912</v>
      </c>
      <c r="J454" s="100">
        <v>1802</v>
      </c>
      <c r="K454" s="100">
        <v>284</v>
      </c>
      <c r="L454" s="100"/>
      <c r="M454" s="100">
        <v>1880</v>
      </c>
      <c r="N454" s="100"/>
      <c r="O454" s="100">
        <v>69</v>
      </c>
      <c r="P454" s="100">
        <v>92</v>
      </c>
      <c r="Q454" s="271">
        <v>937.24699999999996</v>
      </c>
      <c r="R454" s="100">
        <v>266</v>
      </c>
      <c r="S454" s="100">
        <v>2768</v>
      </c>
      <c r="T454" s="100">
        <v>131</v>
      </c>
      <c r="U454" s="100">
        <v>336</v>
      </c>
      <c r="V454" s="666">
        <v>768.29017857142856</v>
      </c>
      <c r="W454" s="97"/>
      <c r="X454" s="97">
        <f t="shared" si="7"/>
        <v>336</v>
      </c>
      <c r="Y454" s="97"/>
      <c r="AC454" s="100">
        <v>335875.11394712853</v>
      </c>
    </row>
    <row r="455" spans="1:29" ht="15.95" customHeight="1" x14ac:dyDescent="0.2">
      <c r="A455" s="665"/>
      <c r="B455" s="43"/>
      <c r="C455" s="149" t="s">
        <v>290</v>
      </c>
      <c r="D455" s="303">
        <v>10901</v>
      </c>
      <c r="E455" s="100">
        <v>667</v>
      </c>
      <c r="F455" s="101">
        <v>2812.1277028</v>
      </c>
      <c r="G455" s="100">
        <v>1956.7711015736768</v>
      </c>
      <c r="H455" s="100">
        <v>280</v>
      </c>
      <c r="I455" s="101">
        <f>1912-221</f>
        <v>1691</v>
      </c>
      <c r="J455" s="100">
        <v>1802</v>
      </c>
      <c r="K455" s="100">
        <v>284</v>
      </c>
      <c r="L455" s="100"/>
      <c r="M455" s="100">
        <v>1880</v>
      </c>
      <c r="N455" s="100">
        <v>646</v>
      </c>
      <c r="O455" s="100">
        <v>69</v>
      </c>
      <c r="P455" s="100">
        <v>92</v>
      </c>
      <c r="Q455" s="271">
        <v>937.24699999999996</v>
      </c>
      <c r="R455" s="100">
        <v>266</v>
      </c>
      <c r="S455" s="100">
        <v>2768</v>
      </c>
      <c r="T455" s="100">
        <v>131</v>
      </c>
      <c r="U455" s="100">
        <v>336</v>
      </c>
      <c r="V455" s="666">
        <v>767.85714285714278</v>
      </c>
      <c r="W455" s="97"/>
      <c r="X455" s="97">
        <f t="shared" si="7"/>
        <v>336</v>
      </c>
      <c r="Y455" s="97"/>
      <c r="AC455" s="100">
        <v>335875.11394712853</v>
      </c>
    </row>
    <row r="456" spans="1:29" ht="15.95" customHeight="1" x14ac:dyDescent="0.2">
      <c r="A456" s="667"/>
      <c r="B456" s="44"/>
      <c r="C456" s="150" t="s">
        <v>291</v>
      </c>
      <c r="D456" s="304"/>
      <c r="E456" s="103">
        <v>0</v>
      </c>
      <c r="F456" s="104">
        <v>0</v>
      </c>
      <c r="G456" s="103">
        <v>0</v>
      </c>
      <c r="H456" s="103">
        <v>0</v>
      </c>
      <c r="I456" s="104">
        <v>289</v>
      </c>
      <c r="J456" s="103">
        <v>0</v>
      </c>
      <c r="K456" s="103"/>
      <c r="L456" s="103"/>
      <c r="M456" s="103">
        <v>0</v>
      </c>
      <c r="N456" s="103"/>
      <c r="O456" s="103">
        <v>0</v>
      </c>
      <c r="P456" s="103">
        <v>0</v>
      </c>
      <c r="Q456" s="272"/>
      <c r="R456" s="103">
        <v>0</v>
      </c>
      <c r="S456" s="103">
        <v>0</v>
      </c>
      <c r="T456" s="103">
        <v>18</v>
      </c>
      <c r="U456" s="103">
        <v>0</v>
      </c>
      <c r="V456" s="668">
        <v>0</v>
      </c>
      <c r="W456" s="97"/>
      <c r="X456" s="97">
        <f t="shared" si="7"/>
        <v>0</v>
      </c>
      <c r="Y456" s="97"/>
      <c r="AC456" s="103">
        <v>0</v>
      </c>
    </row>
    <row r="457" spans="1:29" ht="15.95" customHeight="1" x14ac:dyDescent="0.2">
      <c r="A457" s="665"/>
      <c r="B457" s="42">
        <v>2009</v>
      </c>
      <c r="C457" s="149" t="s">
        <v>412</v>
      </c>
      <c r="D457" s="303">
        <f>14520+1</f>
        <v>14521</v>
      </c>
      <c r="E457" s="100">
        <v>692</v>
      </c>
      <c r="F457" s="101">
        <v>2812.1277028</v>
      </c>
      <c r="G457" s="100">
        <v>2100.4415584415583</v>
      </c>
      <c r="H457" s="100">
        <v>314</v>
      </c>
      <c r="I457" s="101">
        <v>1912</v>
      </c>
      <c r="J457" s="100">
        <v>1633</v>
      </c>
      <c r="K457" s="100">
        <v>284</v>
      </c>
      <c r="L457" s="100"/>
      <c r="M457" s="100">
        <v>1880</v>
      </c>
      <c r="N457" s="100"/>
      <c r="O457" s="100">
        <v>69</v>
      </c>
      <c r="P457" s="100">
        <v>92</v>
      </c>
      <c r="Q457" s="102">
        <v>888.36400000000003</v>
      </c>
      <c r="R457" s="100">
        <v>272</v>
      </c>
      <c r="S457" s="100">
        <v>2768</v>
      </c>
      <c r="T457" s="100">
        <v>133</v>
      </c>
      <c r="U457" s="100">
        <v>369</v>
      </c>
      <c r="V457" s="666">
        <v>787.94107142857138</v>
      </c>
      <c r="W457" s="100"/>
      <c r="X457" s="97">
        <f>+ROUNDUP(AC457/1000,0)</f>
        <v>369</v>
      </c>
      <c r="Y457" s="97"/>
      <c r="AC457" s="100">
        <v>368086.91308691312</v>
      </c>
    </row>
    <row r="458" spans="1:29" ht="15.95" customHeight="1" x14ac:dyDescent="0.2">
      <c r="A458" s="665"/>
      <c r="B458" s="43"/>
      <c r="C458" s="149" t="s">
        <v>413</v>
      </c>
      <c r="D458" s="303">
        <f>14520+1</f>
        <v>14521</v>
      </c>
      <c r="E458" s="100">
        <v>692</v>
      </c>
      <c r="F458" s="101">
        <v>2812.1277028</v>
      </c>
      <c r="G458" s="100">
        <v>2071.0490620490623</v>
      </c>
      <c r="H458" s="100">
        <v>314</v>
      </c>
      <c r="I458" s="101">
        <v>1683</v>
      </c>
      <c r="J458" s="100">
        <v>1633</v>
      </c>
      <c r="K458" s="100">
        <v>284</v>
      </c>
      <c r="L458" s="100"/>
      <c r="M458" s="100">
        <v>1880</v>
      </c>
      <c r="N458" s="100"/>
      <c r="O458" s="100">
        <v>69</v>
      </c>
      <c r="P458" s="100">
        <v>92</v>
      </c>
      <c r="Q458" s="102">
        <v>888.36400000000003</v>
      </c>
      <c r="R458" s="100">
        <v>272</v>
      </c>
      <c r="S458" s="100">
        <v>2768</v>
      </c>
      <c r="T458" s="100">
        <v>133</v>
      </c>
      <c r="U458" s="100">
        <v>369</v>
      </c>
      <c r="V458" s="666">
        <v>788</v>
      </c>
      <c r="W458" s="97"/>
      <c r="X458" s="97">
        <f>+ROUNDUP(AC458/1000,0)</f>
        <v>369</v>
      </c>
      <c r="Y458" s="97"/>
      <c r="AC458" s="100">
        <v>368086.91308691312</v>
      </c>
    </row>
    <row r="459" spans="1:29" ht="15.95" customHeight="1" thickBot="1" x14ac:dyDescent="0.25">
      <c r="A459" s="669"/>
      <c r="B459" s="45"/>
      <c r="C459" s="151" t="s">
        <v>414</v>
      </c>
      <c r="D459" s="305"/>
      <c r="E459" s="105">
        <v>0</v>
      </c>
      <c r="F459" s="106">
        <v>0</v>
      </c>
      <c r="G459" s="105">
        <v>0</v>
      </c>
      <c r="H459" s="105">
        <v>0</v>
      </c>
      <c r="I459" s="106">
        <v>221</v>
      </c>
      <c r="J459" s="105">
        <v>0</v>
      </c>
      <c r="K459" s="105"/>
      <c r="L459" s="105"/>
      <c r="M459" s="105">
        <v>0</v>
      </c>
      <c r="N459" s="105"/>
      <c r="O459" s="105">
        <v>0</v>
      </c>
      <c r="P459" s="105">
        <v>0</v>
      </c>
      <c r="Q459" s="273"/>
      <c r="R459" s="105">
        <v>0</v>
      </c>
      <c r="S459" s="105">
        <v>0</v>
      </c>
      <c r="T459" s="105">
        <v>0</v>
      </c>
      <c r="U459" s="105">
        <v>0</v>
      </c>
      <c r="V459" s="670">
        <v>0</v>
      </c>
      <c r="W459" s="97"/>
      <c r="X459" s="97">
        <f t="shared" si="7"/>
        <v>0</v>
      </c>
      <c r="Y459" s="97">
        <f>+IF((AC459-ROUND(AC459,-3)&gt;400)*AND(AC459-ROUND(AC459,-3)&lt;500),1,0)</f>
        <v>0</v>
      </c>
      <c r="AC459" s="105">
        <v>0</v>
      </c>
    </row>
    <row r="460" spans="1:29" ht="15.95" customHeight="1" thickTop="1" x14ac:dyDescent="0.2">
      <c r="A460" s="665" t="s">
        <v>169</v>
      </c>
      <c r="B460" s="42">
        <v>2008</v>
      </c>
      <c r="C460" s="148" t="s">
        <v>289</v>
      </c>
      <c r="D460" s="303">
        <v>18</v>
      </c>
      <c r="E460" s="100">
        <v>1</v>
      </c>
      <c r="F460" s="101">
        <v>4.6946972000000002</v>
      </c>
      <c r="G460" s="100"/>
      <c r="H460" s="100">
        <v>37</v>
      </c>
      <c r="I460" s="101">
        <v>3</v>
      </c>
      <c r="J460" s="100">
        <v>8</v>
      </c>
      <c r="K460" s="100">
        <v>18</v>
      </c>
      <c r="L460" s="100">
        <v>27</v>
      </c>
      <c r="M460" s="100">
        <v>3</v>
      </c>
      <c r="N460" s="100"/>
      <c r="O460" s="100">
        <v>0</v>
      </c>
      <c r="P460" s="100">
        <v>0</v>
      </c>
      <c r="Q460" s="271">
        <v>1.1319999999999999</v>
      </c>
      <c r="R460" s="100"/>
      <c r="S460" s="100">
        <v>5</v>
      </c>
      <c r="T460" s="100">
        <v>3</v>
      </c>
      <c r="U460" s="100"/>
      <c r="V460" s="666">
        <v>23.825892857142854</v>
      </c>
      <c r="W460" s="97"/>
      <c r="X460" s="97">
        <f t="shared" si="7"/>
        <v>0</v>
      </c>
      <c r="Y460" s="97"/>
      <c r="AC460" s="100"/>
    </row>
    <row r="461" spans="1:29" ht="15.95" customHeight="1" x14ac:dyDescent="0.2">
      <c r="A461" s="665"/>
      <c r="B461" s="43"/>
      <c r="C461" s="149" t="s">
        <v>290</v>
      </c>
      <c r="D461" s="303"/>
      <c r="E461" s="100">
        <v>1</v>
      </c>
      <c r="F461" s="101">
        <v>4.6946972000000002</v>
      </c>
      <c r="G461" s="100"/>
      <c r="H461" s="100">
        <v>0</v>
      </c>
      <c r="I461" s="101">
        <f>3-3</f>
        <v>0</v>
      </c>
      <c r="J461" s="100">
        <v>8</v>
      </c>
      <c r="K461" s="100">
        <v>18</v>
      </c>
      <c r="L461" s="100">
        <v>0</v>
      </c>
      <c r="M461" s="100">
        <v>3</v>
      </c>
      <c r="N461" s="100"/>
      <c r="O461" s="100">
        <v>0</v>
      </c>
      <c r="P461" s="100">
        <v>0</v>
      </c>
      <c r="Q461" s="271"/>
      <c r="R461" s="100"/>
      <c r="S461" s="100">
        <v>5</v>
      </c>
      <c r="T461" s="100">
        <v>3</v>
      </c>
      <c r="U461" s="100"/>
      <c r="V461" s="666">
        <v>0</v>
      </c>
      <c r="W461" s="97"/>
      <c r="X461" s="97">
        <f t="shared" si="7"/>
        <v>0</v>
      </c>
      <c r="Y461" s="97"/>
      <c r="AC461" s="100"/>
    </row>
    <row r="462" spans="1:29" ht="15.95" customHeight="1" x14ac:dyDescent="0.2">
      <c r="A462" s="667"/>
      <c r="B462" s="44"/>
      <c r="C462" s="150" t="s">
        <v>291</v>
      </c>
      <c r="D462" s="304">
        <v>20</v>
      </c>
      <c r="E462" s="103">
        <v>0</v>
      </c>
      <c r="F462" s="104">
        <v>0</v>
      </c>
      <c r="G462" s="103"/>
      <c r="H462" s="103">
        <v>47</v>
      </c>
      <c r="I462" s="104"/>
      <c r="J462" s="103">
        <v>0</v>
      </c>
      <c r="K462" s="103"/>
      <c r="L462" s="103"/>
      <c r="M462" s="103">
        <v>0</v>
      </c>
      <c r="N462" s="103"/>
      <c r="O462" s="103">
        <v>0</v>
      </c>
      <c r="P462" s="103">
        <v>0</v>
      </c>
      <c r="Q462" s="272">
        <v>30.414000000000001</v>
      </c>
      <c r="R462" s="103"/>
      <c r="S462" s="103">
        <v>0</v>
      </c>
      <c r="T462" s="103">
        <v>0</v>
      </c>
      <c r="U462" s="103"/>
      <c r="V462" s="668">
        <v>24</v>
      </c>
      <c r="W462" s="97"/>
      <c r="X462" s="97">
        <f t="shared" si="7"/>
        <v>0</v>
      </c>
      <c r="Y462" s="97"/>
      <c r="AC462" s="103"/>
    </row>
    <row r="463" spans="1:29" ht="15.95" customHeight="1" x14ac:dyDescent="0.2">
      <c r="A463" s="665"/>
      <c r="B463" s="42">
        <v>2009</v>
      </c>
      <c r="C463" s="149" t="s">
        <v>412</v>
      </c>
      <c r="D463" s="303">
        <v>24</v>
      </c>
      <c r="E463" s="100">
        <v>1</v>
      </c>
      <c r="F463" s="101">
        <v>4.6946972000000002</v>
      </c>
      <c r="G463" s="100"/>
      <c r="H463" s="100">
        <v>42</v>
      </c>
      <c r="I463" s="101">
        <v>3</v>
      </c>
      <c r="J463" s="100">
        <v>7</v>
      </c>
      <c r="K463" s="100">
        <v>18</v>
      </c>
      <c r="L463" s="100">
        <f>54-L460</f>
        <v>27</v>
      </c>
      <c r="M463" s="100">
        <v>3</v>
      </c>
      <c r="N463" s="100"/>
      <c r="O463" s="100">
        <v>0</v>
      </c>
      <c r="P463" s="100">
        <v>0</v>
      </c>
      <c r="Q463" s="102">
        <v>1.073</v>
      </c>
      <c r="R463" s="100"/>
      <c r="S463" s="100">
        <v>5</v>
      </c>
      <c r="T463" s="100">
        <v>3</v>
      </c>
      <c r="U463" s="100"/>
      <c r="V463" s="666">
        <v>25</v>
      </c>
      <c r="W463" s="100"/>
      <c r="X463" s="97">
        <f t="shared" si="7"/>
        <v>0</v>
      </c>
      <c r="Y463" s="97"/>
      <c r="AC463" s="100"/>
    </row>
    <row r="464" spans="1:29" ht="15.95" customHeight="1" x14ac:dyDescent="0.2">
      <c r="A464" s="665"/>
      <c r="B464" s="43"/>
      <c r="C464" s="149" t="s">
        <v>413</v>
      </c>
      <c r="D464" s="303"/>
      <c r="E464" s="100">
        <v>1</v>
      </c>
      <c r="F464" s="101">
        <v>0</v>
      </c>
      <c r="G464" s="100"/>
      <c r="H464" s="100">
        <v>0</v>
      </c>
      <c r="I464" s="101">
        <v>3</v>
      </c>
      <c r="J464" s="100">
        <v>7</v>
      </c>
      <c r="K464" s="100">
        <v>18</v>
      </c>
      <c r="L464" s="100"/>
      <c r="M464" s="100">
        <v>3</v>
      </c>
      <c r="N464" s="100"/>
      <c r="O464" s="100">
        <v>0</v>
      </c>
      <c r="P464" s="100">
        <v>0</v>
      </c>
      <c r="Q464" s="271"/>
      <c r="R464" s="100"/>
      <c r="S464" s="100">
        <v>0</v>
      </c>
      <c r="T464" s="100">
        <v>3</v>
      </c>
      <c r="U464" s="100"/>
      <c r="V464" s="666">
        <v>0</v>
      </c>
      <c r="W464" s="97"/>
      <c r="X464" s="97">
        <f t="shared" si="7"/>
        <v>0</v>
      </c>
      <c r="Y464" s="97"/>
      <c r="AC464" s="100"/>
    </row>
    <row r="465" spans="1:29" ht="15.95" customHeight="1" thickBot="1" x14ac:dyDescent="0.25">
      <c r="A465" s="669"/>
      <c r="B465" s="45"/>
      <c r="C465" s="151" t="s">
        <v>414</v>
      </c>
      <c r="D465" s="305"/>
      <c r="E465" s="105">
        <v>0</v>
      </c>
      <c r="F465" s="106">
        <v>0</v>
      </c>
      <c r="G465" s="105"/>
      <c r="H465" s="105">
        <v>0</v>
      </c>
      <c r="I465" s="106">
        <v>3</v>
      </c>
      <c r="J465" s="105">
        <v>0</v>
      </c>
      <c r="K465" s="105"/>
      <c r="L465" s="105"/>
      <c r="M465" s="105">
        <v>0</v>
      </c>
      <c r="N465" s="105"/>
      <c r="O465" s="105">
        <v>0</v>
      </c>
      <c r="P465" s="105">
        <v>0</v>
      </c>
      <c r="Q465" s="273">
        <v>0.104</v>
      </c>
      <c r="R465" s="105"/>
      <c r="S465" s="105">
        <v>0</v>
      </c>
      <c r="T465" s="105">
        <v>0</v>
      </c>
      <c r="U465" s="105"/>
      <c r="V465" s="670">
        <v>0</v>
      </c>
      <c r="W465" s="97"/>
      <c r="X465" s="97">
        <f t="shared" si="7"/>
        <v>0</v>
      </c>
      <c r="Y465" s="97">
        <f>+IF((AC465-ROUND(AC465,-3)&gt;400)*AND(AC465-ROUND(AC465,-3)&lt;500),1,0)</f>
        <v>0</v>
      </c>
      <c r="AC465" s="105"/>
    </row>
    <row r="466" spans="1:29" ht="15.95" customHeight="1" thickTop="1" x14ac:dyDescent="0.2">
      <c r="A466" s="665" t="s">
        <v>170</v>
      </c>
      <c r="B466" s="42">
        <v>2008</v>
      </c>
      <c r="C466" s="148" t="s">
        <v>289</v>
      </c>
      <c r="D466" s="303">
        <v>585</v>
      </c>
      <c r="E466" s="100">
        <v>37</v>
      </c>
      <c r="F466" s="101">
        <v>150.23052799999999</v>
      </c>
      <c r="G466" s="100">
        <v>97.958512160228906</v>
      </c>
      <c r="H466" s="100">
        <v>37</v>
      </c>
      <c r="I466" s="101">
        <v>103</v>
      </c>
      <c r="J466" s="100">
        <v>8</v>
      </c>
      <c r="K466" s="100">
        <v>71</v>
      </c>
      <c r="L466" s="100">
        <v>117</v>
      </c>
      <c r="M466" s="100">
        <v>101</v>
      </c>
      <c r="N466" s="100"/>
      <c r="O466" s="100">
        <v>4</v>
      </c>
      <c r="P466" s="100">
        <v>5</v>
      </c>
      <c r="Q466" s="271">
        <v>49.805</v>
      </c>
      <c r="R466" s="100">
        <v>70</v>
      </c>
      <c r="S466" s="100">
        <v>148</v>
      </c>
      <c r="T466" s="100">
        <v>5</v>
      </c>
      <c r="U466" s="100">
        <v>18</v>
      </c>
      <c r="V466" s="666">
        <v>99.684821428571425</v>
      </c>
      <c r="W466" s="97"/>
      <c r="X466" s="97">
        <f>+ROUNDUP(AC466/1000,0)</f>
        <v>18</v>
      </c>
      <c r="Y466" s="97"/>
      <c r="AC466" s="100">
        <v>17078.395624430264</v>
      </c>
    </row>
    <row r="467" spans="1:29" ht="15.95" customHeight="1" x14ac:dyDescent="0.2">
      <c r="A467" s="665"/>
      <c r="B467" s="43"/>
      <c r="C467" s="149" t="s">
        <v>290</v>
      </c>
      <c r="D467" s="303">
        <v>585</v>
      </c>
      <c r="E467" s="100">
        <v>0</v>
      </c>
      <c r="F467" s="101">
        <v>9.3694400000000009</v>
      </c>
      <c r="G467" s="100">
        <v>0</v>
      </c>
      <c r="H467" s="100">
        <v>0</v>
      </c>
      <c r="I467" s="101">
        <v>103</v>
      </c>
      <c r="J467" s="100">
        <v>0</v>
      </c>
      <c r="K467" s="100">
        <v>71</v>
      </c>
      <c r="L467" s="100">
        <v>117</v>
      </c>
      <c r="M467" s="100">
        <v>98</v>
      </c>
      <c r="N467" s="100"/>
      <c r="O467" s="100">
        <v>4</v>
      </c>
      <c r="P467" s="100">
        <v>5</v>
      </c>
      <c r="Q467" s="271">
        <v>48.814</v>
      </c>
      <c r="R467" s="100">
        <v>70</v>
      </c>
      <c r="S467" s="100">
        <v>148</v>
      </c>
      <c r="T467" s="100">
        <v>5</v>
      </c>
      <c r="U467" s="100">
        <v>0</v>
      </c>
      <c r="V467" s="666">
        <v>100</v>
      </c>
      <c r="W467" s="97"/>
      <c r="X467" s="97">
        <f>+ROUNDDOWN(AC467/1000,0)</f>
        <v>0</v>
      </c>
      <c r="Y467" s="97"/>
      <c r="AC467" s="100">
        <v>717.83044667274385</v>
      </c>
    </row>
    <row r="468" spans="1:29" ht="15.95" customHeight="1" x14ac:dyDescent="0.2">
      <c r="A468" s="667"/>
      <c r="B468" s="44"/>
      <c r="C468" s="150" t="s">
        <v>291</v>
      </c>
      <c r="D468" s="304"/>
      <c r="E468" s="103">
        <v>0</v>
      </c>
      <c r="F468" s="104">
        <v>97.072915200000011</v>
      </c>
      <c r="G468" s="103">
        <v>0</v>
      </c>
      <c r="H468" s="103">
        <v>0</v>
      </c>
      <c r="I468" s="104"/>
      <c r="J468" s="103">
        <v>0</v>
      </c>
      <c r="K468" s="103"/>
      <c r="L468" s="103"/>
      <c r="M468" s="103">
        <v>0</v>
      </c>
      <c r="N468" s="103"/>
      <c r="O468" s="103">
        <v>0</v>
      </c>
      <c r="P468" s="103">
        <v>0</v>
      </c>
      <c r="Q468" s="272">
        <v>0.54800000000000004</v>
      </c>
      <c r="R468" s="103">
        <v>1</v>
      </c>
      <c r="S468" s="103">
        <v>0</v>
      </c>
      <c r="T468" s="103">
        <v>0</v>
      </c>
      <c r="U468" s="103">
        <v>0</v>
      </c>
      <c r="V468" s="668">
        <v>0</v>
      </c>
      <c r="W468" s="97"/>
      <c r="X468" s="97">
        <f t="shared" si="7"/>
        <v>0</v>
      </c>
      <c r="Y468" s="97"/>
      <c r="AC468" s="103">
        <v>0</v>
      </c>
    </row>
    <row r="469" spans="1:29" ht="15.95" customHeight="1" x14ac:dyDescent="0.2">
      <c r="A469" s="665"/>
      <c r="B469" s="42">
        <v>2009</v>
      </c>
      <c r="C469" s="149" t="s">
        <v>412</v>
      </c>
      <c r="D469" s="303">
        <v>780</v>
      </c>
      <c r="E469" s="100">
        <v>39</v>
      </c>
      <c r="F469" s="101">
        <v>150.23052799999999</v>
      </c>
      <c r="G469" s="100">
        <v>101.8023088023088</v>
      </c>
      <c r="H469" s="100">
        <v>42</v>
      </c>
      <c r="I469" s="101">
        <v>103</v>
      </c>
      <c r="J469" s="100">
        <v>7</v>
      </c>
      <c r="K469" s="100">
        <v>71</v>
      </c>
      <c r="L469" s="100">
        <f>234-L466</f>
        <v>117</v>
      </c>
      <c r="M469" s="100">
        <v>101</v>
      </c>
      <c r="N469" s="100"/>
      <c r="O469" s="100">
        <v>4</v>
      </c>
      <c r="P469" s="100">
        <v>5</v>
      </c>
      <c r="Q469" s="102">
        <v>47.207999999999998</v>
      </c>
      <c r="R469" s="100">
        <v>72</v>
      </c>
      <c r="S469" s="100">
        <v>148</v>
      </c>
      <c r="T469" s="100">
        <v>6</v>
      </c>
      <c r="U469" s="100">
        <v>19</v>
      </c>
      <c r="V469" s="666">
        <v>109.20357142857142</v>
      </c>
      <c r="W469" s="100"/>
      <c r="X469" s="97">
        <f t="shared" si="7"/>
        <v>19</v>
      </c>
      <c r="Y469" s="97"/>
      <c r="AC469" s="100">
        <v>18716.283716283717</v>
      </c>
    </row>
    <row r="470" spans="1:29" ht="15.95" customHeight="1" x14ac:dyDescent="0.2">
      <c r="A470" s="665"/>
      <c r="B470" s="43"/>
      <c r="C470" s="149" t="s">
        <v>413</v>
      </c>
      <c r="D470" s="303">
        <v>780</v>
      </c>
      <c r="E470" s="100">
        <v>0</v>
      </c>
      <c r="F470" s="101">
        <v>69.42367999999999</v>
      </c>
      <c r="G470" s="100">
        <v>0</v>
      </c>
      <c r="H470" s="100">
        <v>36</v>
      </c>
      <c r="I470" s="101">
        <v>103</v>
      </c>
      <c r="J470" s="100">
        <v>6</v>
      </c>
      <c r="K470" s="100">
        <v>0.2</v>
      </c>
      <c r="L470" s="100">
        <v>117</v>
      </c>
      <c r="M470" s="100">
        <v>100</v>
      </c>
      <c r="N470" s="100">
        <v>245</v>
      </c>
      <c r="O470" s="100">
        <v>4</v>
      </c>
      <c r="P470" s="100">
        <v>5</v>
      </c>
      <c r="Q470" s="102">
        <v>47.207999999999998</v>
      </c>
      <c r="R470" s="100">
        <v>72</v>
      </c>
      <c r="S470" s="100">
        <v>148</v>
      </c>
      <c r="T470" s="100">
        <v>6</v>
      </c>
      <c r="U470" s="100">
        <v>13</v>
      </c>
      <c r="V470" s="666">
        <v>109</v>
      </c>
      <c r="W470" s="97"/>
      <c r="X470" s="97">
        <f>+ROUNDDOWN(AC470/1000,0)</f>
        <v>13</v>
      </c>
      <c r="Y470" s="97"/>
      <c r="AC470" s="100">
        <v>13655.564435564436</v>
      </c>
    </row>
    <row r="471" spans="1:29" ht="15.95" customHeight="1" thickBot="1" x14ac:dyDescent="0.25">
      <c r="A471" s="669"/>
      <c r="B471" s="45"/>
      <c r="C471" s="151" t="s">
        <v>414</v>
      </c>
      <c r="D471" s="305"/>
      <c r="E471" s="105">
        <v>0</v>
      </c>
      <c r="F471" s="106">
        <v>93.986988000000011</v>
      </c>
      <c r="G471" s="105">
        <v>0</v>
      </c>
      <c r="H471" s="105">
        <v>43</v>
      </c>
      <c r="I471" s="106"/>
      <c r="J471" s="105">
        <v>7</v>
      </c>
      <c r="K471" s="105"/>
      <c r="L471" s="105"/>
      <c r="M471" s="105">
        <v>3</v>
      </c>
      <c r="N471" s="105">
        <v>23</v>
      </c>
      <c r="O471" s="105">
        <v>0</v>
      </c>
      <c r="P471" s="105">
        <v>0</v>
      </c>
      <c r="Q471" s="273">
        <v>0.94</v>
      </c>
      <c r="R471" s="105">
        <v>0</v>
      </c>
      <c r="S471" s="105">
        <v>0</v>
      </c>
      <c r="T471" s="105">
        <v>0</v>
      </c>
      <c r="U471" s="105">
        <v>18</v>
      </c>
      <c r="V471" s="670">
        <v>0</v>
      </c>
      <c r="W471" s="97"/>
      <c r="X471" s="97">
        <f t="shared" si="7"/>
        <v>18</v>
      </c>
      <c r="Y471" s="97">
        <f>+IF((AC471-ROUND(AC471,-3)&gt;400)*AND(AC471-ROUND(AC471,-3)&lt;500),1,0)</f>
        <v>0</v>
      </c>
      <c r="AC471" s="105">
        <v>17929.610389610392</v>
      </c>
    </row>
    <row r="472" spans="1:29" ht="15.95" customHeight="1" thickTop="1" x14ac:dyDescent="0.2">
      <c r="A472" s="665" t="s">
        <v>171</v>
      </c>
      <c r="B472" s="42">
        <v>2008</v>
      </c>
      <c r="C472" s="148" t="s">
        <v>289</v>
      </c>
      <c r="D472" s="303">
        <v>18</v>
      </c>
      <c r="E472" s="100">
        <v>1</v>
      </c>
      <c r="F472" s="101">
        <v>4.6946972000000002</v>
      </c>
      <c r="G472" s="100"/>
      <c r="H472" s="100">
        <v>37</v>
      </c>
      <c r="I472" s="101">
        <v>3</v>
      </c>
      <c r="J472" s="100">
        <v>8</v>
      </c>
      <c r="K472" s="100">
        <v>35</v>
      </c>
      <c r="L472" s="100"/>
      <c r="M472" s="100">
        <v>3</v>
      </c>
      <c r="N472" s="100"/>
      <c r="O472" s="100">
        <v>0</v>
      </c>
      <c r="P472" s="100">
        <v>0</v>
      </c>
      <c r="Q472" s="271">
        <v>1.1319999999999999</v>
      </c>
      <c r="R472" s="100">
        <v>35</v>
      </c>
      <c r="S472" s="100">
        <v>5</v>
      </c>
      <c r="T472" s="100">
        <v>1</v>
      </c>
      <c r="U472" s="100">
        <v>11</v>
      </c>
      <c r="V472" s="666">
        <v>23.825892857142854</v>
      </c>
      <c r="W472" s="97"/>
      <c r="X472" s="97">
        <f t="shared" si="7"/>
        <v>11</v>
      </c>
      <c r="Y472" s="97"/>
      <c r="AC472" s="100">
        <v>11385.597082953509</v>
      </c>
    </row>
    <row r="473" spans="1:29" ht="15.95" customHeight="1" x14ac:dyDescent="0.2">
      <c r="A473" s="665"/>
      <c r="B473" s="43"/>
      <c r="C473" s="149" t="s">
        <v>290</v>
      </c>
      <c r="D473" s="303"/>
      <c r="E473" s="100">
        <v>0</v>
      </c>
      <c r="F473" s="101">
        <v>0</v>
      </c>
      <c r="G473" s="100"/>
      <c r="H473" s="100">
        <v>32</v>
      </c>
      <c r="I473" s="101">
        <f>3-3</f>
        <v>0</v>
      </c>
      <c r="J473" s="100">
        <v>0</v>
      </c>
      <c r="K473" s="100"/>
      <c r="L473" s="100"/>
      <c r="M473" s="100">
        <v>0</v>
      </c>
      <c r="N473" s="100"/>
      <c r="O473" s="100">
        <v>0</v>
      </c>
      <c r="P473" s="100">
        <v>0</v>
      </c>
      <c r="Q473" s="271">
        <v>1.1319999999999999</v>
      </c>
      <c r="R473" s="100">
        <v>0</v>
      </c>
      <c r="S473" s="100">
        <v>5</v>
      </c>
      <c r="T473" s="100">
        <v>0</v>
      </c>
      <c r="U473" s="100">
        <v>11</v>
      </c>
      <c r="V473" s="666">
        <v>0</v>
      </c>
      <c r="W473" s="97"/>
      <c r="X473" s="97">
        <f t="shared" si="7"/>
        <v>11</v>
      </c>
      <c r="Y473" s="97"/>
      <c r="AC473" s="100">
        <v>11385.597082953509</v>
      </c>
    </row>
    <row r="474" spans="1:29" ht="15.95" customHeight="1" x14ac:dyDescent="0.2">
      <c r="A474" s="667"/>
      <c r="B474" s="44"/>
      <c r="C474" s="150" t="s">
        <v>291</v>
      </c>
      <c r="D474" s="304"/>
      <c r="E474" s="103">
        <v>0</v>
      </c>
      <c r="F474" s="104">
        <v>0</v>
      </c>
      <c r="G474" s="103"/>
      <c r="H474" s="103">
        <v>7</v>
      </c>
      <c r="I474" s="104">
        <v>9</v>
      </c>
      <c r="J474" s="103">
        <v>0</v>
      </c>
      <c r="K474" s="103"/>
      <c r="L474" s="103"/>
      <c r="M474" s="103">
        <v>0</v>
      </c>
      <c r="N474" s="103"/>
      <c r="O474" s="103">
        <v>0</v>
      </c>
      <c r="P474" s="103">
        <v>0</v>
      </c>
      <c r="Q474" s="272"/>
      <c r="R474" s="103">
        <v>0</v>
      </c>
      <c r="S474" s="103">
        <v>13</v>
      </c>
      <c r="T474" s="103">
        <v>0</v>
      </c>
      <c r="U474" s="103">
        <v>34</v>
      </c>
      <c r="V474" s="668">
        <v>24.545454545454543</v>
      </c>
      <c r="W474" s="97"/>
      <c r="X474" s="97">
        <f t="shared" si="7"/>
        <v>34</v>
      </c>
      <c r="Y474" s="97"/>
      <c r="AC474" s="103">
        <v>34090.528714676388</v>
      </c>
    </row>
    <row r="475" spans="1:29" ht="15.95" customHeight="1" x14ac:dyDescent="0.2">
      <c r="A475" s="665"/>
      <c r="B475" s="42">
        <v>2009</v>
      </c>
      <c r="C475" s="149" t="s">
        <v>412</v>
      </c>
      <c r="D475" s="303">
        <v>24</v>
      </c>
      <c r="E475" s="100">
        <v>1</v>
      </c>
      <c r="F475" s="101">
        <v>4.6946972000000002</v>
      </c>
      <c r="G475" s="100"/>
      <c r="H475" s="100">
        <v>42</v>
      </c>
      <c r="I475" s="101">
        <v>3</v>
      </c>
      <c r="J475" s="100">
        <v>7</v>
      </c>
      <c r="K475" s="100">
        <v>35</v>
      </c>
      <c r="L475" s="100"/>
      <c r="M475" s="100">
        <v>3</v>
      </c>
      <c r="N475" s="100"/>
      <c r="O475" s="100">
        <v>0</v>
      </c>
      <c r="P475" s="100">
        <v>0</v>
      </c>
      <c r="Q475" s="102">
        <v>1.073</v>
      </c>
      <c r="R475" s="100">
        <v>36</v>
      </c>
      <c r="S475" s="100">
        <v>5</v>
      </c>
      <c r="T475" s="100">
        <v>1</v>
      </c>
      <c r="U475" s="100">
        <v>12</v>
      </c>
      <c r="V475" s="666">
        <v>25</v>
      </c>
      <c r="W475" s="100"/>
      <c r="X475" s="97">
        <f t="shared" si="7"/>
        <v>12</v>
      </c>
      <c r="Y475" s="97"/>
      <c r="AC475" s="100">
        <v>12477.52247752248</v>
      </c>
    </row>
    <row r="476" spans="1:29" ht="15.95" customHeight="1" x14ac:dyDescent="0.2">
      <c r="A476" s="665"/>
      <c r="B476" s="43"/>
      <c r="C476" s="149" t="s">
        <v>413</v>
      </c>
      <c r="D476" s="303">
        <v>24</v>
      </c>
      <c r="E476" s="100">
        <v>0</v>
      </c>
      <c r="F476" s="101">
        <v>4.0390955999999996</v>
      </c>
      <c r="G476" s="100"/>
      <c r="H476" s="100">
        <v>42</v>
      </c>
      <c r="I476" s="101">
        <v>3</v>
      </c>
      <c r="J476" s="100">
        <v>0</v>
      </c>
      <c r="K476" s="100">
        <v>35</v>
      </c>
      <c r="L476" s="100"/>
      <c r="M476" s="100">
        <v>0</v>
      </c>
      <c r="N476" s="100"/>
      <c r="O476" s="100">
        <v>0</v>
      </c>
      <c r="P476" s="100">
        <v>0</v>
      </c>
      <c r="Q476" s="102">
        <v>1.073</v>
      </c>
      <c r="R476" s="100">
        <v>0</v>
      </c>
      <c r="S476" s="100">
        <v>0</v>
      </c>
      <c r="T476" s="100">
        <v>0</v>
      </c>
      <c r="U476" s="100">
        <v>0</v>
      </c>
      <c r="V476" s="666">
        <v>0</v>
      </c>
      <c r="W476" s="97"/>
      <c r="X476" s="97">
        <f t="shared" si="7"/>
        <v>0</v>
      </c>
      <c r="Y476" s="97"/>
      <c r="AC476" s="100">
        <v>29.660339660339666</v>
      </c>
    </row>
    <row r="477" spans="1:29" ht="15.95" customHeight="1" thickBot="1" x14ac:dyDescent="0.25">
      <c r="A477" s="669"/>
      <c r="B477" s="45"/>
      <c r="C477" s="151" t="s">
        <v>414</v>
      </c>
      <c r="D477" s="305">
        <v>18</v>
      </c>
      <c r="E477" s="105">
        <v>0</v>
      </c>
      <c r="F477" s="106">
        <v>18.914816400000003</v>
      </c>
      <c r="G477" s="105"/>
      <c r="H477" s="105">
        <v>15</v>
      </c>
      <c r="I477" s="106">
        <f>5+3</f>
        <v>8</v>
      </c>
      <c r="J477" s="105">
        <v>0</v>
      </c>
      <c r="K477" s="105">
        <v>35</v>
      </c>
      <c r="L477" s="105"/>
      <c r="M477" s="105">
        <v>0</v>
      </c>
      <c r="N477" s="105"/>
      <c r="O477" s="105">
        <v>0</v>
      </c>
      <c r="P477" s="105">
        <v>0</v>
      </c>
      <c r="Q477" s="273"/>
      <c r="R477" s="105">
        <v>0</v>
      </c>
      <c r="S477" s="105">
        <v>0</v>
      </c>
      <c r="T477" s="105">
        <v>0</v>
      </c>
      <c r="U477" s="105">
        <v>0</v>
      </c>
      <c r="V477" s="670">
        <v>0</v>
      </c>
      <c r="W477" s="97"/>
      <c r="X477" s="97">
        <f t="shared" si="7"/>
        <v>0</v>
      </c>
      <c r="Y477" s="97">
        <f>+IF((AC477-ROUND(AC477,-3)&gt;400)*AND(AC477-ROUND(AC477,-3)&lt;500),1,0)</f>
        <v>0</v>
      </c>
      <c r="AC477" s="105">
        <v>0</v>
      </c>
    </row>
    <row r="478" spans="1:29" ht="15.95" customHeight="1" thickTop="1" x14ac:dyDescent="0.2">
      <c r="A478" s="665" t="s">
        <v>172</v>
      </c>
      <c r="B478" s="42">
        <v>2008</v>
      </c>
      <c r="C478" s="148" t="s">
        <v>289</v>
      </c>
      <c r="D478" s="303">
        <v>18</v>
      </c>
      <c r="E478" s="100">
        <v>1</v>
      </c>
      <c r="F478" s="101">
        <v>4.6946972000000002</v>
      </c>
      <c r="G478" s="100"/>
      <c r="H478" s="100">
        <v>37</v>
      </c>
      <c r="I478" s="101">
        <v>3</v>
      </c>
      <c r="J478" s="100">
        <v>8</v>
      </c>
      <c r="K478" s="100">
        <v>18</v>
      </c>
      <c r="L478" s="100"/>
      <c r="M478" s="100">
        <v>3</v>
      </c>
      <c r="N478" s="100"/>
      <c r="O478" s="100">
        <v>0</v>
      </c>
      <c r="P478" s="100">
        <v>0</v>
      </c>
      <c r="Q478" s="271">
        <v>1.1319999999999999</v>
      </c>
      <c r="R478" s="100">
        <v>35</v>
      </c>
      <c r="S478" s="100">
        <v>5</v>
      </c>
      <c r="T478" s="100">
        <v>1</v>
      </c>
      <c r="U478" s="100">
        <v>11</v>
      </c>
      <c r="V478" s="666">
        <v>24</v>
      </c>
      <c r="W478" s="97"/>
      <c r="X478" s="97">
        <f t="shared" si="7"/>
        <v>11</v>
      </c>
      <c r="Y478" s="97"/>
      <c r="AC478" s="100">
        <v>11385.597082953509</v>
      </c>
    </row>
    <row r="479" spans="1:29" ht="15.95" customHeight="1" x14ac:dyDescent="0.2">
      <c r="A479" s="665"/>
      <c r="B479" s="43"/>
      <c r="C479" s="149" t="s">
        <v>290</v>
      </c>
      <c r="D479" s="303"/>
      <c r="E479" s="100">
        <v>0</v>
      </c>
      <c r="F479" s="101">
        <v>0</v>
      </c>
      <c r="G479" s="100"/>
      <c r="H479" s="100">
        <v>37</v>
      </c>
      <c r="I479" s="101"/>
      <c r="J479" s="100">
        <v>0</v>
      </c>
      <c r="K479" s="100"/>
      <c r="L479" s="100"/>
      <c r="M479" s="100">
        <v>0</v>
      </c>
      <c r="N479" s="100"/>
      <c r="O479" s="100">
        <v>0</v>
      </c>
      <c r="P479" s="100">
        <v>0</v>
      </c>
      <c r="Q479" s="271"/>
      <c r="R479" s="100">
        <v>0</v>
      </c>
      <c r="S479" s="100">
        <v>0</v>
      </c>
      <c r="T479" s="100">
        <v>0</v>
      </c>
      <c r="U479" s="100">
        <v>0</v>
      </c>
      <c r="V479" s="666">
        <v>0</v>
      </c>
      <c r="W479" s="97"/>
      <c r="X479" s="97">
        <f t="shared" si="7"/>
        <v>0</v>
      </c>
      <c r="Y479" s="97"/>
      <c r="AC479" s="100">
        <v>0</v>
      </c>
    </row>
    <row r="480" spans="1:29" ht="15.95" customHeight="1" x14ac:dyDescent="0.2">
      <c r="A480" s="667"/>
      <c r="B480" s="44"/>
      <c r="C480" s="150" t="s">
        <v>291</v>
      </c>
      <c r="D480" s="304">
        <v>80</v>
      </c>
      <c r="E480" s="103">
        <v>0</v>
      </c>
      <c r="F480" s="104">
        <v>0</v>
      </c>
      <c r="G480" s="103"/>
      <c r="H480" s="103">
        <v>0</v>
      </c>
      <c r="I480" s="104"/>
      <c r="J480" s="103">
        <v>0</v>
      </c>
      <c r="K480" s="103"/>
      <c r="L480" s="103"/>
      <c r="M480" s="103">
        <v>0</v>
      </c>
      <c r="N480" s="103"/>
      <c r="O480" s="103">
        <v>0</v>
      </c>
      <c r="P480" s="103">
        <v>0</v>
      </c>
      <c r="Q480" s="272"/>
      <c r="R480" s="103">
        <v>0</v>
      </c>
      <c r="S480" s="103">
        <v>0</v>
      </c>
      <c r="T480" s="103">
        <v>0</v>
      </c>
      <c r="U480" s="103">
        <v>0</v>
      </c>
      <c r="V480" s="668">
        <v>13.636363636363635</v>
      </c>
      <c r="W480" s="97"/>
      <c r="X480" s="97">
        <f t="shared" si="7"/>
        <v>0</v>
      </c>
      <c r="Y480" s="97"/>
      <c r="AC480" s="103">
        <v>0</v>
      </c>
    </row>
    <row r="481" spans="1:29" ht="15.95" customHeight="1" x14ac:dyDescent="0.2">
      <c r="A481" s="665"/>
      <c r="B481" s="42">
        <v>2009</v>
      </c>
      <c r="C481" s="149" t="s">
        <v>412</v>
      </c>
      <c r="D481" s="303">
        <v>24</v>
      </c>
      <c r="E481" s="100">
        <v>1</v>
      </c>
      <c r="F481" s="101">
        <v>4.6946972000000002</v>
      </c>
      <c r="G481" s="100"/>
      <c r="H481" s="100">
        <v>42</v>
      </c>
      <c r="I481" s="101">
        <v>3</v>
      </c>
      <c r="J481" s="100">
        <v>7</v>
      </c>
      <c r="K481" s="100">
        <v>18</v>
      </c>
      <c r="L481" s="100"/>
      <c r="M481" s="100">
        <v>3</v>
      </c>
      <c r="N481" s="100"/>
      <c r="O481" s="100">
        <v>0</v>
      </c>
      <c r="P481" s="100">
        <v>0</v>
      </c>
      <c r="Q481" s="102">
        <v>1.073</v>
      </c>
      <c r="R481" s="100">
        <v>36</v>
      </c>
      <c r="S481" s="100">
        <v>5</v>
      </c>
      <c r="T481" s="100">
        <v>1</v>
      </c>
      <c r="U481" s="100">
        <v>12</v>
      </c>
      <c r="V481" s="666">
        <v>25</v>
      </c>
      <c r="W481" s="100"/>
      <c r="X481" s="97">
        <f t="shared" si="7"/>
        <v>12</v>
      </c>
      <c r="Y481" s="97"/>
      <c r="AC481" s="100">
        <v>12477.52247752248</v>
      </c>
    </row>
    <row r="482" spans="1:29" ht="15.95" customHeight="1" x14ac:dyDescent="0.2">
      <c r="A482" s="665"/>
      <c r="B482" s="43"/>
      <c r="C482" s="149" t="s">
        <v>413</v>
      </c>
      <c r="D482" s="303"/>
      <c r="E482" s="100">
        <v>0</v>
      </c>
      <c r="F482" s="101">
        <v>0</v>
      </c>
      <c r="G482" s="100"/>
      <c r="H482" s="100">
        <v>42</v>
      </c>
      <c r="I482" s="101"/>
      <c r="J482" s="100">
        <v>0</v>
      </c>
      <c r="K482" s="100"/>
      <c r="L482" s="100"/>
      <c r="M482" s="100">
        <v>0</v>
      </c>
      <c r="N482" s="100"/>
      <c r="O482" s="100">
        <v>0</v>
      </c>
      <c r="P482" s="100">
        <v>0</v>
      </c>
      <c r="Q482" s="271"/>
      <c r="R482" s="100">
        <v>0</v>
      </c>
      <c r="S482" s="100">
        <v>0</v>
      </c>
      <c r="T482" s="100">
        <v>0</v>
      </c>
      <c r="U482" s="100">
        <v>0</v>
      </c>
      <c r="V482" s="666">
        <v>0</v>
      </c>
      <c r="W482" s="97"/>
      <c r="X482" s="97">
        <f t="shared" si="7"/>
        <v>0</v>
      </c>
      <c r="Y482" s="97"/>
      <c r="AC482" s="100">
        <v>0</v>
      </c>
    </row>
    <row r="483" spans="1:29" ht="15.95" customHeight="1" thickBot="1" x14ac:dyDescent="0.25">
      <c r="A483" s="669"/>
      <c r="B483" s="45"/>
      <c r="C483" s="151" t="s">
        <v>414</v>
      </c>
      <c r="D483" s="305">
        <v>100</v>
      </c>
      <c r="E483" s="105">
        <v>0</v>
      </c>
      <c r="F483" s="106">
        <v>0</v>
      </c>
      <c r="G483" s="105"/>
      <c r="H483" s="105">
        <v>0</v>
      </c>
      <c r="I483" s="106"/>
      <c r="J483" s="105">
        <v>0</v>
      </c>
      <c r="K483" s="105"/>
      <c r="L483" s="105"/>
      <c r="M483" s="105">
        <v>0</v>
      </c>
      <c r="N483" s="105"/>
      <c r="O483" s="105">
        <v>0</v>
      </c>
      <c r="P483" s="105">
        <v>0</v>
      </c>
      <c r="Q483" s="273"/>
      <c r="R483" s="105">
        <v>0</v>
      </c>
      <c r="S483" s="105">
        <v>0</v>
      </c>
      <c r="T483" s="105">
        <v>0</v>
      </c>
      <c r="U483" s="105">
        <v>0</v>
      </c>
      <c r="V483" s="670">
        <v>0</v>
      </c>
      <c r="W483" s="97"/>
      <c r="X483" s="97">
        <f t="shared" si="7"/>
        <v>0</v>
      </c>
      <c r="Y483" s="97">
        <f>+IF((AC483-ROUND(AC483,-3)&gt;400)*AND(AC483-ROUND(AC483,-3)&lt;500),1,0)</f>
        <v>0</v>
      </c>
      <c r="AC483" s="105">
        <v>0</v>
      </c>
    </row>
    <row r="484" spans="1:29" ht="15.95" customHeight="1" thickTop="1" x14ac:dyDescent="0.2">
      <c r="A484" s="665" t="s">
        <v>173</v>
      </c>
      <c r="B484" s="42">
        <v>2008</v>
      </c>
      <c r="C484" s="148" t="s">
        <v>289</v>
      </c>
      <c r="D484" s="303">
        <v>18</v>
      </c>
      <c r="E484" s="100">
        <v>1</v>
      </c>
      <c r="F484" s="101">
        <v>4.6946972000000002</v>
      </c>
      <c r="G484" s="100"/>
      <c r="H484" s="100">
        <v>37</v>
      </c>
      <c r="I484" s="101">
        <v>3</v>
      </c>
      <c r="J484" s="100">
        <v>8</v>
      </c>
      <c r="K484" s="100">
        <v>71</v>
      </c>
      <c r="L484" s="100">
        <v>18</v>
      </c>
      <c r="M484" s="100">
        <v>3</v>
      </c>
      <c r="N484" s="100"/>
      <c r="O484" s="100">
        <v>0</v>
      </c>
      <c r="P484" s="100">
        <v>0</v>
      </c>
      <c r="Q484" s="271">
        <v>1.1319999999999999</v>
      </c>
      <c r="R484" s="100"/>
      <c r="S484" s="100">
        <v>5</v>
      </c>
      <c r="T484" s="100">
        <v>3</v>
      </c>
      <c r="U484" s="100">
        <v>11</v>
      </c>
      <c r="V484" s="666">
        <v>24</v>
      </c>
      <c r="W484" s="97"/>
      <c r="X484" s="97">
        <f t="shared" si="7"/>
        <v>11</v>
      </c>
      <c r="Y484" s="97"/>
      <c r="AC484" s="100">
        <v>11385.597082953509</v>
      </c>
    </row>
    <row r="485" spans="1:29" ht="15.95" customHeight="1" x14ac:dyDescent="0.2">
      <c r="A485" s="665"/>
      <c r="B485" s="43"/>
      <c r="C485" s="149" t="s">
        <v>290</v>
      </c>
      <c r="D485" s="303"/>
      <c r="E485" s="100">
        <v>1</v>
      </c>
      <c r="F485" s="101">
        <v>2.1694899999999997</v>
      </c>
      <c r="G485" s="100"/>
      <c r="H485" s="100">
        <v>24</v>
      </c>
      <c r="I485" s="101">
        <v>3</v>
      </c>
      <c r="J485" s="100">
        <v>8</v>
      </c>
      <c r="K485" s="100">
        <v>71</v>
      </c>
      <c r="L485" s="100">
        <v>18</v>
      </c>
      <c r="M485" s="100">
        <v>0</v>
      </c>
      <c r="N485" s="100"/>
      <c r="O485" s="100">
        <v>0</v>
      </c>
      <c r="P485" s="100">
        <v>0</v>
      </c>
      <c r="Q485" s="271">
        <v>1.1319999999999999</v>
      </c>
      <c r="R485" s="100"/>
      <c r="S485" s="100">
        <v>5</v>
      </c>
      <c r="T485" s="100">
        <v>0</v>
      </c>
      <c r="U485" s="100">
        <v>11</v>
      </c>
      <c r="V485" s="666">
        <v>0</v>
      </c>
      <c r="W485" s="97"/>
      <c r="X485" s="97">
        <f t="shared" si="7"/>
        <v>11</v>
      </c>
      <c r="Y485" s="97"/>
      <c r="AC485" s="100">
        <v>11385.597082953509</v>
      </c>
    </row>
    <row r="486" spans="1:29" ht="15.95" customHeight="1" x14ac:dyDescent="0.2">
      <c r="A486" s="667"/>
      <c r="B486" s="44"/>
      <c r="C486" s="150" t="s">
        <v>291</v>
      </c>
      <c r="D486" s="304"/>
      <c r="E486" s="103">
        <v>0</v>
      </c>
      <c r="F486" s="104">
        <v>0</v>
      </c>
      <c r="G486" s="103"/>
      <c r="H486" s="103">
        <v>2</v>
      </c>
      <c r="I486" s="104"/>
      <c r="J486" s="103">
        <v>2</v>
      </c>
      <c r="K486" s="103"/>
      <c r="L486" s="103">
        <v>0.8</v>
      </c>
      <c r="M486" s="103">
        <v>0</v>
      </c>
      <c r="N486" s="103"/>
      <c r="O486" s="103">
        <v>0</v>
      </c>
      <c r="P486" s="103">
        <v>0</v>
      </c>
      <c r="Q486" s="272"/>
      <c r="R486" s="103"/>
      <c r="S486" s="103">
        <v>0</v>
      </c>
      <c r="T486" s="103">
        <v>0</v>
      </c>
      <c r="U486" s="103">
        <v>0</v>
      </c>
      <c r="V486" s="668">
        <v>0</v>
      </c>
      <c r="W486" s="97"/>
      <c r="X486" s="97">
        <f t="shared" si="7"/>
        <v>0</v>
      </c>
      <c r="Y486" s="97"/>
      <c r="AC486" s="103">
        <v>0</v>
      </c>
    </row>
    <row r="487" spans="1:29" ht="15.75" x14ac:dyDescent="0.2">
      <c r="A487" s="665"/>
      <c r="B487" s="42">
        <v>2009</v>
      </c>
      <c r="C487" s="149" t="s">
        <v>412</v>
      </c>
      <c r="D487" s="303">
        <v>24</v>
      </c>
      <c r="E487" s="100">
        <v>1</v>
      </c>
      <c r="F487" s="101">
        <v>4.6946972000000002</v>
      </c>
      <c r="G487" s="100"/>
      <c r="H487" s="100">
        <v>42</v>
      </c>
      <c r="I487" s="101">
        <v>3</v>
      </c>
      <c r="J487" s="100">
        <v>7</v>
      </c>
      <c r="K487" s="100">
        <v>71</v>
      </c>
      <c r="L487" s="100">
        <f>36-L484</f>
        <v>18</v>
      </c>
      <c r="M487" s="100">
        <v>3</v>
      </c>
      <c r="N487" s="100"/>
      <c r="O487" s="100">
        <v>0</v>
      </c>
      <c r="P487" s="100">
        <v>0</v>
      </c>
      <c r="Q487" s="102">
        <v>1.073</v>
      </c>
      <c r="R487" s="100"/>
      <c r="S487" s="100">
        <v>5</v>
      </c>
      <c r="T487" s="100">
        <v>3</v>
      </c>
      <c r="U487" s="100">
        <v>12</v>
      </c>
      <c r="V487" s="666">
        <v>25</v>
      </c>
      <c r="W487" s="100"/>
      <c r="X487" s="97">
        <f t="shared" si="7"/>
        <v>12</v>
      </c>
      <c r="Y487" s="97"/>
      <c r="AC487" s="100">
        <v>12477.52247752248</v>
      </c>
    </row>
    <row r="488" spans="1:29" ht="15.75" x14ac:dyDescent="0.2">
      <c r="A488" s="665"/>
      <c r="B488" s="43"/>
      <c r="C488" s="149" t="s">
        <v>413</v>
      </c>
      <c r="D488" s="303"/>
      <c r="E488" s="100">
        <v>1</v>
      </c>
      <c r="F488" s="101">
        <v>2.1694899999999997</v>
      </c>
      <c r="G488" s="100"/>
      <c r="H488" s="100">
        <v>42</v>
      </c>
      <c r="I488" s="101">
        <v>3</v>
      </c>
      <c r="J488" s="100">
        <v>7</v>
      </c>
      <c r="K488" s="100">
        <v>71</v>
      </c>
      <c r="L488" s="100">
        <v>18</v>
      </c>
      <c r="M488" s="100">
        <v>3</v>
      </c>
      <c r="N488" s="100"/>
      <c r="O488" s="100">
        <v>0</v>
      </c>
      <c r="P488" s="100">
        <v>0</v>
      </c>
      <c r="Q488" s="102">
        <v>1.073</v>
      </c>
      <c r="R488" s="100"/>
      <c r="S488" s="100">
        <v>5</v>
      </c>
      <c r="T488" s="100">
        <v>3</v>
      </c>
      <c r="U488" s="100">
        <v>12</v>
      </c>
      <c r="V488" s="666">
        <v>24</v>
      </c>
      <c r="W488" s="97"/>
      <c r="X488" s="97">
        <f t="shared" si="7"/>
        <v>12</v>
      </c>
      <c r="Y488" s="97"/>
      <c r="AC488" s="100">
        <v>12477.52247752248</v>
      </c>
    </row>
    <row r="489" spans="1:29" ht="16.5" thickBot="1" x14ac:dyDescent="0.25">
      <c r="A489" s="669"/>
      <c r="B489" s="45"/>
      <c r="C489" s="151" t="s">
        <v>414</v>
      </c>
      <c r="D489" s="305">
        <v>25</v>
      </c>
      <c r="E489" s="105">
        <v>0</v>
      </c>
      <c r="F489" s="106">
        <v>1.0526264000000001</v>
      </c>
      <c r="G489" s="105"/>
      <c r="H489" s="105">
        <v>14</v>
      </c>
      <c r="I489" s="106"/>
      <c r="J489" s="105">
        <v>0</v>
      </c>
      <c r="K489" s="105"/>
      <c r="L489" s="105">
        <v>0.3</v>
      </c>
      <c r="M489" s="105">
        <v>3</v>
      </c>
      <c r="N489" s="105"/>
      <c r="O489" s="105">
        <v>0</v>
      </c>
      <c r="P489" s="105">
        <v>0</v>
      </c>
      <c r="Q489" s="273"/>
      <c r="R489" s="105"/>
      <c r="S489" s="105">
        <v>0</v>
      </c>
      <c r="T489" s="105">
        <v>8</v>
      </c>
      <c r="U489" s="105">
        <v>0</v>
      </c>
      <c r="V489" s="670">
        <v>14</v>
      </c>
      <c r="W489" s="97"/>
      <c r="X489" s="97">
        <f t="shared" si="7"/>
        <v>0</v>
      </c>
      <c r="Y489" s="97">
        <f>+IF((AC489-ROUND(AC489,-3)&gt;400)*AND(AC489-ROUND(AC489,-3)&lt;500),1,0)</f>
        <v>0</v>
      </c>
      <c r="AC489" s="105">
        <v>0</v>
      </c>
    </row>
    <row r="490" spans="1:29" ht="15.95" customHeight="1" thickTop="1" x14ac:dyDescent="0.2">
      <c r="A490" s="665" t="s">
        <v>174</v>
      </c>
      <c r="B490" s="42">
        <v>2008</v>
      </c>
      <c r="C490" s="148" t="s">
        <v>289</v>
      </c>
      <c r="D490" s="303">
        <v>37</v>
      </c>
      <c r="E490" s="100">
        <v>2</v>
      </c>
      <c r="F490" s="101">
        <v>9.3894079999999995</v>
      </c>
      <c r="G490" s="100">
        <v>6.2989985693848354</v>
      </c>
      <c r="H490" s="100">
        <v>37</v>
      </c>
      <c r="I490" s="101">
        <v>6</v>
      </c>
      <c r="J490" s="100">
        <v>8</v>
      </c>
      <c r="K490" s="100">
        <v>18</v>
      </c>
      <c r="L490" s="100">
        <v>63</v>
      </c>
      <c r="M490" s="100">
        <v>6</v>
      </c>
      <c r="N490" s="100"/>
      <c r="O490" s="100">
        <v>0</v>
      </c>
      <c r="P490" s="100">
        <v>0</v>
      </c>
      <c r="Q490" s="271">
        <v>3.395</v>
      </c>
      <c r="R490" s="100">
        <v>35</v>
      </c>
      <c r="S490" s="100">
        <v>9</v>
      </c>
      <c r="T490" s="100">
        <v>1</v>
      </c>
      <c r="U490" s="100">
        <v>11</v>
      </c>
      <c r="V490" s="666">
        <v>24</v>
      </c>
      <c r="W490" s="97"/>
      <c r="X490" s="97">
        <f t="shared" si="7"/>
        <v>11</v>
      </c>
      <c r="Y490" s="97"/>
      <c r="AC490" s="100">
        <v>11385.597082953509</v>
      </c>
    </row>
    <row r="491" spans="1:29" ht="15.95" customHeight="1" x14ac:dyDescent="0.2">
      <c r="A491" s="665"/>
      <c r="B491" s="43"/>
      <c r="C491" s="149" t="s">
        <v>290</v>
      </c>
      <c r="D491" s="303">
        <v>37</v>
      </c>
      <c r="E491" s="100">
        <v>0</v>
      </c>
      <c r="F491" s="101">
        <v>5.050428000000001</v>
      </c>
      <c r="G491" s="100">
        <v>0.1072961373390558</v>
      </c>
      <c r="H491" s="100">
        <v>0</v>
      </c>
      <c r="I491" s="101">
        <f>6-6</f>
        <v>0</v>
      </c>
      <c r="J491" s="100">
        <v>0</v>
      </c>
      <c r="K491" s="100"/>
      <c r="L491" s="100">
        <v>0</v>
      </c>
      <c r="M491" s="100">
        <v>6</v>
      </c>
      <c r="N491" s="100"/>
      <c r="O491" s="100">
        <v>0</v>
      </c>
      <c r="P491" s="100">
        <v>0</v>
      </c>
      <c r="Q491" s="271">
        <v>3.395</v>
      </c>
      <c r="R491" s="100">
        <v>35</v>
      </c>
      <c r="S491" s="100">
        <v>9</v>
      </c>
      <c r="T491" s="100">
        <v>0</v>
      </c>
      <c r="U491" s="100">
        <v>0</v>
      </c>
      <c r="V491" s="666">
        <v>24.107142857142854</v>
      </c>
      <c r="W491" s="97"/>
      <c r="X491" s="97">
        <f t="shared" si="7"/>
        <v>0</v>
      </c>
      <c r="Y491" s="97"/>
      <c r="AC491" s="100">
        <v>0</v>
      </c>
    </row>
    <row r="492" spans="1:29" ht="15.95" customHeight="1" x14ac:dyDescent="0.2">
      <c r="A492" s="667"/>
      <c r="B492" s="44"/>
      <c r="C492" s="150" t="s">
        <v>291</v>
      </c>
      <c r="D492" s="304"/>
      <c r="E492" s="103">
        <v>0</v>
      </c>
      <c r="F492" s="104">
        <v>0</v>
      </c>
      <c r="G492" s="103">
        <v>0</v>
      </c>
      <c r="H492" s="103">
        <v>0</v>
      </c>
      <c r="I492" s="104"/>
      <c r="J492" s="103">
        <v>0</v>
      </c>
      <c r="K492" s="103"/>
      <c r="L492" s="103">
        <v>121</v>
      </c>
      <c r="M492" s="103">
        <v>0</v>
      </c>
      <c r="N492" s="103"/>
      <c r="O492" s="103">
        <v>1</v>
      </c>
      <c r="P492" s="103">
        <v>1</v>
      </c>
      <c r="Q492" s="272"/>
      <c r="R492" s="103">
        <v>0</v>
      </c>
      <c r="S492" s="103">
        <v>13</v>
      </c>
      <c r="T492" s="103">
        <v>0</v>
      </c>
      <c r="U492" s="103">
        <v>0</v>
      </c>
      <c r="V492" s="668">
        <v>0</v>
      </c>
      <c r="W492" s="97"/>
      <c r="X492" s="97">
        <f t="shared" si="7"/>
        <v>0</v>
      </c>
      <c r="Y492" s="97"/>
      <c r="AC492" s="103">
        <v>0</v>
      </c>
    </row>
    <row r="493" spans="1:29" ht="15.95" customHeight="1" x14ac:dyDescent="0.2">
      <c r="A493" s="665"/>
      <c r="B493" s="42">
        <v>2009</v>
      </c>
      <c r="C493" s="149" t="s">
        <v>412</v>
      </c>
      <c r="D493" s="303">
        <v>49</v>
      </c>
      <c r="E493" s="100">
        <v>3</v>
      </c>
      <c r="F493" s="101">
        <v>9.3894079999999995</v>
      </c>
      <c r="G493" s="100">
        <v>6.5064935064935074</v>
      </c>
      <c r="H493" s="100">
        <v>42</v>
      </c>
      <c r="I493" s="101">
        <v>6</v>
      </c>
      <c r="J493" s="100">
        <v>7</v>
      </c>
      <c r="K493" s="100">
        <v>18</v>
      </c>
      <c r="L493" s="100">
        <f>126-L490</f>
        <v>63</v>
      </c>
      <c r="M493" s="100">
        <v>6</v>
      </c>
      <c r="N493" s="100"/>
      <c r="O493" s="100">
        <v>0</v>
      </c>
      <c r="P493" s="100">
        <v>0</v>
      </c>
      <c r="Q493" s="102">
        <v>3.218</v>
      </c>
      <c r="R493" s="100">
        <v>36</v>
      </c>
      <c r="S493" s="100">
        <v>9</v>
      </c>
      <c r="T493" s="100">
        <v>1</v>
      </c>
      <c r="U493" s="100">
        <v>12</v>
      </c>
      <c r="V493" s="666">
        <v>25</v>
      </c>
      <c r="W493" s="100"/>
      <c r="X493" s="97">
        <f t="shared" si="7"/>
        <v>12</v>
      </c>
      <c r="Y493" s="97"/>
      <c r="AC493" s="100">
        <v>12477.52247752248</v>
      </c>
    </row>
    <row r="494" spans="1:29" ht="15.95" customHeight="1" x14ac:dyDescent="0.2">
      <c r="A494" s="665"/>
      <c r="B494" s="43"/>
      <c r="C494" s="149" t="s">
        <v>413</v>
      </c>
      <c r="D494" s="303"/>
      <c r="E494" s="100">
        <v>2</v>
      </c>
      <c r="F494" s="101">
        <v>9.3894079999999995</v>
      </c>
      <c r="G494" s="100">
        <v>0</v>
      </c>
      <c r="H494" s="100">
        <v>0</v>
      </c>
      <c r="I494" s="101">
        <v>6</v>
      </c>
      <c r="J494" s="100">
        <v>0</v>
      </c>
      <c r="K494" s="100"/>
      <c r="L494" s="100">
        <v>63</v>
      </c>
      <c r="M494" s="100">
        <v>6</v>
      </c>
      <c r="N494" s="100"/>
      <c r="O494" s="100">
        <v>0</v>
      </c>
      <c r="P494" s="100">
        <v>0</v>
      </c>
      <c r="Q494" s="102">
        <v>3.218</v>
      </c>
      <c r="R494" s="100">
        <v>36</v>
      </c>
      <c r="S494" s="100">
        <v>9</v>
      </c>
      <c r="T494" s="100">
        <v>0</v>
      </c>
      <c r="U494" s="100">
        <v>0</v>
      </c>
      <c r="V494" s="666">
        <v>25</v>
      </c>
      <c r="W494" s="97"/>
      <c r="X494" s="97">
        <f t="shared" si="7"/>
        <v>0</v>
      </c>
      <c r="Y494" s="97"/>
      <c r="AC494" s="100">
        <v>0</v>
      </c>
    </row>
    <row r="495" spans="1:29" ht="15.95" customHeight="1" thickBot="1" x14ac:dyDescent="0.25">
      <c r="A495" s="669"/>
      <c r="B495" s="45"/>
      <c r="C495" s="151" t="s">
        <v>414</v>
      </c>
      <c r="D495" s="305"/>
      <c r="E495" s="105">
        <v>2</v>
      </c>
      <c r="F495" s="106">
        <v>11.551631199999999</v>
      </c>
      <c r="G495" s="105">
        <v>0.13131313131313133</v>
      </c>
      <c r="H495" s="105">
        <v>0</v>
      </c>
      <c r="I495" s="106">
        <f>18+6</f>
        <v>24</v>
      </c>
      <c r="J495" s="105">
        <v>52</v>
      </c>
      <c r="K495" s="105"/>
      <c r="L495" s="105">
        <v>63</v>
      </c>
      <c r="M495" s="105">
        <v>0</v>
      </c>
      <c r="N495" s="105"/>
      <c r="O495" s="105">
        <v>0</v>
      </c>
      <c r="P495" s="105">
        <v>0</v>
      </c>
      <c r="Q495" s="273"/>
      <c r="R495" s="105">
        <v>0</v>
      </c>
      <c r="S495" s="105"/>
      <c r="T495" s="105">
        <v>0</v>
      </c>
      <c r="U495" s="105">
        <v>0</v>
      </c>
      <c r="V495" s="670">
        <v>0</v>
      </c>
      <c r="W495" s="97"/>
      <c r="X495" s="97">
        <f t="shared" si="7"/>
        <v>0</v>
      </c>
      <c r="Y495" s="97">
        <f>+IF((AC495-ROUND(AC495,-3)&gt;400)*AND(AC495-ROUND(AC495,-3)&lt;500),1,0)</f>
        <v>0</v>
      </c>
      <c r="AC495" s="105">
        <v>0</v>
      </c>
    </row>
    <row r="496" spans="1:29" ht="15.95" customHeight="1" thickTop="1" x14ac:dyDescent="0.2">
      <c r="A496" s="665" t="s">
        <v>738</v>
      </c>
      <c r="B496" s="42">
        <v>2008</v>
      </c>
      <c r="C496" s="148" t="s">
        <v>289</v>
      </c>
      <c r="D496" s="303"/>
      <c r="E496" s="100">
        <v>1</v>
      </c>
      <c r="F496" s="101"/>
      <c r="G496" s="100">
        <v>3.9756795422031477</v>
      </c>
      <c r="H496" s="100"/>
      <c r="I496" s="101"/>
      <c r="J496" s="100"/>
      <c r="K496" s="100">
        <v>71</v>
      </c>
      <c r="L496" s="100"/>
      <c r="M496" s="100"/>
      <c r="N496" s="100"/>
      <c r="O496" s="100"/>
      <c r="P496" s="100"/>
      <c r="Q496" s="271"/>
      <c r="R496" s="100"/>
      <c r="S496" s="100"/>
      <c r="T496" s="100">
        <v>11</v>
      </c>
      <c r="U496" s="100"/>
      <c r="V496" s="666"/>
      <c r="W496" s="97"/>
      <c r="X496" s="97">
        <f t="shared" si="7"/>
        <v>0</v>
      </c>
      <c r="Y496" s="97"/>
      <c r="AC496" s="100"/>
    </row>
    <row r="497" spans="1:29" ht="15.95" customHeight="1" x14ac:dyDescent="0.2">
      <c r="A497" s="665"/>
      <c r="B497" s="43"/>
      <c r="C497" s="149" t="s">
        <v>290</v>
      </c>
      <c r="D497" s="303"/>
      <c r="E497" s="100">
        <v>1</v>
      </c>
      <c r="F497" s="101"/>
      <c r="G497" s="100">
        <v>0</v>
      </c>
      <c r="H497" s="100"/>
      <c r="I497" s="101"/>
      <c r="J497" s="100"/>
      <c r="K497" s="100">
        <v>71</v>
      </c>
      <c r="L497" s="100"/>
      <c r="M497" s="100"/>
      <c r="N497" s="100"/>
      <c r="O497" s="100"/>
      <c r="P497" s="100"/>
      <c r="Q497" s="271"/>
      <c r="R497" s="100"/>
      <c r="S497" s="100"/>
      <c r="T497" s="100">
        <v>11</v>
      </c>
      <c r="U497" s="100"/>
      <c r="V497" s="666"/>
      <c r="W497" s="97"/>
      <c r="X497" s="97">
        <f t="shared" si="7"/>
        <v>0</v>
      </c>
      <c r="Y497" s="97"/>
      <c r="AC497" s="100"/>
    </row>
    <row r="498" spans="1:29" ht="15.95" customHeight="1" x14ac:dyDescent="0.2">
      <c r="A498" s="667"/>
      <c r="B498" s="44"/>
      <c r="C498" s="150" t="s">
        <v>291</v>
      </c>
      <c r="D498" s="304"/>
      <c r="E498" s="103">
        <v>0</v>
      </c>
      <c r="F498" s="104"/>
      <c r="G498" s="103">
        <v>0</v>
      </c>
      <c r="H498" s="103"/>
      <c r="I498" s="104"/>
      <c r="J498" s="103"/>
      <c r="K498" s="103"/>
      <c r="L498" s="103"/>
      <c r="M498" s="103"/>
      <c r="N498" s="103"/>
      <c r="O498" s="103"/>
      <c r="P498" s="103"/>
      <c r="Q498" s="272"/>
      <c r="R498" s="103"/>
      <c r="S498" s="103"/>
      <c r="T498" s="103">
        <v>0</v>
      </c>
      <c r="U498" s="103"/>
      <c r="V498" s="668"/>
      <c r="W498" s="97"/>
      <c r="X498" s="97">
        <f t="shared" si="7"/>
        <v>0</v>
      </c>
      <c r="Y498" s="97"/>
      <c r="AC498" s="103"/>
    </row>
    <row r="499" spans="1:29" ht="15.95" customHeight="1" x14ac:dyDescent="0.2">
      <c r="A499" s="665"/>
      <c r="B499" s="42">
        <v>2009</v>
      </c>
      <c r="C499" s="149" t="s">
        <v>412</v>
      </c>
      <c r="D499" s="303"/>
      <c r="E499" s="100">
        <v>1</v>
      </c>
      <c r="F499" s="101"/>
      <c r="G499" s="100">
        <v>4.1702741702741708</v>
      </c>
      <c r="H499" s="100"/>
      <c r="I499" s="101"/>
      <c r="J499" s="100"/>
      <c r="K499" s="100">
        <v>71</v>
      </c>
      <c r="L499" s="100"/>
      <c r="M499" s="100"/>
      <c r="N499" s="100"/>
      <c r="O499" s="100"/>
      <c r="P499" s="100"/>
      <c r="Q499" s="271"/>
      <c r="R499" s="100"/>
      <c r="S499" s="100"/>
      <c r="T499" s="100">
        <v>11</v>
      </c>
      <c r="U499" s="100"/>
      <c r="V499" s="666"/>
      <c r="W499" s="100"/>
      <c r="X499" s="97">
        <f t="shared" si="7"/>
        <v>0</v>
      </c>
      <c r="Y499" s="97"/>
      <c r="AC499" s="100"/>
    </row>
    <row r="500" spans="1:29" ht="15.95" customHeight="1" x14ac:dyDescent="0.2">
      <c r="A500" s="665"/>
      <c r="B500" s="43"/>
      <c r="C500" s="149" t="s">
        <v>413</v>
      </c>
      <c r="D500" s="303"/>
      <c r="E500" s="100">
        <v>1</v>
      </c>
      <c r="F500" s="101"/>
      <c r="G500" s="100">
        <v>0</v>
      </c>
      <c r="H500" s="100"/>
      <c r="I500" s="101"/>
      <c r="J500" s="100"/>
      <c r="K500" s="100">
        <v>71</v>
      </c>
      <c r="L500" s="100"/>
      <c r="M500" s="100"/>
      <c r="N500" s="100"/>
      <c r="O500" s="100"/>
      <c r="P500" s="100"/>
      <c r="Q500" s="271"/>
      <c r="R500" s="100"/>
      <c r="S500" s="100"/>
      <c r="T500" s="100">
        <v>11</v>
      </c>
      <c r="U500" s="100"/>
      <c r="V500" s="666"/>
      <c r="W500" s="97"/>
      <c r="X500" s="97">
        <f t="shared" si="7"/>
        <v>0</v>
      </c>
      <c r="Y500" s="97"/>
      <c r="AC500" s="100"/>
    </row>
    <row r="501" spans="1:29" ht="15.95" customHeight="1" thickBot="1" x14ac:dyDescent="0.25">
      <c r="A501" s="669"/>
      <c r="B501" s="45"/>
      <c r="C501" s="151" t="s">
        <v>414</v>
      </c>
      <c r="D501" s="305"/>
      <c r="E501" s="105">
        <v>0</v>
      </c>
      <c r="F501" s="106"/>
      <c r="G501" s="105">
        <v>0</v>
      </c>
      <c r="H501" s="105"/>
      <c r="I501" s="106"/>
      <c r="J501" s="105"/>
      <c r="K501" s="105"/>
      <c r="L501" s="105"/>
      <c r="M501" s="105"/>
      <c r="N501" s="105"/>
      <c r="O501" s="105"/>
      <c r="P501" s="105"/>
      <c r="Q501" s="273"/>
      <c r="R501" s="105"/>
      <c r="S501" s="105"/>
      <c r="T501" s="105">
        <v>0</v>
      </c>
      <c r="U501" s="105"/>
      <c r="V501" s="670"/>
      <c r="W501" s="97"/>
      <c r="X501" s="97">
        <f t="shared" si="7"/>
        <v>0</v>
      </c>
      <c r="Y501" s="97">
        <f>+IF((AC501-ROUND(AC501,-3)&gt;400)*AND(AC501-ROUND(AC501,-3)&lt;500),1,0)</f>
        <v>0</v>
      </c>
      <c r="AC501" s="105"/>
    </row>
    <row r="502" spans="1:29" ht="15.95" customHeight="1" thickTop="1" x14ac:dyDescent="0.2">
      <c r="A502" s="665" t="s">
        <v>175</v>
      </c>
      <c r="B502" s="42">
        <v>2008</v>
      </c>
      <c r="C502" s="148" t="s">
        <v>289</v>
      </c>
      <c r="D502" s="303">
        <v>91</v>
      </c>
      <c r="E502" s="100">
        <v>6</v>
      </c>
      <c r="F502" s="101">
        <v>23.473526799999998</v>
      </c>
      <c r="G502" s="100">
        <v>16.034334763948497</v>
      </c>
      <c r="H502" s="100">
        <v>37</v>
      </c>
      <c r="I502" s="101">
        <v>16</v>
      </c>
      <c r="J502" s="100">
        <v>44</v>
      </c>
      <c r="K502" s="100">
        <v>71</v>
      </c>
      <c r="L502" s="100">
        <v>63</v>
      </c>
      <c r="M502" s="100">
        <v>16</v>
      </c>
      <c r="N502" s="100"/>
      <c r="O502" s="100">
        <v>1</v>
      </c>
      <c r="P502" s="100">
        <v>1</v>
      </c>
      <c r="Q502" s="271">
        <v>7.9240000000000004</v>
      </c>
      <c r="R502" s="100">
        <v>42</v>
      </c>
      <c r="S502" s="100">
        <v>23</v>
      </c>
      <c r="T502" s="100">
        <v>3</v>
      </c>
      <c r="U502" s="100">
        <v>11</v>
      </c>
      <c r="V502" s="666">
        <v>57.178571428571431</v>
      </c>
      <c r="W502" s="97"/>
      <c r="X502" s="97">
        <f t="shared" si="7"/>
        <v>11</v>
      </c>
      <c r="Y502" s="97"/>
      <c r="AC502" s="100">
        <v>11385.597082953509</v>
      </c>
    </row>
    <row r="503" spans="1:29" ht="15.95" customHeight="1" x14ac:dyDescent="0.2">
      <c r="A503" s="665"/>
      <c r="B503" s="43"/>
      <c r="C503" s="149" t="s">
        <v>290</v>
      </c>
      <c r="D503" s="303">
        <v>91</v>
      </c>
      <c r="E503" s="100">
        <v>3</v>
      </c>
      <c r="F503" s="101">
        <v>23.473526800000002</v>
      </c>
      <c r="G503" s="100">
        <v>16.034334763948497</v>
      </c>
      <c r="H503" s="100">
        <v>37</v>
      </c>
      <c r="I503" s="101">
        <v>16</v>
      </c>
      <c r="J503" s="100">
        <v>44</v>
      </c>
      <c r="K503" s="100">
        <v>71</v>
      </c>
      <c r="L503" s="100">
        <v>63</v>
      </c>
      <c r="M503" s="100">
        <v>6</v>
      </c>
      <c r="N503" s="100"/>
      <c r="O503" s="100">
        <v>1</v>
      </c>
      <c r="P503" s="100">
        <v>1</v>
      </c>
      <c r="Q503" s="271">
        <v>6.6619999999999999</v>
      </c>
      <c r="R503" s="100">
        <v>42</v>
      </c>
      <c r="S503" s="100">
        <v>23</v>
      </c>
      <c r="T503" s="100">
        <v>0</v>
      </c>
      <c r="U503" s="100">
        <v>0</v>
      </c>
      <c r="V503" s="666">
        <v>0</v>
      </c>
      <c r="W503" s="97"/>
      <c r="X503" s="97">
        <f t="shared" si="7"/>
        <v>0</v>
      </c>
      <c r="Y503" s="97"/>
      <c r="AC503" s="100">
        <v>0</v>
      </c>
    </row>
    <row r="504" spans="1:29" ht="15.95" customHeight="1" x14ac:dyDescent="0.2">
      <c r="A504" s="667"/>
      <c r="B504" s="44"/>
      <c r="C504" s="150" t="s">
        <v>291</v>
      </c>
      <c r="D504" s="304">
        <v>53</v>
      </c>
      <c r="E504" s="103">
        <v>4</v>
      </c>
      <c r="F504" s="104">
        <v>0</v>
      </c>
      <c r="G504" s="103">
        <v>25.719599427753934</v>
      </c>
      <c r="H504" s="103">
        <v>30</v>
      </c>
      <c r="I504" s="104"/>
      <c r="J504" s="103">
        <v>0</v>
      </c>
      <c r="K504" s="103"/>
      <c r="L504" s="103"/>
      <c r="M504" s="103">
        <v>0</v>
      </c>
      <c r="N504" s="103"/>
      <c r="O504" s="103">
        <v>1</v>
      </c>
      <c r="P504" s="103">
        <v>6</v>
      </c>
      <c r="Q504" s="272"/>
      <c r="R504" s="103">
        <v>0</v>
      </c>
      <c r="S504" s="103">
        <v>0</v>
      </c>
      <c r="T504" s="103">
        <v>0</v>
      </c>
      <c r="U504" s="103">
        <v>16</v>
      </c>
      <c r="V504" s="668">
        <v>0</v>
      </c>
      <c r="W504" s="97"/>
      <c r="X504" s="97">
        <f t="shared" si="7"/>
        <v>16</v>
      </c>
      <c r="Y504" s="97"/>
      <c r="AC504" s="103">
        <v>15852.661804922516</v>
      </c>
    </row>
    <row r="505" spans="1:29" ht="15.95" customHeight="1" x14ac:dyDescent="0.2">
      <c r="A505" s="665"/>
      <c r="B505" s="42">
        <v>2009</v>
      </c>
      <c r="C505" s="149" t="s">
        <v>412</v>
      </c>
      <c r="D505" s="303">
        <v>122</v>
      </c>
      <c r="E505" s="100">
        <v>6</v>
      </c>
      <c r="F505" s="101">
        <v>23.473526799999998</v>
      </c>
      <c r="G505" s="100">
        <v>16.499278499278503</v>
      </c>
      <c r="H505" s="100">
        <v>42</v>
      </c>
      <c r="I505" s="101">
        <v>16</v>
      </c>
      <c r="J505" s="100">
        <v>37</v>
      </c>
      <c r="K505" s="100">
        <v>71</v>
      </c>
      <c r="L505" s="100">
        <f>126-L502</f>
        <v>63</v>
      </c>
      <c r="M505" s="100">
        <v>16</v>
      </c>
      <c r="N505" s="100"/>
      <c r="O505" s="100">
        <v>1</v>
      </c>
      <c r="P505" s="100">
        <v>1</v>
      </c>
      <c r="Q505" s="102">
        <v>7.5110000000000001</v>
      </c>
      <c r="R505" s="100">
        <v>43</v>
      </c>
      <c r="S505" s="100">
        <v>23</v>
      </c>
      <c r="T505" s="100">
        <v>3</v>
      </c>
      <c r="U505" s="100">
        <v>12</v>
      </c>
      <c r="V505" s="666">
        <v>57.358928571428571</v>
      </c>
      <c r="W505" s="100"/>
      <c r="X505" s="97">
        <f t="shared" si="7"/>
        <v>12</v>
      </c>
      <c r="Y505" s="97"/>
      <c r="AC505" s="100">
        <v>12477.52247752248</v>
      </c>
    </row>
    <row r="506" spans="1:29" ht="15.95" customHeight="1" x14ac:dyDescent="0.2">
      <c r="A506" s="665"/>
      <c r="B506" s="43"/>
      <c r="C506" s="149" t="s">
        <v>413</v>
      </c>
      <c r="D506" s="303">
        <v>122</v>
      </c>
      <c r="E506" s="100">
        <v>3</v>
      </c>
      <c r="F506" s="101">
        <v>21.700454000000001</v>
      </c>
      <c r="G506" s="100">
        <v>3.1717171717171717</v>
      </c>
      <c r="H506" s="100">
        <v>6</v>
      </c>
      <c r="I506" s="101">
        <v>16</v>
      </c>
      <c r="J506" s="100">
        <v>9</v>
      </c>
      <c r="K506" s="100"/>
      <c r="L506" s="100"/>
      <c r="M506" s="100">
        <v>16</v>
      </c>
      <c r="N506" s="100"/>
      <c r="O506" s="100">
        <v>0</v>
      </c>
      <c r="P506" s="100">
        <v>0</v>
      </c>
      <c r="Q506" s="102">
        <v>6.7539999999999996</v>
      </c>
      <c r="R506" s="100">
        <v>37</v>
      </c>
      <c r="S506" s="100">
        <v>0</v>
      </c>
      <c r="T506" s="100">
        <v>3</v>
      </c>
      <c r="U506" s="100">
        <v>0</v>
      </c>
      <c r="V506" s="666">
        <v>0</v>
      </c>
      <c r="W506" s="97"/>
      <c r="X506" s="97">
        <f t="shared" si="7"/>
        <v>0</v>
      </c>
      <c r="Y506" s="97"/>
      <c r="AC506" s="100">
        <v>0</v>
      </c>
    </row>
    <row r="507" spans="1:29" ht="15.95" customHeight="1" thickBot="1" x14ac:dyDescent="0.25">
      <c r="A507" s="669"/>
      <c r="B507" s="45"/>
      <c r="C507" s="151" t="s">
        <v>414</v>
      </c>
      <c r="D507" s="305"/>
      <c r="E507" s="105">
        <v>3</v>
      </c>
      <c r="F507" s="106">
        <v>0</v>
      </c>
      <c r="G507" s="105">
        <v>0</v>
      </c>
      <c r="H507" s="105">
        <v>43</v>
      </c>
      <c r="I507" s="106"/>
      <c r="J507" s="105">
        <v>0</v>
      </c>
      <c r="K507" s="105">
        <v>71</v>
      </c>
      <c r="L507" s="105"/>
      <c r="M507" s="105">
        <v>10</v>
      </c>
      <c r="N507" s="105"/>
      <c r="O507" s="105">
        <v>0</v>
      </c>
      <c r="P507" s="105">
        <v>0</v>
      </c>
      <c r="Q507" s="273">
        <v>1.196</v>
      </c>
      <c r="R507" s="105">
        <v>0</v>
      </c>
      <c r="S507" s="105">
        <v>0</v>
      </c>
      <c r="T507" s="105">
        <v>0</v>
      </c>
      <c r="U507" s="105">
        <v>0</v>
      </c>
      <c r="V507" s="670">
        <v>84</v>
      </c>
      <c r="W507" s="97"/>
      <c r="X507" s="97">
        <f t="shared" si="7"/>
        <v>0</v>
      </c>
      <c r="Y507" s="97">
        <f>+IF((AC507-ROUND(AC507,-3)&gt;400)*AND(AC507-ROUND(AC507,-3)&lt;500),1,0)</f>
        <v>0</v>
      </c>
      <c r="AC507" s="105">
        <v>0</v>
      </c>
    </row>
    <row r="508" spans="1:29" ht="15.95" customHeight="1" thickTop="1" x14ac:dyDescent="0.2">
      <c r="A508" s="729" t="s">
        <v>65</v>
      </c>
      <c r="B508" s="42">
        <v>2008</v>
      </c>
      <c r="C508" s="148" t="s">
        <v>289</v>
      </c>
      <c r="D508" s="303"/>
      <c r="E508" s="100"/>
      <c r="F508" s="101"/>
      <c r="G508" s="100"/>
      <c r="H508" s="100"/>
      <c r="I508" s="101"/>
      <c r="J508" s="100">
        <v>897</v>
      </c>
      <c r="K508" s="100"/>
      <c r="L508" s="100"/>
      <c r="M508" s="100"/>
      <c r="N508" s="100"/>
      <c r="O508" s="100"/>
      <c r="P508" s="100"/>
      <c r="Q508" s="271"/>
      <c r="R508" s="100">
        <v>33</v>
      </c>
      <c r="S508" s="100"/>
      <c r="T508" s="100"/>
      <c r="U508" s="100">
        <v>11</v>
      </c>
      <c r="V508" s="666">
        <v>4654.5482142857136</v>
      </c>
      <c r="W508" s="97"/>
      <c r="X508" s="97">
        <f t="shared" si="7"/>
        <v>11</v>
      </c>
      <c r="Y508" s="97"/>
      <c r="AC508" s="100">
        <v>11385.597082953509</v>
      </c>
    </row>
    <row r="509" spans="1:29" ht="15.95" customHeight="1" x14ac:dyDescent="0.2">
      <c r="A509" s="730"/>
      <c r="B509" s="43"/>
      <c r="C509" s="149" t="s">
        <v>290</v>
      </c>
      <c r="D509" s="303"/>
      <c r="E509" s="100"/>
      <c r="F509" s="101"/>
      <c r="G509" s="100"/>
      <c r="H509" s="100"/>
      <c r="I509" s="101"/>
      <c r="J509" s="100">
        <v>897</v>
      </c>
      <c r="K509" s="100"/>
      <c r="L509" s="100"/>
      <c r="M509" s="100"/>
      <c r="N509" s="100"/>
      <c r="O509" s="100"/>
      <c r="P509" s="100"/>
      <c r="Q509" s="271"/>
      <c r="R509" s="100">
        <v>33</v>
      </c>
      <c r="S509" s="100"/>
      <c r="T509" s="100"/>
      <c r="U509" s="100">
        <v>11</v>
      </c>
      <c r="V509" s="666">
        <v>4654.4642857142853</v>
      </c>
      <c r="W509" s="97"/>
      <c r="X509" s="97">
        <f t="shared" si="7"/>
        <v>11</v>
      </c>
      <c r="Y509" s="97"/>
      <c r="AC509" s="100">
        <v>11385.597082953509</v>
      </c>
    </row>
    <row r="510" spans="1:29" ht="15.95" customHeight="1" x14ac:dyDescent="0.2">
      <c r="A510" s="667"/>
      <c r="B510" s="44"/>
      <c r="C510" s="150" t="s">
        <v>291</v>
      </c>
      <c r="D510" s="304"/>
      <c r="E510" s="103"/>
      <c r="F510" s="104"/>
      <c r="G510" s="103"/>
      <c r="H510" s="103"/>
      <c r="I510" s="104"/>
      <c r="J510" s="103">
        <v>0</v>
      </c>
      <c r="K510" s="103"/>
      <c r="L510" s="103"/>
      <c r="M510" s="103"/>
      <c r="N510" s="103"/>
      <c r="O510" s="103"/>
      <c r="P510" s="103"/>
      <c r="Q510" s="272"/>
      <c r="R510" s="103">
        <v>0</v>
      </c>
      <c r="S510" s="103"/>
      <c r="T510" s="103"/>
      <c r="U510" s="103">
        <v>0</v>
      </c>
      <c r="V510" s="668">
        <v>0</v>
      </c>
      <c r="W510" s="97"/>
      <c r="X510" s="97">
        <f t="shared" si="7"/>
        <v>0</v>
      </c>
      <c r="Y510" s="97"/>
      <c r="AC510" s="103">
        <v>0</v>
      </c>
    </row>
    <row r="511" spans="1:29" ht="15.95" customHeight="1" x14ac:dyDescent="0.2">
      <c r="A511" s="665"/>
      <c r="B511" s="42">
        <v>2009</v>
      </c>
      <c r="C511" s="149" t="s">
        <v>412</v>
      </c>
      <c r="D511" s="303"/>
      <c r="E511" s="100"/>
      <c r="F511" s="101"/>
      <c r="G511" s="100"/>
      <c r="H511" s="100"/>
      <c r="I511" s="101"/>
      <c r="J511" s="100">
        <v>820</v>
      </c>
      <c r="K511" s="100"/>
      <c r="L511" s="100"/>
      <c r="M511" s="100"/>
      <c r="N511" s="100"/>
      <c r="O511" s="100"/>
      <c r="P511" s="100"/>
      <c r="Q511" s="271"/>
      <c r="R511" s="100">
        <v>36</v>
      </c>
      <c r="S511" s="100"/>
      <c r="T511" s="100"/>
      <c r="U511" s="100">
        <v>12</v>
      </c>
      <c r="V511" s="666">
        <v>4630.2116071428572</v>
      </c>
      <c r="W511" s="100"/>
      <c r="X511" s="97">
        <f t="shared" ref="X511:X574" si="8">+ROUND(AC511/1000,0)</f>
        <v>12</v>
      </c>
      <c r="Y511" s="97"/>
      <c r="AC511" s="100">
        <v>12477.52247752248</v>
      </c>
    </row>
    <row r="512" spans="1:29" ht="15.95" customHeight="1" x14ac:dyDescent="0.2">
      <c r="A512" s="665"/>
      <c r="B512" s="43"/>
      <c r="C512" s="149" t="s">
        <v>413</v>
      </c>
      <c r="D512" s="303"/>
      <c r="E512" s="100"/>
      <c r="F512" s="101"/>
      <c r="G512" s="100"/>
      <c r="H512" s="100"/>
      <c r="I512" s="101"/>
      <c r="J512" s="100">
        <v>820</v>
      </c>
      <c r="K512" s="100"/>
      <c r="L512" s="100"/>
      <c r="M512" s="100"/>
      <c r="N512" s="100"/>
      <c r="O512" s="100"/>
      <c r="P512" s="100"/>
      <c r="Q512" s="271"/>
      <c r="R512" s="100">
        <v>36</v>
      </c>
      <c r="S512" s="100"/>
      <c r="T512" s="100"/>
      <c r="U512" s="100">
        <v>12</v>
      </c>
      <c r="V512" s="666">
        <v>4630</v>
      </c>
      <c r="W512" s="97"/>
      <c r="X512" s="97">
        <f t="shared" si="8"/>
        <v>12</v>
      </c>
      <c r="Y512" s="97"/>
      <c r="AC512" s="100">
        <v>12477.52247752248</v>
      </c>
    </row>
    <row r="513" spans="1:29" ht="15.95" customHeight="1" thickBot="1" x14ac:dyDescent="0.25">
      <c r="A513" s="669"/>
      <c r="B513" s="45"/>
      <c r="C513" s="151" t="s">
        <v>414</v>
      </c>
      <c r="D513" s="305"/>
      <c r="E513" s="105"/>
      <c r="F513" s="106"/>
      <c r="G513" s="105"/>
      <c r="H513" s="105"/>
      <c r="I513" s="106"/>
      <c r="J513" s="105">
        <v>0</v>
      </c>
      <c r="K513" s="105"/>
      <c r="L513" s="105"/>
      <c r="M513" s="105"/>
      <c r="N513" s="105"/>
      <c r="O513" s="105"/>
      <c r="P513" s="105"/>
      <c r="Q513" s="273"/>
      <c r="R513" s="105">
        <v>0</v>
      </c>
      <c r="S513" s="105"/>
      <c r="T513" s="105"/>
      <c r="U513" s="105">
        <v>0</v>
      </c>
      <c r="V513" s="670">
        <v>0</v>
      </c>
      <c r="W513" s="97"/>
      <c r="X513" s="97">
        <f t="shared" si="8"/>
        <v>0</v>
      </c>
      <c r="Y513" s="97">
        <f>+IF((AC513-ROUND(AC513,-3)&gt;400)*AND(AC513-ROUND(AC513,-3)&lt;500),1,0)</f>
        <v>0</v>
      </c>
      <c r="AC513" s="105">
        <v>0</v>
      </c>
    </row>
    <row r="514" spans="1:29" ht="15.95" customHeight="1" thickTop="1" x14ac:dyDescent="0.2">
      <c r="A514" s="665" t="s">
        <v>177</v>
      </c>
      <c r="B514" s="42">
        <v>2008</v>
      </c>
      <c r="C514" s="148" t="s">
        <v>289</v>
      </c>
      <c r="D514" s="303">
        <v>4463</v>
      </c>
      <c r="E514" s="100">
        <v>291</v>
      </c>
      <c r="F514" s="101">
        <v>1150.2024868000001</v>
      </c>
      <c r="G514" s="100">
        <v>743.8154506437769</v>
      </c>
      <c r="H514" s="100">
        <v>85</v>
      </c>
      <c r="I514" s="101">
        <v>783</v>
      </c>
      <c r="J514" s="100">
        <v>21</v>
      </c>
      <c r="K514" s="100">
        <v>142</v>
      </c>
      <c r="L514" s="100"/>
      <c r="M514" s="100">
        <v>770</v>
      </c>
      <c r="N514" s="100"/>
      <c r="O514" s="100">
        <v>29</v>
      </c>
      <c r="P514" s="100">
        <v>38</v>
      </c>
      <c r="Q514" s="271">
        <v>383.72800000000001</v>
      </c>
      <c r="R514" s="100">
        <v>168</v>
      </c>
      <c r="S514" s="100">
        <v>1133</v>
      </c>
      <c r="T514" s="100">
        <v>131</v>
      </c>
      <c r="U514" s="100">
        <v>137</v>
      </c>
      <c r="V514" s="666">
        <v>938.62946428571433</v>
      </c>
      <c r="W514" s="97"/>
      <c r="X514" s="97">
        <f t="shared" si="8"/>
        <v>137</v>
      </c>
      <c r="Y514" s="97"/>
      <c r="AC514" s="100">
        <v>136627.16499544212</v>
      </c>
    </row>
    <row r="515" spans="1:29" ht="15.95" customHeight="1" x14ac:dyDescent="0.2">
      <c r="A515" s="665"/>
      <c r="B515" s="43"/>
      <c r="C515" s="149" t="s">
        <v>290</v>
      </c>
      <c r="D515" s="303">
        <v>4463</v>
      </c>
      <c r="E515" s="100">
        <v>290</v>
      </c>
      <c r="F515" s="101">
        <v>1150.2024868000001</v>
      </c>
      <c r="G515" s="100">
        <v>513.75536480686696</v>
      </c>
      <c r="H515" s="100">
        <v>85</v>
      </c>
      <c r="I515" s="101">
        <v>783</v>
      </c>
      <c r="J515" s="100">
        <v>21</v>
      </c>
      <c r="K515" s="100">
        <v>142</v>
      </c>
      <c r="L515" s="100"/>
      <c r="M515" s="100">
        <v>770</v>
      </c>
      <c r="N515" s="100"/>
      <c r="O515" s="100">
        <v>29</v>
      </c>
      <c r="P515" s="100">
        <v>38</v>
      </c>
      <c r="Q515" s="271">
        <v>383.72800000000001</v>
      </c>
      <c r="R515" s="100">
        <v>168</v>
      </c>
      <c r="S515" s="100">
        <v>1133</v>
      </c>
      <c r="T515" s="100">
        <v>131</v>
      </c>
      <c r="U515" s="100">
        <v>137</v>
      </c>
      <c r="V515" s="666">
        <v>938.39285714285711</v>
      </c>
      <c r="W515" s="97"/>
      <c r="X515" s="97">
        <f t="shared" si="8"/>
        <v>137</v>
      </c>
      <c r="Y515" s="97"/>
      <c r="AC515" s="100">
        <v>136627.16499544212</v>
      </c>
    </row>
    <row r="516" spans="1:29" ht="15.95" customHeight="1" x14ac:dyDescent="0.2">
      <c r="A516" s="667"/>
      <c r="B516" s="44"/>
      <c r="C516" s="150" t="s">
        <v>291</v>
      </c>
      <c r="D516" s="304"/>
      <c r="E516" s="103">
        <v>0</v>
      </c>
      <c r="F516" s="104">
        <v>0</v>
      </c>
      <c r="G516" s="103">
        <v>0</v>
      </c>
      <c r="H516" s="103">
        <v>0</v>
      </c>
      <c r="I516" s="104"/>
      <c r="J516" s="103">
        <v>0</v>
      </c>
      <c r="K516" s="103"/>
      <c r="L516" s="103"/>
      <c r="M516" s="103">
        <v>0</v>
      </c>
      <c r="N516" s="103"/>
      <c r="O516" s="103">
        <v>13</v>
      </c>
      <c r="P516" s="103">
        <v>18</v>
      </c>
      <c r="Q516" s="272"/>
      <c r="R516" s="103">
        <v>0</v>
      </c>
      <c r="S516" s="103">
        <v>0</v>
      </c>
      <c r="T516" s="103">
        <v>0</v>
      </c>
      <c r="U516" s="103">
        <v>0</v>
      </c>
      <c r="V516" s="668">
        <v>0</v>
      </c>
      <c r="W516" s="97"/>
      <c r="X516" s="97">
        <f t="shared" si="8"/>
        <v>0</v>
      </c>
      <c r="Y516" s="97"/>
      <c r="AC516" s="103">
        <v>0</v>
      </c>
    </row>
    <row r="517" spans="1:29" ht="15.95" customHeight="1" x14ac:dyDescent="0.2">
      <c r="A517" s="665"/>
      <c r="B517" s="42">
        <v>2009</v>
      </c>
      <c r="C517" s="149" t="s">
        <v>412</v>
      </c>
      <c r="D517" s="303">
        <f>5945+1</f>
        <v>5946</v>
      </c>
      <c r="E517" s="100">
        <v>297</v>
      </c>
      <c r="F517" s="101">
        <v>1150.2024868000001</v>
      </c>
      <c r="G517" s="100">
        <v>793.62337662337677</v>
      </c>
      <c r="H517" s="100">
        <v>136</v>
      </c>
      <c r="I517" s="101">
        <v>783</v>
      </c>
      <c r="J517" s="100">
        <v>19</v>
      </c>
      <c r="K517" s="100">
        <v>142</v>
      </c>
      <c r="L517" s="100"/>
      <c r="M517" s="100">
        <v>770</v>
      </c>
      <c r="N517" s="100"/>
      <c r="O517" s="100">
        <v>28</v>
      </c>
      <c r="P517" s="100">
        <v>38</v>
      </c>
      <c r="Q517" s="102">
        <v>363.714</v>
      </c>
      <c r="R517" s="100">
        <v>172</v>
      </c>
      <c r="S517" s="100">
        <v>1133</v>
      </c>
      <c r="T517" s="100">
        <v>133</v>
      </c>
      <c r="U517" s="100">
        <v>151</v>
      </c>
      <c r="V517" s="666">
        <v>990.05624999999998</v>
      </c>
      <c r="W517" s="100"/>
      <c r="X517" s="97">
        <f>+ROUNDUP(AC517/1000+0.5,0)</f>
        <v>151</v>
      </c>
      <c r="Y517" s="97"/>
      <c r="AC517" s="100">
        <v>149730.26973026973</v>
      </c>
    </row>
    <row r="518" spans="1:29" ht="15.95" customHeight="1" x14ac:dyDescent="0.2">
      <c r="A518" s="665"/>
      <c r="B518" s="43"/>
      <c r="C518" s="149" t="s">
        <v>413</v>
      </c>
      <c r="D518" s="303"/>
      <c r="E518" s="100">
        <v>297</v>
      </c>
      <c r="F518" s="101">
        <v>1150.2024868000001</v>
      </c>
      <c r="G518" s="100">
        <v>309.81818181818181</v>
      </c>
      <c r="H518" s="100">
        <v>136</v>
      </c>
      <c r="I518" s="101">
        <v>783</v>
      </c>
      <c r="J518" s="100">
        <v>19</v>
      </c>
      <c r="K518" s="100">
        <v>142</v>
      </c>
      <c r="L518" s="100"/>
      <c r="M518" s="100">
        <v>469</v>
      </c>
      <c r="N518" s="100"/>
      <c r="O518" s="100">
        <v>28</v>
      </c>
      <c r="P518" s="100">
        <v>38</v>
      </c>
      <c r="Q518" s="102">
        <v>363.714</v>
      </c>
      <c r="R518" s="100">
        <v>172</v>
      </c>
      <c r="S518" s="100">
        <v>1133</v>
      </c>
      <c r="T518" s="100">
        <v>133</v>
      </c>
      <c r="U518" s="100">
        <v>151</v>
      </c>
      <c r="V518" s="666">
        <v>44</v>
      </c>
      <c r="W518" s="97"/>
      <c r="X518" s="97">
        <f>+ROUNDUP(AC518/1000+0.5,0)</f>
        <v>151</v>
      </c>
      <c r="Y518" s="97"/>
      <c r="AC518" s="100">
        <v>149730.26973026973</v>
      </c>
    </row>
    <row r="519" spans="1:29" ht="15.95" customHeight="1" thickBot="1" x14ac:dyDescent="0.25">
      <c r="A519" s="669"/>
      <c r="B519" s="45"/>
      <c r="C519" s="151" t="s">
        <v>414</v>
      </c>
      <c r="D519" s="305"/>
      <c r="E519" s="105">
        <v>0</v>
      </c>
      <c r="F519" s="106">
        <v>0</v>
      </c>
      <c r="G519" s="105">
        <v>0</v>
      </c>
      <c r="H519" s="105">
        <v>0</v>
      </c>
      <c r="I519" s="106"/>
      <c r="J519" s="105">
        <v>0</v>
      </c>
      <c r="K519" s="105"/>
      <c r="L519" s="105"/>
      <c r="M519" s="105">
        <v>0</v>
      </c>
      <c r="N519" s="105"/>
      <c r="O519" s="105">
        <v>0</v>
      </c>
      <c r="P519" s="105">
        <v>0</v>
      </c>
      <c r="Q519" s="273"/>
      <c r="R519" s="105">
        <v>0</v>
      </c>
      <c r="S519" s="105">
        <v>0</v>
      </c>
      <c r="T519" s="105">
        <v>0</v>
      </c>
      <c r="U519" s="105">
        <v>0</v>
      </c>
      <c r="V519" s="670">
        <v>0</v>
      </c>
      <c r="W519" s="97"/>
      <c r="X519" s="97">
        <f t="shared" si="8"/>
        <v>0</v>
      </c>
      <c r="Y519" s="97">
        <f>+IF((AC519-ROUND(AC519,-3)&gt;400)*AND(AC519-ROUND(AC519,-3)&lt;500),1,0)</f>
        <v>0</v>
      </c>
      <c r="AC519" s="105">
        <v>0</v>
      </c>
    </row>
    <row r="520" spans="1:29" ht="15.95" customHeight="1" thickTop="1" x14ac:dyDescent="0.2">
      <c r="A520" s="665" t="s">
        <v>178</v>
      </c>
      <c r="B520" s="42">
        <v>2008</v>
      </c>
      <c r="C520" s="148" t="s">
        <v>289</v>
      </c>
      <c r="D520" s="303">
        <v>677</v>
      </c>
      <c r="E520" s="100">
        <v>47</v>
      </c>
      <c r="F520" s="101">
        <v>173.70405479999999</v>
      </c>
      <c r="G520" s="100">
        <v>143.00143061516454</v>
      </c>
      <c r="H520" s="100">
        <v>43</v>
      </c>
      <c r="I520" s="101">
        <v>119</v>
      </c>
      <c r="J520" s="100">
        <v>16</v>
      </c>
      <c r="K520" s="100">
        <v>71</v>
      </c>
      <c r="L520" s="100"/>
      <c r="M520" s="100">
        <v>117</v>
      </c>
      <c r="N520" s="100"/>
      <c r="O520" s="100">
        <v>4</v>
      </c>
      <c r="P520" s="100">
        <v>6</v>
      </c>
      <c r="Q520" s="271"/>
      <c r="R520" s="100"/>
      <c r="S520" s="100">
        <v>172</v>
      </c>
      <c r="T520" s="100">
        <v>22</v>
      </c>
      <c r="U520" s="100">
        <v>23</v>
      </c>
      <c r="V520" s="666">
        <v>71.399999999999991</v>
      </c>
      <c r="W520" s="97"/>
      <c r="X520" s="97">
        <f t="shared" si="8"/>
        <v>23</v>
      </c>
      <c r="Y520" s="97"/>
      <c r="AC520" s="100">
        <v>22771.194165907018</v>
      </c>
    </row>
    <row r="521" spans="1:29" ht="15.95" customHeight="1" x14ac:dyDescent="0.2">
      <c r="A521" s="665"/>
      <c r="B521" s="43"/>
      <c r="C521" s="149" t="s">
        <v>290</v>
      </c>
      <c r="D521" s="303">
        <v>677</v>
      </c>
      <c r="E521" s="100">
        <v>47</v>
      </c>
      <c r="F521" s="101">
        <v>80.271129999999999</v>
      </c>
      <c r="G521" s="100">
        <v>142.52360515021459</v>
      </c>
      <c r="H521" s="100">
        <v>43</v>
      </c>
      <c r="I521" s="101">
        <v>119</v>
      </c>
      <c r="J521" s="100">
        <v>16</v>
      </c>
      <c r="K521" s="100">
        <v>71</v>
      </c>
      <c r="L521" s="100"/>
      <c r="M521" s="100">
        <v>117</v>
      </c>
      <c r="N521" s="100">
        <v>200</v>
      </c>
      <c r="O521" s="100">
        <v>4</v>
      </c>
      <c r="P521" s="100">
        <v>6</v>
      </c>
      <c r="Q521" s="271"/>
      <c r="R521" s="100"/>
      <c r="S521" s="100">
        <v>172</v>
      </c>
      <c r="T521" s="100">
        <v>22</v>
      </c>
      <c r="U521" s="100">
        <v>23</v>
      </c>
      <c r="V521" s="666">
        <v>71.428571428571416</v>
      </c>
      <c r="W521" s="97"/>
      <c r="X521" s="97">
        <f t="shared" si="8"/>
        <v>23</v>
      </c>
      <c r="Y521" s="97"/>
      <c r="AC521" s="100">
        <v>22771.194165907018</v>
      </c>
    </row>
    <row r="522" spans="1:29" ht="15.95" customHeight="1" x14ac:dyDescent="0.2">
      <c r="A522" s="667"/>
      <c r="B522" s="44"/>
      <c r="C522" s="150" t="s">
        <v>291</v>
      </c>
      <c r="D522" s="304"/>
      <c r="E522" s="103">
        <v>0</v>
      </c>
      <c r="F522" s="104">
        <v>0</v>
      </c>
      <c r="G522" s="103">
        <v>103.76967095851217</v>
      </c>
      <c r="H522" s="103">
        <v>0</v>
      </c>
      <c r="I522" s="104"/>
      <c r="J522" s="103">
        <v>0</v>
      </c>
      <c r="K522" s="103"/>
      <c r="L522" s="103"/>
      <c r="M522" s="103">
        <v>0</v>
      </c>
      <c r="N522" s="103"/>
      <c r="O522" s="103">
        <v>0</v>
      </c>
      <c r="P522" s="103">
        <v>0</v>
      </c>
      <c r="Q522" s="272"/>
      <c r="R522" s="103"/>
      <c r="S522" s="103">
        <v>0</v>
      </c>
      <c r="T522" s="103">
        <v>0</v>
      </c>
      <c r="U522" s="103">
        <v>0</v>
      </c>
      <c r="V522" s="668">
        <v>0</v>
      </c>
      <c r="W522" s="97"/>
      <c r="X522" s="97">
        <f t="shared" si="8"/>
        <v>0</v>
      </c>
      <c r="Y522" s="97"/>
      <c r="AC522" s="103">
        <v>0</v>
      </c>
    </row>
    <row r="523" spans="1:29" ht="15.95" customHeight="1" x14ac:dyDescent="0.2">
      <c r="A523" s="665"/>
      <c r="B523" s="42">
        <v>2009</v>
      </c>
      <c r="C523" s="149" t="s">
        <v>412</v>
      </c>
      <c r="D523" s="303">
        <v>901</v>
      </c>
      <c r="E523" s="100">
        <v>45</v>
      </c>
      <c r="F523" s="101">
        <v>173.70405479999999</v>
      </c>
      <c r="G523" s="100">
        <v>148.41991341991346</v>
      </c>
      <c r="H523" s="100">
        <v>42</v>
      </c>
      <c r="I523" s="101">
        <v>119</v>
      </c>
      <c r="J523" s="100">
        <v>14</v>
      </c>
      <c r="K523" s="100">
        <v>71</v>
      </c>
      <c r="L523" s="100"/>
      <c r="M523" s="100">
        <v>117</v>
      </c>
      <c r="N523" s="100"/>
      <c r="O523" s="100">
        <v>4</v>
      </c>
      <c r="P523" s="100">
        <v>6</v>
      </c>
      <c r="Q523" s="271"/>
      <c r="R523" s="100"/>
      <c r="S523" s="100">
        <v>172</v>
      </c>
      <c r="T523" s="100">
        <v>22</v>
      </c>
      <c r="U523" s="100">
        <v>26</v>
      </c>
      <c r="V523" s="666">
        <v>74.922321428571422</v>
      </c>
      <c r="W523" s="100"/>
      <c r="X523" s="97">
        <f>+ROUNDUP(AC523/1000+0.5,0)</f>
        <v>26</v>
      </c>
      <c r="Y523" s="97"/>
      <c r="AC523" s="100">
        <v>24955.044955044959</v>
      </c>
    </row>
    <row r="524" spans="1:29" ht="15.95" customHeight="1" x14ac:dyDescent="0.2">
      <c r="A524" s="665"/>
      <c r="B524" s="43"/>
      <c r="C524" s="149" t="s">
        <v>413</v>
      </c>
      <c r="D524" s="303">
        <v>901</v>
      </c>
      <c r="E524" s="100">
        <v>45</v>
      </c>
      <c r="F524" s="101">
        <v>173.70405479999999</v>
      </c>
      <c r="G524" s="100">
        <v>148.41991341991346</v>
      </c>
      <c r="H524" s="100">
        <v>42</v>
      </c>
      <c r="I524" s="101">
        <v>119</v>
      </c>
      <c r="J524" s="100">
        <v>14</v>
      </c>
      <c r="K524" s="100">
        <v>71</v>
      </c>
      <c r="L524" s="100"/>
      <c r="M524" s="100">
        <v>73</v>
      </c>
      <c r="N524" s="100"/>
      <c r="O524" s="100">
        <v>4</v>
      </c>
      <c r="P524" s="100">
        <v>6</v>
      </c>
      <c r="Q524" s="271"/>
      <c r="R524" s="100"/>
      <c r="S524" s="100">
        <v>172</v>
      </c>
      <c r="T524" s="100">
        <v>22</v>
      </c>
      <c r="U524" s="100">
        <v>26</v>
      </c>
      <c r="V524" s="666">
        <v>75</v>
      </c>
      <c r="W524" s="97"/>
      <c r="X524" s="97">
        <f>+ROUNDUP(AC524/1000+0.5,0)</f>
        <v>26</v>
      </c>
      <c r="Y524" s="97"/>
      <c r="AC524" s="100">
        <v>24955.044955044959</v>
      </c>
    </row>
    <row r="525" spans="1:29" ht="15.95" customHeight="1" thickBot="1" x14ac:dyDescent="0.25">
      <c r="A525" s="669"/>
      <c r="B525" s="45"/>
      <c r="C525" s="151" t="s">
        <v>414</v>
      </c>
      <c r="D525" s="305"/>
      <c r="E525" s="105">
        <v>0</v>
      </c>
      <c r="F525" s="106">
        <v>93.432924799999995</v>
      </c>
      <c r="G525" s="105">
        <v>0</v>
      </c>
      <c r="H525" s="105">
        <v>0</v>
      </c>
      <c r="I525" s="106"/>
      <c r="J525" s="105">
        <v>0</v>
      </c>
      <c r="K525" s="105"/>
      <c r="L525" s="105"/>
      <c r="M525" s="105">
        <v>0</v>
      </c>
      <c r="N525" s="105"/>
      <c r="O525" s="105">
        <v>0</v>
      </c>
      <c r="P525" s="105">
        <v>0</v>
      </c>
      <c r="Q525" s="273"/>
      <c r="R525" s="105"/>
      <c r="S525" s="105">
        <v>0</v>
      </c>
      <c r="T525" s="105">
        <v>0</v>
      </c>
      <c r="U525" s="105">
        <v>0</v>
      </c>
      <c r="V525" s="670">
        <v>0</v>
      </c>
      <c r="W525" s="97"/>
      <c r="X525" s="97">
        <f t="shared" si="8"/>
        <v>0</v>
      </c>
      <c r="Y525" s="97">
        <f>+IF((AC525-ROUND(AC525,-3)&gt;400)*AND(AC525-ROUND(AC525,-3)&lt;500),1,0)</f>
        <v>0</v>
      </c>
      <c r="AC525" s="105">
        <v>0</v>
      </c>
    </row>
    <row r="526" spans="1:29" ht="15.95" customHeight="1" thickTop="1" x14ac:dyDescent="0.2">
      <c r="A526" s="665" t="s">
        <v>179</v>
      </c>
      <c r="B526" s="42">
        <v>2008</v>
      </c>
      <c r="C526" s="148" t="s">
        <v>289</v>
      </c>
      <c r="D526" s="303">
        <v>8231</v>
      </c>
      <c r="E526" s="100"/>
      <c r="F526" s="101">
        <v>2122.0062080000002</v>
      </c>
      <c r="G526" s="100">
        <v>1361.1888412017167</v>
      </c>
      <c r="H526" s="100">
        <v>329</v>
      </c>
      <c r="I526" s="101">
        <v>1444</v>
      </c>
      <c r="J526" s="100">
        <v>510</v>
      </c>
      <c r="K526" s="100">
        <v>2839</v>
      </c>
      <c r="L526" s="100"/>
      <c r="M526" s="100">
        <v>1420</v>
      </c>
      <c r="N526" s="100"/>
      <c r="O526" s="100">
        <v>52</v>
      </c>
      <c r="P526" s="100">
        <v>69</v>
      </c>
      <c r="Q526" s="271">
        <v>707.46299999999997</v>
      </c>
      <c r="R526" s="100">
        <v>168</v>
      </c>
      <c r="S526" s="100">
        <v>2090</v>
      </c>
      <c r="T526" s="100">
        <v>87</v>
      </c>
      <c r="U526" s="100">
        <v>251</v>
      </c>
      <c r="V526" s="666">
        <v>1182.6696428571427</v>
      </c>
      <c r="W526" s="97"/>
      <c r="X526" s="97">
        <f>+ROUNDUP(AC526/1000,0)</f>
        <v>251</v>
      </c>
      <c r="Y526" s="97"/>
      <c r="AC526" s="100">
        <v>250483.13582497722</v>
      </c>
    </row>
    <row r="527" spans="1:29" ht="15.95" customHeight="1" x14ac:dyDescent="0.2">
      <c r="A527" s="665"/>
      <c r="B527" s="43"/>
      <c r="C527" s="149" t="s">
        <v>290</v>
      </c>
      <c r="D527" s="303">
        <v>8231</v>
      </c>
      <c r="E527" s="100"/>
      <c r="F527" s="101">
        <v>2122.0062079999998</v>
      </c>
      <c r="G527" s="100">
        <v>1337.5450643776826</v>
      </c>
      <c r="H527" s="100">
        <v>329</v>
      </c>
      <c r="I527" s="101">
        <v>1444</v>
      </c>
      <c r="J527" s="100">
        <v>510</v>
      </c>
      <c r="K527" s="100">
        <v>2839</v>
      </c>
      <c r="L527" s="100"/>
      <c r="M527" s="100">
        <v>1052</v>
      </c>
      <c r="N527" s="100"/>
      <c r="O527" s="100">
        <v>0</v>
      </c>
      <c r="P527" s="100">
        <v>0</v>
      </c>
      <c r="Q527" s="271">
        <v>707.46299999999997</v>
      </c>
      <c r="R527" s="100">
        <v>168</v>
      </c>
      <c r="S527" s="100">
        <v>2090</v>
      </c>
      <c r="T527" s="100">
        <v>87</v>
      </c>
      <c r="U527" s="100">
        <v>251</v>
      </c>
      <c r="V527" s="666">
        <v>1183.0357142857142</v>
      </c>
      <c r="W527" s="97"/>
      <c r="X527" s="97">
        <f>+ROUNDUP(AC527/1000,0)</f>
        <v>251</v>
      </c>
      <c r="Y527" s="97"/>
      <c r="AC527" s="100">
        <v>250483.13582497722</v>
      </c>
    </row>
    <row r="528" spans="1:29" ht="15.95" customHeight="1" x14ac:dyDescent="0.2">
      <c r="A528" s="667"/>
      <c r="B528" s="44"/>
      <c r="C528" s="150" t="s">
        <v>291</v>
      </c>
      <c r="D528" s="304"/>
      <c r="E528" s="103"/>
      <c r="F528" s="104">
        <v>0</v>
      </c>
      <c r="G528" s="103">
        <v>0</v>
      </c>
      <c r="H528" s="103">
        <v>0</v>
      </c>
      <c r="I528" s="104"/>
      <c r="J528" s="103">
        <v>0</v>
      </c>
      <c r="K528" s="103"/>
      <c r="L528" s="103"/>
      <c r="M528" s="103">
        <v>1279</v>
      </c>
      <c r="N528" s="103"/>
      <c r="O528" s="103">
        <v>0</v>
      </c>
      <c r="P528" s="103">
        <v>133</v>
      </c>
      <c r="Q528" s="272">
        <v>0.29299999999999998</v>
      </c>
      <c r="R528" s="103">
        <v>0</v>
      </c>
      <c r="S528" s="103">
        <v>0</v>
      </c>
      <c r="T528" s="103">
        <v>0</v>
      </c>
      <c r="U528" s="103">
        <v>0</v>
      </c>
      <c r="V528" s="668">
        <v>0</v>
      </c>
      <c r="W528" s="97"/>
      <c r="X528" s="97">
        <f t="shared" si="8"/>
        <v>0</v>
      </c>
      <c r="Y528" s="97"/>
      <c r="AC528" s="103">
        <v>0</v>
      </c>
    </row>
    <row r="529" spans="1:29" ht="15.95" customHeight="1" x14ac:dyDescent="0.2">
      <c r="A529" s="665"/>
      <c r="B529" s="42">
        <v>2009</v>
      </c>
      <c r="C529" s="149" t="s">
        <v>412</v>
      </c>
      <c r="D529" s="303">
        <f>10963+1</f>
        <v>10964</v>
      </c>
      <c r="E529" s="100"/>
      <c r="F529" s="101">
        <v>2122.0062080000002</v>
      </c>
      <c r="G529" s="100">
        <v>1444.3795093795093</v>
      </c>
      <c r="H529" s="100">
        <v>392</v>
      </c>
      <c r="I529" s="101">
        <v>1444</v>
      </c>
      <c r="J529" s="100">
        <v>433</v>
      </c>
      <c r="K529" s="100">
        <v>2839</v>
      </c>
      <c r="L529" s="100"/>
      <c r="M529" s="100">
        <v>1420</v>
      </c>
      <c r="N529" s="100"/>
      <c r="O529" s="100">
        <v>52</v>
      </c>
      <c r="P529" s="100">
        <v>69</v>
      </c>
      <c r="Q529" s="102">
        <v>670.56399999999996</v>
      </c>
      <c r="R529" s="100">
        <v>172</v>
      </c>
      <c r="S529" s="100">
        <v>2090</v>
      </c>
      <c r="T529" s="100">
        <v>89</v>
      </c>
      <c r="U529" s="100">
        <v>275</v>
      </c>
      <c r="V529" s="666">
        <v>2035.7160714285712</v>
      </c>
      <c r="W529" s="100"/>
      <c r="X529" s="97">
        <f t="shared" si="8"/>
        <v>275</v>
      </c>
      <c r="Y529" s="97"/>
      <c r="AC529" s="100">
        <v>274505.49450549454</v>
      </c>
    </row>
    <row r="530" spans="1:29" ht="15.95" customHeight="1" x14ac:dyDescent="0.2">
      <c r="A530" s="665"/>
      <c r="B530" s="43"/>
      <c r="C530" s="149" t="s">
        <v>413</v>
      </c>
      <c r="D530" s="303">
        <f>10963+1</f>
        <v>10964</v>
      </c>
      <c r="E530" s="100"/>
      <c r="F530" s="101">
        <v>2122.0062079999998</v>
      </c>
      <c r="G530" s="100">
        <v>1444.3795093795093</v>
      </c>
      <c r="H530" s="100">
        <v>181</v>
      </c>
      <c r="I530" s="101">
        <v>1444</v>
      </c>
      <c r="J530" s="100">
        <v>433</v>
      </c>
      <c r="K530" s="100">
        <v>2839</v>
      </c>
      <c r="L530" s="100"/>
      <c r="M530" s="100">
        <v>1419</v>
      </c>
      <c r="N530" s="100">
        <v>15000</v>
      </c>
      <c r="O530" s="100">
        <v>0</v>
      </c>
      <c r="P530" s="100">
        <v>0</v>
      </c>
      <c r="Q530" s="102">
        <v>670.56399999999996</v>
      </c>
      <c r="R530" s="100">
        <v>172</v>
      </c>
      <c r="S530" s="100">
        <v>2090</v>
      </c>
      <c r="T530" s="100">
        <v>89</v>
      </c>
      <c r="U530" s="100">
        <v>275</v>
      </c>
      <c r="V530" s="666">
        <v>679</v>
      </c>
      <c r="W530" s="97"/>
      <c r="X530" s="97">
        <f t="shared" si="8"/>
        <v>275</v>
      </c>
      <c r="Y530" s="97"/>
      <c r="AC530" s="100">
        <v>274505.49450549454</v>
      </c>
    </row>
    <row r="531" spans="1:29" ht="15.95" customHeight="1" thickBot="1" x14ac:dyDescent="0.25">
      <c r="A531" s="669"/>
      <c r="B531" s="45"/>
      <c r="C531" s="151" t="s">
        <v>414</v>
      </c>
      <c r="D531" s="305"/>
      <c r="E531" s="105"/>
      <c r="F531" s="106">
        <v>0</v>
      </c>
      <c r="G531" s="105">
        <v>0</v>
      </c>
      <c r="H531" s="105">
        <v>0</v>
      </c>
      <c r="I531" s="106"/>
      <c r="J531" s="105">
        <v>0</v>
      </c>
      <c r="K531" s="105"/>
      <c r="L531" s="105"/>
      <c r="M531" s="105">
        <v>368</v>
      </c>
      <c r="N531" s="105"/>
      <c r="O531" s="105">
        <v>0</v>
      </c>
      <c r="P531" s="105">
        <v>0</v>
      </c>
      <c r="Q531" s="273"/>
      <c r="R531" s="105">
        <v>0</v>
      </c>
      <c r="S531" s="105">
        <v>0</v>
      </c>
      <c r="T531" s="105">
        <v>0</v>
      </c>
      <c r="U531" s="105">
        <v>0</v>
      </c>
      <c r="V531" s="670">
        <v>0</v>
      </c>
      <c r="W531" s="97"/>
      <c r="X531" s="97">
        <f t="shared" si="8"/>
        <v>0</v>
      </c>
      <c r="Y531" s="97">
        <f>+IF((AC531-ROUND(AC531,-3)&gt;400)*AND(AC531-ROUND(AC531,-3)&lt;500),1,0)</f>
        <v>0</v>
      </c>
      <c r="AC531" s="105">
        <v>0</v>
      </c>
    </row>
    <row r="532" spans="1:29" ht="15.95" customHeight="1" thickTop="1" x14ac:dyDescent="0.2">
      <c r="A532" s="665" t="s">
        <v>180</v>
      </c>
      <c r="B532" s="42">
        <v>2008</v>
      </c>
      <c r="C532" s="148" t="s">
        <v>289</v>
      </c>
      <c r="D532" s="303">
        <v>2945</v>
      </c>
      <c r="E532" s="100">
        <v>196</v>
      </c>
      <c r="F532" s="101">
        <v>760.54204799999991</v>
      </c>
      <c r="G532" s="100">
        <v>487.77539341917031</v>
      </c>
      <c r="H532" s="100">
        <v>176</v>
      </c>
      <c r="I532" s="101">
        <v>517</v>
      </c>
      <c r="J532" s="100">
        <v>302</v>
      </c>
      <c r="K532" s="100">
        <v>284</v>
      </c>
      <c r="L532" s="100"/>
      <c r="M532" s="100">
        <v>508</v>
      </c>
      <c r="N532" s="100"/>
      <c r="O532" s="100">
        <v>19</v>
      </c>
      <c r="P532" s="100">
        <v>25</v>
      </c>
      <c r="Q532" s="271">
        <v>253.55500000000001</v>
      </c>
      <c r="R532" s="100">
        <v>140</v>
      </c>
      <c r="S532" s="100">
        <v>748</v>
      </c>
      <c r="T532" s="100">
        <v>44</v>
      </c>
      <c r="U532" s="100">
        <v>92</v>
      </c>
      <c r="V532" s="666">
        <v>1177.8633928571428</v>
      </c>
      <c r="W532" s="97"/>
      <c r="X532" s="97">
        <f>+ROUNDUP(AC532/1000,0)</f>
        <v>92</v>
      </c>
      <c r="Y532" s="97"/>
      <c r="AC532" s="100">
        <v>91084.776663628072</v>
      </c>
    </row>
    <row r="533" spans="1:29" ht="15.95" customHeight="1" x14ac:dyDescent="0.2">
      <c r="A533" s="665"/>
      <c r="B533" s="43"/>
      <c r="C533" s="149" t="s">
        <v>290</v>
      </c>
      <c r="D533" s="303">
        <v>2945</v>
      </c>
      <c r="E533" s="100">
        <v>196</v>
      </c>
      <c r="F533" s="101">
        <v>760.54204799999991</v>
      </c>
      <c r="G533" s="100">
        <v>0</v>
      </c>
      <c r="H533" s="100">
        <v>176</v>
      </c>
      <c r="I533" s="101">
        <v>517</v>
      </c>
      <c r="J533" s="100">
        <v>302</v>
      </c>
      <c r="K533" s="100">
        <v>284</v>
      </c>
      <c r="L533" s="100"/>
      <c r="M533" s="100">
        <v>508</v>
      </c>
      <c r="N533" s="100">
        <v>3000</v>
      </c>
      <c r="O533" s="100">
        <v>19</v>
      </c>
      <c r="P533" s="100">
        <v>25</v>
      </c>
      <c r="Q533" s="271">
        <v>253.55500000000001</v>
      </c>
      <c r="R533" s="100">
        <v>140</v>
      </c>
      <c r="S533" s="100">
        <v>748</v>
      </c>
      <c r="T533" s="100">
        <v>44</v>
      </c>
      <c r="U533" s="100">
        <v>92</v>
      </c>
      <c r="V533" s="666">
        <v>1177.6785714285713</v>
      </c>
      <c r="W533" s="97"/>
      <c r="X533" s="97">
        <f>+ROUNDUP(AC533/1000,0)</f>
        <v>92</v>
      </c>
      <c r="Y533" s="97"/>
      <c r="AC533" s="100">
        <v>91084.776663628072</v>
      </c>
    </row>
    <row r="534" spans="1:29" ht="15.95" customHeight="1" x14ac:dyDescent="0.2">
      <c r="A534" s="667"/>
      <c r="B534" s="44"/>
      <c r="C534" s="150" t="s">
        <v>291</v>
      </c>
      <c r="D534" s="304"/>
      <c r="E534" s="103">
        <v>0</v>
      </c>
      <c r="F534" s="104">
        <v>0</v>
      </c>
      <c r="G534" s="103">
        <v>0</v>
      </c>
      <c r="H534" s="103">
        <v>0</v>
      </c>
      <c r="I534" s="104"/>
      <c r="J534" s="103">
        <v>0</v>
      </c>
      <c r="K534" s="103"/>
      <c r="L534" s="103"/>
      <c r="M534" s="103">
        <v>0</v>
      </c>
      <c r="N534" s="103"/>
      <c r="O534" s="103">
        <v>0</v>
      </c>
      <c r="P534" s="103">
        <v>0</v>
      </c>
      <c r="Q534" s="272"/>
      <c r="R534" s="103">
        <v>0</v>
      </c>
      <c r="S534" s="103">
        <v>0</v>
      </c>
      <c r="T534" s="103">
        <v>0</v>
      </c>
      <c r="U534" s="103">
        <v>0</v>
      </c>
      <c r="V534" s="668">
        <v>0</v>
      </c>
      <c r="W534" s="97"/>
      <c r="X534" s="97">
        <f t="shared" si="8"/>
        <v>0</v>
      </c>
      <c r="Y534" s="97"/>
      <c r="AC534" s="103">
        <v>0</v>
      </c>
    </row>
    <row r="535" spans="1:29" ht="15.95" customHeight="1" x14ac:dyDescent="0.2">
      <c r="A535" s="665"/>
      <c r="B535" s="42">
        <v>2009</v>
      </c>
      <c r="C535" s="149" t="s">
        <v>412</v>
      </c>
      <c r="D535" s="303">
        <v>3922</v>
      </c>
      <c r="E535" s="100">
        <v>188</v>
      </c>
      <c r="F535" s="101">
        <v>760.54204799999991</v>
      </c>
      <c r="G535" s="100">
        <v>511.49494949494954</v>
      </c>
      <c r="H535" s="100">
        <v>199</v>
      </c>
      <c r="I535" s="101">
        <v>517</v>
      </c>
      <c r="J535" s="100">
        <v>254</v>
      </c>
      <c r="K535" s="100">
        <v>284</v>
      </c>
      <c r="L535" s="100"/>
      <c r="M535" s="100">
        <v>508</v>
      </c>
      <c r="N535" s="100"/>
      <c r="O535" s="100">
        <v>19</v>
      </c>
      <c r="P535" s="100">
        <v>25</v>
      </c>
      <c r="Q535" s="102">
        <v>240.33</v>
      </c>
      <c r="R535" s="100">
        <v>143</v>
      </c>
      <c r="S535" s="100">
        <v>748</v>
      </c>
      <c r="T535" s="100">
        <v>44</v>
      </c>
      <c r="U535" s="100">
        <v>101</v>
      </c>
      <c r="V535" s="666">
        <v>1209.9892857142856</v>
      </c>
      <c r="W535" s="100"/>
      <c r="X535" s="97">
        <f>+ROUNDUP(AC535/1000+0.5,0)</f>
        <v>101</v>
      </c>
      <c r="Y535" s="97"/>
      <c r="AC535" s="100">
        <v>99820.179820179837</v>
      </c>
    </row>
    <row r="536" spans="1:29" ht="15.95" customHeight="1" x14ac:dyDescent="0.2">
      <c r="A536" s="665"/>
      <c r="B536" s="43"/>
      <c r="C536" s="149" t="s">
        <v>413</v>
      </c>
      <c r="D536" s="303">
        <v>3922</v>
      </c>
      <c r="E536" s="100">
        <v>187</v>
      </c>
      <c r="F536" s="101">
        <v>760.54204799999991</v>
      </c>
      <c r="G536" s="100">
        <v>511.49494949494954</v>
      </c>
      <c r="H536" s="100">
        <v>199</v>
      </c>
      <c r="I536" s="101">
        <v>517</v>
      </c>
      <c r="J536" s="100">
        <v>254</v>
      </c>
      <c r="K536" s="100">
        <v>284</v>
      </c>
      <c r="L536" s="100"/>
      <c r="M536" s="100">
        <v>508</v>
      </c>
      <c r="N536" s="100">
        <v>2000</v>
      </c>
      <c r="O536" s="100">
        <v>0</v>
      </c>
      <c r="P536" s="100">
        <v>0</v>
      </c>
      <c r="Q536" s="102">
        <v>240.33</v>
      </c>
      <c r="R536" s="100">
        <v>143</v>
      </c>
      <c r="S536" s="100">
        <v>748</v>
      </c>
      <c r="T536" s="100">
        <v>44</v>
      </c>
      <c r="U536" s="100">
        <v>101</v>
      </c>
      <c r="V536" s="666">
        <v>1210</v>
      </c>
      <c r="W536" s="97"/>
      <c r="X536" s="97">
        <f>+ROUNDUP(AC536/1000+0.5,0)</f>
        <v>101</v>
      </c>
      <c r="Y536" s="97"/>
      <c r="AC536" s="100">
        <v>99820.179820179837</v>
      </c>
    </row>
    <row r="537" spans="1:29" ht="15.95" customHeight="1" thickBot="1" x14ac:dyDescent="0.25">
      <c r="A537" s="669"/>
      <c r="B537" s="45"/>
      <c r="C537" s="151" t="s">
        <v>414</v>
      </c>
      <c r="D537" s="305"/>
      <c r="E537" s="105">
        <v>0</v>
      </c>
      <c r="F537" s="106">
        <v>0</v>
      </c>
      <c r="G537" s="105">
        <v>0</v>
      </c>
      <c r="H537" s="105">
        <v>0</v>
      </c>
      <c r="I537" s="106"/>
      <c r="J537" s="105">
        <v>0</v>
      </c>
      <c r="K537" s="105"/>
      <c r="L537" s="105"/>
      <c r="M537" s="105">
        <v>0</v>
      </c>
      <c r="N537" s="105"/>
      <c r="O537" s="105">
        <v>0</v>
      </c>
      <c r="P537" s="105">
        <v>0</v>
      </c>
      <c r="Q537" s="273"/>
      <c r="R537" s="105">
        <v>0</v>
      </c>
      <c r="S537" s="105">
        <v>0</v>
      </c>
      <c r="T537" s="105">
        <v>0</v>
      </c>
      <c r="U537" s="105">
        <v>0</v>
      </c>
      <c r="V537" s="670">
        <v>0</v>
      </c>
      <c r="W537" s="97"/>
      <c r="X537" s="97">
        <f t="shared" si="8"/>
        <v>0</v>
      </c>
      <c r="Y537" s="97">
        <f>+IF((AC537-ROUND(AC537,-3)&gt;400)*AND(AC537-ROUND(AC537,-3)&lt;500),1,0)</f>
        <v>0</v>
      </c>
      <c r="AC537" s="105">
        <v>0</v>
      </c>
    </row>
    <row r="538" spans="1:29" ht="15.95" customHeight="1" thickTop="1" x14ac:dyDescent="0.2">
      <c r="A538" s="665" t="s">
        <v>353</v>
      </c>
      <c r="B538" s="42">
        <v>2008</v>
      </c>
      <c r="C538" s="148" t="s">
        <v>289</v>
      </c>
      <c r="D538" s="303">
        <v>3292</v>
      </c>
      <c r="E538" s="100">
        <v>213</v>
      </c>
      <c r="F538" s="101">
        <v>849.7414308000001</v>
      </c>
      <c r="G538" s="100">
        <v>549.83547925608013</v>
      </c>
      <c r="H538" s="100">
        <v>110</v>
      </c>
      <c r="I538" s="101">
        <v>578</v>
      </c>
      <c r="J538" s="100">
        <v>276</v>
      </c>
      <c r="K538" s="100">
        <v>284</v>
      </c>
      <c r="L538" s="100"/>
      <c r="M538" s="100">
        <v>568</v>
      </c>
      <c r="N538" s="100"/>
      <c r="O538" s="100">
        <v>21</v>
      </c>
      <c r="P538" s="100">
        <v>28</v>
      </c>
      <c r="Q538" s="271">
        <v>282.98500000000001</v>
      </c>
      <c r="R538" s="100">
        <v>89</v>
      </c>
      <c r="S538" s="100">
        <v>836</v>
      </c>
      <c r="T538" s="100">
        <v>44</v>
      </c>
      <c r="U538" s="100">
        <v>103</v>
      </c>
      <c r="V538" s="666"/>
      <c r="W538" s="97"/>
      <c r="X538" s="97">
        <f>+ROUNDUP(AC538/1000,0)</f>
        <v>103</v>
      </c>
      <c r="Y538" s="97"/>
      <c r="AC538" s="100">
        <v>102470.37374658159</v>
      </c>
    </row>
    <row r="539" spans="1:29" ht="15.95" customHeight="1" x14ac:dyDescent="0.2">
      <c r="A539" s="665" t="s">
        <v>354</v>
      </c>
      <c r="B539" s="43"/>
      <c r="C539" s="149" t="s">
        <v>290</v>
      </c>
      <c r="D539" s="303"/>
      <c r="E539" s="100">
        <v>0</v>
      </c>
      <c r="F539" s="101">
        <v>0</v>
      </c>
      <c r="G539" s="100">
        <v>0</v>
      </c>
      <c r="H539" s="100">
        <v>0</v>
      </c>
      <c r="I539" s="101">
        <f>484-483</f>
        <v>1</v>
      </c>
      <c r="J539" s="100">
        <v>0</v>
      </c>
      <c r="K539" s="100"/>
      <c r="L539" s="100"/>
      <c r="M539" s="100">
        <v>0</v>
      </c>
      <c r="N539" s="100"/>
      <c r="O539" s="100">
        <v>0</v>
      </c>
      <c r="P539" s="100">
        <v>0</v>
      </c>
      <c r="Q539" s="271"/>
      <c r="R539" s="100">
        <v>0</v>
      </c>
      <c r="S539" s="100">
        <v>0</v>
      </c>
      <c r="T539" s="100">
        <v>0</v>
      </c>
      <c r="U539" s="100">
        <v>0</v>
      </c>
      <c r="V539" s="666"/>
      <c r="W539" s="97"/>
      <c r="X539" s="97">
        <f t="shared" si="8"/>
        <v>0</v>
      </c>
      <c r="Y539" s="97"/>
      <c r="AC539" s="100">
        <v>0</v>
      </c>
    </row>
    <row r="540" spans="1:29" ht="15.95" customHeight="1" x14ac:dyDescent="0.2">
      <c r="A540" s="667"/>
      <c r="B540" s="44"/>
      <c r="C540" s="150" t="s">
        <v>291</v>
      </c>
      <c r="D540" s="304">
        <v>1200</v>
      </c>
      <c r="E540" s="103">
        <v>0</v>
      </c>
      <c r="F540" s="104">
        <v>0</v>
      </c>
      <c r="G540" s="103">
        <v>414.9213161659514</v>
      </c>
      <c r="H540" s="103">
        <v>71</v>
      </c>
      <c r="I540" s="104">
        <v>919</v>
      </c>
      <c r="J540" s="103">
        <v>0</v>
      </c>
      <c r="K540" s="103"/>
      <c r="L540" s="103"/>
      <c r="M540" s="103">
        <v>0</v>
      </c>
      <c r="N540" s="103"/>
      <c r="O540" s="103">
        <v>0</v>
      </c>
      <c r="P540" s="103">
        <v>0</v>
      </c>
      <c r="Q540" s="272">
        <v>44.877000000000002</v>
      </c>
      <c r="R540" s="103">
        <v>82</v>
      </c>
      <c r="S540" s="103">
        <v>694</v>
      </c>
      <c r="T540" s="103">
        <v>0</v>
      </c>
      <c r="U540" s="103">
        <v>16</v>
      </c>
      <c r="V540" s="668"/>
      <c r="W540" s="97"/>
      <c r="X540" s="97">
        <f t="shared" si="8"/>
        <v>16</v>
      </c>
      <c r="Y540" s="97"/>
      <c r="AC540" s="103">
        <v>15513.309024612579</v>
      </c>
    </row>
    <row r="541" spans="1:29" ht="15.95" customHeight="1" x14ac:dyDescent="0.2">
      <c r="A541" s="665"/>
      <c r="B541" s="42">
        <v>2009</v>
      </c>
      <c r="C541" s="149" t="s">
        <v>412</v>
      </c>
      <c r="D541" s="303">
        <f>4385+1</f>
        <v>4386</v>
      </c>
      <c r="E541" s="100">
        <v>221</v>
      </c>
      <c r="F541" s="101">
        <v>849.7414308000001</v>
      </c>
      <c r="G541" s="100">
        <v>571.40259740259739</v>
      </c>
      <c r="H541" s="100">
        <v>136</v>
      </c>
      <c r="I541" s="101">
        <v>578</v>
      </c>
      <c r="J541" s="100">
        <v>69</v>
      </c>
      <c r="K541" s="100">
        <v>284</v>
      </c>
      <c r="L541" s="100"/>
      <c r="M541" s="100">
        <v>568</v>
      </c>
      <c r="N541" s="100"/>
      <c r="O541" s="100">
        <v>21</v>
      </c>
      <c r="P541" s="100">
        <v>28</v>
      </c>
      <c r="Q541" s="102">
        <v>268.226</v>
      </c>
      <c r="R541" s="100">
        <v>96</v>
      </c>
      <c r="S541" s="100">
        <v>836</v>
      </c>
      <c r="T541" s="100">
        <v>44</v>
      </c>
      <c r="U541" s="100">
        <v>113</v>
      </c>
      <c r="V541" s="666"/>
      <c r="W541" s="100"/>
      <c r="X541" s="97">
        <f>+ROUNDUP(AC541/1000,0)</f>
        <v>113</v>
      </c>
      <c r="Y541" s="97"/>
      <c r="AC541" s="100">
        <v>112297.70229770232</v>
      </c>
    </row>
    <row r="542" spans="1:29" ht="15.95" customHeight="1" x14ac:dyDescent="0.2">
      <c r="A542" s="665"/>
      <c r="B542" s="43"/>
      <c r="C542" s="149" t="s">
        <v>413</v>
      </c>
      <c r="D542" s="303">
        <f>4385+1</f>
        <v>4386</v>
      </c>
      <c r="E542" s="100">
        <v>0</v>
      </c>
      <c r="F542" s="101">
        <v>849.74143079999999</v>
      </c>
      <c r="G542" s="100">
        <v>570.61471861471864</v>
      </c>
      <c r="H542" s="100">
        <v>131</v>
      </c>
      <c r="I542" s="101"/>
      <c r="J542" s="100">
        <v>69</v>
      </c>
      <c r="K542" s="100">
        <v>284</v>
      </c>
      <c r="L542" s="100"/>
      <c r="M542" s="100">
        <v>165</v>
      </c>
      <c r="N542" s="100"/>
      <c r="O542" s="100">
        <v>0</v>
      </c>
      <c r="P542" s="100">
        <v>0</v>
      </c>
      <c r="Q542" s="102">
        <v>266.17500000000001</v>
      </c>
      <c r="R542" s="100">
        <v>96</v>
      </c>
      <c r="S542" s="100">
        <v>0</v>
      </c>
      <c r="T542" s="100">
        <v>44</v>
      </c>
      <c r="U542" s="100">
        <v>106</v>
      </c>
      <c r="V542" s="666"/>
      <c r="W542" s="97"/>
      <c r="X542" s="97">
        <f>+ROUNDDOWN(AC542/1000,0)</f>
        <v>106</v>
      </c>
      <c r="Y542" s="97"/>
      <c r="AC542" s="100">
        <v>106712.61738261739</v>
      </c>
    </row>
    <row r="543" spans="1:29" ht="15.95" customHeight="1" thickBot="1" x14ac:dyDescent="0.25">
      <c r="A543" s="669"/>
      <c r="B543" s="45"/>
      <c r="C543" s="151" t="s">
        <v>414</v>
      </c>
      <c r="D543" s="305">
        <v>9321</v>
      </c>
      <c r="E543" s="105">
        <v>0</v>
      </c>
      <c r="F543" s="106">
        <v>1517.5325567999998</v>
      </c>
      <c r="G543" s="105">
        <v>976.50216450216453</v>
      </c>
      <c r="H543" s="105">
        <v>133</v>
      </c>
      <c r="I543" s="106">
        <f>153+483</f>
        <v>636</v>
      </c>
      <c r="J543" s="105">
        <v>239</v>
      </c>
      <c r="K543" s="105">
        <v>284</v>
      </c>
      <c r="L543" s="105"/>
      <c r="M543" s="105">
        <v>1207</v>
      </c>
      <c r="N543" s="105"/>
      <c r="O543" s="105">
        <v>63</v>
      </c>
      <c r="P543" s="105">
        <v>82</v>
      </c>
      <c r="Q543" s="273">
        <v>493.041</v>
      </c>
      <c r="R543" s="105">
        <v>89</v>
      </c>
      <c r="S543" s="105">
        <v>7</v>
      </c>
      <c r="T543" s="105">
        <v>44</v>
      </c>
      <c r="U543" s="105">
        <v>189</v>
      </c>
      <c r="V543" s="670"/>
      <c r="W543" s="97"/>
      <c r="X543" s="97">
        <f t="shared" si="8"/>
        <v>189</v>
      </c>
      <c r="Y543" s="97">
        <f>+IF((AC543-ROUND(AC543,-3)&gt;400)*AND(AC543-ROUND(AC543,-3)&lt;500),1,0)</f>
        <v>0</v>
      </c>
      <c r="AC543" s="105">
        <v>188878.02197802201</v>
      </c>
    </row>
    <row r="544" spans="1:29" ht="15.95" customHeight="1" thickTop="1" x14ac:dyDescent="0.2">
      <c r="A544" s="665" t="s">
        <v>181</v>
      </c>
      <c r="B544" s="42">
        <v>2008</v>
      </c>
      <c r="C544" s="148" t="s">
        <v>289</v>
      </c>
      <c r="D544" s="303">
        <v>274</v>
      </c>
      <c r="E544" s="100">
        <v>4</v>
      </c>
      <c r="F544" s="101">
        <v>70.420566800000003</v>
      </c>
      <c r="G544" s="100">
        <v>45.639484978540779</v>
      </c>
      <c r="H544" s="100">
        <v>37</v>
      </c>
      <c r="I544" s="101">
        <v>48</v>
      </c>
      <c r="J544" s="100">
        <v>14</v>
      </c>
      <c r="K544" s="100">
        <v>71</v>
      </c>
      <c r="L544" s="100"/>
      <c r="M544" s="100">
        <v>47</v>
      </c>
      <c r="N544" s="100"/>
      <c r="O544" s="100"/>
      <c r="P544" s="100"/>
      <c r="Q544" s="271">
        <v>23.77</v>
      </c>
      <c r="R544" s="100">
        <v>77</v>
      </c>
      <c r="S544" s="100">
        <v>69</v>
      </c>
      <c r="T544" s="100">
        <v>3</v>
      </c>
      <c r="U544" s="100">
        <v>11</v>
      </c>
      <c r="V544" s="666"/>
      <c r="W544" s="97"/>
      <c r="X544" s="97">
        <f t="shared" si="8"/>
        <v>11</v>
      </c>
      <c r="Y544" s="97"/>
      <c r="AC544" s="100">
        <v>11385.597082953509</v>
      </c>
    </row>
    <row r="545" spans="1:29" ht="15.95" customHeight="1" x14ac:dyDescent="0.2">
      <c r="A545" s="665"/>
      <c r="B545" s="43"/>
      <c r="C545" s="149" t="s">
        <v>290</v>
      </c>
      <c r="D545" s="303"/>
      <c r="E545" s="100">
        <v>2</v>
      </c>
      <c r="F545" s="101">
        <v>32.542349999999999</v>
      </c>
      <c r="G545" s="100">
        <v>45.639484978540779</v>
      </c>
      <c r="H545" s="100">
        <v>0</v>
      </c>
      <c r="I545" s="101">
        <f>48-20</f>
        <v>28</v>
      </c>
      <c r="J545" s="100">
        <v>14</v>
      </c>
      <c r="K545" s="100">
        <v>71</v>
      </c>
      <c r="L545" s="100"/>
      <c r="M545" s="100">
        <v>0</v>
      </c>
      <c r="N545" s="100">
        <v>670</v>
      </c>
      <c r="O545" s="100"/>
      <c r="P545" s="100"/>
      <c r="Q545" s="271">
        <v>23.77</v>
      </c>
      <c r="R545" s="100">
        <v>77</v>
      </c>
      <c r="S545" s="100">
        <v>69</v>
      </c>
      <c r="T545" s="100">
        <v>0</v>
      </c>
      <c r="U545" s="100">
        <v>0</v>
      </c>
      <c r="V545" s="666"/>
      <c r="W545" s="97"/>
      <c r="X545" s="97">
        <f t="shared" si="8"/>
        <v>0</v>
      </c>
      <c r="Y545" s="97"/>
      <c r="AC545" s="100">
        <v>0</v>
      </c>
    </row>
    <row r="546" spans="1:29" ht="15.95" customHeight="1" x14ac:dyDescent="0.2">
      <c r="A546" s="667"/>
      <c r="B546" s="44"/>
      <c r="C546" s="150" t="s">
        <v>291</v>
      </c>
      <c r="D546" s="304"/>
      <c r="E546" s="103">
        <v>0</v>
      </c>
      <c r="F546" s="104">
        <v>66.712396800000008</v>
      </c>
      <c r="G546" s="103">
        <v>26.666666666666668</v>
      </c>
      <c r="H546" s="103">
        <v>62</v>
      </c>
      <c r="I546" s="104">
        <v>248</v>
      </c>
      <c r="J546" s="103">
        <v>729</v>
      </c>
      <c r="K546" s="103"/>
      <c r="L546" s="103"/>
      <c r="M546" s="103">
        <v>52</v>
      </c>
      <c r="N546" s="103"/>
      <c r="O546" s="103"/>
      <c r="P546" s="103"/>
      <c r="Q546" s="272"/>
      <c r="R546" s="103">
        <v>0</v>
      </c>
      <c r="S546" s="103">
        <v>925</v>
      </c>
      <c r="T546" s="103">
        <v>0</v>
      </c>
      <c r="U546" s="103">
        <v>101</v>
      </c>
      <c r="V546" s="668"/>
      <c r="W546" s="97"/>
      <c r="X546" s="97">
        <f t="shared" si="8"/>
        <v>101</v>
      </c>
      <c r="Y546" s="97"/>
      <c r="AC546" s="103">
        <v>100667.72105742936</v>
      </c>
    </row>
    <row r="547" spans="1:29" ht="15.95" customHeight="1" x14ac:dyDescent="0.2">
      <c r="A547" s="665"/>
      <c r="B547" s="42">
        <v>2009</v>
      </c>
      <c r="C547" s="149" t="s">
        <v>412</v>
      </c>
      <c r="D547" s="303">
        <v>365</v>
      </c>
      <c r="E547" s="100">
        <v>18</v>
      </c>
      <c r="F547" s="101">
        <v>70.420566800000003</v>
      </c>
      <c r="G547" s="100">
        <v>46.141414141414138</v>
      </c>
      <c r="H547" s="100">
        <v>42</v>
      </c>
      <c r="I547" s="101">
        <v>48</v>
      </c>
      <c r="J547" s="100">
        <v>13</v>
      </c>
      <c r="K547" s="100">
        <v>71</v>
      </c>
      <c r="L547" s="100"/>
      <c r="M547" s="100">
        <v>47</v>
      </c>
      <c r="N547" s="100"/>
      <c r="O547" s="100"/>
      <c r="P547" s="100"/>
      <c r="Q547" s="102">
        <v>22.53</v>
      </c>
      <c r="R547" s="100">
        <v>43</v>
      </c>
      <c r="S547" s="100">
        <v>69</v>
      </c>
      <c r="T547" s="100">
        <v>3</v>
      </c>
      <c r="U547" s="100">
        <v>12</v>
      </c>
      <c r="V547" s="666"/>
      <c r="W547" s="100"/>
      <c r="X547" s="97">
        <f t="shared" si="8"/>
        <v>12</v>
      </c>
      <c r="Y547" s="97"/>
      <c r="AC547" s="100">
        <v>12477.52247752248</v>
      </c>
    </row>
    <row r="548" spans="1:29" ht="15.95" customHeight="1" x14ac:dyDescent="0.2">
      <c r="A548" s="665"/>
      <c r="B548" s="43"/>
      <c r="C548" s="149" t="s">
        <v>413</v>
      </c>
      <c r="D548" s="303">
        <v>365</v>
      </c>
      <c r="E548" s="100">
        <v>8</v>
      </c>
      <c r="F548" s="101">
        <v>70.420566800000003</v>
      </c>
      <c r="G548" s="100">
        <v>46.041847041847049</v>
      </c>
      <c r="H548" s="100">
        <v>0</v>
      </c>
      <c r="I548" s="101">
        <v>48</v>
      </c>
      <c r="J548" s="100">
        <v>13</v>
      </c>
      <c r="K548" s="100">
        <v>71</v>
      </c>
      <c r="L548" s="100"/>
      <c r="M548" s="100">
        <v>47</v>
      </c>
      <c r="N548" s="100">
        <v>660</v>
      </c>
      <c r="O548" s="100"/>
      <c r="P548" s="100"/>
      <c r="Q548" s="102">
        <v>22.53</v>
      </c>
      <c r="R548" s="100">
        <v>43</v>
      </c>
      <c r="S548" s="100">
        <v>0</v>
      </c>
      <c r="T548" s="100">
        <v>3</v>
      </c>
      <c r="U548" s="100">
        <v>0</v>
      </c>
      <c r="V548" s="666"/>
      <c r="W548" s="97"/>
      <c r="X548" s="97">
        <f t="shared" si="8"/>
        <v>0</v>
      </c>
      <c r="Y548" s="97"/>
      <c r="AC548" s="100">
        <v>0</v>
      </c>
    </row>
    <row r="549" spans="1:29" ht="15.95" customHeight="1" thickBot="1" x14ac:dyDescent="0.25">
      <c r="A549" s="669"/>
      <c r="B549" s="45"/>
      <c r="C549" s="151" t="s">
        <v>414</v>
      </c>
      <c r="D549" s="305">
        <v>274</v>
      </c>
      <c r="E549" s="105">
        <v>2</v>
      </c>
      <c r="F549" s="106">
        <v>616.24861239999996</v>
      </c>
      <c r="G549" s="105">
        <v>0</v>
      </c>
      <c r="H549" s="105">
        <v>136</v>
      </c>
      <c r="I549" s="106">
        <f>248+20</f>
        <v>268</v>
      </c>
      <c r="J549" s="105">
        <v>0</v>
      </c>
      <c r="K549" s="105"/>
      <c r="L549" s="105"/>
      <c r="M549" s="105">
        <v>602</v>
      </c>
      <c r="N549" s="105"/>
      <c r="O549" s="105"/>
      <c r="P549" s="105"/>
      <c r="Q549" s="273"/>
      <c r="R549" s="105">
        <v>28</v>
      </c>
      <c r="S549" s="105">
        <v>0</v>
      </c>
      <c r="T549" s="105">
        <v>513</v>
      </c>
      <c r="U549" s="105">
        <v>110</v>
      </c>
      <c r="V549" s="670"/>
      <c r="W549" s="97"/>
      <c r="X549" s="97">
        <f t="shared" si="8"/>
        <v>110</v>
      </c>
      <c r="Y549" s="97">
        <f>+IF((AC549-ROUND(AC549,-3)&gt;400)*AND(AC549-ROUND(AC549,-3)&lt;500),1,0)</f>
        <v>0</v>
      </c>
      <c r="AC549" s="105">
        <v>110184.92507492509</v>
      </c>
    </row>
    <row r="550" spans="1:29" ht="15.95" customHeight="1" thickTop="1" x14ac:dyDescent="0.2">
      <c r="A550" s="665" t="s">
        <v>182</v>
      </c>
      <c r="B550" s="42">
        <v>2008</v>
      </c>
      <c r="C550" s="148" t="s">
        <v>289</v>
      </c>
      <c r="D550" s="303">
        <v>8139</v>
      </c>
      <c r="E550" s="100">
        <v>530</v>
      </c>
      <c r="F550" s="101">
        <v>2098.5326948000002</v>
      </c>
      <c r="G550" s="100">
        <v>1698.9284692417741</v>
      </c>
      <c r="H550" s="100">
        <v>256</v>
      </c>
      <c r="I550" s="101">
        <v>1428</v>
      </c>
      <c r="J550" s="100">
        <v>49</v>
      </c>
      <c r="K550" s="100">
        <v>568</v>
      </c>
      <c r="L550" s="100"/>
      <c r="M550" s="100">
        <v>1404</v>
      </c>
      <c r="N550" s="100"/>
      <c r="O550" s="100">
        <v>52</v>
      </c>
      <c r="P550" s="100">
        <v>69</v>
      </c>
      <c r="Q550" s="271">
        <v>700.67200000000003</v>
      </c>
      <c r="R550" s="100"/>
      <c r="S550" s="100">
        <v>2066</v>
      </c>
      <c r="T550" s="100">
        <v>436</v>
      </c>
      <c r="U550" s="100">
        <v>251</v>
      </c>
      <c r="V550" s="666">
        <v>2036.1624999999997</v>
      </c>
      <c r="W550" s="97"/>
      <c r="X550" s="97">
        <f>+ROUNDUP(AC550/1000,0)</f>
        <v>251</v>
      </c>
      <c r="Y550" s="97"/>
      <c r="AC550" s="100">
        <v>250483.13582497722</v>
      </c>
    </row>
    <row r="551" spans="1:29" ht="15.95" customHeight="1" x14ac:dyDescent="0.2">
      <c r="A551" s="665"/>
      <c r="B551" s="43"/>
      <c r="C551" s="149" t="s">
        <v>290</v>
      </c>
      <c r="D551" s="303">
        <v>8139</v>
      </c>
      <c r="E551" s="100">
        <v>530</v>
      </c>
      <c r="F551" s="101">
        <v>2098.5326948000002</v>
      </c>
      <c r="G551" s="100">
        <v>1685.0615164520746</v>
      </c>
      <c r="H551" s="100">
        <v>256</v>
      </c>
      <c r="I551" s="101">
        <v>1428</v>
      </c>
      <c r="J551" s="100">
        <v>49</v>
      </c>
      <c r="K551" s="100">
        <v>568</v>
      </c>
      <c r="L551" s="100"/>
      <c r="M551" s="100">
        <v>1404</v>
      </c>
      <c r="N551" s="100">
        <v>3127</v>
      </c>
      <c r="O551" s="100">
        <v>52</v>
      </c>
      <c r="P551" s="100">
        <v>69</v>
      </c>
      <c r="Q551" s="271">
        <v>700.67200000000003</v>
      </c>
      <c r="R551" s="100"/>
      <c r="S551" s="100">
        <v>2066</v>
      </c>
      <c r="T551" s="100">
        <v>436</v>
      </c>
      <c r="U551" s="100">
        <v>251</v>
      </c>
      <c r="V551" s="666">
        <v>2036</v>
      </c>
      <c r="W551" s="97"/>
      <c r="X551" s="97">
        <f>+ROUNDUP(AC551/1000,0)</f>
        <v>251</v>
      </c>
      <c r="Y551" s="97"/>
      <c r="AC551" s="100">
        <v>250483.13582497722</v>
      </c>
    </row>
    <row r="552" spans="1:29" ht="15.95" customHeight="1" x14ac:dyDescent="0.2">
      <c r="A552" s="667"/>
      <c r="B552" s="44"/>
      <c r="C552" s="150" t="s">
        <v>291</v>
      </c>
      <c r="D552" s="304"/>
      <c r="E552" s="103">
        <v>0</v>
      </c>
      <c r="F552" s="104">
        <v>0</v>
      </c>
      <c r="G552" s="103">
        <v>0</v>
      </c>
      <c r="H552" s="103">
        <v>0</v>
      </c>
      <c r="I552" s="104"/>
      <c r="J552" s="103">
        <v>0</v>
      </c>
      <c r="K552" s="103"/>
      <c r="L552" s="103"/>
      <c r="M552" s="103">
        <v>0</v>
      </c>
      <c r="N552" s="103"/>
      <c r="O552" s="103">
        <v>0</v>
      </c>
      <c r="P552" s="103">
        <v>0</v>
      </c>
      <c r="Q552" s="272"/>
      <c r="R552" s="103"/>
      <c r="S552" s="103">
        <v>0</v>
      </c>
      <c r="T552" s="103">
        <v>0</v>
      </c>
      <c r="U552" s="103">
        <v>0</v>
      </c>
      <c r="V552" s="668">
        <v>0</v>
      </c>
      <c r="W552" s="97"/>
      <c r="X552" s="97">
        <f t="shared" si="8"/>
        <v>0</v>
      </c>
      <c r="Y552" s="97"/>
      <c r="AC552" s="103">
        <v>0</v>
      </c>
    </row>
    <row r="553" spans="1:29" ht="15.95" customHeight="1" x14ac:dyDescent="0.2">
      <c r="A553" s="665"/>
      <c r="B553" s="42">
        <v>2009</v>
      </c>
      <c r="C553" s="149" t="s">
        <v>412</v>
      </c>
      <c r="D553" s="303">
        <v>10842</v>
      </c>
      <c r="E553" s="100">
        <v>542</v>
      </c>
      <c r="F553" s="101">
        <v>2098.5326948000002</v>
      </c>
      <c r="G553" s="100">
        <v>1789.0966810966811</v>
      </c>
      <c r="H553" s="100">
        <v>356</v>
      </c>
      <c r="I553" s="101">
        <v>1428</v>
      </c>
      <c r="J553" s="100">
        <v>43</v>
      </c>
      <c r="K553" s="100">
        <v>568</v>
      </c>
      <c r="L553" s="100"/>
      <c r="M553" s="100">
        <v>1404</v>
      </c>
      <c r="N553" s="100"/>
      <c r="O553" s="100">
        <v>52</v>
      </c>
      <c r="P553" s="100">
        <v>69</v>
      </c>
      <c r="Q553" s="102">
        <v>664.12800000000004</v>
      </c>
      <c r="R553" s="100"/>
      <c r="S553" s="100">
        <v>2066</v>
      </c>
      <c r="T553" s="100">
        <v>443</v>
      </c>
      <c r="U553" s="100">
        <v>275</v>
      </c>
      <c r="V553" s="666">
        <v>2039.0303571428569</v>
      </c>
      <c r="W553" s="100"/>
      <c r="X553" s="97">
        <f t="shared" si="8"/>
        <v>275</v>
      </c>
      <c r="Y553" s="97"/>
      <c r="AC553" s="100">
        <v>274505.49450549454</v>
      </c>
    </row>
    <row r="554" spans="1:29" ht="15.95" customHeight="1" x14ac:dyDescent="0.2">
      <c r="A554" s="665"/>
      <c r="B554" s="43"/>
      <c r="C554" s="149" t="s">
        <v>413</v>
      </c>
      <c r="D554" s="303">
        <v>10842</v>
      </c>
      <c r="E554" s="100">
        <v>542</v>
      </c>
      <c r="F554" s="101">
        <v>2098.5326948000002</v>
      </c>
      <c r="G554" s="100">
        <v>1502.880230880231</v>
      </c>
      <c r="H554" s="100">
        <v>356</v>
      </c>
      <c r="I554" s="101">
        <v>1428</v>
      </c>
      <c r="J554" s="100">
        <v>43</v>
      </c>
      <c r="K554" s="100">
        <v>568</v>
      </c>
      <c r="L554" s="100"/>
      <c r="M554" s="100">
        <v>1404</v>
      </c>
      <c r="N554" s="100">
        <v>2641</v>
      </c>
      <c r="O554" s="100">
        <v>52</v>
      </c>
      <c r="P554" s="100">
        <v>69</v>
      </c>
      <c r="Q554" s="102">
        <v>664.12800000000004</v>
      </c>
      <c r="R554" s="100"/>
      <c r="S554" s="100">
        <v>2066</v>
      </c>
      <c r="T554" s="100">
        <v>443</v>
      </c>
      <c r="U554" s="100">
        <v>275</v>
      </c>
      <c r="V554" s="666">
        <v>2039</v>
      </c>
      <c r="W554" s="97"/>
      <c r="X554" s="97">
        <f t="shared" si="8"/>
        <v>275</v>
      </c>
      <c r="Y554" s="97"/>
      <c r="AC554" s="100">
        <v>274505.49450549454</v>
      </c>
    </row>
    <row r="555" spans="1:29" ht="15.95" customHeight="1" thickBot="1" x14ac:dyDescent="0.25">
      <c r="A555" s="669"/>
      <c r="B555" s="45"/>
      <c r="C555" s="151" t="s">
        <v>414</v>
      </c>
      <c r="D555" s="305"/>
      <c r="E555" s="105">
        <v>0</v>
      </c>
      <c r="F555" s="106">
        <v>0</v>
      </c>
      <c r="G555" s="105">
        <v>0</v>
      </c>
      <c r="H555" s="105">
        <v>0</v>
      </c>
      <c r="I555" s="106"/>
      <c r="J555" s="105">
        <v>0</v>
      </c>
      <c r="K555" s="105"/>
      <c r="L555" s="105"/>
      <c r="M555" s="105">
        <v>0</v>
      </c>
      <c r="N555" s="105"/>
      <c r="O555" s="105">
        <v>0</v>
      </c>
      <c r="P555" s="105">
        <v>0</v>
      </c>
      <c r="Q555" s="273"/>
      <c r="R555" s="105"/>
      <c r="S555" s="105">
        <v>0</v>
      </c>
      <c r="T555" s="105">
        <v>0</v>
      </c>
      <c r="U555" s="105">
        <v>0</v>
      </c>
      <c r="V555" s="670">
        <v>0</v>
      </c>
      <c r="W555" s="97"/>
      <c r="X555" s="97">
        <f t="shared" si="8"/>
        <v>0</v>
      </c>
      <c r="Y555" s="97">
        <f>+IF((AC555-ROUND(AC555,-3)&gt;400)*AND(AC555-ROUND(AC555,-3)&lt;500),1,0)</f>
        <v>0</v>
      </c>
      <c r="AC555" s="105">
        <v>0</v>
      </c>
    </row>
    <row r="556" spans="1:29" ht="15.95" customHeight="1" thickTop="1" x14ac:dyDescent="0.2">
      <c r="A556" s="665" t="s">
        <v>183</v>
      </c>
      <c r="B556" s="42">
        <v>2008</v>
      </c>
      <c r="C556" s="148" t="s">
        <v>289</v>
      </c>
      <c r="D556" s="303">
        <v>7664</v>
      </c>
      <c r="E556" s="100">
        <v>470</v>
      </c>
      <c r="F556" s="101">
        <v>1976.4703908000001</v>
      </c>
      <c r="G556" s="100">
        <v>1637.2932761087268</v>
      </c>
      <c r="H556" s="100">
        <v>286</v>
      </c>
      <c r="I556" s="101">
        <v>1345</v>
      </c>
      <c r="J556" s="100">
        <v>77</v>
      </c>
      <c r="K556" s="100">
        <v>284</v>
      </c>
      <c r="L556" s="100"/>
      <c r="M556" s="100">
        <v>1322</v>
      </c>
      <c r="N556" s="100"/>
      <c r="O556" s="100">
        <v>49</v>
      </c>
      <c r="P556" s="100">
        <v>65</v>
      </c>
      <c r="Q556" s="271">
        <v>658.79100000000005</v>
      </c>
      <c r="R556" s="100">
        <v>246</v>
      </c>
      <c r="S556" s="100">
        <v>1946</v>
      </c>
      <c r="T556" s="100">
        <v>87</v>
      </c>
      <c r="U556" s="100">
        <v>234</v>
      </c>
      <c r="V556" s="666">
        <v>801.05267857142849</v>
      </c>
      <c r="W556" s="97"/>
      <c r="X556" s="97">
        <f>+ROUNDUP(AC556/1000,0)</f>
        <v>234</v>
      </c>
      <c r="Y556" s="97"/>
      <c r="AC556" s="100">
        <v>233404.74020054695</v>
      </c>
    </row>
    <row r="557" spans="1:29" ht="15.95" customHeight="1" x14ac:dyDescent="0.2">
      <c r="A557" s="665"/>
      <c r="B557" s="43"/>
      <c r="C557" s="149" t="s">
        <v>290</v>
      </c>
      <c r="D557" s="303">
        <v>7664</v>
      </c>
      <c r="E557" s="100">
        <v>469</v>
      </c>
      <c r="F557" s="101">
        <v>1976.4703908000001</v>
      </c>
      <c r="G557" s="100">
        <v>1582.3018597997141</v>
      </c>
      <c r="H557" s="100">
        <v>286</v>
      </c>
      <c r="I557" s="101">
        <v>1345</v>
      </c>
      <c r="J557" s="100">
        <v>77</v>
      </c>
      <c r="K557" s="100">
        <v>284</v>
      </c>
      <c r="L557" s="100"/>
      <c r="M557" s="100">
        <v>473</v>
      </c>
      <c r="N557" s="100"/>
      <c r="O557" s="100">
        <v>0</v>
      </c>
      <c r="P557" s="100">
        <v>0</v>
      </c>
      <c r="Q557" s="271">
        <v>658.79100000000005</v>
      </c>
      <c r="R557" s="100">
        <v>246</v>
      </c>
      <c r="S557" s="100">
        <v>1946</v>
      </c>
      <c r="T557" s="100">
        <v>87</v>
      </c>
      <c r="U557" s="100">
        <v>0</v>
      </c>
      <c r="V557" s="666">
        <v>800.89285714285711</v>
      </c>
      <c r="W557" s="97"/>
      <c r="X557" s="97">
        <f t="shared" si="8"/>
        <v>0</v>
      </c>
      <c r="Y557" s="97"/>
      <c r="AC557" s="100">
        <v>0</v>
      </c>
    </row>
    <row r="558" spans="1:29" ht="15.95" customHeight="1" x14ac:dyDescent="0.2">
      <c r="A558" s="667"/>
      <c r="B558" s="44"/>
      <c r="C558" s="150" t="s">
        <v>291</v>
      </c>
      <c r="D558" s="304"/>
      <c r="E558" s="103">
        <v>0</v>
      </c>
      <c r="F558" s="104">
        <v>0</v>
      </c>
      <c r="G558" s="103">
        <v>0</v>
      </c>
      <c r="H558" s="103">
        <v>0</v>
      </c>
      <c r="I558" s="104"/>
      <c r="J558" s="103">
        <v>0</v>
      </c>
      <c r="K558" s="103"/>
      <c r="L558" s="103"/>
      <c r="M558" s="103">
        <v>11</v>
      </c>
      <c r="N558" s="103"/>
      <c r="O558" s="103">
        <v>0</v>
      </c>
      <c r="P558" s="103">
        <v>0</v>
      </c>
      <c r="Q558" s="272"/>
      <c r="R558" s="103">
        <v>0</v>
      </c>
      <c r="S558" s="103">
        <v>1319</v>
      </c>
      <c r="T558" s="103">
        <v>0</v>
      </c>
      <c r="U558" s="103">
        <v>81</v>
      </c>
      <c r="V558" s="668">
        <v>0</v>
      </c>
      <c r="W558" s="97"/>
      <c r="X558" s="97">
        <f t="shared" si="8"/>
        <v>81</v>
      </c>
      <c r="Y558" s="97"/>
      <c r="AC558" s="103">
        <v>80993.618960802196</v>
      </c>
    </row>
    <row r="559" spans="1:29" ht="15.95" customHeight="1" x14ac:dyDescent="0.2">
      <c r="A559" s="665"/>
      <c r="B559" s="42">
        <v>2009</v>
      </c>
      <c r="C559" s="149" t="s">
        <v>412</v>
      </c>
      <c r="D559" s="303">
        <v>10208</v>
      </c>
      <c r="E559" s="100">
        <v>520</v>
      </c>
      <c r="F559" s="101">
        <v>1976.4703908000001</v>
      </c>
      <c r="G559" s="100">
        <v>1655.5526695526696</v>
      </c>
      <c r="H559" s="100">
        <v>321</v>
      </c>
      <c r="I559" s="101">
        <v>1345</v>
      </c>
      <c r="J559" s="100">
        <v>54</v>
      </c>
      <c r="K559" s="100">
        <v>284</v>
      </c>
      <c r="L559" s="100"/>
      <c r="M559" s="100">
        <v>1322</v>
      </c>
      <c r="N559" s="100"/>
      <c r="O559" s="100">
        <v>49</v>
      </c>
      <c r="P559" s="100">
        <v>64</v>
      </c>
      <c r="Q559" s="102">
        <v>624.42999999999995</v>
      </c>
      <c r="R559" s="100">
        <v>215</v>
      </c>
      <c r="S559" s="100">
        <v>1946</v>
      </c>
      <c r="T559" s="100">
        <v>89</v>
      </c>
      <c r="U559" s="100">
        <v>257</v>
      </c>
      <c r="V559" s="666">
        <v>779.12678571428557</v>
      </c>
      <c r="W559" s="100"/>
      <c r="X559" s="97">
        <f>+ROUNDUP(AC559/1000+0.5,0)</f>
        <v>257</v>
      </c>
      <c r="Y559" s="97"/>
      <c r="AC559" s="100">
        <v>255789.2107892108</v>
      </c>
    </row>
    <row r="560" spans="1:29" ht="15.95" customHeight="1" x14ac:dyDescent="0.2">
      <c r="A560" s="665"/>
      <c r="B560" s="43"/>
      <c r="C560" s="149" t="s">
        <v>413</v>
      </c>
      <c r="D560" s="303">
        <v>10208</v>
      </c>
      <c r="E560" s="100">
        <v>520</v>
      </c>
      <c r="F560" s="101">
        <v>1976.4703908000001</v>
      </c>
      <c r="G560" s="100">
        <v>1655.5526695526696</v>
      </c>
      <c r="H560" s="100">
        <v>321</v>
      </c>
      <c r="I560" s="101">
        <v>1345</v>
      </c>
      <c r="J560" s="100">
        <v>54</v>
      </c>
      <c r="K560" s="100">
        <v>284</v>
      </c>
      <c r="L560" s="100"/>
      <c r="M560" s="100">
        <v>1322</v>
      </c>
      <c r="N560" s="100"/>
      <c r="O560" s="100">
        <v>49</v>
      </c>
      <c r="P560" s="100">
        <v>64</v>
      </c>
      <c r="Q560" s="102">
        <v>624.42999999999995</v>
      </c>
      <c r="R560" s="100">
        <v>215</v>
      </c>
      <c r="S560" s="100">
        <v>1946</v>
      </c>
      <c r="T560" s="100">
        <v>89</v>
      </c>
      <c r="U560" s="100">
        <v>0</v>
      </c>
      <c r="V560" s="666">
        <v>779</v>
      </c>
      <c r="W560" s="97"/>
      <c r="X560" s="97">
        <f t="shared" si="8"/>
        <v>0</v>
      </c>
      <c r="Y560" s="97"/>
      <c r="AC560" s="100">
        <v>0</v>
      </c>
    </row>
    <row r="561" spans="1:29" ht="15.95" customHeight="1" thickBot="1" x14ac:dyDescent="0.25">
      <c r="A561" s="669"/>
      <c r="B561" s="45"/>
      <c r="C561" s="151" t="s">
        <v>414</v>
      </c>
      <c r="D561" s="305"/>
      <c r="E561" s="105">
        <v>0</v>
      </c>
      <c r="F561" s="106">
        <v>0</v>
      </c>
      <c r="G561" s="105">
        <v>0.10101010101010101</v>
      </c>
      <c r="H561" s="105">
        <v>0</v>
      </c>
      <c r="I561" s="106"/>
      <c r="J561" s="105">
        <v>0</v>
      </c>
      <c r="K561" s="105"/>
      <c r="L561" s="105"/>
      <c r="M561" s="105">
        <v>848</v>
      </c>
      <c r="N561" s="105"/>
      <c r="O561" s="105">
        <v>49</v>
      </c>
      <c r="P561" s="105">
        <v>65</v>
      </c>
      <c r="Q561" s="273"/>
      <c r="R561" s="105">
        <v>0</v>
      </c>
      <c r="S561" s="105">
        <v>0</v>
      </c>
      <c r="T561" s="105">
        <v>0</v>
      </c>
      <c r="U561" s="105">
        <v>272</v>
      </c>
      <c r="V561" s="670">
        <v>0</v>
      </c>
      <c r="W561" s="97"/>
      <c r="X561" s="97">
        <f t="shared" si="8"/>
        <v>272</v>
      </c>
      <c r="Y561" s="97">
        <f>+IF((AC561-ROUND(AC561,-3)&gt;400)*AND(AC561-ROUND(AC561,-3)&lt;500),1,0)</f>
        <v>0</v>
      </c>
      <c r="AC561" s="105">
        <v>271728.27172827173</v>
      </c>
    </row>
    <row r="562" spans="1:29" ht="15.95" customHeight="1" thickTop="1" x14ac:dyDescent="0.2">
      <c r="A562" s="665" t="s">
        <v>184</v>
      </c>
      <c r="B562" s="42">
        <v>2008</v>
      </c>
      <c r="C562" s="148" t="s">
        <v>289</v>
      </c>
      <c r="D562" s="303">
        <v>92896</v>
      </c>
      <c r="E562" s="100">
        <v>6328</v>
      </c>
      <c r="F562" s="101">
        <v>23961.769216000001</v>
      </c>
      <c r="G562" s="100">
        <v>19469.450643776825</v>
      </c>
      <c r="H562" s="100">
        <v>2258</v>
      </c>
      <c r="I562" s="101">
        <v>16303</v>
      </c>
      <c r="J562" s="100">
        <v>953</v>
      </c>
      <c r="K562" s="100">
        <v>4259</v>
      </c>
      <c r="L562" s="100"/>
      <c r="M562" s="100">
        <v>16027</v>
      </c>
      <c r="N562" s="100"/>
      <c r="O562" s="100">
        <v>591</v>
      </c>
      <c r="P562" s="100">
        <v>783</v>
      </c>
      <c r="Q562" s="271">
        <v>7991.4989999999998</v>
      </c>
      <c r="R562" s="100">
        <v>448</v>
      </c>
      <c r="S562" s="100">
        <v>23590</v>
      </c>
      <c r="T562" s="100">
        <v>654</v>
      </c>
      <c r="U562" s="100">
        <v>2841</v>
      </c>
      <c r="V562" s="666">
        <v>6263.3473214285705</v>
      </c>
      <c r="W562" s="97"/>
      <c r="X562" s="97">
        <f t="shared" si="8"/>
        <v>2841</v>
      </c>
      <c r="Y562" s="97"/>
      <c r="AC562" s="100">
        <v>2840706.4721969008</v>
      </c>
    </row>
    <row r="563" spans="1:29" ht="15.95" customHeight="1" x14ac:dyDescent="0.2">
      <c r="A563" s="665"/>
      <c r="B563" s="43"/>
      <c r="C563" s="149" t="s">
        <v>290</v>
      </c>
      <c r="D563" s="303">
        <v>92896</v>
      </c>
      <c r="E563" s="100">
        <v>6328</v>
      </c>
      <c r="F563" s="101">
        <v>23961.769216000001</v>
      </c>
      <c r="G563" s="100">
        <v>19040.419170243207</v>
      </c>
      <c r="H563" s="100">
        <v>2258</v>
      </c>
      <c r="I563" s="101">
        <f>16303-229</f>
        <v>16074</v>
      </c>
      <c r="J563" s="100">
        <v>953</v>
      </c>
      <c r="K563" s="100">
        <v>4259</v>
      </c>
      <c r="L563" s="100"/>
      <c r="M563" s="100">
        <v>16027</v>
      </c>
      <c r="N563" s="100"/>
      <c r="O563" s="100">
        <v>591</v>
      </c>
      <c r="P563" s="100">
        <v>767</v>
      </c>
      <c r="Q563" s="271">
        <v>7991.4989999999998</v>
      </c>
      <c r="R563" s="100">
        <v>448</v>
      </c>
      <c r="S563" s="100">
        <v>23590</v>
      </c>
      <c r="T563" s="100">
        <v>654</v>
      </c>
      <c r="U563" s="100">
        <v>2841</v>
      </c>
      <c r="V563" s="666">
        <v>6263.3928571428569</v>
      </c>
      <c r="W563" s="97"/>
      <c r="X563" s="97">
        <f t="shared" si="8"/>
        <v>2841</v>
      </c>
      <c r="Y563" s="97"/>
      <c r="AC563" s="100">
        <v>2840706.4721969008</v>
      </c>
    </row>
    <row r="564" spans="1:29" ht="15.95" customHeight="1" x14ac:dyDescent="0.2">
      <c r="A564" s="667"/>
      <c r="B564" s="44"/>
      <c r="C564" s="150" t="s">
        <v>291</v>
      </c>
      <c r="D564" s="304"/>
      <c r="E564" s="103">
        <v>0</v>
      </c>
      <c r="F564" s="104">
        <v>0</v>
      </c>
      <c r="G564" s="103">
        <v>0</v>
      </c>
      <c r="H564" s="103">
        <v>0</v>
      </c>
      <c r="I564" s="104"/>
      <c r="J564" s="103">
        <v>0</v>
      </c>
      <c r="K564" s="103"/>
      <c r="L564" s="103"/>
      <c r="M564" s="103">
        <v>387</v>
      </c>
      <c r="N564" s="103"/>
      <c r="O564" s="103">
        <v>0</v>
      </c>
      <c r="P564" s="103">
        <v>29</v>
      </c>
      <c r="Q564" s="272"/>
      <c r="R564" s="103">
        <v>0</v>
      </c>
      <c r="S564" s="103">
        <v>0</v>
      </c>
      <c r="T564" s="103">
        <v>449</v>
      </c>
      <c r="U564" s="103">
        <v>0</v>
      </c>
      <c r="V564" s="668">
        <v>0</v>
      </c>
      <c r="W564" s="97"/>
      <c r="X564" s="97">
        <f t="shared" si="8"/>
        <v>0</v>
      </c>
      <c r="Y564" s="97"/>
      <c r="AC564" s="103">
        <v>0</v>
      </c>
    </row>
    <row r="565" spans="1:29" ht="15.95" customHeight="1" x14ac:dyDescent="0.2">
      <c r="A565" s="665"/>
      <c r="B565" s="42">
        <v>2009</v>
      </c>
      <c r="C565" s="149" t="s">
        <v>412</v>
      </c>
      <c r="D565" s="303">
        <f>123740+1</f>
        <v>123741</v>
      </c>
      <c r="E565" s="100">
        <v>5902</v>
      </c>
      <c r="F565" s="101">
        <v>23961.769216000001</v>
      </c>
      <c r="G565" s="100">
        <v>20033.972582972587</v>
      </c>
      <c r="H565" s="100">
        <v>2562</v>
      </c>
      <c r="I565" s="101">
        <v>16303</v>
      </c>
      <c r="J565" s="100">
        <v>834</v>
      </c>
      <c r="K565" s="100">
        <v>4259</v>
      </c>
      <c r="L565" s="100"/>
      <c r="M565" s="100">
        <v>16027</v>
      </c>
      <c r="N565" s="100"/>
      <c r="O565" s="100">
        <v>588</v>
      </c>
      <c r="P565" s="100">
        <v>782</v>
      </c>
      <c r="Q565" s="102">
        <v>7574.692</v>
      </c>
      <c r="R565" s="100">
        <v>459</v>
      </c>
      <c r="S565" s="100">
        <v>23590</v>
      </c>
      <c r="T565" s="100">
        <v>664</v>
      </c>
      <c r="U565" s="100">
        <v>3114</v>
      </c>
      <c r="V565" s="666">
        <v>6297.0187499999993</v>
      </c>
      <c r="W565" s="100"/>
      <c r="X565" s="97">
        <f>+ROUNDUP(AC565/1000,0)</f>
        <v>3114</v>
      </c>
      <c r="Y565" s="97"/>
      <c r="AC565" s="100">
        <v>3113141.8581418586</v>
      </c>
    </row>
    <row r="566" spans="1:29" ht="15.95" customHeight="1" x14ac:dyDescent="0.2">
      <c r="A566" s="665"/>
      <c r="B566" s="43"/>
      <c r="C566" s="149" t="s">
        <v>413</v>
      </c>
      <c r="D566" s="303">
        <f>123740+1</f>
        <v>123741</v>
      </c>
      <c r="E566" s="100">
        <v>5902</v>
      </c>
      <c r="F566" s="101">
        <v>23961.769216000001</v>
      </c>
      <c r="G566" s="100">
        <v>19106.336219336219</v>
      </c>
      <c r="H566" s="100">
        <v>2562</v>
      </c>
      <c r="I566" s="101">
        <v>16303</v>
      </c>
      <c r="J566" s="100">
        <v>834</v>
      </c>
      <c r="K566" s="100">
        <v>4259</v>
      </c>
      <c r="L566" s="100"/>
      <c r="M566" s="100">
        <v>16027</v>
      </c>
      <c r="N566" s="100">
        <v>19971</v>
      </c>
      <c r="O566" s="100">
        <v>588</v>
      </c>
      <c r="P566" s="100">
        <v>782</v>
      </c>
      <c r="Q566" s="102">
        <v>7574.692</v>
      </c>
      <c r="R566" s="100">
        <v>459</v>
      </c>
      <c r="S566" s="100">
        <v>23590</v>
      </c>
      <c r="T566" s="100">
        <v>664</v>
      </c>
      <c r="U566" s="100">
        <v>3114</v>
      </c>
      <c r="V566" s="666">
        <v>6297</v>
      </c>
      <c r="W566" s="97"/>
      <c r="X566" s="97">
        <f>+ROUNDUP(AC566/1000,0)</f>
        <v>3114</v>
      </c>
      <c r="Y566" s="97"/>
      <c r="AC566" s="100">
        <v>3113141.8581418586</v>
      </c>
    </row>
    <row r="567" spans="1:29" ht="15.95" customHeight="1" thickBot="1" x14ac:dyDescent="0.25">
      <c r="A567" s="669"/>
      <c r="B567" s="45"/>
      <c r="C567" s="151" t="s">
        <v>414</v>
      </c>
      <c r="D567" s="305"/>
      <c r="E567" s="105">
        <v>0</v>
      </c>
      <c r="F567" s="106">
        <v>0</v>
      </c>
      <c r="G567" s="105">
        <v>0</v>
      </c>
      <c r="H567" s="105">
        <v>0</v>
      </c>
      <c r="I567" s="106">
        <v>229</v>
      </c>
      <c r="J567" s="105">
        <v>0</v>
      </c>
      <c r="K567" s="105"/>
      <c r="L567" s="105"/>
      <c r="M567" s="105">
        <v>0</v>
      </c>
      <c r="N567" s="105"/>
      <c r="O567" s="105">
        <v>0</v>
      </c>
      <c r="P567" s="105">
        <v>16</v>
      </c>
      <c r="Q567" s="273"/>
      <c r="R567" s="105">
        <v>0</v>
      </c>
      <c r="S567" s="105">
        <v>0</v>
      </c>
      <c r="T567" s="105">
        <v>0</v>
      </c>
      <c r="U567" s="105">
        <v>0</v>
      </c>
      <c r="V567" s="670">
        <v>0</v>
      </c>
      <c r="W567" s="97"/>
      <c r="X567" s="97">
        <f t="shared" si="8"/>
        <v>0</v>
      </c>
      <c r="Y567" s="97">
        <f>+IF((AC567-ROUND(AC567,-3)&gt;400)*AND(AC567-ROUND(AC567,-3)&lt;500),1,0)</f>
        <v>0</v>
      </c>
      <c r="AC567" s="105">
        <v>0</v>
      </c>
    </row>
    <row r="568" spans="1:29" ht="15.95" customHeight="1" thickTop="1" x14ac:dyDescent="0.2">
      <c r="A568" s="665" t="s">
        <v>185</v>
      </c>
      <c r="B568" s="42">
        <v>2008</v>
      </c>
      <c r="C568" s="148" t="s">
        <v>289</v>
      </c>
      <c r="D568" s="303">
        <v>183</v>
      </c>
      <c r="E568" s="100">
        <v>12</v>
      </c>
      <c r="F568" s="101">
        <v>46.947040000000008</v>
      </c>
      <c r="G568" s="100">
        <v>31.597997138769671</v>
      </c>
      <c r="H568" s="100">
        <v>37</v>
      </c>
      <c r="I568" s="101">
        <v>32</v>
      </c>
      <c r="J568" s="100">
        <v>15</v>
      </c>
      <c r="K568" s="100">
        <v>71</v>
      </c>
      <c r="L568" s="100">
        <v>162</v>
      </c>
      <c r="M568" s="100">
        <v>32</v>
      </c>
      <c r="N568" s="100"/>
      <c r="O568" s="100">
        <v>1</v>
      </c>
      <c r="P568" s="100">
        <v>2</v>
      </c>
      <c r="Q568" s="271">
        <v>15.848000000000001</v>
      </c>
      <c r="R568" s="100">
        <v>84</v>
      </c>
      <c r="S568" s="100">
        <v>46</v>
      </c>
      <c r="T568" s="100">
        <v>3</v>
      </c>
      <c r="U568" s="100">
        <v>11</v>
      </c>
      <c r="V568" s="666">
        <v>72.992857142857133</v>
      </c>
      <c r="W568" s="97"/>
      <c r="X568" s="97">
        <f t="shared" si="8"/>
        <v>11</v>
      </c>
      <c r="Y568" s="97"/>
      <c r="AC568" s="100">
        <v>11385.597082953509</v>
      </c>
    </row>
    <row r="569" spans="1:29" ht="15.95" customHeight="1" x14ac:dyDescent="0.2">
      <c r="A569" s="665"/>
      <c r="B569" s="43"/>
      <c r="C569" s="149" t="s">
        <v>290</v>
      </c>
      <c r="D569" s="303">
        <v>183</v>
      </c>
      <c r="E569" s="100">
        <v>0</v>
      </c>
      <c r="F569" s="101">
        <v>46.947040000000001</v>
      </c>
      <c r="G569" s="100">
        <v>0</v>
      </c>
      <c r="H569" s="100">
        <v>37</v>
      </c>
      <c r="I569" s="101">
        <v>32</v>
      </c>
      <c r="J569" s="100">
        <v>15</v>
      </c>
      <c r="K569" s="100">
        <v>71</v>
      </c>
      <c r="L569" s="100">
        <v>162</v>
      </c>
      <c r="M569" s="100">
        <v>24</v>
      </c>
      <c r="N569" s="100"/>
      <c r="O569" s="100">
        <v>0</v>
      </c>
      <c r="P569" s="100">
        <v>0</v>
      </c>
      <c r="Q569" s="271"/>
      <c r="R569" s="100">
        <v>84</v>
      </c>
      <c r="S569" s="100">
        <v>46</v>
      </c>
      <c r="T569" s="100">
        <v>3</v>
      </c>
      <c r="U569" s="100">
        <v>11</v>
      </c>
      <c r="V569" s="666">
        <v>73.214285714285708</v>
      </c>
      <c r="W569" s="97"/>
      <c r="X569" s="97">
        <f t="shared" si="8"/>
        <v>11</v>
      </c>
      <c r="Y569" s="97"/>
      <c r="AC569" s="100">
        <v>11385.597082953509</v>
      </c>
    </row>
    <row r="570" spans="1:29" ht="15.95" customHeight="1" x14ac:dyDescent="0.2">
      <c r="A570" s="667"/>
      <c r="B570" s="44"/>
      <c r="C570" s="150" t="s">
        <v>291</v>
      </c>
      <c r="D570" s="304"/>
      <c r="E570" s="103">
        <v>0</v>
      </c>
      <c r="F570" s="104">
        <v>0</v>
      </c>
      <c r="G570" s="103">
        <v>0</v>
      </c>
      <c r="H570" s="103">
        <v>0</v>
      </c>
      <c r="I570" s="104"/>
      <c r="J570" s="103">
        <v>0</v>
      </c>
      <c r="K570" s="103"/>
      <c r="L570" s="103">
        <v>124</v>
      </c>
      <c r="M570" s="103">
        <v>0</v>
      </c>
      <c r="N570" s="103"/>
      <c r="O570" s="103">
        <v>2</v>
      </c>
      <c r="P570" s="103">
        <v>2</v>
      </c>
      <c r="Q570" s="272">
        <v>0.54600000000000004</v>
      </c>
      <c r="R570" s="103">
        <v>0</v>
      </c>
      <c r="S570" s="103">
        <v>0</v>
      </c>
      <c r="T570" s="103">
        <v>0</v>
      </c>
      <c r="U570" s="103">
        <v>32</v>
      </c>
      <c r="V570" s="668">
        <v>0</v>
      </c>
      <c r="W570" s="97"/>
      <c r="X570" s="97">
        <f t="shared" si="8"/>
        <v>32</v>
      </c>
      <c r="Y570" s="97"/>
      <c r="AC570" s="103">
        <v>31650.747493163177</v>
      </c>
    </row>
    <row r="571" spans="1:29" ht="15.95" customHeight="1" x14ac:dyDescent="0.2">
      <c r="A571" s="665"/>
      <c r="B571" s="42">
        <v>2009</v>
      </c>
      <c r="C571" s="149" t="s">
        <v>412</v>
      </c>
      <c r="D571" s="303">
        <v>244</v>
      </c>
      <c r="E571" s="100">
        <v>12</v>
      </c>
      <c r="F571" s="101">
        <v>46.947040000000008</v>
      </c>
      <c r="G571" s="100">
        <v>32.838383838383841</v>
      </c>
      <c r="H571" s="100">
        <v>42</v>
      </c>
      <c r="I571" s="101">
        <v>32</v>
      </c>
      <c r="J571" s="100">
        <v>14</v>
      </c>
      <c r="K571" s="100">
        <v>71</v>
      </c>
      <c r="L571" s="100">
        <f>324-L568</f>
        <v>162</v>
      </c>
      <c r="M571" s="100">
        <v>32</v>
      </c>
      <c r="N571" s="100"/>
      <c r="O571" s="100">
        <v>1</v>
      </c>
      <c r="P571" s="100">
        <v>2</v>
      </c>
      <c r="Q571" s="102">
        <v>15.021000000000001</v>
      </c>
      <c r="R571" s="100">
        <v>86</v>
      </c>
      <c r="S571" s="100">
        <v>46</v>
      </c>
      <c r="T571" s="100">
        <v>3</v>
      </c>
      <c r="U571" s="100">
        <v>12</v>
      </c>
      <c r="V571" s="666">
        <v>72.167857142857144</v>
      </c>
      <c r="W571" s="100"/>
      <c r="X571" s="97">
        <f t="shared" si="8"/>
        <v>12</v>
      </c>
      <c r="Y571" s="97"/>
      <c r="AC571" s="100">
        <v>12477.52247752248</v>
      </c>
    </row>
    <row r="572" spans="1:29" ht="15.95" customHeight="1" x14ac:dyDescent="0.2">
      <c r="A572" s="665"/>
      <c r="B572" s="43"/>
      <c r="C572" s="149" t="s">
        <v>413</v>
      </c>
      <c r="D572" s="303">
        <v>244</v>
      </c>
      <c r="E572" s="100">
        <v>11</v>
      </c>
      <c r="F572" s="101">
        <v>46.947040000000001</v>
      </c>
      <c r="G572" s="100">
        <v>0</v>
      </c>
      <c r="H572" s="100">
        <v>42</v>
      </c>
      <c r="I572" s="101">
        <v>32</v>
      </c>
      <c r="J572" s="100">
        <v>14</v>
      </c>
      <c r="K572" s="100">
        <v>71</v>
      </c>
      <c r="L572" s="100">
        <v>162</v>
      </c>
      <c r="M572" s="100">
        <v>14</v>
      </c>
      <c r="N572" s="100"/>
      <c r="O572" s="100">
        <v>0</v>
      </c>
      <c r="P572" s="100">
        <v>0</v>
      </c>
      <c r="Q572" s="102">
        <v>15.021000000000001</v>
      </c>
      <c r="R572" s="100">
        <v>86</v>
      </c>
      <c r="S572" s="100">
        <v>46</v>
      </c>
      <c r="T572" s="100">
        <v>0</v>
      </c>
      <c r="U572" s="100">
        <v>12</v>
      </c>
      <c r="V572" s="666">
        <v>72</v>
      </c>
      <c r="W572" s="97"/>
      <c r="X572" s="97">
        <f t="shared" si="8"/>
        <v>12</v>
      </c>
      <c r="Y572" s="97"/>
      <c r="AC572" s="100">
        <v>12477.52247752248</v>
      </c>
    </row>
    <row r="573" spans="1:29" ht="15.95" customHeight="1" thickBot="1" x14ac:dyDescent="0.25">
      <c r="A573" s="669"/>
      <c r="B573" s="45"/>
      <c r="C573" s="151" t="s">
        <v>414</v>
      </c>
      <c r="D573" s="305"/>
      <c r="E573" s="105">
        <v>57</v>
      </c>
      <c r="F573" s="106">
        <v>0</v>
      </c>
      <c r="G573" s="105">
        <v>29.001443001443004</v>
      </c>
      <c r="H573" s="105">
        <v>0</v>
      </c>
      <c r="I573" s="106"/>
      <c r="J573" s="105">
        <v>0</v>
      </c>
      <c r="K573" s="105"/>
      <c r="L573" s="105"/>
      <c r="M573" s="105">
        <v>7</v>
      </c>
      <c r="N573" s="105"/>
      <c r="O573" s="105">
        <v>1</v>
      </c>
      <c r="P573" s="105">
        <v>2</v>
      </c>
      <c r="Q573" s="273">
        <v>32.408000000000001</v>
      </c>
      <c r="R573" s="105">
        <v>0</v>
      </c>
      <c r="S573" s="105">
        <v>0</v>
      </c>
      <c r="T573" s="105">
        <v>0</v>
      </c>
      <c r="U573" s="105">
        <v>0</v>
      </c>
      <c r="V573" s="670">
        <v>0</v>
      </c>
      <c r="W573" s="97"/>
      <c r="X573" s="97">
        <f t="shared" si="8"/>
        <v>0</v>
      </c>
      <c r="Y573" s="97">
        <f>+IF((AC573-ROUND(AC573,-3)&gt;400)*AND(AC573-ROUND(AC573,-3)&lt;500),1,0)</f>
        <v>0</v>
      </c>
      <c r="AC573" s="105">
        <v>0</v>
      </c>
    </row>
    <row r="574" spans="1:29" ht="15.95" customHeight="1" thickTop="1" x14ac:dyDescent="0.2">
      <c r="A574" s="665" t="s">
        <v>186</v>
      </c>
      <c r="B574" s="42">
        <v>2008</v>
      </c>
      <c r="C574" s="148" t="s">
        <v>289</v>
      </c>
      <c r="D574" s="303">
        <v>304056</v>
      </c>
      <c r="E574" s="100">
        <v>19972</v>
      </c>
      <c r="F574" s="101">
        <v>78429.725023999985</v>
      </c>
      <c r="G574" s="100">
        <v>63204.16738197425</v>
      </c>
      <c r="H574" s="100">
        <v>7400</v>
      </c>
      <c r="I574" s="101">
        <v>53366</v>
      </c>
      <c r="J574" s="100">
        <v>1516</v>
      </c>
      <c r="K574" s="100">
        <v>8518</v>
      </c>
      <c r="L574" s="100"/>
      <c r="M574" s="100">
        <v>52455</v>
      </c>
      <c r="N574" s="100"/>
      <c r="O574" s="100">
        <v>1935</v>
      </c>
      <c r="P574" s="100">
        <v>2564</v>
      </c>
      <c r="Q574" s="271">
        <v>24902.685000000001</v>
      </c>
      <c r="R574" s="100">
        <v>448</v>
      </c>
      <c r="S574" s="100">
        <v>77211</v>
      </c>
      <c r="T574" s="100">
        <v>1090</v>
      </c>
      <c r="U574" s="100">
        <v>9308</v>
      </c>
      <c r="V574" s="666">
        <v>8731.6044642857141</v>
      </c>
      <c r="W574" s="97"/>
      <c r="X574" s="97">
        <f t="shared" si="8"/>
        <v>9308</v>
      </c>
      <c r="Y574" s="97"/>
      <c r="AC574" s="100">
        <v>9307725.6153144948</v>
      </c>
    </row>
    <row r="575" spans="1:29" ht="15.95" customHeight="1" x14ac:dyDescent="0.2">
      <c r="A575" s="665"/>
      <c r="B575" s="43"/>
      <c r="C575" s="149" t="s">
        <v>290</v>
      </c>
      <c r="D575" s="303">
        <v>304056</v>
      </c>
      <c r="E575" s="100">
        <v>19972</v>
      </c>
      <c r="F575" s="101">
        <v>78429.725023999985</v>
      </c>
      <c r="G575" s="100">
        <v>60735.193133047214</v>
      </c>
      <c r="H575" s="100">
        <v>7400</v>
      </c>
      <c r="I575" s="101">
        <v>53366</v>
      </c>
      <c r="J575" s="100">
        <v>1516</v>
      </c>
      <c r="K575" s="100">
        <v>8518</v>
      </c>
      <c r="L575" s="100"/>
      <c r="M575" s="100">
        <v>52455</v>
      </c>
      <c r="N575" s="100"/>
      <c r="O575" s="100">
        <v>1935</v>
      </c>
      <c r="P575" s="100">
        <v>2564</v>
      </c>
      <c r="Q575" s="271">
        <v>24902.685000000001</v>
      </c>
      <c r="R575" s="100">
        <v>440</v>
      </c>
      <c r="S575" s="100">
        <v>77211</v>
      </c>
      <c r="T575" s="100">
        <v>1090</v>
      </c>
      <c r="U575" s="100">
        <v>9308</v>
      </c>
      <c r="V575" s="666">
        <v>8731.25</v>
      </c>
      <c r="W575" s="97"/>
      <c r="X575" s="97">
        <f t="shared" ref="X575:X638" si="9">+ROUND(AC575/1000,0)</f>
        <v>9308</v>
      </c>
      <c r="Y575" s="97"/>
      <c r="AC575" s="100">
        <v>9307725.6153144948</v>
      </c>
    </row>
    <row r="576" spans="1:29" ht="15.95" customHeight="1" x14ac:dyDescent="0.2">
      <c r="A576" s="667"/>
      <c r="B576" s="44"/>
      <c r="C576" s="150" t="s">
        <v>291</v>
      </c>
      <c r="D576" s="304"/>
      <c r="E576" s="103">
        <v>0</v>
      </c>
      <c r="F576" s="104">
        <v>0</v>
      </c>
      <c r="G576" s="103">
        <v>0</v>
      </c>
      <c r="H576" s="103">
        <v>0</v>
      </c>
      <c r="I576" s="104"/>
      <c r="J576" s="103">
        <v>0</v>
      </c>
      <c r="K576" s="103"/>
      <c r="L576" s="103"/>
      <c r="M576" s="103">
        <v>0</v>
      </c>
      <c r="N576" s="103"/>
      <c r="O576" s="103">
        <v>0</v>
      </c>
      <c r="P576" s="103">
        <v>0</v>
      </c>
      <c r="Q576" s="272"/>
      <c r="R576" s="103">
        <v>0</v>
      </c>
      <c r="S576" s="103">
        <v>0</v>
      </c>
      <c r="T576" s="103">
        <v>0</v>
      </c>
      <c r="U576" s="103">
        <v>0</v>
      </c>
      <c r="V576" s="668">
        <v>0</v>
      </c>
      <c r="W576" s="97"/>
      <c r="X576" s="97">
        <f t="shared" si="9"/>
        <v>0</v>
      </c>
      <c r="Y576" s="97"/>
      <c r="AC576" s="103">
        <v>0</v>
      </c>
    </row>
    <row r="577" spans="1:29" ht="15.95" customHeight="1" x14ac:dyDescent="0.2">
      <c r="A577" s="665"/>
      <c r="B577" s="42">
        <v>2009</v>
      </c>
      <c r="C577" s="149" t="s">
        <v>412</v>
      </c>
      <c r="D577" s="303">
        <v>405013</v>
      </c>
      <c r="E577" s="100">
        <v>20637</v>
      </c>
      <c r="F577" s="101">
        <v>78429.725023999985</v>
      </c>
      <c r="G577" s="100">
        <v>66107.284271284268</v>
      </c>
      <c r="H577" s="100">
        <v>8383</v>
      </c>
      <c r="I577" s="101">
        <v>53366</v>
      </c>
      <c r="J577" s="100">
        <v>1341</v>
      </c>
      <c r="K577" s="100">
        <v>8518</v>
      </c>
      <c r="L577" s="100"/>
      <c r="M577" s="100">
        <v>52455</v>
      </c>
      <c r="N577" s="100"/>
      <c r="O577" s="100">
        <v>1923</v>
      </c>
      <c r="P577" s="100">
        <v>2561</v>
      </c>
      <c r="Q577" s="102">
        <v>23603.850999999999</v>
      </c>
      <c r="R577" s="100">
        <v>459</v>
      </c>
      <c r="S577" s="100">
        <v>77211</v>
      </c>
      <c r="T577" s="100">
        <v>1106</v>
      </c>
      <c r="U577" s="100">
        <v>10201</v>
      </c>
      <c r="V577" s="666">
        <v>8638.6687499999989</v>
      </c>
      <c r="W577" s="100"/>
      <c r="X577" s="97">
        <f>+ROUNDUP(AC577/1000,0)</f>
        <v>10201</v>
      </c>
      <c r="Y577" s="97"/>
      <c r="AC577" s="100">
        <v>10200374.625374626</v>
      </c>
    </row>
    <row r="578" spans="1:29" ht="15.95" customHeight="1" x14ac:dyDescent="0.2">
      <c r="A578" s="665"/>
      <c r="B578" s="43"/>
      <c r="C578" s="149" t="s">
        <v>413</v>
      </c>
      <c r="D578" s="303">
        <v>405013</v>
      </c>
      <c r="E578" s="100">
        <v>20637</v>
      </c>
      <c r="F578" s="101">
        <v>78429.725023999999</v>
      </c>
      <c r="G578" s="100">
        <v>65126.708513708516</v>
      </c>
      <c r="H578" s="100">
        <v>8383</v>
      </c>
      <c r="I578" s="101">
        <v>53366</v>
      </c>
      <c r="J578" s="100">
        <v>1341</v>
      </c>
      <c r="K578" s="100">
        <v>8518</v>
      </c>
      <c r="L578" s="100"/>
      <c r="M578" s="100">
        <v>52455</v>
      </c>
      <c r="N578" s="100">
        <v>35554</v>
      </c>
      <c r="O578" s="100">
        <v>1923</v>
      </c>
      <c r="P578" s="100">
        <v>2561</v>
      </c>
      <c r="Q578" s="102">
        <v>23603.850999999999</v>
      </c>
      <c r="R578" s="100">
        <v>459</v>
      </c>
      <c r="S578" s="100">
        <v>77211</v>
      </c>
      <c r="T578" s="100">
        <v>1106</v>
      </c>
      <c r="U578" s="100">
        <v>10201</v>
      </c>
      <c r="V578" s="666">
        <v>8639</v>
      </c>
      <c r="W578" s="97"/>
      <c r="X578" s="97">
        <f>+ROUNDUP(AC578/1000,0)</f>
        <v>10201</v>
      </c>
      <c r="Y578" s="97"/>
      <c r="AC578" s="100">
        <v>10200374.625374626</v>
      </c>
    </row>
    <row r="579" spans="1:29" ht="15.95" customHeight="1" thickBot="1" x14ac:dyDescent="0.25">
      <c r="A579" s="669"/>
      <c r="B579" s="45"/>
      <c r="C579" s="151" t="s">
        <v>414</v>
      </c>
      <c r="D579" s="305"/>
      <c r="E579" s="105">
        <v>0</v>
      </c>
      <c r="F579" s="106">
        <v>0</v>
      </c>
      <c r="G579" s="105">
        <v>0</v>
      </c>
      <c r="H579" s="105">
        <v>0</v>
      </c>
      <c r="I579" s="106"/>
      <c r="J579" s="105">
        <v>0</v>
      </c>
      <c r="K579" s="105"/>
      <c r="L579" s="105"/>
      <c r="M579" s="105">
        <v>0</v>
      </c>
      <c r="N579" s="105"/>
      <c r="O579" s="105">
        <v>0</v>
      </c>
      <c r="P579" s="105">
        <v>0</v>
      </c>
      <c r="Q579" s="273"/>
      <c r="R579" s="105">
        <v>9</v>
      </c>
      <c r="S579" s="105">
        <v>0</v>
      </c>
      <c r="T579" s="105">
        <v>0</v>
      </c>
      <c r="U579" s="105">
        <v>0</v>
      </c>
      <c r="V579" s="670">
        <v>0</v>
      </c>
      <c r="W579" s="97"/>
      <c r="X579" s="97">
        <f t="shared" si="9"/>
        <v>0</v>
      </c>
      <c r="Y579" s="97">
        <f>+IF((AC579-ROUND(AC579,-3)&gt;400)*AND(AC579-ROUND(AC579,-3)&lt;500),1,0)</f>
        <v>0</v>
      </c>
      <c r="AC579" s="105">
        <v>0</v>
      </c>
    </row>
    <row r="580" spans="1:29" ht="15.95" customHeight="1" thickTop="1" x14ac:dyDescent="0.2">
      <c r="A580" s="665" t="s">
        <v>187</v>
      </c>
      <c r="B580" s="42">
        <v>2008</v>
      </c>
      <c r="C580" s="148" t="s">
        <v>289</v>
      </c>
      <c r="D580" s="303">
        <v>219</v>
      </c>
      <c r="E580" s="100">
        <v>14</v>
      </c>
      <c r="F580" s="101">
        <v>56.336448000000004</v>
      </c>
      <c r="G580" s="100">
        <v>37.918454935622321</v>
      </c>
      <c r="H580" s="100">
        <v>37</v>
      </c>
      <c r="I580" s="101">
        <v>39</v>
      </c>
      <c r="J580" s="100">
        <v>28</v>
      </c>
      <c r="K580" s="100">
        <v>142</v>
      </c>
      <c r="L580" s="100"/>
      <c r="M580" s="100">
        <v>38</v>
      </c>
      <c r="N580" s="100"/>
      <c r="O580" s="100">
        <v>2</v>
      </c>
      <c r="P580" s="100">
        <v>2</v>
      </c>
      <c r="Q580" s="271">
        <v>19.242999999999999</v>
      </c>
      <c r="R580" s="100">
        <v>84</v>
      </c>
      <c r="S580" s="100">
        <v>56</v>
      </c>
      <c r="T580" s="100">
        <v>3</v>
      </c>
      <c r="U580" s="100">
        <v>11</v>
      </c>
      <c r="V580" s="666">
        <v>109.29017857142856</v>
      </c>
      <c r="W580" s="97"/>
      <c r="X580" s="97">
        <f t="shared" si="9"/>
        <v>11</v>
      </c>
      <c r="Y580" s="97"/>
      <c r="AC580" s="100">
        <v>11385.597082953509</v>
      </c>
    </row>
    <row r="581" spans="1:29" ht="15.95" customHeight="1" x14ac:dyDescent="0.2">
      <c r="A581" s="665"/>
      <c r="B581" s="43"/>
      <c r="C581" s="149" t="s">
        <v>290</v>
      </c>
      <c r="D581" s="303">
        <v>219</v>
      </c>
      <c r="E581" s="100">
        <v>14</v>
      </c>
      <c r="F581" s="101">
        <v>56.336448000000004</v>
      </c>
      <c r="G581" s="100">
        <v>32.535050071530762</v>
      </c>
      <c r="H581" s="100">
        <v>37</v>
      </c>
      <c r="I581" s="101">
        <v>39</v>
      </c>
      <c r="J581" s="100">
        <v>28</v>
      </c>
      <c r="K581" s="100">
        <v>142</v>
      </c>
      <c r="L581" s="100"/>
      <c r="M581" s="100">
        <v>38</v>
      </c>
      <c r="N581" s="100">
        <v>100</v>
      </c>
      <c r="O581" s="100">
        <v>2</v>
      </c>
      <c r="P581" s="100">
        <v>2</v>
      </c>
      <c r="Q581" s="271">
        <v>19.242999999999999</v>
      </c>
      <c r="R581" s="100">
        <v>84</v>
      </c>
      <c r="S581" s="100">
        <v>56</v>
      </c>
      <c r="T581" s="100">
        <v>3</v>
      </c>
      <c r="U581" s="100">
        <v>0</v>
      </c>
      <c r="V581" s="666">
        <v>108.92857142857142</v>
      </c>
      <c r="W581" s="97"/>
      <c r="X581" s="97">
        <f t="shared" si="9"/>
        <v>0</v>
      </c>
      <c r="Y581" s="97"/>
      <c r="AC581" s="100">
        <v>0</v>
      </c>
    </row>
    <row r="582" spans="1:29" ht="15.95" customHeight="1" x14ac:dyDescent="0.2">
      <c r="A582" s="667"/>
      <c r="B582" s="44"/>
      <c r="C582" s="150" t="s">
        <v>291</v>
      </c>
      <c r="D582" s="304"/>
      <c r="E582" s="103">
        <v>0</v>
      </c>
      <c r="F582" s="104">
        <v>50.06928400000001</v>
      </c>
      <c r="G582" s="103">
        <v>24.380543633762517</v>
      </c>
      <c r="H582" s="103">
        <v>30</v>
      </c>
      <c r="I582" s="104"/>
      <c r="J582" s="103">
        <v>0</v>
      </c>
      <c r="K582" s="103"/>
      <c r="L582" s="103"/>
      <c r="M582" s="103">
        <v>0</v>
      </c>
      <c r="N582" s="103"/>
      <c r="O582" s="103">
        <v>0</v>
      </c>
      <c r="P582" s="103">
        <v>0</v>
      </c>
      <c r="Q582" s="272"/>
      <c r="R582" s="103">
        <v>0</v>
      </c>
      <c r="S582" s="103">
        <v>0</v>
      </c>
      <c r="T582" s="103">
        <v>0</v>
      </c>
      <c r="U582" s="103">
        <v>11</v>
      </c>
      <c r="V582" s="668">
        <v>0</v>
      </c>
      <c r="W582" s="97"/>
      <c r="X582" s="97">
        <f t="shared" si="9"/>
        <v>11</v>
      </c>
      <c r="Y582" s="97"/>
      <c r="AC582" s="103">
        <v>11385.597082953509</v>
      </c>
    </row>
    <row r="583" spans="1:29" ht="15.95" customHeight="1" x14ac:dyDescent="0.2">
      <c r="A583" s="665"/>
      <c r="B583" s="42">
        <v>2009</v>
      </c>
      <c r="C583" s="149" t="s">
        <v>412</v>
      </c>
      <c r="D583" s="303">
        <v>292</v>
      </c>
      <c r="E583" s="100">
        <v>15</v>
      </c>
      <c r="F583" s="101">
        <v>56.336448000000004</v>
      </c>
      <c r="G583" s="100">
        <v>39.406926406926409</v>
      </c>
      <c r="H583" s="100">
        <v>42</v>
      </c>
      <c r="I583" s="101">
        <v>39</v>
      </c>
      <c r="J583" s="100">
        <v>21</v>
      </c>
      <c r="K583" s="100">
        <v>142</v>
      </c>
      <c r="L583" s="100"/>
      <c r="M583" s="100">
        <v>38</v>
      </c>
      <c r="N583" s="100"/>
      <c r="O583" s="100">
        <v>1</v>
      </c>
      <c r="P583" s="100">
        <v>2</v>
      </c>
      <c r="Q583" s="102">
        <v>18.239000000000001</v>
      </c>
      <c r="R583" s="100">
        <v>86</v>
      </c>
      <c r="S583" s="100">
        <v>56</v>
      </c>
      <c r="T583" s="100">
        <v>3</v>
      </c>
      <c r="U583" s="100">
        <v>12</v>
      </c>
      <c r="V583" s="666">
        <v>115.94821428571427</v>
      </c>
      <c r="W583" s="100"/>
      <c r="X583" s="97">
        <f t="shared" si="9"/>
        <v>12</v>
      </c>
      <c r="Y583" s="97"/>
      <c r="AC583" s="100">
        <v>12477.52247752248</v>
      </c>
    </row>
    <row r="584" spans="1:29" ht="15.95" customHeight="1" x14ac:dyDescent="0.2">
      <c r="A584" s="665"/>
      <c r="B584" s="43"/>
      <c r="C584" s="149" t="s">
        <v>413</v>
      </c>
      <c r="D584" s="303">
        <v>292</v>
      </c>
      <c r="E584" s="100">
        <v>15</v>
      </c>
      <c r="F584" s="101">
        <v>56.336448000000004</v>
      </c>
      <c r="G584" s="100">
        <v>0</v>
      </c>
      <c r="H584" s="100">
        <v>42</v>
      </c>
      <c r="I584" s="101">
        <v>38</v>
      </c>
      <c r="J584" s="100">
        <v>21</v>
      </c>
      <c r="K584" s="100">
        <v>142</v>
      </c>
      <c r="L584" s="100"/>
      <c r="M584" s="100">
        <v>38</v>
      </c>
      <c r="N584" s="100">
        <v>100</v>
      </c>
      <c r="O584" s="100">
        <v>1</v>
      </c>
      <c r="P584" s="100">
        <v>2</v>
      </c>
      <c r="Q584" s="102">
        <v>18.239000000000001</v>
      </c>
      <c r="R584" s="100">
        <v>86</v>
      </c>
      <c r="S584" s="100">
        <v>56</v>
      </c>
      <c r="T584" s="100">
        <v>3</v>
      </c>
      <c r="U584" s="100">
        <v>0</v>
      </c>
      <c r="V584" s="666">
        <v>116</v>
      </c>
      <c r="W584" s="97"/>
      <c r="X584" s="97">
        <f t="shared" si="9"/>
        <v>0</v>
      </c>
      <c r="Y584" s="97"/>
      <c r="AC584" s="100">
        <v>0</v>
      </c>
    </row>
    <row r="585" spans="1:29" ht="15.95" customHeight="1" thickBot="1" x14ac:dyDescent="0.25">
      <c r="A585" s="669"/>
      <c r="B585" s="45"/>
      <c r="C585" s="151" t="s">
        <v>414</v>
      </c>
      <c r="D585" s="305"/>
      <c r="E585" s="105">
        <v>0</v>
      </c>
      <c r="F585" s="106">
        <v>0</v>
      </c>
      <c r="G585" s="105">
        <v>5.3520923520923525</v>
      </c>
      <c r="H585" s="105">
        <v>0</v>
      </c>
      <c r="I585" s="106"/>
      <c r="J585" s="105">
        <v>0</v>
      </c>
      <c r="K585" s="105"/>
      <c r="L585" s="105"/>
      <c r="M585" s="105">
        <v>0</v>
      </c>
      <c r="N585" s="105"/>
      <c r="O585" s="105">
        <v>0</v>
      </c>
      <c r="P585" s="105">
        <v>0</v>
      </c>
      <c r="Q585" s="273"/>
      <c r="R585" s="105">
        <v>0</v>
      </c>
      <c r="S585" s="105">
        <v>0</v>
      </c>
      <c r="T585" s="105">
        <v>0</v>
      </c>
      <c r="U585" s="105">
        <v>12</v>
      </c>
      <c r="V585" s="670">
        <v>0</v>
      </c>
      <c r="W585" s="97"/>
      <c r="X585" s="97">
        <f t="shared" si="9"/>
        <v>12</v>
      </c>
      <c r="Y585" s="97">
        <f>+IF((AC585-ROUND(AC585,-3)&gt;400)*AND(AC585-ROUND(AC585,-3)&lt;500),1,0)</f>
        <v>1</v>
      </c>
      <c r="AC585" s="105">
        <v>12477.52247752248</v>
      </c>
    </row>
    <row r="586" spans="1:29" ht="15.95" customHeight="1" thickTop="1" x14ac:dyDescent="0.2">
      <c r="A586" s="665" t="s">
        <v>188</v>
      </c>
      <c r="B586" s="42">
        <v>2008</v>
      </c>
      <c r="C586" s="148" t="s">
        <v>289</v>
      </c>
      <c r="D586" s="303">
        <v>530</v>
      </c>
      <c r="E586" s="100">
        <v>35</v>
      </c>
      <c r="F586" s="101">
        <v>136.14642280000001</v>
      </c>
      <c r="G586" s="100">
        <v>87.512160228898423</v>
      </c>
      <c r="H586" s="100">
        <v>37</v>
      </c>
      <c r="I586" s="101">
        <v>93</v>
      </c>
      <c r="J586" s="100">
        <v>9</v>
      </c>
      <c r="K586" s="100">
        <v>71</v>
      </c>
      <c r="L586" s="100"/>
      <c r="M586" s="100">
        <v>91</v>
      </c>
      <c r="N586" s="100"/>
      <c r="O586" s="100"/>
      <c r="P586" s="100">
        <v>4</v>
      </c>
      <c r="Q586" s="271">
        <v>45.277999999999999</v>
      </c>
      <c r="R586" s="100">
        <v>59</v>
      </c>
      <c r="S586" s="100">
        <v>134</v>
      </c>
      <c r="T586" s="100">
        <v>11</v>
      </c>
      <c r="U586" s="100">
        <v>18</v>
      </c>
      <c r="V586" s="666"/>
      <c r="W586" s="97"/>
      <c r="X586" s="97">
        <f>+ROUNDUP(AC586/1000,0)</f>
        <v>18</v>
      </c>
      <c r="Y586" s="97"/>
      <c r="AC586" s="100">
        <v>17078.395624430264</v>
      </c>
    </row>
    <row r="587" spans="1:29" ht="15.95" customHeight="1" x14ac:dyDescent="0.2">
      <c r="A587" s="665"/>
      <c r="B587" s="43"/>
      <c r="C587" s="149" t="s">
        <v>290</v>
      </c>
      <c r="D587" s="303">
        <v>530</v>
      </c>
      <c r="E587" s="100">
        <v>35</v>
      </c>
      <c r="F587" s="101">
        <v>136.14642280000001</v>
      </c>
      <c r="G587" s="100">
        <v>86.323319027181697</v>
      </c>
      <c r="H587" s="100">
        <v>17</v>
      </c>
      <c r="I587" s="101">
        <v>93</v>
      </c>
      <c r="J587" s="100">
        <v>9</v>
      </c>
      <c r="K587" s="100"/>
      <c r="L587" s="100"/>
      <c r="M587" s="100">
        <v>91</v>
      </c>
      <c r="N587" s="100"/>
      <c r="O587" s="100"/>
      <c r="P587" s="100">
        <v>4</v>
      </c>
      <c r="Q587" s="271">
        <v>45.277999999999999</v>
      </c>
      <c r="R587" s="100">
        <v>59</v>
      </c>
      <c r="S587" s="100">
        <v>134</v>
      </c>
      <c r="T587" s="100">
        <v>0</v>
      </c>
      <c r="U587" s="100">
        <v>18</v>
      </c>
      <c r="V587" s="666"/>
      <c r="W587" s="97"/>
      <c r="X587" s="97">
        <f>+ROUNDUP(AC587/1000,0)</f>
        <v>18</v>
      </c>
      <c r="Y587" s="97"/>
      <c r="AC587" s="100">
        <v>17078.395624430264</v>
      </c>
    </row>
    <row r="588" spans="1:29" ht="15.95" customHeight="1" x14ac:dyDescent="0.2">
      <c r="A588" s="667"/>
      <c r="B588" s="44"/>
      <c r="C588" s="150" t="s">
        <v>291</v>
      </c>
      <c r="D588" s="304"/>
      <c r="E588" s="103">
        <v>0</v>
      </c>
      <c r="F588" s="104">
        <v>217.46052</v>
      </c>
      <c r="G588" s="103">
        <v>0</v>
      </c>
      <c r="H588" s="103">
        <v>0</v>
      </c>
      <c r="I588" s="104">
        <v>209</v>
      </c>
      <c r="J588" s="103">
        <v>0</v>
      </c>
      <c r="K588" s="103"/>
      <c r="L588" s="103"/>
      <c r="M588" s="103">
        <v>0</v>
      </c>
      <c r="N588" s="103"/>
      <c r="O588" s="103"/>
      <c r="P588" s="103">
        <v>0</v>
      </c>
      <c r="Q588" s="272"/>
      <c r="R588" s="103">
        <v>0</v>
      </c>
      <c r="S588" s="103">
        <v>910</v>
      </c>
      <c r="T588" s="103">
        <v>0</v>
      </c>
      <c r="U588" s="103">
        <v>0</v>
      </c>
      <c r="V588" s="668"/>
      <c r="W588" s="97"/>
      <c r="X588" s="97">
        <f t="shared" si="9"/>
        <v>0</v>
      </c>
      <c r="Y588" s="97"/>
      <c r="AC588" s="103">
        <v>0</v>
      </c>
    </row>
    <row r="589" spans="1:29" ht="15.95" customHeight="1" x14ac:dyDescent="0.2">
      <c r="A589" s="665"/>
      <c r="B589" s="42">
        <v>2009</v>
      </c>
      <c r="C589" s="149" t="s">
        <v>412</v>
      </c>
      <c r="D589" s="303">
        <v>707</v>
      </c>
      <c r="E589" s="100">
        <v>33</v>
      </c>
      <c r="F589" s="101">
        <v>136.14642280000001</v>
      </c>
      <c r="G589" s="100">
        <v>93.614718614718612</v>
      </c>
      <c r="H589" s="100">
        <v>42</v>
      </c>
      <c r="I589" s="101">
        <v>93</v>
      </c>
      <c r="J589" s="100">
        <v>8</v>
      </c>
      <c r="K589" s="100">
        <v>71</v>
      </c>
      <c r="L589" s="100"/>
      <c r="M589" s="100">
        <v>91</v>
      </c>
      <c r="N589" s="100"/>
      <c r="O589" s="100"/>
      <c r="P589" s="100">
        <v>4</v>
      </c>
      <c r="Q589" s="102">
        <v>42.917000000000002</v>
      </c>
      <c r="R589" s="100">
        <v>64</v>
      </c>
      <c r="S589" s="100">
        <v>134</v>
      </c>
      <c r="T589" s="100">
        <v>11</v>
      </c>
      <c r="U589" s="100">
        <v>19</v>
      </c>
      <c r="V589" s="666"/>
      <c r="W589" s="100"/>
      <c r="X589" s="97">
        <f t="shared" si="9"/>
        <v>19</v>
      </c>
      <c r="Y589" s="97"/>
      <c r="AC589" s="100">
        <v>18716.283716283717</v>
      </c>
    </row>
    <row r="590" spans="1:29" ht="15.95" customHeight="1" x14ac:dyDescent="0.2">
      <c r="A590" s="665"/>
      <c r="B590" s="43"/>
      <c r="C590" s="149" t="s">
        <v>413</v>
      </c>
      <c r="D590" s="303">
        <v>707</v>
      </c>
      <c r="E590" s="100">
        <v>33</v>
      </c>
      <c r="F590" s="101">
        <v>136.14642280000001</v>
      </c>
      <c r="G590" s="100">
        <v>93.614718614718612</v>
      </c>
      <c r="H590" s="100">
        <v>19</v>
      </c>
      <c r="I590" s="101">
        <v>93</v>
      </c>
      <c r="J590" s="100">
        <v>8</v>
      </c>
      <c r="K590" s="100"/>
      <c r="L590" s="100"/>
      <c r="M590" s="100">
        <v>91</v>
      </c>
      <c r="N590" s="100"/>
      <c r="O590" s="100"/>
      <c r="P590" s="100">
        <v>4</v>
      </c>
      <c r="Q590" s="102">
        <v>42.917000000000002</v>
      </c>
      <c r="R590" s="100">
        <v>64</v>
      </c>
      <c r="S590" s="100">
        <v>134</v>
      </c>
      <c r="T590" s="100">
        <v>11</v>
      </c>
      <c r="U590" s="100">
        <v>19</v>
      </c>
      <c r="V590" s="666"/>
      <c r="W590" s="97"/>
      <c r="X590" s="97">
        <f t="shared" si="9"/>
        <v>19</v>
      </c>
      <c r="Y590" s="97"/>
      <c r="AC590" s="100">
        <v>18716.283716283717</v>
      </c>
    </row>
    <row r="591" spans="1:29" ht="15.95" customHeight="1" thickBot="1" x14ac:dyDescent="0.25">
      <c r="A591" s="669"/>
      <c r="B591" s="45"/>
      <c r="C591" s="151" t="s">
        <v>414</v>
      </c>
      <c r="D591" s="305"/>
      <c r="E591" s="105">
        <v>0</v>
      </c>
      <c r="F591" s="106">
        <v>0</v>
      </c>
      <c r="G591" s="105">
        <v>0</v>
      </c>
      <c r="H591" s="105">
        <v>23</v>
      </c>
      <c r="I591" s="106">
        <v>209</v>
      </c>
      <c r="J591" s="105">
        <v>0</v>
      </c>
      <c r="K591" s="105">
        <v>30</v>
      </c>
      <c r="L591" s="105"/>
      <c r="M591" s="105">
        <v>0</v>
      </c>
      <c r="N591" s="105"/>
      <c r="O591" s="105"/>
      <c r="P591" s="105">
        <v>0</v>
      </c>
      <c r="Q591" s="273"/>
      <c r="R591" s="105">
        <v>0</v>
      </c>
      <c r="S591" s="105">
        <v>186</v>
      </c>
      <c r="T591" s="105">
        <v>0</v>
      </c>
      <c r="U591" s="105">
        <v>0</v>
      </c>
      <c r="V591" s="670"/>
      <c r="W591" s="97"/>
      <c r="X591" s="97">
        <f t="shared" si="9"/>
        <v>0</v>
      </c>
      <c r="Y591" s="97">
        <f>+IF((AC591-ROUND(AC591,-3)&gt;400)*AND(AC591-ROUND(AC591,-3)&lt;500),1,0)</f>
        <v>0</v>
      </c>
      <c r="AC591" s="105">
        <v>0</v>
      </c>
    </row>
    <row r="592" spans="1:29" ht="15.95" customHeight="1" thickTop="1" x14ac:dyDescent="0.2">
      <c r="A592" s="665" t="s">
        <v>189</v>
      </c>
      <c r="B592" s="42">
        <v>2008</v>
      </c>
      <c r="C592" s="148" t="s">
        <v>289</v>
      </c>
      <c r="D592" s="303">
        <v>183</v>
      </c>
      <c r="E592" s="100">
        <v>12</v>
      </c>
      <c r="F592" s="101">
        <v>46.947040000000008</v>
      </c>
      <c r="G592" s="100">
        <v>31.597997138769671</v>
      </c>
      <c r="H592" s="100">
        <v>37</v>
      </c>
      <c r="I592" s="101">
        <v>32</v>
      </c>
      <c r="J592" s="100">
        <v>8</v>
      </c>
      <c r="K592" s="100">
        <v>284</v>
      </c>
      <c r="L592" s="100"/>
      <c r="M592" s="100">
        <v>32</v>
      </c>
      <c r="N592" s="100"/>
      <c r="O592" s="100">
        <v>1</v>
      </c>
      <c r="P592" s="100">
        <v>2</v>
      </c>
      <c r="Q592" s="271">
        <v>15.848000000000001</v>
      </c>
      <c r="R592" s="100">
        <v>42</v>
      </c>
      <c r="S592" s="100">
        <v>46</v>
      </c>
      <c r="T592" s="100">
        <v>3</v>
      </c>
      <c r="U592" s="100">
        <v>11</v>
      </c>
      <c r="V592" s="666">
        <v>69.695535714285711</v>
      </c>
      <c r="W592" s="97"/>
      <c r="X592" s="97">
        <f t="shared" si="9"/>
        <v>11</v>
      </c>
      <c r="Y592" s="97"/>
      <c r="AC592" s="100">
        <v>11385.597082953509</v>
      </c>
    </row>
    <row r="593" spans="1:29" ht="15.95" customHeight="1" x14ac:dyDescent="0.2">
      <c r="A593" s="665"/>
      <c r="B593" s="43"/>
      <c r="C593" s="149" t="s">
        <v>290</v>
      </c>
      <c r="D593" s="303"/>
      <c r="E593" s="100">
        <v>12</v>
      </c>
      <c r="F593" s="101">
        <v>46.947040000000001</v>
      </c>
      <c r="G593" s="100">
        <v>0</v>
      </c>
      <c r="H593" s="100">
        <v>37</v>
      </c>
      <c r="I593" s="101">
        <v>32</v>
      </c>
      <c r="J593" s="100">
        <v>8</v>
      </c>
      <c r="K593" s="100">
        <v>284</v>
      </c>
      <c r="L593" s="100"/>
      <c r="M593" s="100">
        <v>32</v>
      </c>
      <c r="N593" s="100"/>
      <c r="O593" s="100">
        <v>1</v>
      </c>
      <c r="P593" s="100">
        <v>2</v>
      </c>
      <c r="Q593" s="271">
        <v>0.70399999999999996</v>
      </c>
      <c r="R593" s="100">
        <v>32</v>
      </c>
      <c r="S593" s="100">
        <v>46</v>
      </c>
      <c r="T593" s="100">
        <v>3</v>
      </c>
      <c r="U593" s="100">
        <v>11</v>
      </c>
      <c r="V593" s="666">
        <v>15.178571428571427</v>
      </c>
      <c r="W593" s="97"/>
      <c r="X593" s="97">
        <f t="shared" si="9"/>
        <v>11</v>
      </c>
      <c r="Y593" s="97"/>
      <c r="AC593" s="100">
        <v>11385.597082953509</v>
      </c>
    </row>
    <row r="594" spans="1:29" ht="15.95" customHeight="1" x14ac:dyDescent="0.2">
      <c r="A594" s="667"/>
      <c r="B594" s="44"/>
      <c r="C594" s="150" t="s">
        <v>291</v>
      </c>
      <c r="D594" s="304">
        <v>108</v>
      </c>
      <c r="E594" s="103">
        <v>6</v>
      </c>
      <c r="F594" s="104">
        <v>0</v>
      </c>
      <c r="G594" s="103">
        <v>5.9756795422031477</v>
      </c>
      <c r="H594" s="103">
        <v>0</v>
      </c>
      <c r="I594" s="104"/>
      <c r="J594" s="103">
        <v>0</v>
      </c>
      <c r="K594" s="103"/>
      <c r="L594" s="103"/>
      <c r="M594" s="103">
        <v>2</v>
      </c>
      <c r="N594" s="103"/>
      <c r="O594" s="103">
        <v>0</v>
      </c>
      <c r="P594" s="103">
        <v>0</v>
      </c>
      <c r="Q594" s="272">
        <v>0.38500000000000001</v>
      </c>
      <c r="R594" s="103">
        <v>1</v>
      </c>
      <c r="S594" s="103">
        <v>0</v>
      </c>
      <c r="T594" s="103">
        <v>0</v>
      </c>
      <c r="U594" s="103">
        <v>0</v>
      </c>
      <c r="V594" s="668">
        <v>0</v>
      </c>
      <c r="W594" s="97"/>
      <c r="X594" s="97">
        <f t="shared" si="9"/>
        <v>0</v>
      </c>
      <c r="Y594" s="97"/>
      <c r="AC594" s="103">
        <v>0</v>
      </c>
    </row>
    <row r="595" spans="1:29" ht="15.95" customHeight="1" x14ac:dyDescent="0.2">
      <c r="A595" s="665"/>
      <c r="B595" s="42">
        <v>2009</v>
      </c>
      <c r="C595" s="149" t="s">
        <v>412</v>
      </c>
      <c r="D595" s="303">
        <v>244</v>
      </c>
      <c r="E595" s="100">
        <v>12</v>
      </c>
      <c r="F595" s="101">
        <v>46.947040000000008</v>
      </c>
      <c r="G595" s="100">
        <v>32.998556998557007</v>
      </c>
      <c r="H595" s="100">
        <v>42</v>
      </c>
      <c r="I595" s="101">
        <v>32</v>
      </c>
      <c r="J595" s="100">
        <v>7</v>
      </c>
      <c r="K595" s="100">
        <v>284</v>
      </c>
      <c r="L595" s="100"/>
      <c r="M595" s="100">
        <v>32</v>
      </c>
      <c r="N595" s="100"/>
      <c r="O595" s="100">
        <v>1</v>
      </c>
      <c r="P595" s="100">
        <v>2</v>
      </c>
      <c r="Q595" s="102">
        <v>15.021000000000001</v>
      </c>
      <c r="R595" s="100">
        <v>43</v>
      </c>
      <c r="S595" s="100">
        <v>46</v>
      </c>
      <c r="T595" s="100">
        <v>3</v>
      </c>
      <c r="U595" s="100">
        <v>12</v>
      </c>
      <c r="V595" s="666">
        <v>73.424107142857139</v>
      </c>
      <c r="W595" s="100"/>
      <c r="X595" s="97">
        <f t="shared" si="9"/>
        <v>12</v>
      </c>
      <c r="Y595" s="97"/>
      <c r="AC595" s="100">
        <v>12477.52247752248</v>
      </c>
    </row>
    <row r="596" spans="1:29" ht="15.95" customHeight="1" x14ac:dyDescent="0.2">
      <c r="A596" s="665"/>
      <c r="B596" s="43"/>
      <c r="C596" s="149" t="s">
        <v>413</v>
      </c>
      <c r="D596" s="303">
        <v>206</v>
      </c>
      <c r="E596" s="100">
        <v>11</v>
      </c>
      <c r="F596" s="101">
        <v>46.947040000000008</v>
      </c>
      <c r="G596" s="100">
        <v>32.998556998557007</v>
      </c>
      <c r="H596" s="100">
        <v>1</v>
      </c>
      <c r="I596" s="101">
        <v>32</v>
      </c>
      <c r="J596" s="100">
        <v>7</v>
      </c>
      <c r="K596" s="100">
        <v>284</v>
      </c>
      <c r="L596" s="100"/>
      <c r="M596" s="100">
        <v>32</v>
      </c>
      <c r="N596" s="100">
        <v>104</v>
      </c>
      <c r="O596" s="100">
        <v>0</v>
      </c>
      <c r="P596" s="100">
        <v>0</v>
      </c>
      <c r="Q596" s="271"/>
      <c r="R596" s="100">
        <v>43</v>
      </c>
      <c r="S596" s="100">
        <v>6</v>
      </c>
      <c r="T596" s="100">
        <v>3</v>
      </c>
      <c r="U596" s="100">
        <v>3</v>
      </c>
      <c r="V596" s="666">
        <v>0</v>
      </c>
      <c r="W596" s="97"/>
      <c r="X596" s="97">
        <f>+ROUNDDOWN(AC596/1000,0)</f>
        <v>3</v>
      </c>
      <c r="Y596" s="97"/>
      <c r="AC596" s="100">
        <v>3691.7782217782219</v>
      </c>
    </row>
    <row r="597" spans="1:29" ht="15.95" customHeight="1" thickBot="1" x14ac:dyDescent="0.25">
      <c r="A597" s="669"/>
      <c r="B597" s="45"/>
      <c r="C597" s="151" t="s">
        <v>414</v>
      </c>
      <c r="D597" s="305">
        <v>275</v>
      </c>
      <c r="E597" s="105">
        <v>0</v>
      </c>
      <c r="F597" s="106">
        <v>0</v>
      </c>
      <c r="G597" s="105">
        <v>50.792207792207797</v>
      </c>
      <c r="H597" s="105">
        <v>0</v>
      </c>
      <c r="I597" s="106"/>
      <c r="J597" s="105">
        <v>0</v>
      </c>
      <c r="K597" s="105"/>
      <c r="L597" s="105"/>
      <c r="M597" s="105">
        <v>0</v>
      </c>
      <c r="N597" s="105"/>
      <c r="O597" s="105">
        <v>0</v>
      </c>
      <c r="P597" s="105">
        <v>0</v>
      </c>
      <c r="Q597" s="273">
        <v>0.216</v>
      </c>
      <c r="R597" s="105">
        <v>11</v>
      </c>
      <c r="S597" s="105">
        <v>0</v>
      </c>
      <c r="T597" s="105">
        <v>0</v>
      </c>
      <c r="U597" s="105">
        <v>0</v>
      </c>
      <c r="V597" s="670">
        <v>0</v>
      </c>
      <c r="W597" s="97"/>
      <c r="X597" s="97">
        <f t="shared" si="9"/>
        <v>0</v>
      </c>
      <c r="Y597" s="97">
        <f>+IF((AC597-ROUND(AC597,-3)&gt;400)*AND(AC597-ROUND(AC597,-3)&lt;500),1,0)</f>
        <v>0</v>
      </c>
      <c r="AC597" s="105">
        <v>0</v>
      </c>
    </row>
    <row r="598" spans="1:29" ht="15.95" customHeight="1" thickTop="1" x14ac:dyDescent="0.2">
      <c r="A598" s="665" t="s">
        <v>190</v>
      </c>
      <c r="B598" s="42">
        <v>2008</v>
      </c>
      <c r="C598" s="148" t="s">
        <v>289</v>
      </c>
      <c r="D598" s="303">
        <v>18</v>
      </c>
      <c r="E598" s="100">
        <v>1</v>
      </c>
      <c r="F598" s="101">
        <v>4.6946972000000002</v>
      </c>
      <c r="G598" s="100"/>
      <c r="H598" s="100">
        <v>37</v>
      </c>
      <c r="I598" s="101">
        <v>3</v>
      </c>
      <c r="J598" s="100">
        <v>8</v>
      </c>
      <c r="K598" s="100">
        <v>35</v>
      </c>
      <c r="L598" s="100"/>
      <c r="M598" s="100">
        <v>3</v>
      </c>
      <c r="N598" s="100"/>
      <c r="O598" s="100">
        <v>0</v>
      </c>
      <c r="P598" s="100">
        <v>0</v>
      </c>
      <c r="Q598" s="271"/>
      <c r="R598" s="100"/>
      <c r="S598" s="100">
        <v>5</v>
      </c>
      <c r="T598" s="100"/>
      <c r="U598" s="100">
        <v>11</v>
      </c>
      <c r="V598" s="666"/>
      <c r="W598" s="97"/>
      <c r="X598" s="97">
        <f t="shared" si="9"/>
        <v>11</v>
      </c>
      <c r="Y598" s="97"/>
      <c r="AC598" s="100">
        <v>11385.597082953509</v>
      </c>
    </row>
    <row r="599" spans="1:29" ht="15.95" customHeight="1" x14ac:dyDescent="0.2">
      <c r="A599" s="665"/>
      <c r="B599" s="43"/>
      <c r="C599" s="149" t="s">
        <v>290</v>
      </c>
      <c r="D599" s="303"/>
      <c r="E599" s="100">
        <v>0</v>
      </c>
      <c r="F599" s="101">
        <v>4.6946972000000002</v>
      </c>
      <c r="G599" s="100"/>
      <c r="H599" s="100">
        <v>0</v>
      </c>
      <c r="I599" s="101">
        <v>3</v>
      </c>
      <c r="J599" s="100">
        <v>0</v>
      </c>
      <c r="K599" s="100">
        <v>35</v>
      </c>
      <c r="L599" s="100"/>
      <c r="M599" s="100">
        <v>0</v>
      </c>
      <c r="N599" s="100"/>
      <c r="O599" s="100">
        <v>0</v>
      </c>
      <c r="P599" s="100">
        <v>0</v>
      </c>
      <c r="Q599" s="271"/>
      <c r="R599" s="100"/>
      <c r="S599" s="100">
        <v>1</v>
      </c>
      <c r="T599" s="100"/>
      <c r="U599" s="100">
        <v>11</v>
      </c>
      <c r="V599" s="666"/>
      <c r="W599" s="97"/>
      <c r="X599" s="97">
        <f t="shared" si="9"/>
        <v>11</v>
      </c>
      <c r="Y599" s="97"/>
      <c r="AC599" s="100">
        <v>11385.597082953509</v>
      </c>
    </row>
    <row r="600" spans="1:29" ht="15.95" customHeight="1" x14ac:dyDescent="0.2">
      <c r="A600" s="667"/>
      <c r="B600" s="44"/>
      <c r="C600" s="150" t="s">
        <v>291</v>
      </c>
      <c r="D600" s="304"/>
      <c r="E600" s="103">
        <v>0</v>
      </c>
      <c r="F600" s="104">
        <v>0</v>
      </c>
      <c r="G600" s="103"/>
      <c r="H600" s="103">
        <v>32</v>
      </c>
      <c r="I600" s="104">
        <v>3</v>
      </c>
      <c r="J600" s="103">
        <v>0</v>
      </c>
      <c r="K600" s="103"/>
      <c r="L600" s="103"/>
      <c r="M600" s="103">
        <v>1</v>
      </c>
      <c r="N600" s="103"/>
      <c r="O600" s="103">
        <v>0</v>
      </c>
      <c r="P600" s="103">
        <v>1</v>
      </c>
      <c r="Q600" s="272"/>
      <c r="R600" s="103"/>
      <c r="S600" s="103">
        <v>0</v>
      </c>
      <c r="T600" s="103"/>
      <c r="U600" s="103">
        <v>0</v>
      </c>
      <c r="V600" s="668"/>
      <c r="W600" s="97"/>
      <c r="X600" s="97">
        <f t="shared" si="9"/>
        <v>0</v>
      </c>
      <c r="Y600" s="97"/>
      <c r="AC600" s="103">
        <v>0</v>
      </c>
    </row>
    <row r="601" spans="1:29" ht="15.95" customHeight="1" x14ac:dyDescent="0.2">
      <c r="A601" s="665"/>
      <c r="B601" s="42">
        <v>2009</v>
      </c>
      <c r="C601" s="149" t="s">
        <v>412</v>
      </c>
      <c r="D601" s="303">
        <v>24</v>
      </c>
      <c r="E601" s="100">
        <v>1</v>
      </c>
      <c r="F601" s="101">
        <v>4.6946972000000002</v>
      </c>
      <c r="G601" s="100"/>
      <c r="H601" s="100">
        <v>42</v>
      </c>
      <c r="I601" s="101">
        <v>3</v>
      </c>
      <c r="J601" s="100">
        <v>14</v>
      </c>
      <c r="K601" s="100">
        <v>35</v>
      </c>
      <c r="L601" s="100"/>
      <c r="M601" s="100">
        <v>3</v>
      </c>
      <c r="N601" s="100"/>
      <c r="O601" s="100">
        <v>0</v>
      </c>
      <c r="P601" s="100">
        <v>0</v>
      </c>
      <c r="Q601" s="271"/>
      <c r="R601" s="100"/>
      <c r="S601" s="100">
        <v>5</v>
      </c>
      <c r="T601" s="100"/>
      <c r="U601" s="100">
        <v>12</v>
      </c>
      <c r="V601" s="666"/>
      <c r="W601" s="100"/>
      <c r="X601" s="97">
        <f t="shared" si="9"/>
        <v>12</v>
      </c>
      <c r="Y601" s="97"/>
      <c r="AC601" s="100">
        <v>12477.52247752248</v>
      </c>
    </row>
    <row r="602" spans="1:29" ht="15.95" customHeight="1" x14ac:dyDescent="0.2">
      <c r="A602" s="665"/>
      <c r="B602" s="43"/>
      <c r="C602" s="149" t="s">
        <v>413</v>
      </c>
      <c r="D602" s="303"/>
      <c r="E602" s="100">
        <v>0</v>
      </c>
      <c r="F602" s="101">
        <v>4.6946972000000002</v>
      </c>
      <c r="G602" s="100"/>
      <c r="H602" s="100">
        <v>0</v>
      </c>
      <c r="I602" s="101">
        <v>1</v>
      </c>
      <c r="J602" s="100">
        <v>14</v>
      </c>
      <c r="K602" s="100">
        <v>35</v>
      </c>
      <c r="L602" s="100"/>
      <c r="M602" s="100">
        <v>3</v>
      </c>
      <c r="N602" s="100"/>
      <c r="O602" s="100">
        <v>0</v>
      </c>
      <c r="P602" s="100">
        <v>0</v>
      </c>
      <c r="Q602" s="271"/>
      <c r="R602" s="100"/>
      <c r="S602" s="100">
        <v>0</v>
      </c>
      <c r="T602" s="100"/>
      <c r="U602" s="100">
        <v>11</v>
      </c>
      <c r="V602" s="666"/>
      <c r="W602" s="97"/>
      <c r="X602" s="97">
        <f>+ROUNDDOWN(AC602/1000-0.5,0)</f>
        <v>11</v>
      </c>
      <c r="Y602" s="97"/>
      <c r="AC602" s="100">
        <v>12297.162837162838</v>
      </c>
    </row>
    <row r="603" spans="1:29" ht="15.95" customHeight="1" thickBot="1" x14ac:dyDescent="0.25">
      <c r="A603" s="669"/>
      <c r="B603" s="45"/>
      <c r="C603" s="151" t="s">
        <v>414</v>
      </c>
      <c r="D603" s="305"/>
      <c r="E603" s="105">
        <v>0</v>
      </c>
      <c r="F603" s="106">
        <v>0</v>
      </c>
      <c r="G603" s="105"/>
      <c r="H603" s="105">
        <v>35</v>
      </c>
      <c r="I603" s="106"/>
      <c r="J603" s="105">
        <v>7</v>
      </c>
      <c r="K603" s="105"/>
      <c r="L603" s="105"/>
      <c r="M603" s="105">
        <v>3</v>
      </c>
      <c r="N603" s="105"/>
      <c r="O603" s="105">
        <v>0</v>
      </c>
      <c r="P603" s="105">
        <v>0</v>
      </c>
      <c r="Q603" s="273"/>
      <c r="R603" s="105"/>
      <c r="S603" s="105">
        <v>0</v>
      </c>
      <c r="T603" s="105"/>
      <c r="U603" s="105">
        <v>0</v>
      </c>
      <c r="V603" s="670"/>
      <c r="W603" s="97"/>
      <c r="X603" s="97">
        <f t="shared" si="9"/>
        <v>0</v>
      </c>
      <c r="Y603" s="97">
        <f>+IF((AC603-ROUND(AC603,-3)&gt;400)*AND(AC603-ROUND(AC603,-3)&lt;500),1,0)</f>
        <v>0</v>
      </c>
      <c r="AC603" s="105">
        <v>0</v>
      </c>
    </row>
    <row r="604" spans="1:29" ht="15.95" customHeight="1" thickTop="1" x14ac:dyDescent="0.2">
      <c r="A604" s="665" t="s">
        <v>191</v>
      </c>
      <c r="B604" s="42">
        <v>2008</v>
      </c>
      <c r="C604" s="148" t="s">
        <v>289</v>
      </c>
      <c r="D604" s="303">
        <v>3329</v>
      </c>
      <c r="E604" s="100">
        <v>227</v>
      </c>
      <c r="F604" s="101">
        <v>859.13083879999999</v>
      </c>
      <c r="G604" s="100">
        <v>694.25608011444922</v>
      </c>
      <c r="H604" s="100">
        <v>116</v>
      </c>
      <c r="I604" s="101">
        <v>584</v>
      </c>
      <c r="J604" s="100">
        <v>136</v>
      </c>
      <c r="K604" s="100">
        <v>852</v>
      </c>
      <c r="L604" s="100"/>
      <c r="M604" s="100">
        <v>574</v>
      </c>
      <c r="N604" s="100"/>
      <c r="O604" s="100">
        <v>21</v>
      </c>
      <c r="P604" s="100">
        <v>28</v>
      </c>
      <c r="Q604" s="271">
        <v>286.38099999999997</v>
      </c>
      <c r="R604" s="100">
        <v>190</v>
      </c>
      <c r="S604" s="100">
        <v>845</v>
      </c>
      <c r="T604" s="100">
        <v>11</v>
      </c>
      <c r="U604" s="100">
        <v>103</v>
      </c>
      <c r="V604" s="666">
        <v>376.44910714285709</v>
      </c>
      <c r="W604" s="97"/>
      <c r="X604" s="97">
        <f>+ROUNDUP(AC604/1000,0)</f>
        <v>103</v>
      </c>
      <c r="Y604" s="97"/>
      <c r="AC604" s="100">
        <v>102470.37374658159</v>
      </c>
    </row>
    <row r="605" spans="1:29" ht="15.95" customHeight="1" x14ac:dyDescent="0.2">
      <c r="A605" s="665"/>
      <c r="B605" s="43"/>
      <c r="C605" s="149" t="s">
        <v>290</v>
      </c>
      <c r="D605" s="303">
        <v>3329</v>
      </c>
      <c r="E605" s="100">
        <v>227</v>
      </c>
      <c r="F605" s="101">
        <v>859.13083879999999</v>
      </c>
      <c r="G605" s="100">
        <v>683.06866952789699</v>
      </c>
      <c r="H605" s="100">
        <v>115</v>
      </c>
      <c r="I605" s="101">
        <f>584-583</f>
        <v>1</v>
      </c>
      <c r="J605" s="100">
        <v>136</v>
      </c>
      <c r="K605" s="100">
        <v>852</v>
      </c>
      <c r="L605" s="100"/>
      <c r="M605" s="100">
        <v>574</v>
      </c>
      <c r="N605" s="100"/>
      <c r="O605" s="100">
        <v>0</v>
      </c>
      <c r="P605" s="100">
        <v>28</v>
      </c>
      <c r="Q605" s="271">
        <v>286.38099999999997</v>
      </c>
      <c r="R605" s="100">
        <v>190</v>
      </c>
      <c r="S605" s="100">
        <v>845</v>
      </c>
      <c r="T605" s="100">
        <v>11</v>
      </c>
      <c r="U605" s="100">
        <v>103</v>
      </c>
      <c r="V605" s="666">
        <v>0</v>
      </c>
      <c r="W605" s="97"/>
      <c r="X605" s="97">
        <f>+ROUNDUP(AC605/1000,0)</f>
        <v>103</v>
      </c>
      <c r="Y605" s="97"/>
      <c r="AC605" s="100">
        <v>102470.37374658159</v>
      </c>
    </row>
    <row r="606" spans="1:29" ht="15.95" customHeight="1" x14ac:dyDescent="0.2">
      <c r="A606" s="667"/>
      <c r="B606" s="44"/>
      <c r="C606" s="150" t="s">
        <v>291</v>
      </c>
      <c r="D606" s="304"/>
      <c r="E606" s="103">
        <v>0</v>
      </c>
      <c r="F606" s="104">
        <v>0</v>
      </c>
      <c r="G606" s="103">
        <v>0</v>
      </c>
      <c r="H606" s="103">
        <v>0</v>
      </c>
      <c r="I606" s="104"/>
      <c r="J606" s="103">
        <v>0</v>
      </c>
      <c r="K606" s="103"/>
      <c r="L606" s="103"/>
      <c r="M606" s="103">
        <v>0</v>
      </c>
      <c r="N606" s="103"/>
      <c r="O606" s="103">
        <v>48</v>
      </c>
      <c r="P606" s="103">
        <v>28</v>
      </c>
      <c r="Q606" s="272">
        <v>254.94</v>
      </c>
      <c r="R606" s="103">
        <v>0</v>
      </c>
      <c r="S606" s="103">
        <v>0</v>
      </c>
      <c r="T606" s="103">
        <v>0</v>
      </c>
      <c r="U606" s="103">
        <v>0</v>
      </c>
      <c r="V606" s="668">
        <v>0</v>
      </c>
      <c r="W606" s="97"/>
      <c r="X606" s="97">
        <f t="shared" si="9"/>
        <v>0</v>
      </c>
      <c r="Y606" s="97"/>
      <c r="AC606" s="103">
        <v>0</v>
      </c>
    </row>
    <row r="607" spans="1:29" ht="15.95" customHeight="1" x14ac:dyDescent="0.2">
      <c r="A607" s="665"/>
      <c r="B607" s="42">
        <v>2009</v>
      </c>
      <c r="C607" s="149" t="s">
        <v>412</v>
      </c>
      <c r="D607" s="303">
        <v>4434</v>
      </c>
      <c r="E607" s="100">
        <v>213</v>
      </c>
      <c r="F607" s="101">
        <v>859.13083879999999</v>
      </c>
      <c r="G607" s="100">
        <v>732.46320346320351</v>
      </c>
      <c r="H607" s="100">
        <v>128</v>
      </c>
      <c r="I607" s="101">
        <v>584</v>
      </c>
      <c r="J607" s="100">
        <v>122</v>
      </c>
      <c r="K607" s="100">
        <v>852</v>
      </c>
      <c r="L607" s="100"/>
      <c r="M607" s="100">
        <v>574</v>
      </c>
      <c r="N607" s="100"/>
      <c r="O607" s="100">
        <v>21</v>
      </c>
      <c r="P607" s="100">
        <v>28</v>
      </c>
      <c r="Q607" s="102">
        <v>271.44400000000002</v>
      </c>
      <c r="R607" s="100">
        <v>206</v>
      </c>
      <c r="S607" s="100">
        <v>845</v>
      </c>
      <c r="T607" s="100">
        <v>11</v>
      </c>
      <c r="U607" s="100">
        <v>113</v>
      </c>
      <c r="V607" s="666">
        <v>424.15982142857143</v>
      </c>
      <c r="W607" s="100"/>
      <c r="X607" s="97">
        <f>+ROUNDUP(AC607/1000,0)</f>
        <v>113</v>
      </c>
      <c r="Y607" s="97"/>
      <c r="AC607" s="100">
        <v>112297.70229770232</v>
      </c>
    </row>
    <row r="608" spans="1:29" ht="15.95" customHeight="1" x14ac:dyDescent="0.2">
      <c r="A608" s="665"/>
      <c r="B608" s="43"/>
      <c r="C608" s="149" t="s">
        <v>413</v>
      </c>
      <c r="D608" s="303">
        <v>4434</v>
      </c>
      <c r="E608" s="100">
        <v>213</v>
      </c>
      <c r="F608" s="101">
        <v>859.13083879999999</v>
      </c>
      <c r="G608" s="100">
        <v>732.46320346320351</v>
      </c>
      <c r="H608" s="100">
        <v>128</v>
      </c>
      <c r="I608" s="101">
        <v>584</v>
      </c>
      <c r="J608" s="100">
        <v>122</v>
      </c>
      <c r="K608" s="100">
        <v>852</v>
      </c>
      <c r="L608" s="100"/>
      <c r="M608" s="100">
        <v>574</v>
      </c>
      <c r="N608" s="100"/>
      <c r="O608" s="100">
        <v>0</v>
      </c>
      <c r="P608" s="100">
        <v>28</v>
      </c>
      <c r="Q608" s="102">
        <v>271.44400000000002</v>
      </c>
      <c r="R608" s="100">
        <v>206</v>
      </c>
      <c r="S608" s="100">
        <v>845</v>
      </c>
      <c r="T608" s="100">
        <v>11</v>
      </c>
      <c r="U608" s="100">
        <v>113</v>
      </c>
      <c r="V608" s="666">
        <v>424</v>
      </c>
      <c r="W608" s="97"/>
      <c r="X608" s="97">
        <f>+ROUNDUP(AC608/1000,0)</f>
        <v>113</v>
      </c>
      <c r="Y608" s="97"/>
      <c r="AC608" s="100">
        <v>112297.70229770232</v>
      </c>
    </row>
    <row r="609" spans="1:29" ht="15.95" customHeight="1" thickBot="1" x14ac:dyDescent="0.25">
      <c r="A609" s="669"/>
      <c r="B609" s="45"/>
      <c r="C609" s="151" t="s">
        <v>414</v>
      </c>
      <c r="D609" s="305"/>
      <c r="E609" s="105">
        <v>0</v>
      </c>
      <c r="F609" s="106">
        <v>0</v>
      </c>
      <c r="G609" s="105">
        <v>0</v>
      </c>
      <c r="H609" s="105">
        <v>1</v>
      </c>
      <c r="I609" s="106">
        <v>583</v>
      </c>
      <c r="J609" s="105">
        <v>0</v>
      </c>
      <c r="K609" s="105"/>
      <c r="L609" s="105"/>
      <c r="M609" s="105">
        <v>0</v>
      </c>
      <c r="N609" s="105"/>
      <c r="O609" s="105">
        <v>21</v>
      </c>
      <c r="P609" s="105">
        <v>0</v>
      </c>
      <c r="Q609" s="273"/>
      <c r="R609" s="105">
        <v>0</v>
      </c>
      <c r="S609" s="105">
        <v>0</v>
      </c>
      <c r="T609" s="105">
        <v>0</v>
      </c>
      <c r="U609" s="105">
        <v>0</v>
      </c>
      <c r="V609" s="670">
        <v>376</v>
      </c>
      <c r="W609" s="97"/>
      <c r="X609" s="97">
        <f t="shared" si="9"/>
        <v>0</v>
      </c>
      <c r="Y609" s="97">
        <f>+IF((AC609-ROUND(AC609,-3)&gt;400)*AND(AC609-ROUND(AC609,-3)&lt;500),1,0)</f>
        <v>0</v>
      </c>
      <c r="AC609" s="105">
        <v>0</v>
      </c>
    </row>
    <row r="610" spans="1:29" ht="15.95" customHeight="1" thickTop="1" x14ac:dyDescent="0.2">
      <c r="A610" s="665" t="s">
        <v>304</v>
      </c>
      <c r="B610" s="42">
        <v>2008</v>
      </c>
      <c r="C610" s="148" t="s">
        <v>289</v>
      </c>
      <c r="D610" s="303">
        <v>18</v>
      </c>
      <c r="E610" s="100">
        <v>1</v>
      </c>
      <c r="F610" s="101">
        <v>4.6946972000000002</v>
      </c>
      <c r="G610" s="100">
        <v>3.1602288984263236</v>
      </c>
      <c r="H610" s="100">
        <v>37</v>
      </c>
      <c r="I610" s="101">
        <v>3</v>
      </c>
      <c r="J610" s="100"/>
      <c r="K610" s="100">
        <v>35</v>
      </c>
      <c r="L610" s="100"/>
      <c r="M610" s="100">
        <v>3</v>
      </c>
      <c r="N610" s="100"/>
      <c r="O610" s="100">
        <v>0</v>
      </c>
      <c r="P610" s="100">
        <v>0</v>
      </c>
      <c r="Q610" s="271">
        <v>1.1319999999999999</v>
      </c>
      <c r="R610" s="100">
        <v>35</v>
      </c>
      <c r="S610" s="100">
        <v>5</v>
      </c>
      <c r="T610" s="100">
        <v>11</v>
      </c>
      <c r="U610" s="100">
        <v>11</v>
      </c>
      <c r="V610" s="666">
        <v>23.75</v>
      </c>
      <c r="W610" s="97"/>
      <c r="X610" s="97">
        <f t="shared" si="9"/>
        <v>11</v>
      </c>
      <c r="Y610" s="97"/>
      <c r="AC610" s="100">
        <v>11385.597082953509</v>
      </c>
    </row>
    <row r="611" spans="1:29" ht="15.95" customHeight="1" x14ac:dyDescent="0.2">
      <c r="A611" s="665"/>
      <c r="B611" s="43"/>
      <c r="C611" s="149" t="s">
        <v>290</v>
      </c>
      <c r="D611" s="303"/>
      <c r="E611" s="100">
        <v>0</v>
      </c>
      <c r="F611" s="101">
        <v>0</v>
      </c>
      <c r="G611" s="100">
        <v>0</v>
      </c>
      <c r="H611" s="100">
        <v>0</v>
      </c>
      <c r="I611" s="101"/>
      <c r="J611" s="100"/>
      <c r="K611" s="100">
        <v>35</v>
      </c>
      <c r="L611" s="100"/>
      <c r="M611" s="100">
        <v>3</v>
      </c>
      <c r="N611" s="100"/>
      <c r="O611" s="100">
        <v>0</v>
      </c>
      <c r="P611" s="100">
        <v>0</v>
      </c>
      <c r="Q611" s="271"/>
      <c r="R611" s="100">
        <v>0</v>
      </c>
      <c r="S611" s="100">
        <v>5</v>
      </c>
      <c r="T611" s="100">
        <v>11</v>
      </c>
      <c r="U611" s="100">
        <v>0</v>
      </c>
      <c r="V611" s="666">
        <v>24.107142857142854</v>
      </c>
      <c r="W611" s="97"/>
      <c r="X611" s="97">
        <f t="shared" si="9"/>
        <v>0</v>
      </c>
      <c r="Y611" s="97"/>
      <c r="AC611" s="100">
        <v>0</v>
      </c>
    </row>
    <row r="612" spans="1:29" ht="15.95" customHeight="1" x14ac:dyDescent="0.2">
      <c r="A612" s="667"/>
      <c r="B612" s="44"/>
      <c r="C612" s="150" t="s">
        <v>291</v>
      </c>
      <c r="D612" s="304"/>
      <c r="E612" s="103">
        <v>0</v>
      </c>
      <c r="F612" s="104">
        <v>0</v>
      </c>
      <c r="G612" s="103">
        <v>0</v>
      </c>
      <c r="H612" s="103">
        <v>0</v>
      </c>
      <c r="I612" s="104"/>
      <c r="J612" s="103"/>
      <c r="K612" s="103"/>
      <c r="L612" s="103"/>
      <c r="M612" s="103">
        <v>5</v>
      </c>
      <c r="N612" s="103"/>
      <c r="O612" s="103">
        <v>0</v>
      </c>
      <c r="P612" s="103">
        <v>1</v>
      </c>
      <c r="Q612" s="272"/>
      <c r="R612" s="103">
        <v>0</v>
      </c>
      <c r="S612" s="103">
        <v>9</v>
      </c>
      <c r="T612" s="103">
        <v>0</v>
      </c>
      <c r="U612" s="103">
        <v>0</v>
      </c>
      <c r="V612" s="668">
        <v>0</v>
      </c>
      <c r="W612" s="97"/>
      <c r="X612" s="97">
        <f t="shared" si="9"/>
        <v>0</v>
      </c>
      <c r="Y612" s="97"/>
      <c r="AC612" s="103">
        <v>0</v>
      </c>
    </row>
    <row r="613" spans="1:29" ht="15.95" customHeight="1" x14ac:dyDescent="0.2">
      <c r="A613" s="665"/>
      <c r="B613" s="42">
        <v>2009</v>
      </c>
      <c r="C613" s="149" t="s">
        <v>412</v>
      </c>
      <c r="D613" s="303">
        <v>24</v>
      </c>
      <c r="E613" s="100">
        <v>1</v>
      </c>
      <c r="F613" s="101">
        <v>4.6946972000000002</v>
      </c>
      <c r="G613" s="100">
        <v>3.2828282828282833</v>
      </c>
      <c r="H613" s="100">
        <v>42</v>
      </c>
      <c r="I613" s="101">
        <v>3</v>
      </c>
      <c r="J613" s="100"/>
      <c r="K613" s="100">
        <v>35</v>
      </c>
      <c r="L613" s="100"/>
      <c r="M613" s="100">
        <v>3</v>
      </c>
      <c r="N613" s="100"/>
      <c r="O613" s="100">
        <v>0</v>
      </c>
      <c r="P613" s="100">
        <v>0</v>
      </c>
      <c r="Q613" s="102">
        <v>1.073</v>
      </c>
      <c r="R613" s="100">
        <v>36</v>
      </c>
      <c r="S613" s="100">
        <v>5</v>
      </c>
      <c r="T613" s="100">
        <v>11</v>
      </c>
      <c r="U613" s="100">
        <v>12</v>
      </c>
      <c r="V613" s="666">
        <v>25</v>
      </c>
      <c r="W613" s="100"/>
      <c r="X613" s="97">
        <f t="shared" si="9"/>
        <v>12</v>
      </c>
      <c r="Y613" s="97"/>
      <c r="AC613" s="100">
        <v>12477.52247752248</v>
      </c>
    </row>
    <row r="614" spans="1:29" ht="15.95" customHeight="1" x14ac:dyDescent="0.2">
      <c r="A614" s="665"/>
      <c r="B614" s="43"/>
      <c r="C614" s="149" t="s">
        <v>413</v>
      </c>
      <c r="D614" s="303">
        <v>24</v>
      </c>
      <c r="E614" s="100">
        <v>0</v>
      </c>
      <c r="F614" s="101">
        <v>4.4900715999999994</v>
      </c>
      <c r="G614" s="100">
        <v>0</v>
      </c>
      <c r="H614" s="100">
        <v>0</v>
      </c>
      <c r="I614" s="101"/>
      <c r="J614" s="100"/>
      <c r="K614" s="100">
        <v>31</v>
      </c>
      <c r="L614" s="100"/>
      <c r="M614" s="100">
        <v>0</v>
      </c>
      <c r="N614" s="100"/>
      <c r="O614" s="100">
        <v>0</v>
      </c>
      <c r="P614" s="100">
        <v>0</v>
      </c>
      <c r="Q614" s="271"/>
      <c r="R614" s="100">
        <v>30</v>
      </c>
      <c r="S614" s="100">
        <v>2</v>
      </c>
      <c r="T614" s="100">
        <v>11</v>
      </c>
      <c r="U614" s="100">
        <v>0</v>
      </c>
      <c r="V614" s="666">
        <v>24</v>
      </c>
      <c r="W614" s="97"/>
      <c r="X614" s="97">
        <f t="shared" si="9"/>
        <v>0</v>
      </c>
      <c r="Y614" s="97"/>
      <c r="AC614" s="100">
        <v>0</v>
      </c>
    </row>
    <row r="615" spans="1:29" ht="15.95" customHeight="1" thickBot="1" x14ac:dyDescent="0.25">
      <c r="A615" s="669"/>
      <c r="B615" s="45"/>
      <c r="C615" s="151" t="s">
        <v>414</v>
      </c>
      <c r="D615" s="305">
        <v>18</v>
      </c>
      <c r="E615" s="105">
        <v>0</v>
      </c>
      <c r="F615" s="106">
        <v>5.9504116000000007</v>
      </c>
      <c r="G615" s="105">
        <v>0</v>
      </c>
      <c r="H615" s="105">
        <v>75</v>
      </c>
      <c r="I615" s="106">
        <v>3</v>
      </c>
      <c r="J615" s="105"/>
      <c r="K615" s="105"/>
      <c r="L615" s="105"/>
      <c r="M615" s="105">
        <v>5</v>
      </c>
      <c r="N615" s="105"/>
      <c r="O615" s="105">
        <v>0</v>
      </c>
      <c r="P615" s="105">
        <v>0</v>
      </c>
      <c r="Q615" s="273">
        <v>0.88700000000000001</v>
      </c>
      <c r="R615" s="105">
        <v>0</v>
      </c>
      <c r="S615" s="105">
        <v>8</v>
      </c>
      <c r="T615" s="105">
        <v>0</v>
      </c>
      <c r="U615" s="105">
        <v>10</v>
      </c>
      <c r="V615" s="670">
        <v>0</v>
      </c>
      <c r="W615" s="97"/>
      <c r="X615" s="97">
        <f t="shared" si="9"/>
        <v>10</v>
      </c>
      <c r="Y615" s="97">
        <f>+IF((AC615-ROUND(AC615,-3)&gt;400)*AND(AC615-ROUND(AC615,-3)&lt;500),1,0)</f>
        <v>0</v>
      </c>
      <c r="AC615" s="105">
        <v>10237.242757242759</v>
      </c>
    </row>
    <row r="616" spans="1:29" ht="15.95" customHeight="1" thickTop="1" x14ac:dyDescent="0.2">
      <c r="A616" s="665" t="s">
        <v>77</v>
      </c>
      <c r="B616" s="42">
        <v>2008</v>
      </c>
      <c r="C616" s="148" t="s">
        <v>289</v>
      </c>
      <c r="D616" s="303">
        <v>18</v>
      </c>
      <c r="E616" s="100">
        <v>1</v>
      </c>
      <c r="F616" s="101">
        <v>4.6946972000000002</v>
      </c>
      <c r="G616" s="100"/>
      <c r="H616" s="100">
        <v>37</v>
      </c>
      <c r="I616" s="101">
        <v>3</v>
      </c>
      <c r="J616" s="100"/>
      <c r="K616" s="100">
        <v>18</v>
      </c>
      <c r="L616" s="100"/>
      <c r="M616" s="100">
        <v>3</v>
      </c>
      <c r="N616" s="100"/>
      <c r="O616" s="100">
        <v>0</v>
      </c>
      <c r="P616" s="100">
        <v>0</v>
      </c>
      <c r="Q616" s="271">
        <v>1.1319999999999999</v>
      </c>
      <c r="R616" s="100">
        <v>35</v>
      </c>
      <c r="S616" s="100">
        <v>2</v>
      </c>
      <c r="T616" s="100">
        <v>1</v>
      </c>
      <c r="U616" s="100">
        <v>11</v>
      </c>
      <c r="V616" s="666"/>
      <c r="W616" s="97"/>
      <c r="X616" s="97">
        <f t="shared" si="9"/>
        <v>11</v>
      </c>
      <c r="Y616" s="97"/>
      <c r="AC616" s="100">
        <v>11385.597082953509</v>
      </c>
    </row>
    <row r="617" spans="1:29" ht="15.95" customHeight="1" x14ac:dyDescent="0.2">
      <c r="A617" s="665" t="s">
        <v>78</v>
      </c>
      <c r="B617" s="43"/>
      <c r="C617" s="149" t="s">
        <v>290</v>
      </c>
      <c r="D617" s="303"/>
      <c r="E617" s="100">
        <v>1</v>
      </c>
      <c r="F617" s="101">
        <v>4.6946972000000002</v>
      </c>
      <c r="G617" s="100"/>
      <c r="H617" s="100">
        <v>37</v>
      </c>
      <c r="I617" s="101">
        <v>3</v>
      </c>
      <c r="J617" s="100"/>
      <c r="K617" s="100">
        <v>18</v>
      </c>
      <c r="L617" s="100"/>
      <c r="M617" s="100">
        <v>3</v>
      </c>
      <c r="N617" s="100"/>
      <c r="O617" s="100">
        <v>0</v>
      </c>
      <c r="P617" s="100">
        <v>0</v>
      </c>
      <c r="Q617" s="271">
        <v>0.40300000000000002</v>
      </c>
      <c r="R617" s="100">
        <v>35</v>
      </c>
      <c r="S617" s="100">
        <v>2</v>
      </c>
      <c r="T617" s="100">
        <v>0</v>
      </c>
      <c r="U617" s="100">
        <v>11</v>
      </c>
      <c r="V617" s="666"/>
      <c r="W617" s="97"/>
      <c r="X617" s="97">
        <f t="shared" si="9"/>
        <v>11</v>
      </c>
      <c r="Y617" s="97"/>
      <c r="AC617" s="100">
        <v>11385.597082953509</v>
      </c>
    </row>
    <row r="618" spans="1:29" ht="15.95" customHeight="1" x14ac:dyDescent="0.2">
      <c r="A618" s="667" t="s">
        <v>338</v>
      </c>
      <c r="B618" s="44"/>
      <c r="C618" s="150" t="s">
        <v>291</v>
      </c>
      <c r="D618" s="304"/>
      <c r="E618" s="103">
        <v>0</v>
      </c>
      <c r="F618" s="104">
        <v>0</v>
      </c>
      <c r="G618" s="103"/>
      <c r="H618" s="103">
        <v>0</v>
      </c>
      <c r="I618" s="104"/>
      <c r="J618" s="103"/>
      <c r="K618" s="103"/>
      <c r="L618" s="103"/>
      <c r="M618" s="103">
        <v>0</v>
      </c>
      <c r="N618" s="103"/>
      <c r="O618" s="103">
        <v>0</v>
      </c>
      <c r="P618" s="103">
        <v>0</v>
      </c>
      <c r="Q618" s="272"/>
      <c r="R618" s="103">
        <v>17</v>
      </c>
      <c r="S618" s="103">
        <v>0</v>
      </c>
      <c r="T618" s="103">
        <v>0</v>
      </c>
      <c r="U618" s="103">
        <v>0</v>
      </c>
      <c r="V618" s="668"/>
      <c r="W618" s="97"/>
      <c r="X618" s="97">
        <f t="shared" si="9"/>
        <v>0</v>
      </c>
      <c r="Y618" s="97"/>
      <c r="AC618" s="103">
        <v>0</v>
      </c>
    </row>
    <row r="619" spans="1:29" ht="15.95" customHeight="1" x14ac:dyDescent="0.2">
      <c r="A619" s="665"/>
      <c r="B619" s="42">
        <v>2009</v>
      </c>
      <c r="C619" s="149" t="s">
        <v>412</v>
      </c>
      <c r="D619" s="303">
        <v>24</v>
      </c>
      <c r="E619" s="100">
        <v>1</v>
      </c>
      <c r="F619" s="101">
        <v>4.6946972000000002</v>
      </c>
      <c r="G619" s="100"/>
      <c r="H619" s="100">
        <v>42</v>
      </c>
      <c r="I619" s="101">
        <v>3</v>
      </c>
      <c r="J619" s="100"/>
      <c r="K619" s="100">
        <v>18</v>
      </c>
      <c r="L619" s="100"/>
      <c r="M619" s="100">
        <v>3</v>
      </c>
      <c r="N619" s="100"/>
      <c r="O619" s="100">
        <v>0</v>
      </c>
      <c r="P619" s="100">
        <v>0</v>
      </c>
      <c r="Q619" s="102">
        <v>1.073</v>
      </c>
      <c r="R619" s="100">
        <v>36</v>
      </c>
      <c r="S619" s="100">
        <v>2</v>
      </c>
      <c r="T619" s="100">
        <v>1</v>
      </c>
      <c r="U619" s="100">
        <v>12</v>
      </c>
      <c r="V619" s="666"/>
      <c r="W619" s="100"/>
      <c r="X619" s="97">
        <f t="shared" si="9"/>
        <v>12</v>
      </c>
      <c r="Y619" s="97"/>
      <c r="AC619" s="100">
        <v>12477.52247752248</v>
      </c>
    </row>
    <row r="620" spans="1:29" ht="15.95" customHeight="1" x14ac:dyDescent="0.2">
      <c r="A620" s="665"/>
      <c r="B620" s="43"/>
      <c r="C620" s="149" t="s">
        <v>413</v>
      </c>
      <c r="D620" s="303">
        <v>24</v>
      </c>
      <c r="E620" s="100">
        <v>0</v>
      </c>
      <c r="F620" s="101">
        <v>4.6946972000000002</v>
      </c>
      <c r="G620" s="100"/>
      <c r="H620" s="100">
        <v>42</v>
      </c>
      <c r="I620" s="101"/>
      <c r="J620" s="100"/>
      <c r="K620" s="100">
        <v>18</v>
      </c>
      <c r="L620" s="100"/>
      <c r="M620" s="100">
        <v>3</v>
      </c>
      <c r="N620" s="100"/>
      <c r="O620" s="100">
        <v>0</v>
      </c>
      <c r="P620" s="100">
        <v>0</v>
      </c>
      <c r="Q620" s="102">
        <v>1.073</v>
      </c>
      <c r="R620" s="100">
        <v>36</v>
      </c>
      <c r="S620" s="100">
        <v>2</v>
      </c>
      <c r="T620" s="100">
        <v>1</v>
      </c>
      <c r="U620" s="100">
        <v>12</v>
      </c>
      <c r="V620" s="666"/>
      <c r="W620" s="97"/>
      <c r="X620" s="97">
        <f t="shared" si="9"/>
        <v>12</v>
      </c>
      <c r="Y620" s="97"/>
      <c r="AC620" s="100">
        <v>12458.311688311691</v>
      </c>
    </row>
    <row r="621" spans="1:29" ht="15.95" customHeight="1" thickBot="1" x14ac:dyDescent="0.25">
      <c r="A621" s="669"/>
      <c r="B621" s="45"/>
      <c r="C621" s="151" t="s">
        <v>414</v>
      </c>
      <c r="D621" s="305">
        <v>18</v>
      </c>
      <c r="E621" s="105">
        <v>0</v>
      </c>
      <c r="F621" s="106">
        <v>0</v>
      </c>
      <c r="G621" s="105"/>
      <c r="H621" s="105">
        <v>0</v>
      </c>
      <c r="I621" s="106"/>
      <c r="J621" s="105"/>
      <c r="K621" s="105"/>
      <c r="L621" s="105"/>
      <c r="M621" s="105">
        <v>0</v>
      </c>
      <c r="N621" s="105"/>
      <c r="O621" s="105">
        <v>0</v>
      </c>
      <c r="P621" s="105">
        <v>0</v>
      </c>
      <c r="Q621" s="273">
        <v>0.69099999999999995</v>
      </c>
      <c r="R621" s="105">
        <v>32</v>
      </c>
      <c r="S621" s="105">
        <v>0</v>
      </c>
      <c r="T621" s="105">
        <v>1</v>
      </c>
      <c r="U621" s="105">
        <v>0</v>
      </c>
      <c r="V621" s="670"/>
      <c r="W621" s="97"/>
      <c r="X621" s="97">
        <f t="shared" si="9"/>
        <v>0</v>
      </c>
      <c r="Y621" s="97">
        <f>+IF((AC621-ROUND(AC621,-3)&gt;400)*AND(AC621-ROUND(AC621,-3)&lt;500),1,0)</f>
        <v>0</v>
      </c>
      <c r="AC621" s="105">
        <v>0</v>
      </c>
    </row>
    <row r="622" spans="1:29" ht="15.95" customHeight="1" thickTop="1" x14ac:dyDescent="0.2">
      <c r="A622" s="665" t="s">
        <v>193</v>
      </c>
      <c r="B622" s="42">
        <v>2008</v>
      </c>
      <c r="C622" s="148" t="s">
        <v>289</v>
      </c>
      <c r="D622" s="303">
        <v>329</v>
      </c>
      <c r="E622" s="100">
        <v>21</v>
      </c>
      <c r="F622" s="101">
        <v>84.504671999999985</v>
      </c>
      <c r="G622" s="100">
        <v>53.493562231759654</v>
      </c>
      <c r="H622" s="100">
        <v>37</v>
      </c>
      <c r="I622" s="101">
        <v>58</v>
      </c>
      <c r="J622" s="100">
        <v>19</v>
      </c>
      <c r="K622" s="100">
        <v>71</v>
      </c>
      <c r="L622" s="100"/>
      <c r="M622" s="100">
        <v>57</v>
      </c>
      <c r="N622" s="100"/>
      <c r="O622" s="100">
        <v>2</v>
      </c>
      <c r="P622" s="100">
        <v>3</v>
      </c>
      <c r="Q622" s="271"/>
      <c r="R622" s="100">
        <v>74</v>
      </c>
      <c r="S622" s="100">
        <v>83</v>
      </c>
      <c r="T622" s="100">
        <v>11</v>
      </c>
      <c r="U622" s="100">
        <v>11</v>
      </c>
      <c r="V622" s="666">
        <v>98.140178571428564</v>
      </c>
      <c r="W622" s="97"/>
      <c r="X622" s="97">
        <f t="shared" si="9"/>
        <v>11</v>
      </c>
      <c r="Y622" s="97"/>
      <c r="AC622" s="100">
        <v>11385.597082953509</v>
      </c>
    </row>
    <row r="623" spans="1:29" ht="15.95" customHeight="1" x14ac:dyDescent="0.2">
      <c r="A623" s="665"/>
      <c r="B623" s="43"/>
      <c r="C623" s="149" t="s">
        <v>290</v>
      </c>
      <c r="D623" s="303">
        <v>329</v>
      </c>
      <c r="E623" s="100">
        <v>21</v>
      </c>
      <c r="F623" s="101">
        <v>84.504671999999999</v>
      </c>
      <c r="G623" s="100">
        <v>26.43633762517883</v>
      </c>
      <c r="H623" s="100">
        <v>37</v>
      </c>
      <c r="I623" s="101">
        <v>58</v>
      </c>
      <c r="J623" s="100">
        <v>19</v>
      </c>
      <c r="K623" s="100">
        <v>71</v>
      </c>
      <c r="L623" s="100"/>
      <c r="M623" s="100">
        <v>57</v>
      </c>
      <c r="N623" s="100"/>
      <c r="O623" s="100">
        <v>2</v>
      </c>
      <c r="P623" s="100">
        <v>3</v>
      </c>
      <c r="Q623" s="271"/>
      <c r="R623" s="100">
        <v>74</v>
      </c>
      <c r="S623" s="100">
        <v>83</v>
      </c>
      <c r="T623" s="100">
        <v>0</v>
      </c>
      <c r="U623" s="100">
        <v>11</v>
      </c>
      <c r="V623" s="666">
        <v>98.214285714285708</v>
      </c>
      <c r="W623" s="97"/>
      <c r="X623" s="97">
        <f t="shared" si="9"/>
        <v>11</v>
      </c>
      <c r="Y623" s="97"/>
      <c r="AC623" s="100">
        <v>11385.597082953509</v>
      </c>
    </row>
    <row r="624" spans="1:29" ht="15.95" customHeight="1" x14ac:dyDescent="0.2">
      <c r="A624" s="667"/>
      <c r="B624" s="44"/>
      <c r="C624" s="150" t="s">
        <v>291</v>
      </c>
      <c r="D624" s="304"/>
      <c r="E624" s="103">
        <v>0</v>
      </c>
      <c r="F624" s="104">
        <v>0</v>
      </c>
      <c r="G624" s="103">
        <v>0</v>
      </c>
      <c r="H624" s="103">
        <v>0</v>
      </c>
      <c r="I624" s="104"/>
      <c r="J624" s="103">
        <v>0</v>
      </c>
      <c r="K624" s="103"/>
      <c r="L624" s="103"/>
      <c r="M624" s="103">
        <v>0</v>
      </c>
      <c r="N624" s="103"/>
      <c r="O624" s="103">
        <v>0</v>
      </c>
      <c r="P624" s="103">
        <v>0</v>
      </c>
      <c r="Q624" s="272"/>
      <c r="R624" s="103">
        <v>0</v>
      </c>
      <c r="S624" s="103">
        <v>0</v>
      </c>
      <c r="T624" s="103">
        <v>0</v>
      </c>
      <c r="U624" s="103">
        <v>0</v>
      </c>
      <c r="V624" s="668">
        <v>0</v>
      </c>
      <c r="W624" s="97"/>
      <c r="X624" s="97">
        <f t="shared" si="9"/>
        <v>0</v>
      </c>
      <c r="Y624" s="97"/>
      <c r="AC624" s="103">
        <v>0</v>
      </c>
    </row>
    <row r="625" spans="1:29" ht="15.95" customHeight="1" x14ac:dyDescent="0.2">
      <c r="A625" s="665"/>
      <c r="B625" s="42">
        <v>2009</v>
      </c>
      <c r="C625" s="149" t="s">
        <v>412</v>
      </c>
      <c r="D625" s="303">
        <v>439</v>
      </c>
      <c r="E625" s="100">
        <v>21</v>
      </c>
      <c r="F625" s="101">
        <v>84.504671999999985</v>
      </c>
      <c r="G625" s="100">
        <v>56.737373737373737</v>
      </c>
      <c r="H625" s="100">
        <v>42</v>
      </c>
      <c r="I625" s="101">
        <v>58</v>
      </c>
      <c r="J625" s="100">
        <v>19</v>
      </c>
      <c r="K625" s="100">
        <v>71</v>
      </c>
      <c r="L625" s="100"/>
      <c r="M625" s="100">
        <v>57</v>
      </c>
      <c r="N625" s="100"/>
      <c r="O625" s="100">
        <v>2</v>
      </c>
      <c r="P625" s="100">
        <v>3</v>
      </c>
      <c r="Q625" s="271"/>
      <c r="R625" s="100">
        <v>80</v>
      </c>
      <c r="S625" s="100">
        <v>83</v>
      </c>
      <c r="T625" s="100">
        <v>11</v>
      </c>
      <c r="U625" s="100">
        <v>12</v>
      </c>
      <c r="V625" s="666">
        <v>110.8767857142857</v>
      </c>
      <c r="W625" s="100"/>
      <c r="X625" s="97">
        <f t="shared" si="9"/>
        <v>12</v>
      </c>
      <c r="Y625" s="97"/>
      <c r="AC625" s="100">
        <v>12477.52247752248</v>
      </c>
    </row>
    <row r="626" spans="1:29" ht="15.95" customHeight="1" x14ac:dyDescent="0.2">
      <c r="A626" s="665"/>
      <c r="B626" s="43"/>
      <c r="C626" s="149" t="s">
        <v>413</v>
      </c>
      <c r="D626" s="303">
        <v>439</v>
      </c>
      <c r="E626" s="100">
        <v>21</v>
      </c>
      <c r="F626" s="101">
        <v>84.504671999999985</v>
      </c>
      <c r="G626" s="100">
        <v>24.012987012987015</v>
      </c>
      <c r="H626" s="100">
        <v>42</v>
      </c>
      <c r="I626" s="101">
        <v>58</v>
      </c>
      <c r="J626" s="100">
        <v>19</v>
      </c>
      <c r="K626" s="100">
        <v>71</v>
      </c>
      <c r="L626" s="100"/>
      <c r="M626" s="100">
        <v>57</v>
      </c>
      <c r="N626" s="100"/>
      <c r="O626" s="100">
        <v>2</v>
      </c>
      <c r="P626" s="100">
        <v>3</v>
      </c>
      <c r="Q626" s="271"/>
      <c r="R626" s="100">
        <v>80</v>
      </c>
      <c r="S626" s="100">
        <v>83</v>
      </c>
      <c r="T626" s="100">
        <v>11</v>
      </c>
      <c r="U626" s="100">
        <v>12</v>
      </c>
      <c r="V626" s="666">
        <v>111</v>
      </c>
      <c r="W626" s="97"/>
      <c r="X626" s="97">
        <f t="shared" si="9"/>
        <v>12</v>
      </c>
      <c r="Y626" s="97"/>
      <c r="AC626" s="100">
        <v>12477.52247752248</v>
      </c>
    </row>
    <row r="627" spans="1:29" ht="15.95" customHeight="1" thickBot="1" x14ac:dyDescent="0.25">
      <c r="A627" s="669"/>
      <c r="B627" s="45"/>
      <c r="C627" s="151" t="s">
        <v>414</v>
      </c>
      <c r="D627" s="305"/>
      <c r="E627" s="105">
        <v>0</v>
      </c>
      <c r="F627" s="106">
        <v>0</v>
      </c>
      <c r="G627" s="105">
        <v>0</v>
      </c>
      <c r="H627" s="105">
        <v>0</v>
      </c>
      <c r="I627" s="106"/>
      <c r="J627" s="105">
        <v>0</v>
      </c>
      <c r="K627" s="105"/>
      <c r="L627" s="105"/>
      <c r="M627" s="105">
        <v>0</v>
      </c>
      <c r="N627" s="105"/>
      <c r="O627" s="105">
        <v>0</v>
      </c>
      <c r="P627" s="105">
        <v>0</v>
      </c>
      <c r="Q627" s="273"/>
      <c r="R627" s="105">
        <v>0</v>
      </c>
      <c r="S627" s="105">
        <v>0</v>
      </c>
      <c r="T627" s="105">
        <v>0</v>
      </c>
      <c r="U627" s="105">
        <v>0</v>
      </c>
      <c r="V627" s="670">
        <v>0</v>
      </c>
      <c r="W627" s="97"/>
      <c r="X627" s="97">
        <f t="shared" si="9"/>
        <v>0</v>
      </c>
      <c r="Y627" s="97">
        <f>+IF((AC627-ROUND(AC627,-3)&gt;400)*AND(AC627-ROUND(AC627,-3)&lt;500),1,0)</f>
        <v>0</v>
      </c>
      <c r="AC627" s="105">
        <v>0</v>
      </c>
    </row>
    <row r="628" spans="1:29" ht="15.95" customHeight="1" thickTop="1" x14ac:dyDescent="0.2">
      <c r="A628" s="665" t="s">
        <v>194</v>
      </c>
      <c r="B628" s="42">
        <v>2008</v>
      </c>
      <c r="C628" s="148" t="s">
        <v>289</v>
      </c>
      <c r="D628" s="303">
        <v>622</v>
      </c>
      <c r="E628" s="100">
        <v>40</v>
      </c>
      <c r="F628" s="101">
        <v>159.619936</v>
      </c>
      <c r="G628" s="100">
        <v>104.27610872675251</v>
      </c>
      <c r="H628" s="100">
        <v>37</v>
      </c>
      <c r="I628" s="101">
        <v>109</v>
      </c>
      <c r="J628" s="100">
        <v>14</v>
      </c>
      <c r="K628" s="100">
        <v>71</v>
      </c>
      <c r="L628" s="100"/>
      <c r="M628" s="100">
        <v>107</v>
      </c>
      <c r="N628" s="100"/>
      <c r="O628" s="100">
        <v>4</v>
      </c>
      <c r="P628" s="100">
        <v>5</v>
      </c>
      <c r="Q628" s="271">
        <v>53.201000000000001</v>
      </c>
      <c r="R628" s="100">
        <v>89</v>
      </c>
      <c r="S628" s="100">
        <v>158</v>
      </c>
      <c r="T628" s="100">
        <v>5</v>
      </c>
      <c r="U628" s="100">
        <v>18</v>
      </c>
      <c r="V628" s="666"/>
      <c r="W628" s="97"/>
      <c r="X628" s="97">
        <f>+ROUNDUP(AC628/1000,0)</f>
        <v>18</v>
      </c>
      <c r="Y628" s="97"/>
      <c r="AC628" s="100">
        <v>17078.395624430264</v>
      </c>
    </row>
    <row r="629" spans="1:29" ht="15.95" customHeight="1" x14ac:dyDescent="0.2">
      <c r="A629" s="665"/>
      <c r="B629" s="43"/>
      <c r="C629" s="149" t="s">
        <v>290</v>
      </c>
      <c r="D629" s="303"/>
      <c r="E629" s="100">
        <v>0</v>
      </c>
      <c r="F629" s="101">
        <v>159.619936</v>
      </c>
      <c r="G629" s="100">
        <v>0</v>
      </c>
      <c r="H629" s="100">
        <v>0</v>
      </c>
      <c r="I629" s="101">
        <f>83-83</f>
        <v>0</v>
      </c>
      <c r="J629" s="100">
        <v>0</v>
      </c>
      <c r="K629" s="100">
        <v>71</v>
      </c>
      <c r="L629" s="100"/>
      <c r="M629" s="100">
        <v>0</v>
      </c>
      <c r="N629" s="100">
        <v>80</v>
      </c>
      <c r="O629" s="100">
        <v>0</v>
      </c>
      <c r="P629" s="100">
        <v>0</v>
      </c>
      <c r="Q629" s="271"/>
      <c r="R629" s="100">
        <v>0</v>
      </c>
      <c r="S629" s="100">
        <v>158</v>
      </c>
      <c r="T629" s="100">
        <v>5</v>
      </c>
      <c r="U629" s="100">
        <v>0</v>
      </c>
      <c r="V629" s="666"/>
      <c r="W629" s="97"/>
      <c r="X629" s="97">
        <f t="shared" si="9"/>
        <v>0</v>
      </c>
      <c r="Y629" s="97"/>
      <c r="AC629" s="100">
        <v>0</v>
      </c>
    </row>
    <row r="630" spans="1:29" ht="15.95" customHeight="1" x14ac:dyDescent="0.2">
      <c r="A630" s="667"/>
      <c r="B630" s="44"/>
      <c r="C630" s="150" t="s">
        <v>291</v>
      </c>
      <c r="D630" s="304"/>
      <c r="E630" s="103">
        <v>0</v>
      </c>
      <c r="F630" s="104">
        <v>104.2381268</v>
      </c>
      <c r="G630" s="103">
        <v>0</v>
      </c>
      <c r="H630" s="103">
        <v>30</v>
      </c>
      <c r="I630" s="104"/>
      <c r="J630" s="103">
        <v>15</v>
      </c>
      <c r="K630" s="103"/>
      <c r="L630" s="103"/>
      <c r="M630" s="103">
        <v>0</v>
      </c>
      <c r="N630" s="103"/>
      <c r="O630" s="103">
        <v>0</v>
      </c>
      <c r="P630" s="103">
        <v>0</v>
      </c>
      <c r="Q630" s="272">
        <v>38.875999999999998</v>
      </c>
      <c r="R630" s="103">
        <v>0</v>
      </c>
      <c r="S630" s="103">
        <v>0</v>
      </c>
      <c r="T630" s="103">
        <v>120</v>
      </c>
      <c r="U630" s="103">
        <v>11</v>
      </c>
      <c r="V630" s="668"/>
      <c r="W630" s="97"/>
      <c r="X630" s="97">
        <f t="shared" si="9"/>
        <v>11</v>
      </c>
      <c r="Y630" s="97"/>
      <c r="AC630" s="103">
        <v>11385.597082953509</v>
      </c>
    </row>
    <row r="631" spans="1:29" ht="15.95" customHeight="1" x14ac:dyDescent="0.2">
      <c r="A631" s="665"/>
      <c r="B631" s="42">
        <v>2009</v>
      </c>
      <c r="C631" s="149" t="s">
        <v>412</v>
      </c>
      <c r="D631" s="303">
        <v>828</v>
      </c>
      <c r="E631" s="100">
        <v>41</v>
      </c>
      <c r="F631" s="101">
        <v>159.619936</v>
      </c>
      <c r="G631" s="100">
        <v>107.88744588744589</v>
      </c>
      <c r="H631" s="100">
        <v>42</v>
      </c>
      <c r="I631" s="101">
        <v>109</v>
      </c>
      <c r="J631" s="100">
        <v>12</v>
      </c>
      <c r="K631" s="100">
        <v>71</v>
      </c>
      <c r="L631" s="100"/>
      <c r="M631" s="100">
        <v>107</v>
      </c>
      <c r="N631" s="100"/>
      <c r="O631" s="100">
        <v>4</v>
      </c>
      <c r="P631" s="100">
        <v>5</v>
      </c>
      <c r="Q631" s="102">
        <v>50.426000000000002</v>
      </c>
      <c r="R631" s="100">
        <v>96</v>
      </c>
      <c r="S631" s="100">
        <v>158</v>
      </c>
      <c r="T631" s="100">
        <v>5</v>
      </c>
      <c r="U631" s="100">
        <v>19</v>
      </c>
      <c r="V631" s="666"/>
      <c r="W631" s="100"/>
      <c r="X631" s="97">
        <f t="shared" si="9"/>
        <v>19</v>
      </c>
      <c r="Y631" s="97"/>
      <c r="AC631" s="100">
        <v>18716.283716283717</v>
      </c>
    </row>
    <row r="632" spans="1:29" ht="15.95" customHeight="1" x14ac:dyDescent="0.2">
      <c r="A632" s="665"/>
      <c r="B632" s="43"/>
      <c r="C632" s="149" t="s">
        <v>413</v>
      </c>
      <c r="D632" s="303">
        <v>828</v>
      </c>
      <c r="E632" s="100">
        <v>41</v>
      </c>
      <c r="F632" s="101">
        <v>159.61993599999997</v>
      </c>
      <c r="G632" s="100">
        <v>106.77777777777779</v>
      </c>
      <c r="H632" s="100">
        <v>42</v>
      </c>
      <c r="I632" s="101"/>
      <c r="J632" s="100">
        <v>12</v>
      </c>
      <c r="K632" s="100">
        <v>71</v>
      </c>
      <c r="L632" s="100"/>
      <c r="M632" s="100">
        <v>0</v>
      </c>
      <c r="N632" s="100"/>
      <c r="O632" s="100">
        <v>0</v>
      </c>
      <c r="P632" s="100">
        <v>0</v>
      </c>
      <c r="Q632" s="102">
        <v>0.23899999999999999</v>
      </c>
      <c r="R632" s="100">
        <v>0</v>
      </c>
      <c r="S632" s="100">
        <v>158</v>
      </c>
      <c r="T632" s="100">
        <v>5</v>
      </c>
      <c r="U632" s="100">
        <v>19</v>
      </c>
      <c r="V632" s="666"/>
      <c r="W632" s="97"/>
      <c r="X632" s="97">
        <f t="shared" si="9"/>
        <v>19</v>
      </c>
      <c r="Y632" s="97"/>
      <c r="AC632" s="100">
        <v>18716.283716283717</v>
      </c>
    </row>
    <row r="633" spans="1:29" ht="15.95" customHeight="1" thickBot="1" x14ac:dyDescent="0.25">
      <c r="A633" s="669"/>
      <c r="B633" s="45"/>
      <c r="C633" s="151" t="s">
        <v>414</v>
      </c>
      <c r="D633" s="305">
        <v>1317</v>
      </c>
      <c r="E633" s="105">
        <v>98</v>
      </c>
      <c r="F633" s="106">
        <v>0</v>
      </c>
      <c r="G633" s="105">
        <v>104.27272727272728</v>
      </c>
      <c r="H633" s="105">
        <v>43</v>
      </c>
      <c r="I633" s="106">
        <f>80+83</f>
        <v>163</v>
      </c>
      <c r="J633" s="105">
        <v>12</v>
      </c>
      <c r="K633" s="105"/>
      <c r="L633" s="105"/>
      <c r="M633" s="105">
        <v>224</v>
      </c>
      <c r="N633" s="105"/>
      <c r="O633" s="105">
        <v>0</v>
      </c>
      <c r="P633" s="105">
        <v>7</v>
      </c>
      <c r="Q633" s="273">
        <v>52.366</v>
      </c>
      <c r="R633" s="105">
        <v>172</v>
      </c>
      <c r="S633" s="105">
        <v>8</v>
      </c>
      <c r="T633" s="105">
        <v>0</v>
      </c>
      <c r="U633" s="105">
        <v>19</v>
      </c>
      <c r="V633" s="670"/>
      <c r="W633" s="97"/>
      <c r="X633" s="97">
        <f t="shared" si="9"/>
        <v>19</v>
      </c>
      <c r="Y633" s="97">
        <f>+IF((AC633-ROUND(AC633,-3)&gt;400)*AND(AC633-ROUND(AC633,-3)&lt;500),1,0)</f>
        <v>0</v>
      </c>
      <c r="AC633" s="105">
        <v>18716.283716283717</v>
      </c>
    </row>
    <row r="634" spans="1:29" ht="15.95" customHeight="1" thickTop="1" x14ac:dyDescent="0.2">
      <c r="A634" s="665" t="s">
        <v>195</v>
      </c>
      <c r="B634" s="42">
        <v>2008</v>
      </c>
      <c r="C634" s="148" t="s">
        <v>289</v>
      </c>
      <c r="D634" s="303">
        <v>18</v>
      </c>
      <c r="E634" s="100">
        <v>1</v>
      </c>
      <c r="F634" s="101">
        <v>4.6946972000000002</v>
      </c>
      <c r="G634" s="100"/>
      <c r="H634" s="100">
        <v>37</v>
      </c>
      <c r="I634" s="101">
        <v>3</v>
      </c>
      <c r="J634" s="100"/>
      <c r="K634" s="100">
        <v>18</v>
      </c>
      <c r="L634" s="100"/>
      <c r="M634" s="100">
        <v>3</v>
      </c>
      <c r="N634" s="100"/>
      <c r="O634" s="100">
        <v>0</v>
      </c>
      <c r="P634" s="100">
        <v>0</v>
      </c>
      <c r="Q634" s="271">
        <v>1.1319999999999999</v>
      </c>
      <c r="R634" s="100">
        <v>35</v>
      </c>
      <c r="S634" s="100">
        <v>5</v>
      </c>
      <c r="T634" s="100">
        <v>1</v>
      </c>
      <c r="U634" s="100">
        <v>11</v>
      </c>
      <c r="V634" s="666">
        <v>24</v>
      </c>
      <c r="W634" s="97"/>
      <c r="X634" s="97">
        <f t="shared" si="9"/>
        <v>11</v>
      </c>
      <c r="Y634" s="97"/>
      <c r="AC634" s="100">
        <v>11385.597082953509</v>
      </c>
    </row>
    <row r="635" spans="1:29" ht="15.95" customHeight="1" x14ac:dyDescent="0.2">
      <c r="A635" s="665"/>
      <c r="B635" s="43"/>
      <c r="C635" s="149" t="s">
        <v>290</v>
      </c>
      <c r="D635" s="303">
        <v>18</v>
      </c>
      <c r="E635" s="100">
        <v>0</v>
      </c>
      <c r="F635" s="101">
        <v>4.6946972000000002</v>
      </c>
      <c r="G635" s="100"/>
      <c r="H635" s="100">
        <v>36</v>
      </c>
      <c r="I635" s="101">
        <v>3</v>
      </c>
      <c r="J635" s="100"/>
      <c r="K635" s="100">
        <v>18</v>
      </c>
      <c r="L635" s="100"/>
      <c r="M635" s="100">
        <v>3</v>
      </c>
      <c r="N635" s="100"/>
      <c r="O635" s="100">
        <v>0</v>
      </c>
      <c r="P635" s="100">
        <v>0</v>
      </c>
      <c r="Q635" s="271"/>
      <c r="R635" s="100">
        <v>35</v>
      </c>
      <c r="S635" s="100">
        <v>5</v>
      </c>
      <c r="T635" s="100">
        <v>1</v>
      </c>
      <c r="U635" s="100">
        <v>0</v>
      </c>
      <c r="V635" s="666">
        <v>0</v>
      </c>
      <c r="W635" s="97"/>
      <c r="X635" s="97">
        <f t="shared" si="9"/>
        <v>0</v>
      </c>
      <c r="Y635" s="97"/>
      <c r="AC635" s="100">
        <v>0</v>
      </c>
    </row>
    <row r="636" spans="1:29" ht="15.95" customHeight="1" x14ac:dyDescent="0.2">
      <c r="A636" s="667"/>
      <c r="B636" s="44"/>
      <c r="C636" s="150" t="s">
        <v>291</v>
      </c>
      <c r="D636" s="304"/>
      <c r="E636" s="103">
        <v>0</v>
      </c>
      <c r="F636" s="104">
        <v>0</v>
      </c>
      <c r="G636" s="103"/>
      <c r="H636" s="103">
        <v>0</v>
      </c>
      <c r="I636" s="104"/>
      <c r="J636" s="103"/>
      <c r="K636" s="103"/>
      <c r="L636" s="103"/>
      <c r="M636" s="103">
        <v>0</v>
      </c>
      <c r="N636" s="103"/>
      <c r="O636" s="103">
        <v>0</v>
      </c>
      <c r="P636" s="103">
        <v>0</v>
      </c>
      <c r="Q636" s="272">
        <v>0.40600000000000003</v>
      </c>
      <c r="R636" s="103">
        <v>0</v>
      </c>
      <c r="S636" s="103">
        <v>0</v>
      </c>
      <c r="T636" s="103">
        <v>0</v>
      </c>
      <c r="U636" s="103">
        <v>0</v>
      </c>
      <c r="V636" s="668">
        <v>0</v>
      </c>
      <c r="W636" s="97"/>
      <c r="X636" s="97">
        <f t="shared" si="9"/>
        <v>0</v>
      </c>
      <c r="Y636" s="97"/>
      <c r="AC636" s="103">
        <v>0</v>
      </c>
    </row>
    <row r="637" spans="1:29" ht="15.95" customHeight="1" x14ac:dyDescent="0.2">
      <c r="A637" s="665"/>
      <c r="B637" s="42">
        <v>2009</v>
      </c>
      <c r="C637" s="149" t="s">
        <v>412</v>
      </c>
      <c r="D637" s="303">
        <v>24</v>
      </c>
      <c r="E637" s="100">
        <v>1</v>
      </c>
      <c r="F637" s="101">
        <v>4.6946972000000002</v>
      </c>
      <c r="G637" s="100">
        <v>3.2525252525252526</v>
      </c>
      <c r="H637" s="100">
        <v>42</v>
      </c>
      <c r="I637" s="101">
        <v>3</v>
      </c>
      <c r="J637" s="100"/>
      <c r="K637" s="100">
        <v>18</v>
      </c>
      <c r="L637" s="100"/>
      <c r="M637" s="100">
        <v>3</v>
      </c>
      <c r="N637" s="100"/>
      <c r="O637" s="100">
        <v>0</v>
      </c>
      <c r="P637" s="100">
        <v>0</v>
      </c>
      <c r="Q637" s="102">
        <v>1.073</v>
      </c>
      <c r="R637" s="100">
        <v>36</v>
      </c>
      <c r="S637" s="100">
        <v>5</v>
      </c>
      <c r="T637" s="100">
        <v>1</v>
      </c>
      <c r="U637" s="100">
        <v>12</v>
      </c>
      <c r="V637" s="666">
        <v>25</v>
      </c>
      <c r="W637" s="100"/>
      <c r="X637" s="97">
        <f t="shared" si="9"/>
        <v>12</v>
      </c>
      <c r="Y637" s="97"/>
      <c r="AC637" s="100">
        <v>12477.52247752248</v>
      </c>
    </row>
    <row r="638" spans="1:29" ht="15.95" customHeight="1" x14ac:dyDescent="0.2">
      <c r="A638" s="665"/>
      <c r="B638" s="43"/>
      <c r="C638" s="149" t="s">
        <v>413</v>
      </c>
      <c r="D638" s="303">
        <v>24</v>
      </c>
      <c r="E638" s="100">
        <v>0</v>
      </c>
      <c r="F638" s="101">
        <v>4.6946972000000002</v>
      </c>
      <c r="G638" s="100">
        <v>0</v>
      </c>
      <c r="H638" s="100">
        <v>0</v>
      </c>
      <c r="I638" s="101">
        <v>3</v>
      </c>
      <c r="J638" s="100"/>
      <c r="K638" s="100"/>
      <c r="L638" s="100"/>
      <c r="M638" s="100">
        <v>3</v>
      </c>
      <c r="N638" s="100"/>
      <c r="O638" s="100">
        <v>0</v>
      </c>
      <c r="P638" s="100">
        <v>0</v>
      </c>
      <c r="Q638" s="102">
        <v>0.33400000000000002</v>
      </c>
      <c r="R638" s="100">
        <v>0</v>
      </c>
      <c r="S638" s="100">
        <v>5</v>
      </c>
      <c r="T638" s="100">
        <v>1</v>
      </c>
      <c r="U638" s="100">
        <v>0</v>
      </c>
      <c r="V638" s="666">
        <v>25</v>
      </c>
      <c r="W638" s="97"/>
      <c r="X638" s="97">
        <f t="shared" si="9"/>
        <v>0</v>
      </c>
      <c r="Y638" s="97"/>
      <c r="AC638" s="100">
        <v>0</v>
      </c>
    </row>
    <row r="639" spans="1:29" ht="15.95" customHeight="1" thickBot="1" x14ac:dyDescent="0.25">
      <c r="A639" s="669"/>
      <c r="B639" s="45"/>
      <c r="C639" s="151" t="s">
        <v>414</v>
      </c>
      <c r="D639" s="305"/>
      <c r="E639" s="105">
        <v>0</v>
      </c>
      <c r="F639" s="106">
        <v>0</v>
      </c>
      <c r="G639" s="105">
        <v>0</v>
      </c>
      <c r="H639" s="105">
        <v>0</v>
      </c>
      <c r="I639" s="106"/>
      <c r="J639" s="105"/>
      <c r="K639" s="105"/>
      <c r="L639" s="105"/>
      <c r="M639" s="105">
        <v>0</v>
      </c>
      <c r="N639" s="105"/>
      <c r="O639" s="105">
        <v>0</v>
      </c>
      <c r="P639" s="105">
        <v>0</v>
      </c>
      <c r="Q639" s="273">
        <v>1.5489999999999999</v>
      </c>
      <c r="R639" s="105">
        <v>0</v>
      </c>
      <c r="S639" s="105">
        <v>0</v>
      </c>
      <c r="T639" s="105">
        <v>0</v>
      </c>
      <c r="U639" s="105">
        <v>12</v>
      </c>
      <c r="V639" s="670">
        <v>46</v>
      </c>
      <c r="W639" s="97"/>
      <c r="X639" s="97">
        <f t="shared" ref="X639:X702" si="10">+ROUND(AC639/1000,0)</f>
        <v>12</v>
      </c>
      <c r="Y639" s="97">
        <f>+IF((AC639-ROUND(AC639,-3)&gt;400)*AND(AC639-ROUND(AC639,-3)&lt;500),1,0)</f>
        <v>1</v>
      </c>
      <c r="AC639" s="105">
        <v>12477.52247752248</v>
      </c>
    </row>
    <row r="640" spans="1:29" ht="15.95" customHeight="1" thickTop="1" x14ac:dyDescent="0.2">
      <c r="A640" s="665" t="s">
        <v>196</v>
      </c>
      <c r="B640" s="42">
        <v>2008</v>
      </c>
      <c r="C640" s="148" t="s">
        <v>289</v>
      </c>
      <c r="D640" s="303">
        <v>18</v>
      </c>
      <c r="E640" s="100">
        <v>1</v>
      </c>
      <c r="F640" s="101">
        <v>4.6946972000000002</v>
      </c>
      <c r="G640" s="100">
        <v>3.1459227467811162</v>
      </c>
      <c r="H640" s="100">
        <v>37</v>
      </c>
      <c r="I640" s="101">
        <v>3</v>
      </c>
      <c r="J640" s="100">
        <v>3782</v>
      </c>
      <c r="K640" s="100">
        <v>18</v>
      </c>
      <c r="L640" s="100"/>
      <c r="M640" s="100">
        <v>3</v>
      </c>
      <c r="N640" s="100"/>
      <c r="O640" s="100">
        <v>0</v>
      </c>
      <c r="P640" s="100">
        <v>0</v>
      </c>
      <c r="Q640" s="271">
        <v>1.1319999999999999</v>
      </c>
      <c r="R640" s="100"/>
      <c r="S640" s="100">
        <v>5</v>
      </c>
      <c r="T640" s="100">
        <v>1</v>
      </c>
      <c r="U640" s="100">
        <v>11</v>
      </c>
      <c r="V640" s="666"/>
      <c r="W640" s="97"/>
      <c r="X640" s="97">
        <f t="shared" si="10"/>
        <v>11</v>
      </c>
      <c r="Y640" s="97"/>
      <c r="AC640" s="100">
        <v>11385.597082953509</v>
      </c>
    </row>
    <row r="641" spans="1:29" ht="15.95" customHeight="1" x14ac:dyDescent="0.2">
      <c r="A641" s="665"/>
      <c r="B641" s="43"/>
      <c r="C641" s="149" t="s">
        <v>290</v>
      </c>
      <c r="D641" s="303"/>
      <c r="E641" s="100">
        <v>0</v>
      </c>
      <c r="F641" s="101">
        <v>0</v>
      </c>
      <c r="G641" s="100">
        <v>0</v>
      </c>
      <c r="H641" s="100">
        <v>32</v>
      </c>
      <c r="I641" s="101">
        <v>3</v>
      </c>
      <c r="J641" s="100">
        <v>3747</v>
      </c>
      <c r="K641" s="100"/>
      <c r="L641" s="100"/>
      <c r="M641" s="100">
        <v>0</v>
      </c>
      <c r="N641" s="100"/>
      <c r="O641" s="100">
        <v>0</v>
      </c>
      <c r="P641" s="100">
        <v>0</v>
      </c>
      <c r="Q641" s="271"/>
      <c r="R641" s="100"/>
      <c r="S641" s="100">
        <v>5</v>
      </c>
      <c r="T641" s="100">
        <v>1</v>
      </c>
      <c r="U641" s="100">
        <v>0</v>
      </c>
      <c r="V641" s="666"/>
      <c r="W641" s="97"/>
      <c r="X641" s="97">
        <f t="shared" si="10"/>
        <v>0</v>
      </c>
      <c r="Y641" s="97"/>
      <c r="AC641" s="100">
        <v>0</v>
      </c>
    </row>
    <row r="642" spans="1:29" ht="15.95" customHeight="1" x14ac:dyDescent="0.2">
      <c r="A642" s="667"/>
      <c r="B642" s="44"/>
      <c r="C642" s="150" t="s">
        <v>291</v>
      </c>
      <c r="D642" s="304">
        <v>200</v>
      </c>
      <c r="E642" s="103">
        <v>0</v>
      </c>
      <c r="F642" s="104">
        <v>16.2683</v>
      </c>
      <c r="G642" s="103">
        <v>0</v>
      </c>
      <c r="H642" s="103">
        <v>11</v>
      </c>
      <c r="I642" s="104">
        <v>10</v>
      </c>
      <c r="J642" s="103">
        <v>0</v>
      </c>
      <c r="K642" s="103"/>
      <c r="L642" s="103"/>
      <c r="M642" s="103">
        <v>0</v>
      </c>
      <c r="N642" s="103"/>
      <c r="O642" s="103">
        <v>0</v>
      </c>
      <c r="P642" s="103">
        <v>0</v>
      </c>
      <c r="Q642" s="272"/>
      <c r="R642" s="103"/>
      <c r="S642" s="103">
        <v>0</v>
      </c>
      <c r="T642" s="103">
        <v>0</v>
      </c>
      <c r="U642" s="103">
        <v>0</v>
      </c>
      <c r="V642" s="668"/>
      <c r="W642" s="97"/>
      <c r="X642" s="97">
        <f t="shared" si="10"/>
        <v>0</v>
      </c>
      <c r="Y642" s="97"/>
      <c r="AC642" s="103">
        <v>0</v>
      </c>
    </row>
    <row r="643" spans="1:29" ht="15.95" customHeight="1" x14ac:dyDescent="0.2">
      <c r="A643" s="665"/>
      <c r="B643" s="42">
        <v>2009</v>
      </c>
      <c r="C643" s="149" t="s">
        <v>412</v>
      </c>
      <c r="D643" s="303">
        <v>24</v>
      </c>
      <c r="E643" s="100">
        <v>1</v>
      </c>
      <c r="F643" s="101">
        <v>4.6946972000000002</v>
      </c>
      <c r="G643" s="100">
        <v>3.2525252525252526</v>
      </c>
      <c r="H643" s="100">
        <v>42</v>
      </c>
      <c r="I643" s="101">
        <v>3</v>
      </c>
      <c r="J643" s="100">
        <v>3523</v>
      </c>
      <c r="K643" s="100">
        <v>18</v>
      </c>
      <c r="L643" s="100"/>
      <c r="M643" s="100">
        <v>3</v>
      </c>
      <c r="N643" s="100"/>
      <c r="O643" s="100">
        <v>0</v>
      </c>
      <c r="P643" s="100">
        <v>0</v>
      </c>
      <c r="Q643" s="102">
        <v>1.073</v>
      </c>
      <c r="R643" s="100"/>
      <c r="S643" s="100">
        <v>5</v>
      </c>
      <c r="T643" s="100">
        <v>1</v>
      </c>
      <c r="U643" s="100">
        <v>12</v>
      </c>
      <c r="V643" s="666"/>
      <c r="W643" s="100"/>
      <c r="X643" s="97">
        <f t="shared" si="10"/>
        <v>12</v>
      </c>
      <c r="Y643" s="97"/>
      <c r="AC643" s="100">
        <v>12477.52247752248</v>
      </c>
    </row>
    <row r="644" spans="1:29" ht="15.95" customHeight="1" x14ac:dyDescent="0.2">
      <c r="A644" s="665"/>
      <c r="B644" s="43"/>
      <c r="C644" s="149" t="s">
        <v>413</v>
      </c>
      <c r="D644" s="303"/>
      <c r="E644" s="100">
        <v>0</v>
      </c>
      <c r="F644" s="101">
        <v>2.1694899999999997</v>
      </c>
      <c r="G644" s="100">
        <v>0</v>
      </c>
      <c r="H644" s="100">
        <v>42</v>
      </c>
      <c r="I644" s="101"/>
      <c r="J644" s="100">
        <v>3523</v>
      </c>
      <c r="K644" s="100"/>
      <c r="L644" s="100"/>
      <c r="M644" s="100">
        <v>0</v>
      </c>
      <c r="N644" s="100"/>
      <c r="O644" s="100">
        <v>0</v>
      </c>
      <c r="P644" s="100">
        <v>0</v>
      </c>
      <c r="Q644" s="271"/>
      <c r="R644" s="100"/>
      <c r="S644" s="100">
        <v>5</v>
      </c>
      <c r="T644" s="100">
        <v>1</v>
      </c>
      <c r="U644" s="100">
        <v>0</v>
      </c>
      <c r="V644" s="666"/>
      <c r="W644" s="97"/>
      <c r="X644" s="97">
        <f t="shared" si="10"/>
        <v>0</v>
      </c>
      <c r="Y644" s="97"/>
      <c r="AC644" s="100">
        <v>0</v>
      </c>
    </row>
    <row r="645" spans="1:29" ht="15.95" customHeight="1" thickBot="1" x14ac:dyDescent="0.25">
      <c r="A645" s="669"/>
      <c r="B645" s="45"/>
      <c r="C645" s="151" t="s">
        <v>414</v>
      </c>
      <c r="D645" s="305">
        <v>150</v>
      </c>
      <c r="E645" s="105">
        <v>0</v>
      </c>
      <c r="F645" s="106">
        <v>22.6312</v>
      </c>
      <c r="G645" s="105">
        <v>0</v>
      </c>
      <c r="H645" s="105">
        <v>18</v>
      </c>
      <c r="I645" s="106">
        <v>4</v>
      </c>
      <c r="J645" s="105">
        <v>31</v>
      </c>
      <c r="K645" s="105"/>
      <c r="L645" s="105"/>
      <c r="M645" s="105">
        <v>72</v>
      </c>
      <c r="N645" s="105"/>
      <c r="O645" s="105">
        <v>0</v>
      </c>
      <c r="P645" s="105">
        <v>0</v>
      </c>
      <c r="Q645" s="273"/>
      <c r="R645" s="105"/>
      <c r="S645" s="105">
        <v>0</v>
      </c>
      <c r="T645" s="105">
        <v>0</v>
      </c>
      <c r="U645" s="105">
        <v>0</v>
      </c>
      <c r="V645" s="670"/>
      <c r="W645" s="97"/>
      <c r="X645" s="97">
        <f t="shared" si="10"/>
        <v>0</v>
      </c>
      <c r="Y645" s="97">
        <f>+IF((AC645-ROUND(AC645,-3)&gt;400)*AND(AC645-ROUND(AC645,-3)&lt;500),1,0)</f>
        <v>0</v>
      </c>
      <c r="AC645" s="105">
        <v>0</v>
      </c>
    </row>
    <row r="646" spans="1:29" ht="15.95" customHeight="1" thickTop="1" x14ac:dyDescent="0.2">
      <c r="A646" s="665" t="s">
        <v>79</v>
      </c>
      <c r="B646" s="42">
        <v>2008</v>
      </c>
      <c r="C646" s="148" t="s">
        <v>289</v>
      </c>
      <c r="D646" s="303">
        <v>1134</v>
      </c>
      <c r="E646" s="100">
        <v>73</v>
      </c>
      <c r="F646" s="101">
        <v>291.07164800000004</v>
      </c>
      <c r="G646" s="100">
        <v>190.6824034334764</v>
      </c>
      <c r="H646" s="100">
        <v>37</v>
      </c>
      <c r="I646" s="101">
        <v>199</v>
      </c>
      <c r="J646" s="100">
        <v>24</v>
      </c>
      <c r="K646" s="100">
        <v>284</v>
      </c>
      <c r="L646" s="100"/>
      <c r="M646" s="100">
        <v>196</v>
      </c>
      <c r="N646" s="100"/>
      <c r="O646" s="100">
        <v>7</v>
      </c>
      <c r="P646" s="100">
        <v>10</v>
      </c>
      <c r="Q646" s="271">
        <v>97.346999999999994</v>
      </c>
      <c r="R646" s="100">
        <v>108</v>
      </c>
      <c r="S646" s="100">
        <v>288</v>
      </c>
      <c r="T646" s="100">
        <v>5</v>
      </c>
      <c r="U646" s="100">
        <v>35</v>
      </c>
      <c r="V646" s="666"/>
      <c r="W646" s="97"/>
      <c r="X646" s="97">
        <f>+ROUNDUP(AC646/1000,0)</f>
        <v>35</v>
      </c>
      <c r="Y646" s="97"/>
      <c r="AC646" s="100">
        <v>34156.791248860529</v>
      </c>
    </row>
    <row r="647" spans="1:29" ht="15.95" customHeight="1" x14ac:dyDescent="0.2">
      <c r="A647" s="665" t="s">
        <v>80</v>
      </c>
      <c r="B647" s="43"/>
      <c r="C647" s="149" t="s">
        <v>290</v>
      </c>
      <c r="D647" s="303">
        <v>1134</v>
      </c>
      <c r="E647" s="100">
        <v>13</v>
      </c>
      <c r="F647" s="101">
        <v>0</v>
      </c>
      <c r="G647" s="100">
        <v>23.775393419170246</v>
      </c>
      <c r="H647" s="100">
        <v>0</v>
      </c>
      <c r="I647" s="101"/>
      <c r="J647" s="100">
        <v>0</v>
      </c>
      <c r="K647" s="100">
        <v>284</v>
      </c>
      <c r="L647" s="100"/>
      <c r="M647" s="100">
        <v>0</v>
      </c>
      <c r="N647" s="100"/>
      <c r="O647" s="100">
        <v>0</v>
      </c>
      <c r="P647" s="100">
        <v>0</v>
      </c>
      <c r="Q647" s="271"/>
      <c r="R647" s="100">
        <v>0</v>
      </c>
      <c r="S647" s="100">
        <v>288</v>
      </c>
      <c r="T647" s="100">
        <v>0</v>
      </c>
      <c r="U647" s="100">
        <v>0</v>
      </c>
      <c r="V647" s="666"/>
      <c r="W647" s="97"/>
      <c r="X647" s="97">
        <f t="shared" si="10"/>
        <v>0</v>
      </c>
      <c r="Y647" s="97"/>
      <c r="AC647" s="100">
        <v>0</v>
      </c>
    </row>
    <row r="648" spans="1:29" ht="15.95" customHeight="1" x14ac:dyDescent="0.2">
      <c r="A648" s="667"/>
      <c r="B648" s="44"/>
      <c r="C648" s="150" t="s">
        <v>291</v>
      </c>
      <c r="D648" s="304"/>
      <c r="E648" s="103">
        <v>0</v>
      </c>
      <c r="F648" s="104">
        <v>0</v>
      </c>
      <c r="G648" s="103">
        <v>346.49785407725324</v>
      </c>
      <c r="H648" s="103">
        <v>15</v>
      </c>
      <c r="I648" s="104"/>
      <c r="J648" s="103">
        <v>0</v>
      </c>
      <c r="K648" s="103"/>
      <c r="L648" s="103"/>
      <c r="M648" s="103">
        <v>0</v>
      </c>
      <c r="N648" s="103"/>
      <c r="O648" s="103">
        <v>0</v>
      </c>
      <c r="P648" s="103">
        <v>0</v>
      </c>
      <c r="Q648" s="272">
        <v>27.029</v>
      </c>
      <c r="R648" s="103">
        <v>0</v>
      </c>
      <c r="S648" s="103">
        <v>0</v>
      </c>
      <c r="T648" s="103">
        <v>11</v>
      </c>
      <c r="U648" s="103">
        <v>18</v>
      </c>
      <c r="V648" s="668"/>
      <c r="W648" s="97"/>
      <c r="X648" s="97">
        <f t="shared" si="10"/>
        <v>18</v>
      </c>
      <c r="Y648" s="97"/>
      <c r="AC648" s="103">
        <v>18231.540565177758</v>
      </c>
    </row>
    <row r="649" spans="1:29" ht="15.95" customHeight="1" x14ac:dyDescent="0.2">
      <c r="A649" s="665"/>
      <c r="B649" s="42">
        <v>2009</v>
      </c>
      <c r="C649" s="149" t="s">
        <v>412</v>
      </c>
      <c r="D649" s="303">
        <v>1511</v>
      </c>
      <c r="E649" s="100">
        <v>77</v>
      </c>
      <c r="F649" s="101">
        <v>291.07164800000004</v>
      </c>
      <c r="G649" s="100">
        <v>201.89321789321789</v>
      </c>
      <c r="H649" s="100">
        <v>42</v>
      </c>
      <c r="I649" s="101">
        <v>199</v>
      </c>
      <c r="J649" s="100">
        <v>23</v>
      </c>
      <c r="K649" s="100">
        <v>284</v>
      </c>
      <c r="L649" s="100"/>
      <c r="M649" s="100">
        <v>196</v>
      </c>
      <c r="N649" s="100"/>
      <c r="O649" s="100">
        <v>7</v>
      </c>
      <c r="P649" s="100">
        <v>10</v>
      </c>
      <c r="Q649" s="102">
        <v>92.27</v>
      </c>
      <c r="R649" s="100">
        <v>86</v>
      </c>
      <c r="S649" s="100">
        <v>288</v>
      </c>
      <c r="T649" s="100">
        <v>5</v>
      </c>
      <c r="U649" s="100">
        <v>38</v>
      </c>
      <c r="V649" s="666"/>
      <c r="W649" s="100"/>
      <c r="X649" s="97">
        <f>+ROUNDUP(AC649/1000,0)</f>
        <v>38</v>
      </c>
      <c r="Y649" s="97"/>
      <c r="AC649" s="100">
        <v>37432.567432567434</v>
      </c>
    </row>
    <row r="650" spans="1:29" ht="15.95" customHeight="1" x14ac:dyDescent="0.2">
      <c r="A650" s="665"/>
      <c r="B650" s="43"/>
      <c r="C650" s="149" t="s">
        <v>413</v>
      </c>
      <c r="D650" s="303">
        <v>1511</v>
      </c>
      <c r="E650" s="100">
        <v>77</v>
      </c>
      <c r="F650" s="101">
        <v>156.56326800000002</v>
      </c>
      <c r="G650" s="100">
        <v>201.89321789321789</v>
      </c>
      <c r="H650" s="100">
        <v>0</v>
      </c>
      <c r="I650" s="101"/>
      <c r="J650" s="100">
        <v>23</v>
      </c>
      <c r="K650" s="100">
        <v>284</v>
      </c>
      <c r="L650" s="100"/>
      <c r="M650" s="100">
        <v>0</v>
      </c>
      <c r="N650" s="100"/>
      <c r="O650" s="100">
        <v>0</v>
      </c>
      <c r="P650" s="100">
        <v>0</v>
      </c>
      <c r="Q650" s="102">
        <v>92.27</v>
      </c>
      <c r="R650" s="100">
        <v>0</v>
      </c>
      <c r="S650" s="100">
        <v>288</v>
      </c>
      <c r="T650" s="100">
        <v>0</v>
      </c>
      <c r="U650" s="100">
        <v>38</v>
      </c>
      <c r="V650" s="666"/>
      <c r="W650" s="97"/>
      <c r="X650" s="97">
        <f>+ROUNDUP(AC650/1000,0)</f>
        <v>38</v>
      </c>
      <c r="Y650" s="97"/>
      <c r="AC650" s="100">
        <v>37432.567432567434</v>
      </c>
    </row>
    <row r="651" spans="1:29" ht="15.95" customHeight="1" thickBot="1" x14ac:dyDescent="0.25">
      <c r="A651" s="669"/>
      <c r="B651" s="45"/>
      <c r="C651" s="151" t="s">
        <v>414</v>
      </c>
      <c r="D651" s="305"/>
      <c r="E651" s="105">
        <v>61</v>
      </c>
      <c r="F651" s="106">
        <v>327.49498800000003</v>
      </c>
      <c r="G651" s="105">
        <v>170.39971139971141</v>
      </c>
      <c r="H651" s="105">
        <v>53</v>
      </c>
      <c r="I651" s="106"/>
      <c r="J651" s="105">
        <v>42</v>
      </c>
      <c r="K651" s="105"/>
      <c r="L651" s="105"/>
      <c r="M651" s="105">
        <v>220</v>
      </c>
      <c r="N651" s="105"/>
      <c r="O651" s="105">
        <v>0</v>
      </c>
      <c r="P651" s="105">
        <v>0</v>
      </c>
      <c r="Q651" s="273">
        <v>267.53500000000003</v>
      </c>
      <c r="R651" s="105">
        <v>195</v>
      </c>
      <c r="S651" s="105">
        <v>42</v>
      </c>
      <c r="T651" s="105">
        <v>9</v>
      </c>
      <c r="U651" s="105">
        <v>180</v>
      </c>
      <c r="V651" s="670"/>
      <c r="W651" s="97"/>
      <c r="X651" s="97">
        <f t="shared" si="10"/>
        <v>180</v>
      </c>
      <c r="Y651" s="97">
        <f>+IF((AC651-ROUND(AC651,-3)&gt;400)*AND(AC651-ROUND(AC651,-3)&lt;500),1,0)</f>
        <v>0</v>
      </c>
      <c r="AC651" s="105">
        <v>179660.33966033967</v>
      </c>
    </row>
    <row r="652" spans="1:29" ht="15.95" customHeight="1" thickTop="1" x14ac:dyDescent="0.2">
      <c r="A652" s="665" t="s">
        <v>197</v>
      </c>
      <c r="B652" s="42">
        <v>2008</v>
      </c>
      <c r="C652" s="148" t="s">
        <v>289</v>
      </c>
      <c r="D652" s="303">
        <v>183</v>
      </c>
      <c r="E652" s="100">
        <v>12</v>
      </c>
      <c r="F652" s="101"/>
      <c r="G652" s="100">
        <v>39.74105865522175</v>
      </c>
      <c r="H652" s="100"/>
      <c r="I652" s="101"/>
      <c r="J652" s="100"/>
      <c r="K652" s="100">
        <v>142</v>
      </c>
      <c r="L652" s="100"/>
      <c r="M652" s="100"/>
      <c r="N652" s="100"/>
      <c r="O652" s="100">
        <v>1</v>
      </c>
      <c r="P652" s="100">
        <v>2</v>
      </c>
      <c r="Q652" s="271"/>
      <c r="R652" s="100"/>
      <c r="S652" s="100"/>
      <c r="T652" s="100">
        <v>22</v>
      </c>
      <c r="U652" s="100"/>
      <c r="V652" s="666">
        <v>39.546428571428571</v>
      </c>
      <c r="W652" s="97"/>
      <c r="X652" s="97">
        <f t="shared" si="10"/>
        <v>0</v>
      </c>
      <c r="Y652" s="97"/>
      <c r="AC652" s="100"/>
    </row>
    <row r="653" spans="1:29" ht="15.95" customHeight="1" x14ac:dyDescent="0.2">
      <c r="A653" s="665"/>
      <c r="B653" s="43"/>
      <c r="C653" s="149" t="s">
        <v>290</v>
      </c>
      <c r="D653" s="303">
        <v>183</v>
      </c>
      <c r="E653" s="100">
        <v>12</v>
      </c>
      <c r="F653" s="101"/>
      <c r="G653" s="100">
        <v>0</v>
      </c>
      <c r="H653" s="100"/>
      <c r="I653" s="101"/>
      <c r="J653" s="100"/>
      <c r="K653" s="100">
        <v>142</v>
      </c>
      <c r="L653" s="100"/>
      <c r="M653" s="100"/>
      <c r="N653" s="100"/>
      <c r="O653" s="100">
        <v>1</v>
      </c>
      <c r="P653" s="100">
        <v>2</v>
      </c>
      <c r="Q653" s="271"/>
      <c r="R653" s="100"/>
      <c r="S653" s="100"/>
      <c r="T653" s="100">
        <v>22</v>
      </c>
      <c r="U653" s="100"/>
      <c r="V653" s="666">
        <v>39.285714285714285</v>
      </c>
      <c r="W653" s="97"/>
      <c r="X653" s="97">
        <f t="shared" si="10"/>
        <v>0</v>
      </c>
      <c r="Y653" s="97"/>
      <c r="AC653" s="100"/>
    </row>
    <row r="654" spans="1:29" ht="15.95" customHeight="1" x14ac:dyDescent="0.2">
      <c r="A654" s="667"/>
      <c r="B654" s="44"/>
      <c r="C654" s="150" t="s">
        <v>291</v>
      </c>
      <c r="D654" s="304"/>
      <c r="E654" s="103">
        <v>0</v>
      </c>
      <c r="F654" s="104"/>
      <c r="G654" s="103">
        <v>0</v>
      </c>
      <c r="H654" s="103"/>
      <c r="I654" s="104"/>
      <c r="J654" s="103"/>
      <c r="K654" s="103"/>
      <c r="L654" s="103"/>
      <c r="M654" s="103"/>
      <c r="N654" s="103"/>
      <c r="O654" s="103">
        <v>1</v>
      </c>
      <c r="P654" s="103">
        <v>1</v>
      </c>
      <c r="Q654" s="272"/>
      <c r="R654" s="103"/>
      <c r="S654" s="103"/>
      <c r="T654" s="103">
        <v>0</v>
      </c>
      <c r="U654" s="103"/>
      <c r="V654" s="668">
        <v>0</v>
      </c>
      <c r="W654" s="97"/>
      <c r="X654" s="97">
        <f t="shared" si="10"/>
        <v>0</v>
      </c>
      <c r="Y654" s="97"/>
      <c r="AC654" s="103"/>
    </row>
    <row r="655" spans="1:29" ht="15.95" customHeight="1" x14ac:dyDescent="0.2">
      <c r="A655" s="665"/>
      <c r="B655" s="42">
        <v>2009</v>
      </c>
      <c r="C655" s="149" t="s">
        <v>412</v>
      </c>
      <c r="D655" s="303">
        <v>244</v>
      </c>
      <c r="E655" s="100">
        <v>11</v>
      </c>
      <c r="F655" s="101"/>
      <c r="G655" s="100">
        <v>41.707070707070706</v>
      </c>
      <c r="H655" s="100"/>
      <c r="I655" s="101"/>
      <c r="J655" s="100"/>
      <c r="K655" s="100">
        <v>142</v>
      </c>
      <c r="L655" s="100"/>
      <c r="M655" s="100"/>
      <c r="N655" s="100"/>
      <c r="O655" s="100">
        <v>1</v>
      </c>
      <c r="P655" s="100">
        <v>2</v>
      </c>
      <c r="Q655" s="271"/>
      <c r="R655" s="100"/>
      <c r="S655" s="100"/>
      <c r="T655" s="100">
        <v>22</v>
      </c>
      <c r="U655" s="100"/>
      <c r="V655" s="666">
        <v>39.063392857142851</v>
      </c>
      <c r="W655" s="100"/>
      <c r="X655" s="97">
        <f t="shared" si="10"/>
        <v>0</v>
      </c>
      <c r="Y655" s="97"/>
      <c r="AC655" s="100"/>
    </row>
    <row r="656" spans="1:29" ht="15.95" customHeight="1" x14ac:dyDescent="0.2">
      <c r="A656" s="665"/>
      <c r="B656" s="43"/>
      <c r="C656" s="149" t="s">
        <v>413</v>
      </c>
      <c r="D656" s="303">
        <v>244</v>
      </c>
      <c r="E656" s="100">
        <v>11</v>
      </c>
      <c r="F656" s="101"/>
      <c r="G656" s="100">
        <v>0</v>
      </c>
      <c r="H656" s="100"/>
      <c r="I656" s="101"/>
      <c r="J656" s="100"/>
      <c r="K656" s="100">
        <v>142</v>
      </c>
      <c r="L656" s="100"/>
      <c r="M656" s="100"/>
      <c r="N656" s="100"/>
      <c r="O656" s="100">
        <v>1</v>
      </c>
      <c r="P656" s="100">
        <v>2</v>
      </c>
      <c r="Q656" s="271"/>
      <c r="R656" s="100"/>
      <c r="S656" s="100"/>
      <c r="T656" s="100">
        <v>22</v>
      </c>
      <c r="U656" s="100"/>
      <c r="V656" s="666">
        <v>39</v>
      </c>
      <c r="W656" s="97"/>
      <c r="X656" s="97">
        <f t="shared" si="10"/>
        <v>0</v>
      </c>
      <c r="Y656" s="97"/>
      <c r="AC656" s="100"/>
    </row>
    <row r="657" spans="1:29" ht="15.95" customHeight="1" thickBot="1" x14ac:dyDescent="0.25">
      <c r="A657" s="669"/>
      <c r="B657" s="45"/>
      <c r="C657" s="151" t="s">
        <v>414</v>
      </c>
      <c r="D657" s="305"/>
      <c r="E657" s="105">
        <v>0</v>
      </c>
      <c r="F657" s="106"/>
      <c r="G657" s="105">
        <v>0</v>
      </c>
      <c r="H657" s="105"/>
      <c r="I657" s="106"/>
      <c r="J657" s="105"/>
      <c r="K657" s="105"/>
      <c r="L657" s="105"/>
      <c r="M657" s="105"/>
      <c r="N657" s="105"/>
      <c r="O657" s="105">
        <v>0</v>
      </c>
      <c r="P657" s="105">
        <v>0</v>
      </c>
      <c r="Q657" s="273"/>
      <c r="R657" s="105"/>
      <c r="S657" s="105"/>
      <c r="T657" s="105">
        <v>0</v>
      </c>
      <c r="U657" s="105"/>
      <c r="V657" s="670">
        <v>0</v>
      </c>
      <c r="W657" s="97"/>
      <c r="X657" s="97">
        <f t="shared" si="10"/>
        <v>0</v>
      </c>
      <c r="Y657" s="97">
        <f>+IF((AC657-ROUND(AC657,-3)&gt;400)*AND(AC657-ROUND(AC657,-3)&lt;500),1,0)</f>
        <v>0</v>
      </c>
      <c r="AC657" s="105"/>
    </row>
    <row r="658" spans="1:29" ht="15.95" customHeight="1" thickTop="1" x14ac:dyDescent="0.2">
      <c r="A658" s="665" t="s">
        <v>198</v>
      </c>
      <c r="B658" s="42">
        <v>2008</v>
      </c>
      <c r="C658" s="148" t="s">
        <v>289</v>
      </c>
      <c r="D658" s="303">
        <v>567</v>
      </c>
      <c r="E658" s="100">
        <v>37</v>
      </c>
      <c r="F658" s="101">
        <v>145.53583079999999</v>
      </c>
      <c r="G658" s="100">
        <v>93.742489270386272</v>
      </c>
      <c r="H658" s="100">
        <v>37</v>
      </c>
      <c r="I658" s="101">
        <v>100</v>
      </c>
      <c r="J658" s="100">
        <v>30</v>
      </c>
      <c r="K658" s="100">
        <v>142</v>
      </c>
      <c r="L658" s="100"/>
      <c r="M658" s="100">
        <v>98</v>
      </c>
      <c r="N658" s="100"/>
      <c r="O658" s="100">
        <v>4</v>
      </c>
      <c r="P658" s="100">
        <v>5</v>
      </c>
      <c r="Q658" s="271">
        <v>48.673000000000002</v>
      </c>
      <c r="R658" s="100">
        <v>84</v>
      </c>
      <c r="S658" s="100">
        <v>144</v>
      </c>
      <c r="T658" s="100">
        <v>11</v>
      </c>
      <c r="U658" s="100">
        <v>18</v>
      </c>
      <c r="V658" s="666">
        <v>177.50803571428568</v>
      </c>
      <c r="W658" s="97"/>
      <c r="X658" s="97">
        <f>+ROUNDUP(AC658/1000,0)</f>
        <v>18</v>
      </c>
      <c r="Y658" s="97"/>
      <c r="AC658" s="100">
        <v>17078.395624430264</v>
      </c>
    </row>
    <row r="659" spans="1:29" ht="15.95" customHeight="1" x14ac:dyDescent="0.2">
      <c r="A659" s="665"/>
      <c r="B659" s="43"/>
      <c r="C659" s="149" t="s">
        <v>290</v>
      </c>
      <c r="D659" s="303">
        <v>567</v>
      </c>
      <c r="E659" s="100">
        <v>37</v>
      </c>
      <c r="F659" s="101">
        <v>145.53583079999999</v>
      </c>
      <c r="G659" s="100">
        <v>87.762517882689551</v>
      </c>
      <c r="H659" s="100">
        <v>37</v>
      </c>
      <c r="I659" s="101">
        <v>100</v>
      </c>
      <c r="J659" s="100">
        <v>30</v>
      </c>
      <c r="K659" s="100">
        <v>142</v>
      </c>
      <c r="L659" s="100"/>
      <c r="M659" s="100">
        <v>98</v>
      </c>
      <c r="N659" s="100"/>
      <c r="O659" s="100">
        <v>4</v>
      </c>
      <c r="P659" s="100">
        <v>5</v>
      </c>
      <c r="Q659" s="271">
        <v>48.673000000000002</v>
      </c>
      <c r="R659" s="100">
        <v>84</v>
      </c>
      <c r="S659" s="100">
        <v>144</v>
      </c>
      <c r="T659" s="100">
        <v>11</v>
      </c>
      <c r="U659" s="100">
        <v>18</v>
      </c>
      <c r="V659" s="666">
        <v>177.67857142857142</v>
      </c>
      <c r="W659" s="97"/>
      <c r="X659" s="97">
        <f>+ROUNDUP(AC659/1000,0)</f>
        <v>18</v>
      </c>
      <c r="Y659" s="97"/>
      <c r="AC659" s="100">
        <v>17078.395624430264</v>
      </c>
    </row>
    <row r="660" spans="1:29" ht="15.95" customHeight="1" x14ac:dyDescent="0.2">
      <c r="A660" s="667"/>
      <c r="B660" s="44"/>
      <c r="C660" s="150" t="s">
        <v>291</v>
      </c>
      <c r="D660" s="304"/>
      <c r="E660" s="103">
        <v>0</v>
      </c>
      <c r="F660" s="104">
        <v>185.02807999999999</v>
      </c>
      <c r="G660" s="103">
        <v>0</v>
      </c>
      <c r="H660" s="103">
        <v>0</v>
      </c>
      <c r="I660" s="104"/>
      <c r="J660" s="103">
        <v>0</v>
      </c>
      <c r="K660" s="103"/>
      <c r="L660" s="103"/>
      <c r="M660" s="103">
        <v>0</v>
      </c>
      <c r="N660" s="103"/>
      <c r="O660" s="103">
        <v>0</v>
      </c>
      <c r="P660" s="103">
        <v>0</v>
      </c>
      <c r="Q660" s="272"/>
      <c r="R660" s="103">
        <v>0</v>
      </c>
      <c r="S660" s="103">
        <v>0</v>
      </c>
      <c r="T660" s="103">
        <v>0</v>
      </c>
      <c r="U660" s="103">
        <v>0</v>
      </c>
      <c r="V660" s="668">
        <v>0</v>
      </c>
      <c r="W660" s="97"/>
      <c r="X660" s="97">
        <f t="shared" si="10"/>
        <v>0</v>
      </c>
      <c r="Y660" s="97"/>
      <c r="AC660" s="103">
        <v>0</v>
      </c>
    </row>
    <row r="661" spans="1:29" ht="15.95" customHeight="1" x14ac:dyDescent="0.2">
      <c r="A661" s="665"/>
      <c r="B661" s="42">
        <v>2009</v>
      </c>
      <c r="C661" s="149" t="s">
        <v>412</v>
      </c>
      <c r="D661" s="303">
        <v>755</v>
      </c>
      <c r="E661" s="100">
        <v>38</v>
      </c>
      <c r="F661" s="101">
        <v>145.53583079999999</v>
      </c>
      <c r="G661" s="100">
        <v>99</v>
      </c>
      <c r="H661" s="100">
        <v>42</v>
      </c>
      <c r="I661" s="101">
        <v>100</v>
      </c>
      <c r="J661" s="100">
        <v>24</v>
      </c>
      <c r="K661" s="100">
        <v>142</v>
      </c>
      <c r="L661" s="100"/>
      <c r="M661" s="100">
        <v>98</v>
      </c>
      <c r="N661" s="100"/>
      <c r="O661" s="100">
        <v>4</v>
      </c>
      <c r="P661" s="100">
        <v>5</v>
      </c>
      <c r="Q661" s="102">
        <v>46.134999999999998</v>
      </c>
      <c r="R661" s="100">
        <v>86</v>
      </c>
      <c r="S661" s="100">
        <v>144</v>
      </c>
      <c r="T661" s="100">
        <v>11</v>
      </c>
      <c r="U661" s="100">
        <v>19</v>
      </c>
      <c r="V661" s="666">
        <v>199.24553571428569</v>
      </c>
      <c r="W661" s="100"/>
      <c r="X661" s="97">
        <f t="shared" si="10"/>
        <v>19</v>
      </c>
      <c r="Y661" s="97"/>
      <c r="AC661" s="100">
        <v>18716.283716283717</v>
      </c>
    </row>
    <row r="662" spans="1:29" ht="15.95" customHeight="1" x14ac:dyDescent="0.2">
      <c r="A662" s="665"/>
      <c r="B662" s="43"/>
      <c r="C662" s="149" t="s">
        <v>413</v>
      </c>
      <c r="D662" s="303"/>
      <c r="E662" s="100">
        <v>38</v>
      </c>
      <c r="F662" s="101">
        <v>145.53583079999999</v>
      </c>
      <c r="G662" s="100">
        <v>34.786435786435788</v>
      </c>
      <c r="H662" s="100">
        <v>42</v>
      </c>
      <c r="I662" s="101">
        <v>100</v>
      </c>
      <c r="J662" s="100">
        <v>24</v>
      </c>
      <c r="K662" s="100">
        <v>142</v>
      </c>
      <c r="L662" s="100"/>
      <c r="M662" s="100">
        <v>98</v>
      </c>
      <c r="N662" s="100"/>
      <c r="O662" s="100">
        <v>4</v>
      </c>
      <c r="P662" s="100">
        <v>5</v>
      </c>
      <c r="Q662" s="102">
        <v>46.134999999999998</v>
      </c>
      <c r="R662" s="100">
        <v>86</v>
      </c>
      <c r="S662" s="100">
        <v>0</v>
      </c>
      <c r="T662" s="100">
        <v>0</v>
      </c>
      <c r="U662" s="100">
        <v>19</v>
      </c>
      <c r="V662" s="666">
        <v>0</v>
      </c>
      <c r="W662" s="97"/>
      <c r="X662" s="97">
        <f t="shared" si="10"/>
        <v>19</v>
      </c>
      <c r="Y662" s="97"/>
      <c r="AC662" s="100">
        <v>18716.283716283717</v>
      </c>
    </row>
    <row r="663" spans="1:29" ht="15.95" customHeight="1" thickBot="1" x14ac:dyDescent="0.25">
      <c r="A663" s="669"/>
      <c r="B663" s="45"/>
      <c r="C663" s="151" t="s">
        <v>414</v>
      </c>
      <c r="D663" s="305"/>
      <c r="E663" s="105">
        <v>0</v>
      </c>
      <c r="F663" s="106">
        <v>0</v>
      </c>
      <c r="G663" s="105">
        <v>0</v>
      </c>
      <c r="H663" s="105">
        <v>0</v>
      </c>
      <c r="I663" s="106"/>
      <c r="J663" s="105">
        <v>0</v>
      </c>
      <c r="K663" s="105"/>
      <c r="L663" s="105"/>
      <c r="M663" s="105">
        <v>0</v>
      </c>
      <c r="N663" s="105"/>
      <c r="O663" s="105">
        <v>0</v>
      </c>
      <c r="P663" s="105">
        <v>0</v>
      </c>
      <c r="Q663" s="273"/>
      <c r="R663" s="105">
        <v>0</v>
      </c>
      <c r="S663" s="105">
        <v>0</v>
      </c>
      <c r="T663" s="105">
        <v>0</v>
      </c>
      <c r="U663" s="105">
        <v>0</v>
      </c>
      <c r="V663" s="670">
        <v>0</v>
      </c>
      <c r="W663" s="97"/>
      <c r="X663" s="97">
        <f t="shared" si="10"/>
        <v>0</v>
      </c>
      <c r="Y663" s="97">
        <f>+IF((AC663-ROUND(AC663,-3)&gt;400)*AND(AC663-ROUND(AC663,-3)&lt;500),1,0)</f>
        <v>0</v>
      </c>
      <c r="AC663" s="105">
        <v>0</v>
      </c>
    </row>
    <row r="664" spans="1:29" ht="15.95" customHeight="1" thickTop="1" x14ac:dyDescent="0.2">
      <c r="A664" s="665" t="s">
        <v>199</v>
      </c>
      <c r="B664" s="42">
        <v>2008</v>
      </c>
      <c r="C664" s="148" t="s">
        <v>289</v>
      </c>
      <c r="D664" s="303">
        <v>1555</v>
      </c>
      <c r="E664" s="100">
        <v>101</v>
      </c>
      <c r="F664" s="101">
        <v>403.74454400000002</v>
      </c>
      <c r="G664" s="100">
        <v>324.78111587982835</v>
      </c>
      <c r="H664" s="100">
        <v>231</v>
      </c>
      <c r="I664" s="101">
        <v>273</v>
      </c>
      <c r="J664" s="100">
        <v>63</v>
      </c>
      <c r="K664" s="100">
        <v>142</v>
      </c>
      <c r="L664" s="100"/>
      <c r="M664" s="100">
        <v>268</v>
      </c>
      <c r="N664" s="100"/>
      <c r="O664" s="100">
        <v>10</v>
      </c>
      <c r="P664" s="100">
        <v>13</v>
      </c>
      <c r="Q664" s="271">
        <v>133.57</v>
      </c>
      <c r="R664" s="100"/>
      <c r="S664" s="100">
        <v>395</v>
      </c>
      <c r="T664" s="100">
        <v>44</v>
      </c>
      <c r="U664" s="100">
        <v>46</v>
      </c>
      <c r="V664" s="666">
        <v>599.70982142857133</v>
      </c>
      <c r="W664" s="97"/>
      <c r="X664" s="97">
        <f t="shared" si="10"/>
        <v>46</v>
      </c>
      <c r="Y664" s="97"/>
      <c r="AC664" s="100">
        <v>45542.388331814036</v>
      </c>
    </row>
    <row r="665" spans="1:29" ht="15.95" customHeight="1" x14ac:dyDescent="0.2">
      <c r="A665" s="665"/>
      <c r="B665" s="43"/>
      <c r="C665" s="149" t="s">
        <v>290</v>
      </c>
      <c r="D665" s="303">
        <v>1555</v>
      </c>
      <c r="E665" s="100">
        <v>101</v>
      </c>
      <c r="F665" s="101">
        <v>403.74454400000002</v>
      </c>
      <c r="G665" s="100">
        <v>319.13590844062946</v>
      </c>
      <c r="H665" s="100">
        <v>231</v>
      </c>
      <c r="I665" s="101">
        <v>273</v>
      </c>
      <c r="J665" s="100">
        <v>63</v>
      </c>
      <c r="K665" s="100">
        <v>142</v>
      </c>
      <c r="L665" s="100"/>
      <c r="M665" s="100">
        <v>268</v>
      </c>
      <c r="N665" s="100"/>
      <c r="O665" s="100">
        <v>10</v>
      </c>
      <c r="P665" s="100">
        <v>13</v>
      </c>
      <c r="Q665" s="271">
        <v>133.57</v>
      </c>
      <c r="R665" s="100"/>
      <c r="S665" s="100">
        <v>395</v>
      </c>
      <c r="T665" s="100">
        <v>44</v>
      </c>
      <c r="U665" s="100">
        <v>46</v>
      </c>
      <c r="V665" s="666">
        <v>600</v>
      </c>
      <c r="W665" s="97"/>
      <c r="X665" s="97">
        <f t="shared" si="10"/>
        <v>46</v>
      </c>
      <c r="Y665" s="97"/>
      <c r="AC665" s="100">
        <v>45542.388331814036</v>
      </c>
    </row>
    <row r="666" spans="1:29" ht="15.95" customHeight="1" x14ac:dyDescent="0.2">
      <c r="A666" s="667"/>
      <c r="B666" s="44"/>
      <c r="C666" s="150" t="s">
        <v>291</v>
      </c>
      <c r="D666" s="304"/>
      <c r="E666" s="103">
        <v>0</v>
      </c>
      <c r="F666" s="104">
        <v>0</v>
      </c>
      <c r="G666" s="103">
        <v>0</v>
      </c>
      <c r="H666" s="103">
        <v>0</v>
      </c>
      <c r="I666" s="104"/>
      <c r="J666" s="103">
        <v>0</v>
      </c>
      <c r="K666" s="103"/>
      <c r="L666" s="103"/>
      <c r="M666" s="103">
        <v>0</v>
      </c>
      <c r="N666" s="103"/>
      <c r="O666" s="103">
        <v>0</v>
      </c>
      <c r="P666" s="103">
        <v>0</v>
      </c>
      <c r="Q666" s="272"/>
      <c r="R666" s="103"/>
      <c r="S666" s="103">
        <v>0</v>
      </c>
      <c r="T666" s="103">
        <v>0</v>
      </c>
      <c r="U666" s="103">
        <v>0</v>
      </c>
      <c r="V666" s="668">
        <v>0</v>
      </c>
      <c r="W666" s="97"/>
      <c r="X666" s="97">
        <f t="shared" si="10"/>
        <v>0</v>
      </c>
      <c r="Y666" s="97"/>
      <c r="AC666" s="103">
        <v>0</v>
      </c>
    </row>
    <row r="667" spans="1:29" ht="15.95" customHeight="1" x14ac:dyDescent="0.2">
      <c r="A667" s="665"/>
      <c r="B667" s="42">
        <v>2009</v>
      </c>
      <c r="C667" s="149" t="s">
        <v>412</v>
      </c>
      <c r="D667" s="303">
        <v>2071</v>
      </c>
      <c r="E667" s="100">
        <v>102</v>
      </c>
      <c r="F667" s="101">
        <v>403.74454400000002</v>
      </c>
      <c r="G667" s="100">
        <v>340.83261183261186</v>
      </c>
      <c r="H667" s="100">
        <v>257</v>
      </c>
      <c r="I667" s="101">
        <v>273</v>
      </c>
      <c r="J667" s="100">
        <v>52</v>
      </c>
      <c r="K667" s="100">
        <v>142</v>
      </c>
      <c r="L667" s="100"/>
      <c r="M667" s="100">
        <v>268</v>
      </c>
      <c r="N667" s="100"/>
      <c r="O667" s="100">
        <v>10</v>
      </c>
      <c r="P667" s="100">
        <v>13</v>
      </c>
      <c r="Q667" s="102">
        <v>126.60299999999999</v>
      </c>
      <c r="R667" s="100"/>
      <c r="S667" s="100">
        <v>395</v>
      </c>
      <c r="T667" s="100">
        <v>44</v>
      </c>
      <c r="U667" s="100">
        <v>51</v>
      </c>
      <c r="V667" s="666">
        <v>636.87499999999989</v>
      </c>
      <c r="W667" s="100"/>
      <c r="X667" s="97">
        <f>+ROUNDUP(AC667/1000+0.5,0)</f>
        <v>51</v>
      </c>
      <c r="Y667" s="97"/>
      <c r="AC667" s="100">
        <v>49910.089910089919</v>
      </c>
    </row>
    <row r="668" spans="1:29" ht="15.95" customHeight="1" x14ac:dyDescent="0.2">
      <c r="A668" s="665"/>
      <c r="B668" s="43"/>
      <c r="C668" s="149" t="s">
        <v>413</v>
      </c>
      <c r="D668" s="303">
        <v>2071</v>
      </c>
      <c r="E668" s="100">
        <v>102</v>
      </c>
      <c r="F668" s="101">
        <v>403.74454400000002</v>
      </c>
      <c r="G668" s="100">
        <v>340.83261183261186</v>
      </c>
      <c r="H668" s="100">
        <v>257</v>
      </c>
      <c r="I668" s="101">
        <v>273</v>
      </c>
      <c r="J668" s="100">
        <v>52</v>
      </c>
      <c r="K668" s="100">
        <v>142</v>
      </c>
      <c r="L668" s="100"/>
      <c r="M668" s="100">
        <v>268</v>
      </c>
      <c r="N668" s="100">
        <v>2248</v>
      </c>
      <c r="O668" s="100">
        <v>10</v>
      </c>
      <c r="P668" s="100">
        <v>13</v>
      </c>
      <c r="Q668" s="102">
        <v>126.60299999999999</v>
      </c>
      <c r="R668" s="100"/>
      <c r="S668" s="100">
        <v>395</v>
      </c>
      <c r="T668" s="100">
        <v>44</v>
      </c>
      <c r="U668" s="100">
        <v>51</v>
      </c>
      <c r="V668" s="666">
        <v>0</v>
      </c>
      <c r="W668" s="97"/>
      <c r="X668" s="97">
        <f>+ROUNDUP(AC668/1000+0.5,0)</f>
        <v>51</v>
      </c>
      <c r="Y668" s="97"/>
      <c r="AC668" s="100">
        <v>49910.089910089919</v>
      </c>
    </row>
    <row r="669" spans="1:29" ht="15.95" customHeight="1" thickBot="1" x14ac:dyDescent="0.25">
      <c r="A669" s="669"/>
      <c r="B669" s="45"/>
      <c r="C669" s="151" t="s">
        <v>414</v>
      </c>
      <c r="D669" s="305"/>
      <c r="E669" s="105">
        <v>0</v>
      </c>
      <c r="F669" s="106">
        <v>0</v>
      </c>
      <c r="G669" s="105">
        <v>0</v>
      </c>
      <c r="H669" s="105">
        <v>0</v>
      </c>
      <c r="I669" s="106"/>
      <c r="J669" s="105">
        <v>0</v>
      </c>
      <c r="K669" s="105"/>
      <c r="L669" s="105"/>
      <c r="M669" s="105">
        <v>0</v>
      </c>
      <c r="N669" s="105"/>
      <c r="O669" s="105">
        <v>0</v>
      </c>
      <c r="P669" s="105">
        <v>0</v>
      </c>
      <c r="Q669" s="273"/>
      <c r="R669" s="105"/>
      <c r="S669" s="105">
        <v>0</v>
      </c>
      <c r="T669" s="105">
        <v>0</v>
      </c>
      <c r="U669" s="105">
        <v>0</v>
      </c>
      <c r="V669" s="670">
        <v>0</v>
      </c>
      <c r="W669" s="97"/>
      <c r="X669" s="97">
        <f t="shared" si="10"/>
        <v>0</v>
      </c>
      <c r="Y669" s="97">
        <f>+IF((AC669-ROUND(AC669,-3)&gt;400)*AND(AC669-ROUND(AC669,-3)&lt;500),1,0)</f>
        <v>0</v>
      </c>
      <c r="AC669" s="105">
        <v>0</v>
      </c>
    </row>
    <row r="670" spans="1:29" ht="15.95" customHeight="1" thickTop="1" x14ac:dyDescent="0.2">
      <c r="A670" s="665" t="s">
        <v>66</v>
      </c>
      <c r="B670" s="42">
        <v>2008</v>
      </c>
      <c r="C670" s="148" t="s">
        <v>289</v>
      </c>
      <c r="D670" s="303"/>
      <c r="E670" s="100"/>
      <c r="F670" s="101"/>
      <c r="G670" s="100"/>
      <c r="H670" s="100"/>
      <c r="I670" s="101"/>
      <c r="J670" s="100">
        <v>4</v>
      </c>
      <c r="K670" s="100"/>
      <c r="L670" s="100"/>
      <c r="M670" s="100">
        <v>2</v>
      </c>
      <c r="N670" s="100"/>
      <c r="O670" s="100"/>
      <c r="P670" s="100"/>
      <c r="Q670" s="271"/>
      <c r="R670" s="100">
        <v>33</v>
      </c>
      <c r="S670" s="100"/>
      <c r="T670" s="100"/>
      <c r="U670" s="100">
        <v>11</v>
      </c>
      <c r="V670" s="666">
        <v>117.15446428571427</v>
      </c>
      <c r="W670" s="97"/>
      <c r="X670" s="97">
        <f t="shared" si="10"/>
        <v>11</v>
      </c>
      <c r="Y670" s="97"/>
      <c r="AC670" s="100">
        <v>11385.597082953509</v>
      </c>
    </row>
    <row r="671" spans="1:29" ht="15.95" customHeight="1" x14ac:dyDescent="0.2">
      <c r="A671" s="665"/>
      <c r="B671" s="43"/>
      <c r="C671" s="149" t="s">
        <v>290</v>
      </c>
      <c r="D671" s="303"/>
      <c r="E671" s="100"/>
      <c r="F671" s="101"/>
      <c r="G671" s="100"/>
      <c r="H671" s="100"/>
      <c r="I671" s="101"/>
      <c r="J671" s="100">
        <v>4</v>
      </c>
      <c r="K671" s="100"/>
      <c r="L671" s="100"/>
      <c r="M671" s="100">
        <v>2</v>
      </c>
      <c r="N671" s="100"/>
      <c r="O671" s="100"/>
      <c r="P671" s="100"/>
      <c r="Q671" s="271"/>
      <c r="R671" s="100">
        <v>33</v>
      </c>
      <c r="S671" s="100"/>
      <c r="T671" s="100"/>
      <c r="U671" s="100">
        <v>11</v>
      </c>
      <c r="V671" s="666">
        <v>116.96428571428571</v>
      </c>
      <c r="W671" s="97"/>
      <c r="X671" s="97">
        <f t="shared" si="10"/>
        <v>11</v>
      </c>
      <c r="Y671" s="97"/>
      <c r="AC671" s="100">
        <v>11385.597082953509</v>
      </c>
    </row>
    <row r="672" spans="1:29" ht="15.95" customHeight="1" x14ac:dyDescent="0.2">
      <c r="A672" s="667"/>
      <c r="B672" s="44"/>
      <c r="C672" s="150" t="s">
        <v>291</v>
      </c>
      <c r="D672" s="304"/>
      <c r="E672" s="103"/>
      <c r="F672" s="104"/>
      <c r="G672" s="103"/>
      <c r="H672" s="103"/>
      <c r="I672" s="104"/>
      <c r="J672" s="103">
        <v>0</v>
      </c>
      <c r="K672" s="103"/>
      <c r="L672" s="103"/>
      <c r="M672" s="103">
        <v>0</v>
      </c>
      <c r="N672" s="103"/>
      <c r="O672" s="103"/>
      <c r="P672" s="103"/>
      <c r="Q672" s="272"/>
      <c r="R672" s="103">
        <v>0</v>
      </c>
      <c r="S672" s="103"/>
      <c r="T672" s="103"/>
      <c r="U672" s="103">
        <v>0</v>
      </c>
      <c r="V672" s="668">
        <v>0</v>
      </c>
      <c r="W672" s="97"/>
      <c r="X672" s="97">
        <f t="shared" si="10"/>
        <v>0</v>
      </c>
      <c r="Y672" s="97"/>
      <c r="AC672" s="103">
        <v>0</v>
      </c>
    </row>
    <row r="673" spans="1:29" ht="15.95" customHeight="1" x14ac:dyDescent="0.2">
      <c r="A673" s="665"/>
      <c r="B673" s="42">
        <v>2009</v>
      </c>
      <c r="C673" s="149" t="s">
        <v>412</v>
      </c>
      <c r="D673" s="303"/>
      <c r="E673" s="100"/>
      <c r="F673" s="101"/>
      <c r="G673" s="100"/>
      <c r="H673" s="100"/>
      <c r="I673" s="101"/>
      <c r="J673" s="100">
        <v>3</v>
      </c>
      <c r="K673" s="100"/>
      <c r="L673" s="100"/>
      <c r="M673" s="100">
        <v>2</v>
      </c>
      <c r="N673" s="100"/>
      <c r="O673" s="100"/>
      <c r="P673" s="100"/>
      <c r="Q673" s="271"/>
      <c r="R673" s="100">
        <v>36</v>
      </c>
      <c r="S673" s="100"/>
      <c r="T673" s="100"/>
      <c r="U673" s="100">
        <v>12</v>
      </c>
      <c r="V673" s="666">
        <v>122.18303571428571</v>
      </c>
      <c r="W673" s="100"/>
      <c r="X673" s="97">
        <f t="shared" si="10"/>
        <v>12</v>
      </c>
      <c r="Y673" s="97"/>
      <c r="AC673" s="100">
        <v>12477.52247752248</v>
      </c>
    </row>
    <row r="674" spans="1:29" ht="15.95" customHeight="1" x14ac:dyDescent="0.2">
      <c r="A674" s="665"/>
      <c r="B674" s="43"/>
      <c r="C674" s="149" t="s">
        <v>413</v>
      </c>
      <c r="D674" s="303"/>
      <c r="E674" s="100"/>
      <c r="F674" s="101"/>
      <c r="G674" s="100"/>
      <c r="H674" s="100"/>
      <c r="I674" s="101"/>
      <c r="J674" s="100">
        <v>3</v>
      </c>
      <c r="K674" s="100"/>
      <c r="L674" s="100"/>
      <c r="M674" s="100">
        <v>2</v>
      </c>
      <c r="N674" s="100"/>
      <c r="O674" s="100"/>
      <c r="P674" s="100"/>
      <c r="Q674" s="271"/>
      <c r="R674" s="100">
        <v>36</v>
      </c>
      <c r="S674" s="100"/>
      <c r="T674" s="100"/>
      <c r="U674" s="100">
        <v>12</v>
      </c>
      <c r="V674" s="666">
        <v>122</v>
      </c>
      <c r="W674" s="97"/>
      <c r="X674" s="97">
        <f t="shared" si="10"/>
        <v>12</v>
      </c>
      <c r="Y674" s="97"/>
      <c r="AC674" s="100">
        <v>12477.52247752248</v>
      </c>
    </row>
    <row r="675" spans="1:29" ht="15.95" customHeight="1" thickBot="1" x14ac:dyDescent="0.25">
      <c r="A675" s="669"/>
      <c r="B675" s="45"/>
      <c r="C675" s="151" t="s">
        <v>414</v>
      </c>
      <c r="D675" s="305"/>
      <c r="E675" s="105"/>
      <c r="F675" s="106"/>
      <c r="G675" s="105"/>
      <c r="H675" s="105"/>
      <c r="I675" s="106"/>
      <c r="J675" s="105">
        <v>0</v>
      </c>
      <c r="K675" s="105"/>
      <c r="L675" s="105"/>
      <c r="M675" s="105">
        <v>0</v>
      </c>
      <c r="N675" s="105"/>
      <c r="O675" s="105"/>
      <c r="P675" s="105"/>
      <c r="Q675" s="273"/>
      <c r="R675" s="105">
        <v>0</v>
      </c>
      <c r="S675" s="105"/>
      <c r="T675" s="105"/>
      <c r="U675" s="105">
        <v>0</v>
      </c>
      <c r="V675" s="670">
        <v>0</v>
      </c>
      <c r="W675" s="97"/>
      <c r="X675" s="97">
        <f t="shared" si="10"/>
        <v>0</v>
      </c>
      <c r="Y675" s="97">
        <f>+IF((AC675-ROUND(AC675,-3)&gt;400)*AND(AC675-ROUND(AC675,-3)&lt;500),1,0)</f>
        <v>0</v>
      </c>
      <c r="AC675" s="105">
        <v>0</v>
      </c>
    </row>
    <row r="676" spans="1:29" ht="15.95" customHeight="1" thickTop="1" x14ac:dyDescent="0.2">
      <c r="A676" s="665" t="s">
        <v>201</v>
      </c>
      <c r="B676" s="42">
        <v>2008</v>
      </c>
      <c r="C676" s="148" t="s">
        <v>289</v>
      </c>
      <c r="D676" s="303">
        <v>37</v>
      </c>
      <c r="E676" s="100">
        <v>2</v>
      </c>
      <c r="F676" s="101">
        <v>9.3894079999999995</v>
      </c>
      <c r="G676" s="100">
        <v>6.2918454935622323</v>
      </c>
      <c r="H676" s="100">
        <v>37</v>
      </c>
      <c r="I676" s="101">
        <v>6</v>
      </c>
      <c r="J676" s="100">
        <v>8</v>
      </c>
      <c r="K676" s="100">
        <v>35</v>
      </c>
      <c r="L676" s="100"/>
      <c r="M676" s="100">
        <v>6</v>
      </c>
      <c r="N676" s="100"/>
      <c r="O676" s="100">
        <v>0</v>
      </c>
      <c r="P676" s="100">
        <v>0</v>
      </c>
      <c r="Q676" s="271">
        <v>3.395</v>
      </c>
      <c r="R676" s="100">
        <v>35</v>
      </c>
      <c r="S676" s="100">
        <v>9</v>
      </c>
      <c r="T676" s="100">
        <v>1</v>
      </c>
      <c r="U676" s="100">
        <v>11</v>
      </c>
      <c r="V676" s="666">
        <v>24</v>
      </c>
      <c r="W676" s="97"/>
      <c r="X676" s="97">
        <f t="shared" si="10"/>
        <v>11</v>
      </c>
      <c r="Y676" s="97"/>
      <c r="AC676" s="100">
        <v>11385.597082953509</v>
      </c>
    </row>
    <row r="677" spans="1:29" ht="15.95" customHeight="1" x14ac:dyDescent="0.2">
      <c r="A677" s="665"/>
      <c r="B677" s="43"/>
      <c r="C677" s="149" t="s">
        <v>290</v>
      </c>
      <c r="D677" s="303">
        <v>37</v>
      </c>
      <c r="E677" s="100">
        <v>0</v>
      </c>
      <c r="F677" s="101">
        <v>9.3894079999999995</v>
      </c>
      <c r="G677" s="100">
        <v>0</v>
      </c>
      <c r="H677" s="100">
        <v>37</v>
      </c>
      <c r="I677" s="101">
        <v>6</v>
      </c>
      <c r="J677" s="100">
        <v>1</v>
      </c>
      <c r="K677" s="100">
        <v>35</v>
      </c>
      <c r="L677" s="100"/>
      <c r="M677" s="100">
        <v>6</v>
      </c>
      <c r="N677" s="100">
        <v>160</v>
      </c>
      <c r="O677" s="100">
        <v>0</v>
      </c>
      <c r="P677" s="100">
        <v>0</v>
      </c>
      <c r="Q677" s="271">
        <v>3.395</v>
      </c>
      <c r="R677" s="100">
        <v>35</v>
      </c>
      <c r="S677" s="100">
        <v>9</v>
      </c>
      <c r="T677" s="100">
        <v>1</v>
      </c>
      <c r="U677" s="100">
        <v>11</v>
      </c>
      <c r="V677" s="666">
        <v>24.107142857142854</v>
      </c>
      <c r="W677" s="97"/>
      <c r="X677" s="97">
        <f t="shared" si="10"/>
        <v>11</v>
      </c>
      <c r="Y677" s="97"/>
      <c r="AC677" s="100">
        <v>11385.597082953509</v>
      </c>
    </row>
    <row r="678" spans="1:29" ht="15.95" customHeight="1" x14ac:dyDescent="0.2">
      <c r="A678" s="667"/>
      <c r="B678" s="44"/>
      <c r="C678" s="150" t="s">
        <v>291</v>
      </c>
      <c r="D678" s="304">
        <v>1</v>
      </c>
      <c r="E678" s="103">
        <v>20</v>
      </c>
      <c r="F678" s="104">
        <v>0</v>
      </c>
      <c r="G678" s="103">
        <v>0.2174535050071531</v>
      </c>
      <c r="H678" s="103">
        <v>0</v>
      </c>
      <c r="I678" s="104">
        <v>9</v>
      </c>
      <c r="J678" s="103">
        <v>7</v>
      </c>
      <c r="K678" s="103"/>
      <c r="L678" s="103"/>
      <c r="M678" s="103">
        <v>0</v>
      </c>
      <c r="N678" s="103"/>
      <c r="O678" s="103">
        <v>0</v>
      </c>
      <c r="P678" s="103">
        <v>0</v>
      </c>
      <c r="Q678" s="272"/>
      <c r="R678" s="103">
        <v>10</v>
      </c>
      <c r="S678" s="103">
        <v>0</v>
      </c>
      <c r="T678" s="103">
        <v>0</v>
      </c>
      <c r="U678" s="103">
        <v>0</v>
      </c>
      <c r="V678" s="668">
        <v>0</v>
      </c>
      <c r="W678" s="97"/>
      <c r="X678" s="97">
        <f t="shared" si="10"/>
        <v>0</v>
      </c>
      <c r="Y678" s="97"/>
      <c r="AC678" s="103">
        <v>0</v>
      </c>
    </row>
    <row r="679" spans="1:29" ht="15.95" customHeight="1" x14ac:dyDescent="0.2">
      <c r="A679" s="665"/>
      <c r="B679" s="42">
        <v>2009</v>
      </c>
      <c r="C679" s="149" t="s">
        <v>412</v>
      </c>
      <c r="D679" s="303">
        <v>49</v>
      </c>
      <c r="E679" s="100">
        <v>2</v>
      </c>
      <c r="F679" s="101">
        <v>9.3894079999999995</v>
      </c>
      <c r="G679" s="100">
        <v>6.5064935064935074</v>
      </c>
      <c r="H679" s="100">
        <v>42</v>
      </c>
      <c r="I679" s="101">
        <v>6</v>
      </c>
      <c r="J679" s="100">
        <v>7</v>
      </c>
      <c r="K679" s="100">
        <v>35</v>
      </c>
      <c r="L679" s="100"/>
      <c r="M679" s="100">
        <v>6</v>
      </c>
      <c r="N679" s="100"/>
      <c r="O679" s="100">
        <v>0</v>
      </c>
      <c r="P679" s="100">
        <v>0</v>
      </c>
      <c r="Q679" s="102">
        <v>3.218</v>
      </c>
      <c r="R679" s="100">
        <v>36</v>
      </c>
      <c r="S679" s="100">
        <v>9</v>
      </c>
      <c r="T679" s="100">
        <v>1</v>
      </c>
      <c r="U679" s="100">
        <v>12</v>
      </c>
      <c r="V679" s="666">
        <v>25</v>
      </c>
      <c r="W679" s="100"/>
      <c r="X679" s="97">
        <f t="shared" si="10"/>
        <v>12</v>
      </c>
      <c r="Y679" s="97"/>
      <c r="AC679" s="100">
        <v>12477.52247752248</v>
      </c>
    </row>
    <row r="680" spans="1:29" ht="15.95" customHeight="1" x14ac:dyDescent="0.2">
      <c r="A680" s="665"/>
      <c r="B680" s="43"/>
      <c r="C680" s="149" t="s">
        <v>413</v>
      </c>
      <c r="D680" s="303">
        <v>49</v>
      </c>
      <c r="E680" s="100">
        <v>0</v>
      </c>
      <c r="F680" s="101">
        <v>4.4048312000000003</v>
      </c>
      <c r="G680" s="100">
        <v>0</v>
      </c>
      <c r="H680" s="100">
        <v>42</v>
      </c>
      <c r="I680" s="101">
        <v>6</v>
      </c>
      <c r="J680" s="100">
        <v>7</v>
      </c>
      <c r="K680" s="100">
        <v>35</v>
      </c>
      <c r="L680" s="100"/>
      <c r="M680" s="100">
        <v>6</v>
      </c>
      <c r="N680" s="100">
        <v>38</v>
      </c>
      <c r="O680" s="100">
        <v>0</v>
      </c>
      <c r="P680" s="100">
        <v>0</v>
      </c>
      <c r="Q680" s="102">
        <v>2.968</v>
      </c>
      <c r="R680" s="100">
        <v>3</v>
      </c>
      <c r="S680" s="100">
        <v>9</v>
      </c>
      <c r="T680" s="100">
        <v>1</v>
      </c>
      <c r="U680" s="100">
        <v>10</v>
      </c>
      <c r="V680" s="666">
        <v>23</v>
      </c>
      <c r="W680" s="97"/>
      <c r="X680" s="97">
        <f>+ROUNDDOWN(AC680/1000-0.5,0)</f>
        <v>10</v>
      </c>
      <c r="Y680" s="97"/>
      <c r="AC680" s="100">
        <v>11232.517482517484</v>
      </c>
    </row>
    <row r="681" spans="1:29" ht="15.95" customHeight="1" thickBot="1" x14ac:dyDescent="0.25">
      <c r="A681" s="669"/>
      <c r="B681" s="45"/>
      <c r="C681" s="151" t="s">
        <v>414</v>
      </c>
      <c r="D681" s="305"/>
      <c r="E681" s="105">
        <v>0</v>
      </c>
      <c r="F681" s="106">
        <v>0</v>
      </c>
      <c r="G681" s="105">
        <v>6.1933621933621934</v>
      </c>
      <c r="H681" s="105">
        <v>0</v>
      </c>
      <c r="I681" s="106"/>
      <c r="J681" s="105">
        <v>6</v>
      </c>
      <c r="K681" s="105"/>
      <c r="L681" s="105"/>
      <c r="M681" s="105">
        <v>0</v>
      </c>
      <c r="N681" s="105"/>
      <c r="O681" s="105">
        <v>0</v>
      </c>
      <c r="P681" s="105">
        <v>0</v>
      </c>
      <c r="Q681" s="273"/>
      <c r="R681" s="105">
        <v>0</v>
      </c>
      <c r="S681" s="105">
        <v>0</v>
      </c>
      <c r="T681" s="105">
        <v>0</v>
      </c>
      <c r="U681" s="105">
        <v>0</v>
      </c>
      <c r="V681" s="670">
        <v>0</v>
      </c>
      <c r="W681" s="97"/>
      <c r="X681" s="97">
        <f t="shared" si="10"/>
        <v>0</v>
      </c>
      <c r="Y681" s="97">
        <f>+IF((AC681-ROUND(AC681,-3)&gt;400)*AND(AC681-ROUND(AC681,-3)&lt;500),1,0)</f>
        <v>0</v>
      </c>
      <c r="AC681" s="105">
        <v>0</v>
      </c>
    </row>
    <row r="682" spans="1:29" ht="15.95" customHeight="1" thickTop="1" x14ac:dyDescent="0.2">
      <c r="A682" s="665" t="s">
        <v>416</v>
      </c>
      <c r="B682" s="42">
        <v>2008</v>
      </c>
      <c r="C682" s="148" t="s">
        <v>289</v>
      </c>
      <c r="D682" s="303"/>
      <c r="E682" s="100"/>
      <c r="F682" s="100"/>
      <c r="G682" s="100"/>
      <c r="H682" s="100"/>
      <c r="I682" s="100"/>
      <c r="J682" s="100"/>
      <c r="K682" s="100"/>
      <c r="L682" s="100"/>
      <c r="M682" s="100"/>
      <c r="N682" s="100"/>
      <c r="O682" s="100"/>
      <c r="P682" s="100"/>
      <c r="Q682" s="271"/>
      <c r="R682" s="100">
        <v>32</v>
      </c>
      <c r="S682" s="100"/>
      <c r="T682" s="100"/>
      <c r="U682" s="100"/>
      <c r="V682" s="666"/>
      <c r="W682" s="97"/>
      <c r="X682" s="97">
        <f t="shared" si="10"/>
        <v>0</v>
      </c>
      <c r="Y682" s="97"/>
      <c r="AC682" s="100"/>
    </row>
    <row r="683" spans="1:29" ht="15.95" customHeight="1" x14ac:dyDescent="0.2">
      <c r="A683" s="665" t="s">
        <v>359</v>
      </c>
      <c r="B683" s="43"/>
      <c r="C683" s="149" t="s">
        <v>290</v>
      </c>
      <c r="D683" s="303"/>
      <c r="E683" s="100"/>
      <c r="F683" s="100"/>
      <c r="G683" s="100"/>
      <c r="H683" s="100"/>
      <c r="I683" s="100"/>
      <c r="J683" s="100"/>
      <c r="K683" s="100"/>
      <c r="L683" s="100"/>
      <c r="M683" s="100"/>
      <c r="N683" s="100"/>
      <c r="O683" s="100"/>
      <c r="P683" s="100"/>
      <c r="Q683" s="271"/>
      <c r="R683" s="100">
        <v>32</v>
      </c>
      <c r="S683" s="100"/>
      <c r="T683" s="100"/>
      <c r="U683" s="100"/>
      <c r="V683" s="666"/>
      <c r="W683" s="97"/>
      <c r="X683" s="97">
        <f t="shared" si="10"/>
        <v>0</v>
      </c>
      <c r="Y683" s="97"/>
      <c r="AC683" s="100"/>
    </row>
    <row r="684" spans="1:29" ht="15.95" customHeight="1" x14ac:dyDescent="0.2">
      <c r="A684" s="667"/>
      <c r="B684" s="44"/>
      <c r="C684" s="150" t="s">
        <v>291</v>
      </c>
      <c r="D684" s="304"/>
      <c r="E684" s="103"/>
      <c r="F684" s="103"/>
      <c r="G684" s="103"/>
      <c r="H684" s="103"/>
      <c r="I684" s="103"/>
      <c r="J684" s="103"/>
      <c r="K684" s="103"/>
      <c r="L684" s="103"/>
      <c r="M684" s="103"/>
      <c r="N684" s="103"/>
      <c r="O684" s="103"/>
      <c r="P684" s="103"/>
      <c r="Q684" s="272"/>
      <c r="R684" s="103">
        <v>0</v>
      </c>
      <c r="S684" s="103"/>
      <c r="T684" s="103"/>
      <c r="U684" s="103"/>
      <c r="V684" s="668"/>
      <c r="W684" s="97"/>
      <c r="X684" s="97">
        <f t="shared" si="10"/>
        <v>0</v>
      </c>
      <c r="Y684" s="97"/>
      <c r="AC684" s="103"/>
    </row>
    <row r="685" spans="1:29" ht="16.899999999999999" customHeight="1" x14ac:dyDescent="0.2">
      <c r="A685" s="665"/>
      <c r="B685" s="42">
        <v>2009</v>
      </c>
      <c r="C685" s="149" t="s">
        <v>412</v>
      </c>
      <c r="D685" s="303"/>
      <c r="E685" s="100"/>
      <c r="F685" s="100"/>
      <c r="G685" s="100"/>
      <c r="H685" s="100"/>
      <c r="I685" s="100"/>
      <c r="J685" s="100"/>
      <c r="K685" s="100"/>
      <c r="L685" s="100"/>
      <c r="M685" s="100"/>
      <c r="N685" s="100"/>
      <c r="O685" s="100"/>
      <c r="P685" s="100"/>
      <c r="Q685" s="271"/>
      <c r="R685" s="100">
        <v>32</v>
      </c>
      <c r="S685" s="100"/>
      <c r="T685" s="100"/>
      <c r="U685" s="100"/>
      <c r="V685" s="666"/>
      <c r="W685" s="100"/>
      <c r="X685" s="97">
        <f t="shared" si="10"/>
        <v>0</v>
      </c>
      <c r="Y685" s="97"/>
      <c r="AC685" s="100"/>
    </row>
    <row r="686" spans="1:29" ht="15.95" customHeight="1" x14ac:dyDescent="0.2">
      <c r="A686" s="665"/>
      <c r="B686" s="43"/>
      <c r="C686" s="149" t="s">
        <v>413</v>
      </c>
      <c r="D686" s="303"/>
      <c r="E686" s="100"/>
      <c r="F686" s="100"/>
      <c r="G686" s="100"/>
      <c r="H686" s="100"/>
      <c r="I686" s="100"/>
      <c r="J686" s="100"/>
      <c r="K686" s="100"/>
      <c r="L686" s="100"/>
      <c r="M686" s="100"/>
      <c r="N686" s="100"/>
      <c r="O686" s="100"/>
      <c r="P686" s="100"/>
      <c r="Q686" s="271"/>
      <c r="R686" s="100">
        <v>32</v>
      </c>
      <c r="S686" s="100"/>
      <c r="T686" s="100"/>
      <c r="U686" s="100"/>
      <c r="V686" s="666"/>
      <c r="W686" s="97"/>
      <c r="X686" s="97">
        <f t="shared" si="10"/>
        <v>0</v>
      </c>
      <c r="Y686" s="97"/>
      <c r="AC686" s="100"/>
    </row>
    <row r="687" spans="1:29" ht="15.95" customHeight="1" thickBot="1" x14ac:dyDescent="0.25">
      <c r="A687" s="669"/>
      <c r="B687" s="45"/>
      <c r="C687" s="151" t="s">
        <v>414</v>
      </c>
      <c r="D687" s="305"/>
      <c r="E687" s="105"/>
      <c r="F687" s="105"/>
      <c r="G687" s="105"/>
      <c r="H687" s="105"/>
      <c r="I687" s="105"/>
      <c r="J687" s="105"/>
      <c r="K687" s="105"/>
      <c r="L687" s="105"/>
      <c r="M687" s="105"/>
      <c r="N687" s="105"/>
      <c r="O687" s="105"/>
      <c r="P687" s="105"/>
      <c r="Q687" s="273"/>
      <c r="R687" s="105">
        <v>0</v>
      </c>
      <c r="S687" s="105"/>
      <c r="T687" s="105"/>
      <c r="U687" s="105"/>
      <c r="V687" s="670"/>
      <c r="W687" s="97"/>
      <c r="X687" s="97">
        <f t="shared" si="10"/>
        <v>0</v>
      </c>
      <c r="Y687" s="97">
        <f>+IF((AC687-ROUND(AC687,-3)&gt;400)*AND(AC687-ROUND(AC687,-3)&lt;500),1,0)</f>
        <v>0</v>
      </c>
      <c r="AC687" s="105"/>
    </row>
    <row r="688" spans="1:29" ht="15.95" customHeight="1" thickTop="1" x14ac:dyDescent="0.2">
      <c r="A688" s="665" t="s">
        <v>202</v>
      </c>
      <c r="B688" s="42">
        <v>2008</v>
      </c>
      <c r="C688" s="148" t="s">
        <v>289</v>
      </c>
      <c r="D688" s="303">
        <v>18</v>
      </c>
      <c r="E688" s="100">
        <v>1</v>
      </c>
      <c r="F688" s="101">
        <v>4.6946972000000002</v>
      </c>
      <c r="G688" s="100">
        <v>3.1459227467811162</v>
      </c>
      <c r="H688" s="100">
        <v>37</v>
      </c>
      <c r="I688" s="101">
        <v>3</v>
      </c>
      <c r="J688" s="100">
        <v>8</v>
      </c>
      <c r="K688" s="100">
        <v>18</v>
      </c>
      <c r="L688" s="100"/>
      <c r="M688" s="100">
        <v>3</v>
      </c>
      <c r="N688" s="100"/>
      <c r="O688" s="100">
        <v>0</v>
      </c>
      <c r="P688" s="100">
        <v>0</v>
      </c>
      <c r="Q688" s="271">
        <v>1.1319999999999999</v>
      </c>
      <c r="R688" s="100">
        <v>35</v>
      </c>
      <c r="S688" s="100">
        <v>5</v>
      </c>
      <c r="T688" s="100">
        <v>1</v>
      </c>
      <c r="U688" s="100">
        <v>11</v>
      </c>
      <c r="V688" s="666">
        <v>24</v>
      </c>
      <c r="W688" s="97"/>
      <c r="X688" s="97">
        <f t="shared" si="10"/>
        <v>11</v>
      </c>
      <c r="Y688" s="97"/>
      <c r="AC688" s="100">
        <v>11385.597082953509</v>
      </c>
    </row>
    <row r="689" spans="1:29" ht="15.95" customHeight="1" x14ac:dyDescent="0.2">
      <c r="A689" s="665"/>
      <c r="B689" s="43"/>
      <c r="C689" s="149" t="s">
        <v>290</v>
      </c>
      <c r="D689" s="303"/>
      <c r="E689" s="100">
        <v>0</v>
      </c>
      <c r="F689" s="101">
        <v>4.6946972000000002</v>
      </c>
      <c r="G689" s="100">
        <v>0.11731044349070101</v>
      </c>
      <c r="H689" s="100">
        <v>0</v>
      </c>
      <c r="I689" s="101">
        <v>3</v>
      </c>
      <c r="J689" s="100">
        <v>0</v>
      </c>
      <c r="K689" s="100">
        <v>18</v>
      </c>
      <c r="L689" s="100"/>
      <c r="M689" s="100">
        <v>3</v>
      </c>
      <c r="N689" s="100"/>
      <c r="O689" s="100">
        <v>0</v>
      </c>
      <c r="P689" s="100">
        <v>0</v>
      </c>
      <c r="Q689" s="271">
        <v>1.1319999999999999</v>
      </c>
      <c r="R689" s="100">
        <v>0</v>
      </c>
      <c r="S689" s="100">
        <v>5</v>
      </c>
      <c r="T689" s="100">
        <v>1</v>
      </c>
      <c r="U689" s="100">
        <v>0</v>
      </c>
      <c r="V689" s="666">
        <v>0</v>
      </c>
      <c r="W689" s="97"/>
      <c r="X689" s="97">
        <f t="shared" si="10"/>
        <v>0</v>
      </c>
      <c r="Y689" s="97"/>
      <c r="AC689" s="100">
        <v>0</v>
      </c>
    </row>
    <row r="690" spans="1:29" ht="15.95" customHeight="1" x14ac:dyDescent="0.2">
      <c r="A690" s="667"/>
      <c r="B690" s="44"/>
      <c r="C690" s="150" t="s">
        <v>291</v>
      </c>
      <c r="D690" s="304"/>
      <c r="E690" s="103">
        <v>0</v>
      </c>
      <c r="F690" s="104">
        <v>2.4042216000000005</v>
      </c>
      <c r="G690" s="103">
        <v>5.5021459227467808</v>
      </c>
      <c r="H690" s="103">
        <v>0</v>
      </c>
      <c r="I690" s="104"/>
      <c r="J690" s="103">
        <v>7</v>
      </c>
      <c r="K690" s="103"/>
      <c r="L690" s="103"/>
      <c r="M690" s="103">
        <v>0</v>
      </c>
      <c r="N690" s="103"/>
      <c r="O690" s="103">
        <v>0</v>
      </c>
      <c r="P690" s="103">
        <v>0</v>
      </c>
      <c r="Q690" s="272"/>
      <c r="R690" s="103">
        <v>20</v>
      </c>
      <c r="S690" s="103">
        <v>0</v>
      </c>
      <c r="T690" s="103">
        <v>0</v>
      </c>
      <c r="U690" s="103">
        <v>0</v>
      </c>
      <c r="V690" s="668">
        <v>181.81818181818181</v>
      </c>
      <c r="W690" s="97"/>
      <c r="X690" s="97">
        <f t="shared" si="10"/>
        <v>0</v>
      </c>
      <c r="Y690" s="97"/>
      <c r="AC690" s="103">
        <v>0</v>
      </c>
    </row>
    <row r="691" spans="1:29" ht="15.95" customHeight="1" x14ac:dyDescent="0.2">
      <c r="A691" s="665"/>
      <c r="B691" s="42">
        <v>2009</v>
      </c>
      <c r="C691" s="149" t="s">
        <v>412</v>
      </c>
      <c r="D691" s="303">
        <v>24</v>
      </c>
      <c r="E691" s="100">
        <v>1</v>
      </c>
      <c r="F691" s="101">
        <v>4.6946972000000002</v>
      </c>
      <c r="G691" s="100">
        <v>3.2496392496392499</v>
      </c>
      <c r="H691" s="100">
        <v>42</v>
      </c>
      <c r="I691" s="101">
        <v>3</v>
      </c>
      <c r="J691" s="100">
        <v>7</v>
      </c>
      <c r="K691" s="100">
        <v>18</v>
      </c>
      <c r="L691" s="100"/>
      <c r="M691" s="100">
        <v>3</v>
      </c>
      <c r="N691" s="100"/>
      <c r="O691" s="100">
        <v>0</v>
      </c>
      <c r="P691" s="100">
        <v>0</v>
      </c>
      <c r="Q691" s="102">
        <v>1.073</v>
      </c>
      <c r="R691" s="100">
        <v>36</v>
      </c>
      <c r="S691" s="100">
        <v>5</v>
      </c>
      <c r="T691" s="100">
        <v>1</v>
      </c>
      <c r="U691" s="100">
        <v>12</v>
      </c>
      <c r="V691" s="666">
        <v>25</v>
      </c>
      <c r="W691" s="100"/>
      <c r="X691" s="97">
        <f t="shared" si="10"/>
        <v>12</v>
      </c>
      <c r="Y691" s="97"/>
      <c r="AC691" s="100">
        <v>12477.52247752248</v>
      </c>
    </row>
    <row r="692" spans="1:29" ht="15.95" customHeight="1" x14ac:dyDescent="0.2">
      <c r="A692" s="665"/>
      <c r="B692" s="43"/>
      <c r="C692" s="149" t="s">
        <v>413</v>
      </c>
      <c r="D692" s="303">
        <v>24</v>
      </c>
      <c r="E692" s="100">
        <v>0</v>
      </c>
      <c r="F692" s="101">
        <v>4.6946972000000002</v>
      </c>
      <c r="G692" s="100">
        <v>3.2496392496392499</v>
      </c>
      <c r="H692" s="100">
        <v>0</v>
      </c>
      <c r="I692" s="101">
        <v>3</v>
      </c>
      <c r="J692" s="100">
        <v>0</v>
      </c>
      <c r="K692" s="100">
        <v>18</v>
      </c>
      <c r="L692" s="100"/>
      <c r="M692" s="100">
        <v>3</v>
      </c>
      <c r="N692" s="100">
        <v>50</v>
      </c>
      <c r="O692" s="100">
        <v>0</v>
      </c>
      <c r="P692" s="100">
        <v>0</v>
      </c>
      <c r="Q692" s="102">
        <v>1.073</v>
      </c>
      <c r="R692" s="100">
        <v>0</v>
      </c>
      <c r="S692" s="100">
        <v>5</v>
      </c>
      <c r="T692" s="100">
        <v>1</v>
      </c>
      <c r="U692" s="100">
        <v>0</v>
      </c>
      <c r="V692" s="666">
        <v>25</v>
      </c>
      <c r="W692" s="97"/>
      <c r="X692" s="97">
        <f t="shared" si="10"/>
        <v>0</v>
      </c>
      <c r="Y692" s="97"/>
      <c r="AC692" s="100">
        <v>0</v>
      </c>
    </row>
    <row r="693" spans="1:29" ht="15.95" customHeight="1" thickBot="1" x14ac:dyDescent="0.25">
      <c r="A693" s="669"/>
      <c r="B693" s="45"/>
      <c r="C693" s="151" t="s">
        <v>414</v>
      </c>
      <c r="D693" s="305">
        <v>38</v>
      </c>
      <c r="E693" s="105">
        <v>0</v>
      </c>
      <c r="F693" s="106">
        <v>0</v>
      </c>
      <c r="G693" s="105">
        <v>3.0490620490620497</v>
      </c>
      <c r="H693" s="105">
        <v>0</v>
      </c>
      <c r="I693" s="106"/>
      <c r="J693" s="105">
        <v>0</v>
      </c>
      <c r="K693" s="105"/>
      <c r="L693" s="105"/>
      <c r="M693" s="105">
        <v>0</v>
      </c>
      <c r="N693" s="105"/>
      <c r="O693" s="105">
        <v>0</v>
      </c>
      <c r="P693" s="105">
        <v>0</v>
      </c>
      <c r="Q693" s="273"/>
      <c r="R693" s="105">
        <v>0</v>
      </c>
      <c r="S693" s="105">
        <v>0</v>
      </c>
      <c r="T693" s="105">
        <v>0</v>
      </c>
      <c r="U693" s="105">
        <v>0</v>
      </c>
      <c r="V693" s="670">
        <v>105</v>
      </c>
      <c r="W693" s="97"/>
      <c r="X693" s="97">
        <f t="shared" si="10"/>
        <v>0</v>
      </c>
      <c r="Y693" s="97">
        <f>+IF((AC693-ROUND(AC693,-3)&gt;400)*AND(AC693-ROUND(AC693,-3)&lt;500),1,0)</f>
        <v>0</v>
      </c>
      <c r="AC693" s="105">
        <v>0</v>
      </c>
    </row>
    <row r="694" spans="1:29" ht="15.95" customHeight="1" thickTop="1" x14ac:dyDescent="0.2">
      <c r="A694" s="665" t="s">
        <v>203</v>
      </c>
      <c r="B694" s="42">
        <v>2008</v>
      </c>
      <c r="C694" s="148" t="s">
        <v>289</v>
      </c>
      <c r="D694" s="303">
        <v>3475</v>
      </c>
      <c r="E694" s="100">
        <v>229</v>
      </c>
      <c r="F694" s="101">
        <v>896.68847080000012</v>
      </c>
      <c r="G694" s="100">
        <v>579.15736766809732</v>
      </c>
      <c r="H694" s="100">
        <v>347</v>
      </c>
      <c r="I694" s="101">
        <v>610</v>
      </c>
      <c r="J694" s="100">
        <v>363</v>
      </c>
      <c r="K694" s="100">
        <v>284</v>
      </c>
      <c r="L694" s="100"/>
      <c r="M694" s="100">
        <v>599</v>
      </c>
      <c r="N694" s="100"/>
      <c r="O694" s="100">
        <v>22</v>
      </c>
      <c r="P694" s="100">
        <v>29</v>
      </c>
      <c r="Q694" s="271">
        <v>298.83199999999999</v>
      </c>
      <c r="R694" s="100">
        <v>190</v>
      </c>
      <c r="S694" s="100">
        <v>882</v>
      </c>
      <c r="T694" s="100">
        <v>22</v>
      </c>
      <c r="U694" s="100">
        <v>109</v>
      </c>
      <c r="V694" s="666">
        <v>1942.4160714285711</v>
      </c>
      <c r="W694" s="97"/>
      <c r="X694" s="97">
        <f>+ROUNDUP(AC694/1000,0)</f>
        <v>109</v>
      </c>
      <c r="Y694" s="97"/>
      <c r="AC694" s="100">
        <v>108163.17228805834</v>
      </c>
    </row>
    <row r="695" spans="1:29" ht="15.95" customHeight="1" x14ac:dyDescent="0.2">
      <c r="A695" s="665"/>
      <c r="B695" s="43"/>
      <c r="C695" s="149" t="s">
        <v>290</v>
      </c>
      <c r="D695" s="303">
        <v>3475</v>
      </c>
      <c r="E695" s="100">
        <v>229</v>
      </c>
      <c r="F695" s="101">
        <v>896.68847080000012</v>
      </c>
      <c r="G695" s="100">
        <v>561.93991416309018</v>
      </c>
      <c r="H695" s="100">
        <v>344</v>
      </c>
      <c r="I695" s="101">
        <v>610</v>
      </c>
      <c r="J695" s="100">
        <v>363</v>
      </c>
      <c r="K695" s="100">
        <v>284</v>
      </c>
      <c r="L695" s="100"/>
      <c r="M695" s="100">
        <v>599</v>
      </c>
      <c r="N695" s="100">
        <v>125</v>
      </c>
      <c r="O695" s="100">
        <v>22</v>
      </c>
      <c r="P695" s="100">
        <v>29</v>
      </c>
      <c r="Q695" s="271">
        <v>298.83199999999999</v>
      </c>
      <c r="R695" s="100">
        <v>190</v>
      </c>
      <c r="S695" s="100">
        <v>882</v>
      </c>
      <c r="T695" s="100">
        <v>22</v>
      </c>
      <c r="U695" s="100">
        <v>109</v>
      </c>
      <c r="V695" s="666">
        <v>1948.2142857142856</v>
      </c>
      <c r="W695" s="97"/>
      <c r="X695" s="97">
        <f>+ROUNDUP(AC695/1000,0)</f>
        <v>109</v>
      </c>
      <c r="Y695" s="97"/>
      <c r="AC695" s="100">
        <v>108163.17228805834</v>
      </c>
    </row>
    <row r="696" spans="1:29" ht="15.95" customHeight="1" x14ac:dyDescent="0.2">
      <c r="A696" s="667"/>
      <c r="B696" s="44"/>
      <c r="C696" s="150" t="s">
        <v>291</v>
      </c>
      <c r="D696" s="304"/>
      <c r="E696" s="103">
        <v>0</v>
      </c>
      <c r="F696" s="104">
        <v>0</v>
      </c>
      <c r="G696" s="103">
        <v>0</v>
      </c>
      <c r="H696" s="103">
        <v>0</v>
      </c>
      <c r="I696" s="104"/>
      <c r="J696" s="103">
        <v>0</v>
      </c>
      <c r="K696" s="103"/>
      <c r="L696" s="103"/>
      <c r="M696" s="103">
        <v>0</v>
      </c>
      <c r="N696" s="103"/>
      <c r="O696" s="103">
        <v>0</v>
      </c>
      <c r="P696" s="103">
        <v>0</v>
      </c>
      <c r="Q696" s="272"/>
      <c r="R696" s="103">
        <v>0</v>
      </c>
      <c r="S696" s="103">
        <v>0</v>
      </c>
      <c r="T696" s="103">
        <v>0</v>
      </c>
      <c r="U696" s="103">
        <v>0</v>
      </c>
      <c r="V696" s="668">
        <v>0</v>
      </c>
      <c r="W696" s="97"/>
      <c r="X696" s="97">
        <f t="shared" si="10"/>
        <v>0</v>
      </c>
      <c r="Y696" s="97"/>
      <c r="AC696" s="103">
        <v>0</v>
      </c>
    </row>
    <row r="697" spans="1:29" ht="15.95" customHeight="1" x14ac:dyDescent="0.2">
      <c r="A697" s="665"/>
      <c r="B697" s="42">
        <v>2009</v>
      </c>
      <c r="C697" s="149" t="s">
        <v>412</v>
      </c>
      <c r="D697" s="303">
        <v>4629</v>
      </c>
      <c r="E697" s="100">
        <v>221</v>
      </c>
      <c r="F697" s="101">
        <v>896.68847080000012</v>
      </c>
      <c r="G697" s="100">
        <v>616.02597402597405</v>
      </c>
      <c r="H697" s="100">
        <v>392</v>
      </c>
      <c r="I697" s="101">
        <v>610</v>
      </c>
      <c r="J697" s="100">
        <v>326</v>
      </c>
      <c r="K697" s="100">
        <v>284</v>
      </c>
      <c r="L697" s="100"/>
      <c r="M697" s="100">
        <v>599</v>
      </c>
      <c r="N697" s="100"/>
      <c r="O697" s="100">
        <v>22</v>
      </c>
      <c r="P697" s="100">
        <v>29</v>
      </c>
      <c r="Q697" s="102">
        <v>283.24599999999998</v>
      </c>
      <c r="R697" s="100">
        <v>206</v>
      </c>
      <c r="S697" s="100">
        <v>882</v>
      </c>
      <c r="T697" s="100">
        <v>22</v>
      </c>
      <c r="U697" s="100">
        <v>119</v>
      </c>
      <c r="V697" s="666">
        <v>1957.1169642857142</v>
      </c>
      <c r="W697" s="100"/>
      <c r="X697" s="97">
        <f t="shared" si="10"/>
        <v>119</v>
      </c>
      <c r="Y697" s="97"/>
      <c r="AC697" s="100">
        <v>118536.46353646355</v>
      </c>
    </row>
    <row r="698" spans="1:29" ht="15.95" customHeight="1" x14ac:dyDescent="0.2">
      <c r="A698" s="665"/>
      <c r="B698" s="43"/>
      <c r="C698" s="149" t="s">
        <v>413</v>
      </c>
      <c r="D698" s="303">
        <v>4629</v>
      </c>
      <c r="E698" s="100">
        <v>221</v>
      </c>
      <c r="F698" s="101">
        <v>896.68847080000012</v>
      </c>
      <c r="G698" s="100">
        <v>616.02597402597405</v>
      </c>
      <c r="H698" s="100">
        <v>392</v>
      </c>
      <c r="I698" s="101">
        <v>610</v>
      </c>
      <c r="J698" s="100">
        <v>326</v>
      </c>
      <c r="K698" s="100">
        <v>284</v>
      </c>
      <c r="L698" s="100"/>
      <c r="M698" s="100">
        <v>599</v>
      </c>
      <c r="N698" s="100">
        <v>50</v>
      </c>
      <c r="O698" s="100">
        <v>22</v>
      </c>
      <c r="P698" s="100">
        <v>29</v>
      </c>
      <c r="Q698" s="102">
        <v>283.24599999999998</v>
      </c>
      <c r="R698" s="100">
        <v>206</v>
      </c>
      <c r="S698" s="100">
        <v>882</v>
      </c>
      <c r="T698" s="100">
        <v>22</v>
      </c>
      <c r="U698" s="100">
        <v>119</v>
      </c>
      <c r="V698" s="666">
        <v>1957</v>
      </c>
      <c r="W698" s="97"/>
      <c r="X698" s="97">
        <f t="shared" si="10"/>
        <v>119</v>
      </c>
      <c r="Y698" s="97"/>
      <c r="AC698" s="100">
        <v>118536.46353646355</v>
      </c>
    </row>
    <row r="699" spans="1:29" ht="15.95" customHeight="1" thickBot="1" x14ac:dyDescent="0.25">
      <c r="A699" s="669"/>
      <c r="B699" s="45"/>
      <c r="C699" s="151" t="s">
        <v>414</v>
      </c>
      <c r="D699" s="305"/>
      <c r="E699" s="105">
        <v>0</v>
      </c>
      <c r="F699" s="106">
        <v>0</v>
      </c>
      <c r="G699" s="105">
        <v>0</v>
      </c>
      <c r="H699" s="105">
        <v>4</v>
      </c>
      <c r="I699" s="106"/>
      <c r="J699" s="105">
        <v>0</v>
      </c>
      <c r="K699" s="105"/>
      <c r="L699" s="105"/>
      <c r="M699" s="105">
        <v>0</v>
      </c>
      <c r="N699" s="105"/>
      <c r="O699" s="105">
        <v>0</v>
      </c>
      <c r="P699" s="105">
        <v>0</v>
      </c>
      <c r="Q699" s="273"/>
      <c r="R699" s="105">
        <v>0</v>
      </c>
      <c r="S699" s="105">
        <v>0</v>
      </c>
      <c r="T699" s="105">
        <v>0</v>
      </c>
      <c r="U699" s="105">
        <v>0</v>
      </c>
      <c r="V699" s="670">
        <v>0</v>
      </c>
      <c r="W699" s="97"/>
      <c r="X699" s="97">
        <f t="shared" si="10"/>
        <v>0</v>
      </c>
      <c r="Y699" s="97">
        <f>+IF((AC699-ROUND(AC699,-3)&gt;400)*AND(AC699-ROUND(AC699,-3)&lt;500),1,0)</f>
        <v>0</v>
      </c>
      <c r="AC699" s="105">
        <v>0</v>
      </c>
    </row>
    <row r="700" spans="1:29" ht="15.95" customHeight="1" thickTop="1" x14ac:dyDescent="0.2">
      <c r="A700" s="665" t="s">
        <v>204</v>
      </c>
      <c r="B700" s="42">
        <v>2008</v>
      </c>
      <c r="C700" s="148" t="s">
        <v>289</v>
      </c>
      <c r="D700" s="303">
        <v>18</v>
      </c>
      <c r="E700" s="100">
        <v>1</v>
      </c>
      <c r="F700" s="101">
        <v>4.6946972000000002</v>
      </c>
      <c r="G700" s="100"/>
      <c r="H700" s="100">
        <v>37</v>
      </c>
      <c r="I700" s="101"/>
      <c r="J700" s="100">
        <v>12</v>
      </c>
      <c r="K700" s="100">
        <v>35</v>
      </c>
      <c r="L700" s="100"/>
      <c r="M700" s="100">
        <v>3</v>
      </c>
      <c r="N700" s="100"/>
      <c r="O700" s="100">
        <v>0</v>
      </c>
      <c r="P700" s="100">
        <v>0</v>
      </c>
      <c r="Q700" s="271">
        <v>1.1319999999999999</v>
      </c>
      <c r="R700" s="100">
        <v>35</v>
      </c>
      <c r="S700" s="100">
        <v>5</v>
      </c>
      <c r="T700" s="100">
        <v>1</v>
      </c>
      <c r="U700" s="100">
        <v>11</v>
      </c>
      <c r="V700" s="666">
        <v>24</v>
      </c>
      <c r="W700" s="97"/>
      <c r="X700" s="97">
        <f t="shared" si="10"/>
        <v>11</v>
      </c>
      <c r="Y700" s="97"/>
      <c r="AC700" s="100">
        <v>11385.597082953509</v>
      </c>
    </row>
    <row r="701" spans="1:29" ht="15.95" customHeight="1" x14ac:dyDescent="0.2">
      <c r="A701" s="665"/>
      <c r="B701" s="43"/>
      <c r="C701" s="149" t="s">
        <v>290</v>
      </c>
      <c r="D701" s="303">
        <v>18</v>
      </c>
      <c r="E701" s="100">
        <v>1</v>
      </c>
      <c r="F701" s="101">
        <v>4.6946972000000002</v>
      </c>
      <c r="G701" s="100"/>
      <c r="H701" s="100">
        <v>37</v>
      </c>
      <c r="I701" s="101"/>
      <c r="J701" s="100">
        <v>12</v>
      </c>
      <c r="K701" s="100">
        <v>35</v>
      </c>
      <c r="L701" s="100"/>
      <c r="M701" s="100">
        <v>3</v>
      </c>
      <c r="N701" s="100"/>
      <c r="O701" s="100">
        <v>0</v>
      </c>
      <c r="P701" s="100">
        <v>0</v>
      </c>
      <c r="Q701" s="271">
        <v>1.1319999999999999</v>
      </c>
      <c r="R701" s="100">
        <v>35</v>
      </c>
      <c r="S701" s="100">
        <v>5</v>
      </c>
      <c r="T701" s="100">
        <v>1</v>
      </c>
      <c r="U701" s="100">
        <v>11</v>
      </c>
      <c r="V701" s="666">
        <v>24.107142857142854</v>
      </c>
      <c r="W701" s="97"/>
      <c r="X701" s="97">
        <f t="shared" si="10"/>
        <v>11</v>
      </c>
      <c r="Y701" s="97"/>
      <c r="AC701" s="100">
        <v>11385.597082953509</v>
      </c>
    </row>
    <row r="702" spans="1:29" ht="15.95" customHeight="1" x14ac:dyDescent="0.2">
      <c r="A702" s="667"/>
      <c r="B702" s="44"/>
      <c r="C702" s="150" t="s">
        <v>291</v>
      </c>
      <c r="D702" s="304"/>
      <c r="E702" s="103">
        <v>0</v>
      </c>
      <c r="F702" s="104">
        <v>0</v>
      </c>
      <c r="G702" s="103"/>
      <c r="H702" s="103">
        <v>0</v>
      </c>
      <c r="I702" s="104"/>
      <c r="J702" s="103">
        <v>0</v>
      </c>
      <c r="K702" s="103"/>
      <c r="L702" s="103"/>
      <c r="M702" s="103">
        <v>0</v>
      </c>
      <c r="N702" s="103"/>
      <c r="O702" s="103">
        <v>0</v>
      </c>
      <c r="P702" s="103">
        <v>0</v>
      </c>
      <c r="Q702" s="272"/>
      <c r="R702" s="103">
        <v>0</v>
      </c>
      <c r="S702" s="103">
        <v>0</v>
      </c>
      <c r="T702" s="103">
        <v>0</v>
      </c>
      <c r="U702" s="103">
        <v>0</v>
      </c>
      <c r="V702" s="668">
        <v>0</v>
      </c>
      <c r="W702" s="97"/>
      <c r="X702" s="97">
        <f t="shared" si="10"/>
        <v>0</v>
      </c>
      <c r="Y702" s="97"/>
      <c r="AC702" s="103">
        <v>0</v>
      </c>
    </row>
    <row r="703" spans="1:29" ht="15.95" customHeight="1" x14ac:dyDescent="0.2">
      <c r="A703" s="665"/>
      <c r="B703" s="42">
        <v>2009</v>
      </c>
      <c r="C703" s="149" t="s">
        <v>412</v>
      </c>
      <c r="D703" s="303">
        <v>24</v>
      </c>
      <c r="E703" s="100">
        <v>1</v>
      </c>
      <c r="F703" s="101">
        <v>4.6946972000000002</v>
      </c>
      <c r="G703" s="100"/>
      <c r="H703" s="100">
        <v>42</v>
      </c>
      <c r="I703" s="101"/>
      <c r="J703" s="100">
        <v>12</v>
      </c>
      <c r="K703" s="100">
        <v>35</v>
      </c>
      <c r="L703" s="100"/>
      <c r="M703" s="100">
        <v>3</v>
      </c>
      <c r="N703" s="100"/>
      <c r="O703" s="100">
        <v>0</v>
      </c>
      <c r="P703" s="100">
        <v>0</v>
      </c>
      <c r="Q703" s="102">
        <v>1.073</v>
      </c>
      <c r="R703" s="100">
        <v>36</v>
      </c>
      <c r="S703" s="100">
        <v>5</v>
      </c>
      <c r="T703" s="100">
        <v>1</v>
      </c>
      <c r="U703" s="100">
        <v>12</v>
      </c>
      <c r="V703" s="666">
        <v>25</v>
      </c>
      <c r="W703" s="100"/>
      <c r="X703" s="97">
        <f t="shared" ref="X703:X766" si="11">+ROUND(AC703/1000,0)</f>
        <v>12</v>
      </c>
      <c r="Y703" s="97"/>
      <c r="AC703" s="100">
        <v>12477.52247752248</v>
      </c>
    </row>
    <row r="704" spans="1:29" ht="15.95" customHeight="1" x14ac:dyDescent="0.2">
      <c r="A704" s="665"/>
      <c r="B704" s="43"/>
      <c r="C704" s="149" t="s">
        <v>413</v>
      </c>
      <c r="D704" s="303"/>
      <c r="E704" s="100">
        <v>0</v>
      </c>
      <c r="F704" s="101">
        <v>4.6946972000000002</v>
      </c>
      <c r="G704" s="100"/>
      <c r="H704" s="100">
        <v>42</v>
      </c>
      <c r="I704" s="101"/>
      <c r="J704" s="100">
        <v>12</v>
      </c>
      <c r="K704" s="100">
        <v>35</v>
      </c>
      <c r="L704" s="100"/>
      <c r="M704" s="100">
        <v>3</v>
      </c>
      <c r="N704" s="100"/>
      <c r="O704" s="100">
        <v>0</v>
      </c>
      <c r="P704" s="100">
        <v>0</v>
      </c>
      <c r="Q704" s="102">
        <v>0.54400000000000004</v>
      </c>
      <c r="R704" s="100">
        <v>36</v>
      </c>
      <c r="S704" s="100">
        <v>1</v>
      </c>
      <c r="T704" s="100">
        <v>1</v>
      </c>
      <c r="U704" s="100">
        <v>12</v>
      </c>
      <c r="V704" s="666">
        <v>24</v>
      </c>
      <c r="W704" s="97"/>
      <c r="X704" s="97">
        <f t="shared" si="11"/>
        <v>12</v>
      </c>
      <c r="Y704" s="97"/>
      <c r="AC704" s="100">
        <v>12477.52247752248</v>
      </c>
    </row>
    <row r="705" spans="1:29" ht="15.95" customHeight="1" thickBot="1" x14ac:dyDescent="0.25">
      <c r="A705" s="669"/>
      <c r="B705" s="45"/>
      <c r="C705" s="151" t="s">
        <v>414</v>
      </c>
      <c r="D705" s="305"/>
      <c r="E705" s="105">
        <v>0</v>
      </c>
      <c r="F705" s="106">
        <v>0</v>
      </c>
      <c r="G705" s="105"/>
      <c r="H705" s="105">
        <v>0</v>
      </c>
      <c r="I705" s="106"/>
      <c r="J705" s="105">
        <v>0</v>
      </c>
      <c r="K705" s="105"/>
      <c r="L705" s="105"/>
      <c r="M705" s="105">
        <v>0</v>
      </c>
      <c r="N705" s="105"/>
      <c r="O705" s="105">
        <v>0</v>
      </c>
      <c r="P705" s="105">
        <v>0</v>
      </c>
      <c r="Q705" s="273"/>
      <c r="R705" s="105">
        <v>0</v>
      </c>
      <c r="S705" s="105">
        <v>0</v>
      </c>
      <c r="T705" s="105">
        <v>0</v>
      </c>
      <c r="U705" s="105">
        <v>0</v>
      </c>
      <c r="V705" s="670">
        <v>0</v>
      </c>
      <c r="W705" s="97"/>
      <c r="X705" s="97">
        <f t="shared" si="11"/>
        <v>0</v>
      </c>
      <c r="Y705" s="97">
        <f>+IF((AC705-ROUND(AC705,-3)&gt;400)*AND(AC705-ROUND(AC705,-3)&lt;500),1,0)</f>
        <v>0</v>
      </c>
      <c r="AC705" s="105">
        <v>0</v>
      </c>
    </row>
    <row r="706" spans="1:29" ht="15.95" customHeight="1" thickTop="1" x14ac:dyDescent="0.2">
      <c r="A706" s="665" t="s">
        <v>205</v>
      </c>
      <c r="B706" s="42">
        <v>2008</v>
      </c>
      <c r="C706" s="148" t="s">
        <v>289</v>
      </c>
      <c r="D706" s="303">
        <v>18</v>
      </c>
      <c r="E706" s="100">
        <v>1</v>
      </c>
      <c r="F706" s="101">
        <v>4.6946972000000002</v>
      </c>
      <c r="G706" s="100">
        <v>3.1831187410586552</v>
      </c>
      <c r="H706" s="100">
        <v>37</v>
      </c>
      <c r="I706" s="101">
        <v>3</v>
      </c>
      <c r="J706" s="100"/>
      <c r="K706" s="100">
        <v>71</v>
      </c>
      <c r="L706" s="100"/>
      <c r="M706" s="100">
        <v>3</v>
      </c>
      <c r="N706" s="100"/>
      <c r="O706" s="100">
        <v>0</v>
      </c>
      <c r="P706" s="100">
        <v>0</v>
      </c>
      <c r="Q706" s="271">
        <v>1.1319999999999999</v>
      </c>
      <c r="R706" s="100">
        <v>35</v>
      </c>
      <c r="S706" s="100">
        <v>5</v>
      </c>
      <c r="T706" s="100">
        <v>1</v>
      </c>
      <c r="U706" s="100">
        <v>11</v>
      </c>
      <c r="V706" s="666">
        <v>24</v>
      </c>
      <c r="W706" s="97"/>
      <c r="X706" s="97">
        <f t="shared" si="11"/>
        <v>11</v>
      </c>
      <c r="Y706" s="97"/>
      <c r="AC706" s="100">
        <v>11385.597082953509</v>
      </c>
    </row>
    <row r="707" spans="1:29" ht="15.95" customHeight="1" x14ac:dyDescent="0.2">
      <c r="A707" s="665"/>
      <c r="B707" s="43"/>
      <c r="C707" s="149" t="s">
        <v>290</v>
      </c>
      <c r="D707" s="303">
        <v>18</v>
      </c>
      <c r="E707" s="100">
        <v>0</v>
      </c>
      <c r="F707" s="101">
        <v>4.6946972000000002</v>
      </c>
      <c r="G707" s="100">
        <v>3.1831187410586552</v>
      </c>
      <c r="H707" s="100">
        <v>37</v>
      </c>
      <c r="I707" s="101">
        <f>3-3</f>
        <v>0</v>
      </c>
      <c r="J707" s="100"/>
      <c r="K707" s="100">
        <v>71</v>
      </c>
      <c r="L707" s="100"/>
      <c r="M707" s="100">
        <v>3</v>
      </c>
      <c r="N707" s="100"/>
      <c r="O707" s="100">
        <v>0</v>
      </c>
      <c r="P707" s="100">
        <v>0</v>
      </c>
      <c r="Q707" s="271"/>
      <c r="R707" s="100">
        <v>30</v>
      </c>
      <c r="S707" s="100">
        <v>5</v>
      </c>
      <c r="T707" s="100">
        <v>0</v>
      </c>
      <c r="U707" s="100">
        <v>11</v>
      </c>
      <c r="V707" s="666">
        <v>0</v>
      </c>
      <c r="W707" s="97"/>
      <c r="X707" s="97">
        <f t="shared" si="11"/>
        <v>11</v>
      </c>
      <c r="Y707" s="97"/>
      <c r="AC707" s="100">
        <v>11385.597082953509</v>
      </c>
    </row>
    <row r="708" spans="1:29" ht="15.95" customHeight="1" x14ac:dyDescent="0.2">
      <c r="A708" s="667"/>
      <c r="B708" s="44"/>
      <c r="C708" s="150" t="s">
        <v>291</v>
      </c>
      <c r="D708" s="304"/>
      <c r="E708" s="103">
        <v>0</v>
      </c>
      <c r="F708" s="104">
        <v>5.5719999999999999E-2</v>
      </c>
      <c r="G708" s="103">
        <v>5.3519313304721035</v>
      </c>
      <c r="H708" s="103">
        <v>23</v>
      </c>
      <c r="I708" s="104"/>
      <c r="J708" s="103"/>
      <c r="K708" s="103"/>
      <c r="L708" s="103"/>
      <c r="M708" s="103">
        <v>0</v>
      </c>
      <c r="N708" s="103"/>
      <c r="O708" s="103">
        <v>0</v>
      </c>
      <c r="P708" s="103">
        <v>0</v>
      </c>
      <c r="Q708" s="272">
        <v>0.74199999999999999</v>
      </c>
      <c r="R708" s="103">
        <v>0</v>
      </c>
      <c r="S708" s="103">
        <v>8</v>
      </c>
      <c r="T708" s="103">
        <v>1</v>
      </c>
      <c r="U708" s="103">
        <v>0</v>
      </c>
      <c r="V708" s="668">
        <v>0</v>
      </c>
      <c r="W708" s="97"/>
      <c r="X708" s="97">
        <f t="shared" si="11"/>
        <v>0</v>
      </c>
      <c r="Y708" s="97"/>
      <c r="AC708" s="103">
        <v>0</v>
      </c>
    </row>
    <row r="709" spans="1:29" ht="15.95" customHeight="1" x14ac:dyDescent="0.2">
      <c r="A709" s="665"/>
      <c r="B709" s="42">
        <v>2009</v>
      </c>
      <c r="C709" s="149" t="s">
        <v>412</v>
      </c>
      <c r="D709" s="303">
        <v>24</v>
      </c>
      <c r="E709" s="100">
        <v>1</v>
      </c>
      <c r="F709" s="101">
        <v>4.6946972000000002</v>
      </c>
      <c r="G709" s="100">
        <v>3.295815295815296</v>
      </c>
      <c r="H709" s="100">
        <v>42</v>
      </c>
      <c r="I709" s="101">
        <v>3</v>
      </c>
      <c r="J709" s="100"/>
      <c r="K709" s="100">
        <v>71</v>
      </c>
      <c r="L709" s="100"/>
      <c r="M709" s="100">
        <v>3</v>
      </c>
      <c r="N709" s="100"/>
      <c r="O709" s="100">
        <v>0</v>
      </c>
      <c r="P709" s="100">
        <v>0</v>
      </c>
      <c r="Q709" s="102">
        <v>1.073</v>
      </c>
      <c r="R709" s="100">
        <v>36</v>
      </c>
      <c r="S709" s="100">
        <v>5</v>
      </c>
      <c r="T709" s="100">
        <v>1</v>
      </c>
      <c r="U709" s="100">
        <v>12</v>
      </c>
      <c r="V709" s="666">
        <v>25</v>
      </c>
      <c r="W709" s="100"/>
      <c r="X709" s="97">
        <f t="shared" si="11"/>
        <v>12</v>
      </c>
      <c r="Y709" s="97"/>
      <c r="AC709" s="100">
        <v>12477.52247752248</v>
      </c>
    </row>
    <row r="710" spans="1:29" ht="15.95" customHeight="1" x14ac:dyDescent="0.2">
      <c r="A710" s="665"/>
      <c r="B710" s="43"/>
      <c r="C710" s="149" t="s">
        <v>413</v>
      </c>
      <c r="D710" s="303">
        <v>24</v>
      </c>
      <c r="E710" s="100">
        <v>0</v>
      </c>
      <c r="F710" s="101">
        <v>4.6946972000000002</v>
      </c>
      <c r="G710" s="100">
        <v>2.7950937950937953</v>
      </c>
      <c r="H710" s="100">
        <v>42</v>
      </c>
      <c r="I710" s="101">
        <v>3</v>
      </c>
      <c r="J710" s="100"/>
      <c r="K710" s="100">
        <v>71</v>
      </c>
      <c r="L710" s="100"/>
      <c r="M710" s="100">
        <v>3</v>
      </c>
      <c r="N710" s="100"/>
      <c r="O710" s="100">
        <v>0</v>
      </c>
      <c r="P710" s="100">
        <v>0</v>
      </c>
      <c r="Q710" s="271"/>
      <c r="R710" s="100">
        <v>0</v>
      </c>
      <c r="S710" s="100">
        <v>5</v>
      </c>
      <c r="T710" s="100">
        <v>1</v>
      </c>
      <c r="U710" s="100">
        <v>12</v>
      </c>
      <c r="V710" s="666">
        <v>0</v>
      </c>
      <c r="W710" s="97"/>
      <c r="X710" s="97">
        <f t="shared" si="11"/>
        <v>12</v>
      </c>
      <c r="Y710" s="97"/>
      <c r="AC710" s="100">
        <v>12477.52247752248</v>
      </c>
    </row>
    <row r="711" spans="1:29" ht="15.95" customHeight="1" thickBot="1" x14ac:dyDescent="0.25">
      <c r="A711" s="669"/>
      <c r="B711" s="45"/>
      <c r="C711" s="151" t="s">
        <v>414</v>
      </c>
      <c r="D711" s="305"/>
      <c r="E711" s="105">
        <v>0</v>
      </c>
      <c r="F711" s="106">
        <v>0</v>
      </c>
      <c r="G711" s="105">
        <v>0</v>
      </c>
      <c r="H711" s="105">
        <v>0</v>
      </c>
      <c r="I711" s="106">
        <v>3</v>
      </c>
      <c r="J711" s="105"/>
      <c r="K711" s="105"/>
      <c r="L711" s="105"/>
      <c r="M711" s="105">
        <v>0</v>
      </c>
      <c r="N711" s="105"/>
      <c r="O711" s="105">
        <v>0</v>
      </c>
      <c r="P711" s="105">
        <v>0</v>
      </c>
      <c r="Q711" s="273">
        <v>0.17899999999999999</v>
      </c>
      <c r="R711" s="105">
        <v>4</v>
      </c>
      <c r="S711" s="105">
        <v>0</v>
      </c>
      <c r="T711" s="105">
        <v>2</v>
      </c>
      <c r="U711" s="105">
        <v>0</v>
      </c>
      <c r="V711" s="670">
        <v>0</v>
      </c>
      <c r="W711" s="97"/>
      <c r="X711" s="97">
        <f t="shared" si="11"/>
        <v>0</v>
      </c>
      <c r="Y711" s="97">
        <f>+IF((AC711-ROUND(AC711,-3)&gt;400)*AND(AC711-ROUND(AC711,-3)&lt;500),1,0)</f>
        <v>0</v>
      </c>
      <c r="AC711" s="105">
        <v>0</v>
      </c>
    </row>
    <row r="712" spans="1:29" ht="15.95" customHeight="1" thickTop="1" x14ac:dyDescent="0.2">
      <c r="A712" s="665" t="s">
        <v>206</v>
      </c>
      <c r="B712" s="42">
        <v>2008</v>
      </c>
      <c r="C712" s="148" t="s">
        <v>289</v>
      </c>
      <c r="D712" s="303">
        <v>311</v>
      </c>
      <c r="E712" s="100">
        <v>20</v>
      </c>
      <c r="F712" s="101">
        <v>79.809974799999992</v>
      </c>
      <c r="G712" s="100">
        <v>50.729613733905587</v>
      </c>
      <c r="H712" s="100">
        <v>37</v>
      </c>
      <c r="I712" s="101">
        <v>55</v>
      </c>
      <c r="J712" s="100">
        <v>1330</v>
      </c>
      <c r="K712" s="100">
        <v>71</v>
      </c>
      <c r="L712" s="100"/>
      <c r="M712" s="100">
        <v>54</v>
      </c>
      <c r="N712" s="100"/>
      <c r="O712" s="100">
        <v>2</v>
      </c>
      <c r="P712" s="100">
        <v>3</v>
      </c>
      <c r="Q712" s="271">
        <v>27.167000000000002</v>
      </c>
      <c r="R712" s="100">
        <v>65</v>
      </c>
      <c r="S712" s="100">
        <v>79</v>
      </c>
      <c r="T712" s="100">
        <v>3</v>
      </c>
      <c r="U712" s="100">
        <v>11</v>
      </c>
      <c r="V712" s="666">
        <v>66.424107142857139</v>
      </c>
      <c r="W712" s="97"/>
      <c r="X712" s="97">
        <f t="shared" si="11"/>
        <v>11</v>
      </c>
      <c r="Y712" s="97"/>
      <c r="AC712" s="100">
        <v>11385.597082953509</v>
      </c>
    </row>
    <row r="713" spans="1:29" ht="15.95" customHeight="1" x14ac:dyDescent="0.2">
      <c r="A713" s="665"/>
      <c r="B713" s="43"/>
      <c r="C713" s="149" t="s">
        <v>290</v>
      </c>
      <c r="D713" s="303">
        <v>311</v>
      </c>
      <c r="E713" s="100">
        <v>20</v>
      </c>
      <c r="F713" s="101">
        <v>79.809974799999992</v>
      </c>
      <c r="G713" s="100">
        <v>50.423462088698145</v>
      </c>
      <c r="H713" s="100">
        <v>37</v>
      </c>
      <c r="I713" s="101">
        <v>55</v>
      </c>
      <c r="J713" s="100">
        <v>1330</v>
      </c>
      <c r="K713" s="100">
        <v>71</v>
      </c>
      <c r="L713" s="100"/>
      <c r="M713" s="100">
        <v>54</v>
      </c>
      <c r="N713" s="100"/>
      <c r="O713" s="100">
        <v>2</v>
      </c>
      <c r="P713" s="100">
        <v>3</v>
      </c>
      <c r="Q713" s="271">
        <v>27.167000000000002</v>
      </c>
      <c r="R713" s="100">
        <v>65</v>
      </c>
      <c r="S713" s="100">
        <v>79</v>
      </c>
      <c r="T713" s="100">
        <v>3</v>
      </c>
      <c r="U713" s="100">
        <v>11</v>
      </c>
      <c r="V713" s="666">
        <v>66.071428571428569</v>
      </c>
      <c r="W713" s="97"/>
      <c r="X713" s="97">
        <f t="shared" si="11"/>
        <v>11</v>
      </c>
      <c r="Y713" s="97"/>
      <c r="AC713" s="100">
        <v>11385.597082953509</v>
      </c>
    </row>
    <row r="714" spans="1:29" ht="15.95" customHeight="1" x14ac:dyDescent="0.2">
      <c r="A714" s="667"/>
      <c r="B714" s="44"/>
      <c r="C714" s="150" t="s">
        <v>291</v>
      </c>
      <c r="D714" s="304"/>
      <c r="E714" s="103">
        <v>0</v>
      </c>
      <c r="F714" s="104">
        <v>0</v>
      </c>
      <c r="G714" s="103">
        <v>0</v>
      </c>
      <c r="H714" s="103">
        <v>0</v>
      </c>
      <c r="I714" s="104"/>
      <c r="J714" s="103">
        <v>0</v>
      </c>
      <c r="K714" s="103"/>
      <c r="L714" s="103"/>
      <c r="M714" s="103">
        <v>0</v>
      </c>
      <c r="N714" s="103"/>
      <c r="O714" s="103">
        <v>0</v>
      </c>
      <c r="P714" s="103">
        <v>0</v>
      </c>
      <c r="Q714" s="272"/>
      <c r="R714" s="103">
        <v>0</v>
      </c>
      <c r="S714" s="103">
        <v>0</v>
      </c>
      <c r="T714" s="103">
        <v>0</v>
      </c>
      <c r="U714" s="103">
        <v>0</v>
      </c>
      <c r="V714" s="668">
        <v>0</v>
      </c>
      <c r="W714" s="97"/>
      <c r="X714" s="97">
        <f t="shared" si="11"/>
        <v>0</v>
      </c>
      <c r="Y714" s="97"/>
      <c r="AC714" s="103">
        <v>0</v>
      </c>
    </row>
    <row r="715" spans="1:29" ht="15.95" customHeight="1" x14ac:dyDescent="0.2">
      <c r="A715" s="665"/>
      <c r="B715" s="42">
        <v>2009</v>
      </c>
      <c r="C715" s="149" t="s">
        <v>412</v>
      </c>
      <c r="D715" s="303">
        <v>414</v>
      </c>
      <c r="E715" s="100">
        <v>19</v>
      </c>
      <c r="F715" s="101">
        <v>79.809974799999992</v>
      </c>
      <c r="G715" s="100">
        <v>53.861471861471863</v>
      </c>
      <c r="H715" s="100">
        <v>42</v>
      </c>
      <c r="I715" s="101">
        <v>55</v>
      </c>
      <c r="J715" s="100">
        <v>1359</v>
      </c>
      <c r="K715" s="100">
        <v>71</v>
      </c>
      <c r="L715" s="100"/>
      <c r="M715" s="100">
        <v>54</v>
      </c>
      <c r="N715" s="100"/>
      <c r="O715" s="100">
        <v>2</v>
      </c>
      <c r="P715" s="100">
        <v>3</v>
      </c>
      <c r="Q715" s="102">
        <v>25.75</v>
      </c>
      <c r="R715" s="100">
        <v>64</v>
      </c>
      <c r="S715" s="100">
        <v>79</v>
      </c>
      <c r="T715" s="100">
        <v>3</v>
      </c>
      <c r="U715" s="100">
        <v>12</v>
      </c>
      <c r="V715" s="666">
        <v>68.433035714285708</v>
      </c>
      <c r="W715" s="100"/>
      <c r="X715" s="97">
        <f t="shared" si="11"/>
        <v>12</v>
      </c>
      <c r="Y715" s="97"/>
      <c r="AC715" s="100">
        <v>12477.52247752248</v>
      </c>
    </row>
    <row r="716" spans="1:29" ht="15.95" customHeight="1" x14ac:dyDescent="0.2">
      <c r="A716" s="665"/>
      <c r="B716" s="43"/>
      <c r="C716" s="149" t="s">
        <v>413</v>
      </c>
      <c r="D716" s="303">
        <v>414</v>
      </c>
      <c r="E716" s="100">
        <v>19</v>
      </c>
      <c r="F716" s="101">
        <v>79.809974799999992</v>
      </c>
      <c r="G716" s="100">
        <v>53.861471861471863</v>
      </c>
      <c r="H716" s="100">
        <v>42</v>
      </c>
      <c r="I716" s="101">
        <v>55</v>
      </c>
      <c r="J716" s="100">
        <v>1359</v>
      </c>
      <c r="K716" s="100">
        <v>71</v>
      </c>
      <c r="L716" s="100"/>
      <c r="M716" s="100">
        <v>54</v>
      </c>
      <c r="N716" s="100"/>
      <c r="O716" s="100">
        <v>0</v>
      </c>
      <c r="P716" s="100">
        <v>0</v>
      </c>
      <c r="Q716" s="102">
        <v>25.75</v>
      </c>
      <c r="R716" s="100">
        <v>64</v>
      </c>
      <c r="S716" s="100">
        <v>79</v>
      </c>
      <c r="T716" s="100">
        <v>3</v>
      </c>
      <c r="U716" s="100">
        <v>12</v>
      </c>
      <c r="V716" s="666">
        <v>68</v>
      </c>
      <c r="W716" s="97"/>
      <c r="X716" s="97">
        <f t="shared" si="11"/>
        <v>12</v>
      </c>
      <c r="Y716" s="97"/>
      <c r="AC716" s="100">
        <v>12477.52247752248</v>
      </c>
    </row>
    <row r="717" spans="1:29" ht="15.95" customHeight="1" thickBot="1" x14ac:dyDescent="0.25">
      <c r="A717" s="669"/>
      <c r="B717" s="45"/>
      <c r="C717" s="151" t="s">
        <v>414</v>
      </c>
      <c r="D717" s="305"/>
      <c r="E717" s="105">
        <v>0</v>
      </c>
      <c r="F717" s="106">
        <v>0</v>
      </c>
      <c r="G717" s="105">
        <v>0</v>
      </c>
      <c r="H717" s="105">
        <v>0</v>
      </c>
      <c r="I717" s="106"/>
      <c r="J717" s="105">
        <v>0</v>
      </c>
      <c r="K717" s="105"/>
      <c r="L717" s="105"/>
      <c r="M717" s="105">
        <v>0</v>
      </c>
      <c r="N717" s="105"/>
      <c r="O717" s="105">
        <v>0</v>
      </c>
      <c r="P717" s="105">
        <v>0</v>
      </c>
      <c r="Q717" s="273"/>
      <c r="R717" s="105">
        <v>0</v>
      </c>
      <c r="S717" s="105">
        <v>0</v>
      </c>
      <c r="T717" s="105">
        <v>0</v>
      </c>
      <c r="U717" s="105">
        <v>0</v>
      </c>
      <c r="V717" s="670">
        <v>0</v>
      </c>
      <c r="W717" s="97"/>
      <c r="X717" s="97">
        <f t="shared" si="11"/>
        <v>0</v>
      </c>
      <c r="Y717" s="97">
        <f>+IF((AC717-ROUND(AC717,-3)&gt;400)*AND(AC717-ROUND(AC717,-3)&lt;500),1,0)</f>
        <v>0</v>
      </c>
      <c r="AC717" s="105">
        <v>0</v>
      </c>
    </row>
    <row r="718" spans="1:29" ht="15.95" customHeight="1" thickTop="1" x14ac:dyDescent="0.2">
      <c r="A718" s="665" t="s">
        <v>207</v>
      </c>
      <c r="B718" s="42">
        <v>2008</v>
      </c>
      <c r="C718" s="148" t="s">
        <v>289</v>
      </c>
      <c r="D718" s="303">
        <v>18</v>
      </c>
      <c r="E718" s="100">
        <v>1</v>
      </c>
      <c r="F718" s="101">
        <v>4.6946972000000002</v>
      </c>
      <c r="G718" s="100">
        <v>3.1602288984263236</v>
      </c>
      <c r="H718" s="100">
        <v>37</v>
      </c>
      <c r="I718" s="101">
        <v>5</v>
      </c>
      <c r="J718" s="100">
        <v>1795</v>
      </c>
      <c r="K718" s="100">
        <v>71</v>
      </c>
      <c r="L718" s="100"/>
      <c r="M718" s="100">
        <v>3</v>
      </c>
      <c r="N718" s="100"/>
      <c r="O718" s="100">
        <v>0</v>
      </c>
      <c r="P718" s="100">
        <v>0</v>
      </c>
      <c r="Q718" s="271"/>
      <c r="R718" s="100"/>
      <c r="S718" s="100">
        <v>5</v>
      </c>
      <c r="T718" s="100"/>
      <c r="U718" s="100"/>
      <c r="V718" s="666"/>
      <c r="W718" s="97"/>
      <c r="X718" s="97">
        <f t="shared" si="11"/>
        <v>0</v>
      </c>
      <c r="Y718" s="97"/>
      <c r="AC718" s="100"/>
    </row>
    <row r="719" spans="1:29" ht="15.95" customHeight="1" x14ac:dyDescent="0.2">
      <c r="A719" s="665"/>
      <c r="B719" s="43"/>
      <c r="C719" s="149" t="s">
        <v>290</v>
      </c>
      <c r="D719" s="303"/>
      <c r="E719" s="100">
        <v>1</v>
      </c>
      <c r="F719" s="101">
        <v>4.6946972000000002</v>
      </c>
      <c r="G719" s="100">
        <v>0</v>
      </c>
      <c r="H719" s="100">
        <v>0</v>
      </c>
      <c r="I719" s="101">
        <v>5</v>
      </c>
      <c r="J719" s="100">
        <v>1795</v>
      </c>
      <c r="K719" s="100"/>
      <c r="L719" s="100"/>
      <c r="M719" s="100">
        <v>0</v>
      </c>
      <c r="N719" s="100"/>
      <c r="O719" s="100">
        <v>0</v>
      </c>
      <c r="P719" s="100">
        <v>0</v>
      </c>
      <c r="Q719" s="271"/>
      <c r="R719" s="100"/>
      <c r="S719" s="100">
        <v>0</v>
      </c>
      <c r="T719" s="100"/>
      <c r="U719" s="100"/>
      <c r="V719" s="666"/>
      <c r="W719" s="97"/>
      <c r="X719" s="97">
        <f t="shared" si="11"/>
        <v>0</v>
      </c>
      <c r="Y719" s="97"/>
      <c r="AC719" s="100"/>
    </row>
    <row r="720" spans="1:29" ht="15.95" customHeight="1" x14ac:dyDescent="0.2">
      <c r="A720" s="667"/>
      <c r="B720" s="44"/>
      <c r="C720" s="150" t="s">
        <v>291</v>
      </c>
      <c r="D720" s="304">
        <v>18</v>
      </c>
      <c r="E720" s="103">
        <v>3</v>
      </c>
      <c r="F720" s="104">
        <v>2.4563640000000007</v>
      </c>
      <c r="G720" s="103">
        <v>2.8998569384835484</v>
      </c>
      <c r="H720" s="103">
        <v>0</v>
      </c>
      <c r="I720" s="104"/>
      <c r="J720" s="103">
        <v>0</v>
      </c>
      <c r="K720" s="103"/>
      <c r="L720" s="103"/>
      <c r="M720" s="103">
        <v>0</v>
      </c>
      <c r="N720" s="103"/>
      <c r="O720" s="103">
        <v>0</v>
      </c>
      <c r="P720" s="103">
        <v>0</v>
      </c>
      <c r="Q720" s="272"/>
      <c r="R720" s="103"/>
      <c r="S720" s="103">
        <v>9</v>
      </c>
      <c r="T720" s="103"/>
      <c r="U720" s="103"/>
      <c r="V720" s="668"/>
      <c r="W720" s="97"/>
      <c r="X720" s="97">
        <f t="shared" si="11"/>
        <v>0</v>
      </c>
      <c r="Y720" s="97"/>
      <c r="AC720" s="103"/>
    </row>
    <row r="721" spans="1:29" ht="15.95" customHeight="1" x14ac:dyDescent="0.2">
      <c r="A721" s="665"/>
      <c r="B721" s="42">
        <v>2009</v>
      </c>
      <c r="C721" s="149" t="s">
        <v>412</v>
      </c>
      <c r="D721" s="303">
        <v>24</v>
      </c>
      <c r="E721" s="100">
        <v>1</v>
      </c>
      <c r="F721" s="101">
        <v>4.6946972000000002</v>
      </c>
      <c r="G721" s="100">
        <v>3.2828282828282833</v>
      </c>
      <c r="H721" s="100">
        <v>42</v>
      </c>
      <c r="I721" s="101">
        <v>3</v>
      </c>
      <c r="J721" s="100">
        <v>1700</v>
      </c>
      <c r="K721" s="100">
        <v>71</v>
      </c>
      <c r="L721" s="100"/>
      <c r="M721" s="100">
        <v>3</v>
      </c>
      <c r="N721" s="100"/>
      <c r="O721" s="100">
        <v>0</v>
      </c>
      <c r="P721" s="100">
        <v>0</v>
      </c>
      <c r="Q721" s="271"/>
      <c r="R721" s="100"/>
      <c r="S721" s="100">
        <v>5</v>
      </c>
      <c r="T721" s="100"/>
      <c r="U721" s="100"/>
      <c r="V721" s="666"/>
      <c r="W721" s="100"/>
      <c r="X721" s="97">
        <f t="shared" si="11"/>
        <v>0</v>
      </c>
      <c r="Y721" s="97"/>
      <c r="AC721" s="100"/>
    </row>
    <row r="722" spans="1:29" ht="15.95" customHeight="1" x14ac:dyDescent="0.2">
      <c r="A722" s="665"/>
      <c r="B722" s="43"/>
      <c r="C722" s="149" t="s">
        <v>413</v>
      </c>
      <c r="D722" s="303"/>
      <c r="E722" s="100">
        <v>0</v>
      </c>
      <c r="F722" s="101">
        <v>4.5501155999999998</v>
      </c>
      <c r="G722" s="100">
        <v>0</v>
      </c>
      <c r="H722" s="100">
        <v>0</v>
      </c>
      <c r="I722" s="101">
        <v>3</v>
      </c>
      <c r="J722" s="100">
        <v>1700</v>
      </c>
      <c r="K722" s="100"/>
      <c r="L722" s="100"/>
      <c r="M722" s="100">
        <v>0</v>
      </c>
      <c r="N722" s="100"/>
      <c r="O722" s="100">
        <v>0</v>
      </c>
      <c r="P722" s="100">
        <v>0</v>
      </c>
      <c r="Q722" s="271"/>
      <c r="R722" s="100"/>
      <c r="S722" s="100">
        <v>0</v>
      </c>
      <c r="T722" s="100"/>
      <c r="U722" s="100"/>
      <c r="V722" s="666"/>
      <c r="W722" s="97"/>
      <c r="X722" s="97">
        <f t="shared" si="11"/>
        <v>0</v>
      </c>
      <c r="Y722" s="97"/>
      <c r="AC722" s="100"/>
    </row>
    <row r="723" spans="1:29" ht="15.95" customHeight="1" thickBot="1" x14ac:dyDescent="0.25">
      <c r="A723" s="669"/>
      <c r="B723" s="45"/>
      <c r="C723" s="151" t="s">
        <v>414</v>
      </c>
      <c r="D723" s="305">
        <v>3</v>
      </c>
      <c r="E723" s="105">
        <v>0</v>
      </c>
      <c r="F723" s="106">
        <v>0</v>
      </c>
      <c r="G723" s="105">
        <v>0</v>
      </c>
      <c r="H723" s="105">
        <v>0</v>
      </c>
      <c r="I723" s="106"/>
      <c r="J723" s="105">
        <v>0</v>
      </c>
      <c r="K723" s="105"/>
      <c r="L723" s="105"/>
      <c r="M723" s="105">
        <v>0</v>
      </c>
      <c r="N723" s="105"/>
      <c r="O723" s="105">
        <v>0</v>
      </c>
      <c r="P723" s="105">
        <v>0</v>
      </c>
      <c r="Q723" s="273"/>
      <c r="R723" s="105"/>
      <c r="S723" s="105">
        <v>0</v>
      </c>
      <c r="T723" s="105"/>
      <c r="U723" s="105"/>
      <c r="V723" s="670"/>
      <c r="W723" s="97"/>
      <c r="X723" s="97">
        <f t="shared" si="11"/>
        <v>0</v>
      </c>
      <c r="Y723" s="97">
        <f>+IF((AC723-ROUND(AC723,-3)&gt;400)*AND(AC723-ROUND(AC723,-3)&lt;500),1,0)</f>
        <v>0</v>
      </c>
      <c r="AC723" s="105"/>
    </row>
    <row r="724" spans="1:29" ht="15.95" customHeight="1" thickTop="1" x14ac:dyDescent="0.2">
      <c r="A724" s="665" t="s">
        <v>208</v>
      </c>
      <c r="B724" s="42">
        <v>2008</v>
      </c>
      <c r="C724" s="148" t="s">
        <v>289</v>
      </c>
      <c r="D724" s="303">
        <v>18</v>
      </c>
      <c r="E724" s="100">
        <v>1</v>
      </c>
      <c r="F724" s="101">
        <v>4.6946972000000002</v>
      </c>
      <c r="G724" s="100">
        <v>3.1459227467811162</v>
      </c>
      <c r="H724" s="100">
        <v>37</v>
      </c>
      <c r="I724" s="101">
        <v>3</v>
      </c>
      <c r="J724" s="100">
        <v>9</v>
      </c>
      <c r="K724" s="100">
        <v>18</v>
      </c>
      <c r="L724" s="100"/>
      <c r="M724" s="100">
        <v>3</v>
      </c>
      <c r="N724" s="100"/>
      <c r="O724" s="100">
        <v>0</v>
      </c>
      <c r="P724" s="100">
        <v>0</v>
      </c>
      <c r="Q724" s="271">
        <v>1.1319999999999999</v>
      </c>
      <c r="R724" s="100">
        <v>35</v>
      </c>
      <c r="S724" s="100">
        <v>5</v>
      </c>
      <c r="T724" s="100">
        <v>1</v>
      </c>
      <c r="U724" s="100">
        <v>11</v>
      </c>
      <c r="V724" s="666">
        <v>24</v>
      </c>
      <c r="W724" s="97"/>
      <c r="X724" s="97">
        <f t="shared" si="11"/>
        <v>11</v>
      </c>
      <c r="Y724" s="97"/>
      <c r="AC724" s="100">
        <v>11385.597082953509</v>
      </c>
    </row>
    <row r="725" spans="1:29" ht="15.95" customHeight="1" x14ac:dyDescent="0.2">
      <c r="A725" s="665"/>
      <c r="B725" s="43"/>
      <c r="C725" s="149" t="s">
        <v>290</v>
      </c>
      <c r="D725" s="303">
        <v>17</v>
      </c>
      <c r="E725" s="100">
        <v>0</v>
      </c>
      <c r="F725" s="101">
        <v>0</v>
      </c>
      <c r="G725" s="100">
        <v>0</v>
      </c>
      <c r="H725" s="100">
        <v>37</v>
      </c>
      <c r="I725" s="101">
        <f>3-3</f>
        <v>0</v>
      </c>
      <c r="J725" s="100">
        <v>0</v>
      </c>
      <c r="K725" s="100">
        <v>18</v>
      </c>
      <c r="L725" s="100"/>
      <c r="M725" s="100">
        <v>0</v>
      </c>
      <c r="N725" s="100"/>
      <c r="O725" s="100">
        <v>0</v>
      </c>
      <c r="P725" s="100">
        <v>0</v>
      </c>
      <c r="Q725" s="271"/>
      <c r="R725" s="100">
        <v>35</v>
      </c>
      <c r="S725" s="100">
        <v>5</v>
      </c>
      <c r="T725" s="100">
        <v>0</v>
      </c>
      <c r="U725" s="100">
        <v>0</v>
      </c>
      <c r="V725" s="666">
        <v>0</v>
      </c>
      <c r="W725" s="97"/>
      <c r="X725" s="97">
        <f t="shared" si="11"/>
        <v>0</v>
      </c>
      <c r="Y725" s="97"/>
      <c r="AC725" s="100">
        <v>0</v>
      </c>
    </row>
    <row r="726" spans="1:29" ht="15.95" customHeight="1" x14ac:dyDescent="0.2">
      <c r="A726" s="667"/>
      <c r="B726" s="44"/>
      <c r="C726" s="150" t="s">
        <v>291</v>
      </c>
      <c r="D726" s="304"/>
      <c r="E726" s="103">
        <v>0</v>
      </c>
      <c r="F726" s="104">
        <v>0</v>
      </c>
      <c r="G726" s="103">
        <v>0</v>
      </c>
      <c r="H726" s="103">
        <v>0</v>
      </c>
      <c r="I726" s="104"/>
      <c r="J726" s="103">
        <v>0</v>
      </c>
      <c r="K726" s="103"/>
      <c r="L726" s="103"/>
      <c r="M726" s="103">
        <v>0</v>
      </c>
      <c r="N726" s="103"/>
      <c r="O726" s="103">
        <v>0</v>
      </c>
      <c r="P726" s="103">
        <v>0</v>
      </c>
      <c r="Q726" s="272"/>
      <c r="R726" s="103">
        <v>9</v>
      </c>
      <c r="S726" s="103">
        <v>0</v>
      </c>
      <c r="T726" s="103">
        <v>0</v>
      </c>
      <c r="U726" s="103">
        <v>35</v>
      </c>
      <c r="V726" s="668">
        <v>0</v>
      </c>
      <c r="W726" s="97"/>
      <c r="X726" s="97">
        <f t="shared" si="11"/>
        <v>35</v>
      </c>
      <c r="Y726" s="97"/>
      <c r="AC726" s="103">
        <v>34817.019143117592</v>
      </c>
    </row>
    <row r="727" spans="1:29" ht="15.95" customHeight="1" x14ac:dyDescent="0.2">
      <c r="A727" s="665"/>
      <c r="B727" s="42">
        <v>2009</v>
      </c>
      <c r="C727" s="149" t="s">
        <v>412</v>
      </c>
      <c r="D727" s="303">
        <v>24</v>
      </c>
      <c r="E727" s="100">
        <v>1</v>
      </c>
      <c r="F727" s="101">
        <v>4.6946972000000002</v>
      </c>
      <c r="G727" s="100">
        <v>3.2525252525252526</v>
      </c>
      <c r="H727" s="100">
        <v>42</v>
      </c>
      <c r="I727" s="101">
        <v>3</v>
      </c>
      <c r="J727" s="100">
        <v>8</v>
      </c>
      <c r="K727" s="100">
        <v>18</v>
      </c>
      <c r="L727" s="100"/>
      <c r="M727" s="100">
        <v>3</v>
      </c>
      <c r="N727" s="100"/>
      <c r="O727" s="100">
        <v>0</v>
      </c>
      <c r="P727" s="100">
        <v>0</v>
      </c>
      <c r="Q727" s="102">
        <v>1.073</v>
      </c>
      <c r="R727" s="100">
        <v>36</v>
      </c>
      <c r="S727" s="100">
        <v>5</v>
      </c>
      <c r="T727" s="100">
        <v>1</v>
      </c>
      <c r="U727" s="100">
        <v>12</v>
      </c>
      <c r="V727" s="666">
        <v>25</v>
      </c>
      <c r="W727" s="100"/>
      <c r="X727" s="97">
        <f t="shared" si="11"/>
        <v>12</v>
      </c>
      <c r="Y727" s="97"/>
      <c r="AC727" s="100">
        <v>12477.52247752248</v>
      </c>
    </row>
    <row r="728" spans="1:29" ht="15.95" customHeight="1" x14ac:dyDescent="0.2">
      <c r="A728" s="665"/>
      <c r="B728" s="43"/>
      <c r="C728" s="149" t="s">
        <v>413</v>
      </c>
      <c r="D728" s="303"/>
      <c r="E728" s="100">
        <v>0</v>
      </c>
      <c r="F728" s="101">
        <v>4.6946972000000002</v>
      </c>
      <c r="G728" s="100">
        <v>0</v>
      </c>
      <c r="H728" s="100">
        <v>42</v>
      </c>
      <c r="I728" s="101"/>
      <c r="J728" s="100">
        <v>0</v>
      </c>
      <c r="K728" s="100">
        <v>18</v>
      </c>
      <c r="L728" s="100"/>
      <c r="M728" s="100">
        <v>0</v>
      </c>
      <c r="N728" s="100"/>
      <c r="O728" s="100">
        <v>0</v>
      </c>
      <c r="P728" s="100">
        <v>0</v>
      </c>
      <c r="Q728" s="271"/>
      <c r="R728" s="100">
        <v>0</v>
      </c>
      <c r="S728" s="100">
        <v>5</v>
      </c>
      <c r="T728" s="100">
        <v>0</v>
      </c>
      <c r="U728" s="100">
        <v>0</v>
      </c>
      <c r="V728" s="666">
        <v>0</v>
      </c>
      <c r="W728" s="97"/>
      <c r="X728" s="97">
        <f t="shared" si="11"/>
        <v>0</v>
      </c>
      <c r="Y728" s="97"/>
      <c r="AC728" s="100">
        <v>0</v>
      </c>
    </row>
    <row r="729" spans="1:29" ht="15.95" customHeight="1" thickBot="1" x14ac:dyDescent="0.25">
      <c r="A729" s="669"/>
      <c r="B729" s="45"/>
      <c r="C729" s="151" t="s">
        <v>414</v>
      </c>
      <c r="D729" s="305"/>
      <c r="E729" s="105">
        <v>0</v>
      </c>
      <c r="F729" s="106">
        <v>13.0337604</v>
      </c>
      <c r="G729" s="105">
        <v>2.0158730158730163</v>
      </c>
      <c r="H729" s="105">
        <v>0</v>
      </c>
      <c r="I729" s="106">
        <v>3</v>
      </c>
      <c r="J729" s="105">
        <v>0</v>
      </c>
      <c r="K729" s="105"/>
      <c r="L729" s="105"/>
      <c r="M729" s="105">
        <v>3</v>
      </c>
      <c r="N729" s="105"/>
      <c r="O729" s="105">
        <v>0</v>
      </c>
      <c r="P729" s="105">
        <v>0</v>
      </c>
      <c r="Q729" s="273"/>
      <c r="R729" s="105">
        <v>0</v>
      </c>
      <c r="S729" s="105">
        <v>0</v>
      </c>
      <c r="T729" s="105">
        <v>0</v>
      </c>
      <c r="U729" s="105">
        <v>0</v>
      </c>
      <c r="V729" s="670">
        <v>0</v>
      </c>
      <c r="W729" s="97"/>
      <c r="X729" s="97">
        <f t="shared" si="11"/>
        <v>0</v>
      </c>
      <c r="Y729" s="97">
        <f>+IF((AC729-ROUND(AC729,-3)&gt;400)*AND(AC729-ROUND(AC729,-3)&lt;500),1,0)</f>
        <v>0</v>
      </c>
      <c r="AC729" s="105">
        <v>0</v>
      </c>
    </row>
    <row r="730" spans="1:29" ht="15.95" customHeight="1" thickTop="1" x14ac:dyDescent="0.2">
      <c r="A730" s="665" t="s">
        <v>209</v>
      </c>
      <c r="B730" s="42">
        <v>2008</v>
      </c>
      <c r="C730" s="148" t="s">
        <v>289</v>
      </c>
      <c r="D730" s="303">
        <v>201</v>
      </c>
      <c r="E730" s="100"/>
      <c r="F730" s="101">
        <v>51.641750800000004</v>
      </c>
      <c r="G730" s="100">
        <v>34.620886981402009</v>
      </c>
      <c r="H730" s="100">
        <v>43</v>
      </c>
      <c r="I730" s="101">
        <v>35</v>
      </c>
      <c r="J730" s="100">
        <v>9</v>
      </c>
      <c r="K730" s="100">
        <v>71</v>
      </c>
      <c r="L730" s="100"/>
      <c r="M730" s="100">
        <v>35</v>
      </c>
      <c r="N730" s="100"/>
      <c r="O730" s="100">
        <v>1</v>
      </c>
      <c r="P730" s="100">
        <v>2</v>
      </c>
      <c r="Q730" s="271">
        <v>16.98</v>
      </c>
      <c r="R730" s="100">
        <v>84</v>
      </c>
      <c r="S730" s="100">
        <v>51</v>
      </c>
      <c r="T730" s="100">
        <v>3</v>
      </c>
      <c r="U730" s="100">
        <v>11</v>
      </c>
      <c r="V730" s="666">
        <v>55.358035714285705</v>
      </c>
      <c r="W730" s="97"/>
      <c r="X730" s="97">
        <f t="shared" si="11"/>
        <v>11</v>
      </c>
      <c r="Y730" s="97"/>
      <c r="AC730" s="100">
        <v>11385.597082953509</v>
      </c>
    </row>
    <row r="731" spans="1:29" ht="15.95" customHeight="1" x14ac:dyDescent="0.2">
      <c r="A731" s="665"/>
      <c r="B731" s="43"/>
      <c r="C731" s="149" t="s">
        <v>290</v>
      </c>
      <c r="D731" s="303">
        <v>201</v>
      </c>
      <c r="E731" s="100"/>
      <c r="F731" s="101">
        <v>51.641750800000004</v>
      </c>
      <c r="G731" s="100">
        <v>0</v>
      </c>
      <c r="H731" s="100">
        <v>43</v>
      </c>
      <c r="I731" s="101">
        <v>35</v>
      </c>
      <c r="J731" s="100">
        <v>9</v>
      </c>
      <c r="K731" s="100">
        <v>71</v>
      </c>
      <c r="L731" s="100"/>
      <c r="M731" s="100">
        <v>35</v>
      </c>
      <c r="N731" s="100"/>
      <c r="O731" s="100">
        <v>1</v>
      </c>
      <c r="P731" s="100">
        <v>2</v>
      </c>
      <c r="Q731" s="271">
        <v>16.98</v>
      </c>
      <c r="R731" s="100">
        <v>84</v>
      </c>
      <c r="S731" s="100">
        <v>51</v>
      </c>
      <c r="T731" s="100">
        <v>3</v>
      </c>
      <c r="U731" s="100">
        <v>11</v>
      </c>
      <c r="V731" s="666">
        <v>55.357142857142854</v>
      </c>
      <c r="W731" s="97"/>
      <c r="X731" s="97">
        <f t="shared" si="11"/>
        <v>11</v>
      </c>
      <c r="Y731" s="97"/>
      <c r="AC731" s="100">
        <v>11385.597082953509</v>
      </c>
    </row>
    <row r="732" spans="1:29" ht="15.95" customHeight="1" x14ac:dyDescent="0.2">
      <c r="A732" s="667"/>
      <c r="B732" s="44"/>
      <c r="C732" s="150" t="s">
        <v>291</v>
      </c>
      <c r="D732" s="304">
        <v>2</v>
      </c>
      <c r="E732" s="103"/>
      <c r="F732" s="104">
        <v>0</v>
      </c>
      <c r="G732" s="103">
        <v>0</v>
      </c>
      <c r="H732" s="103">
        <v>0</v>
      </c>
      <c r="I732" s="104"/>
      <c r="J732" s="103">
        <v>0</v>
      </c>
      <c r="K732" s="103"/>
      <c r="L732" s="103"/>
      <c r="M732" s="103">
        <v>0</v>
      </c>
      <c r="N732" s="103"/>
      <c r="O732" s="103">
        <v>0</v>
      </c>
      <c r="P732" s="103">
        <v>0</v>
      </c>
      <c r="Q732" s="272"/>
      <c r="R732" s="103">
        <v>0</v>
      </c>
      <c r="S732" s="103">
        <v>48</v>
      </c>
      <c r="T732" s="103">
        <v>0</v>
      </c>
      <c r="U732" s="103">
        <v>0</v>
      </c>
      <c r="V732" s="668">
        <v>0</v>
      </c>
      <c r="W732" s="97"/>
      <c r="X732" s="97">
        <f t="shared" si="11"/>
        <v>0</v>
      </c>
      <c r="Y732" s="97"/>
      <c r="AC732" s="103">
        <v>0</v>
      </c>
    </row>
    <row r="733" spans="1:29" ht="15.95" customHeight="1" x14ac:dyDescent="0.2">
      <c r="A733" s="665"/>
      <c r="B733" s="42">
        <v>2009</v>
      </c>
      <c r="C733" s="149" t="s">
        <v>412</v>
      </c>
      <c r="D733" s="303">
        <v>268</v>
      </c>
      <c r="E733" s="100"/>
      <c r="F733" s="101">
        <v>51.641750800000004</v>
      </c>
      <c r="G733" s="100">
        <v>36.704184704184705</v>
      </c>
      <c r="H733" s="100">
        <v>42</v>
      </c>
      <c r="I733" s="101">
        <v>35</v>
      </c>
      <c r="J733" s="100">
        <v>8</v>
      </c>
      <c r="K733" s="100">
        <v>71</v>
      </c>
      <c r="L733" s="100"/>
      <c r="M733" s="100">
        <v>35</v>
      </c>
      <c r="N733" s="100"/>
      <c r="O733" s="100">
        <v>1</v>
      </c>
      <c r="P733" s="100">
        <v>2</v>
      </c>
      <c r="Q733" s="102">
        <v>16.094000000000001</v>
      </c>
      <c r="R733" s="100">
        <v>86</v>
      </c>
      <c r="S733" s="100">
        <v>51</v>
      </c>
      <c r="T733" s="100">
        <v>3</v>
      </c>
      <c r="U733" s="100">
        <v>12</v>
      </c>
      <c r="V733" s="666">
        <v>53.763392857142854</v>
      </c>
      <c r="W733" s="100"/>
      <c r="X733" s="97">
        <f t="shared" si="11"/>
        <v>12</v>
      </c>
      <c r="Y733" s="97"/>
      <c r="AC733" s="100">
        <v>12477.52247752248</v>
      </c>
    </row>
    <row r="734" spans="1:29" ht="15.95" customHeight="1" x14ac:dyDescent="0.2">
      <c r="A734" s="665"/>
      <c r="B734" s="43"/>
      <c r="C734" s="149" t="s">
        <v>413</v>
      </c>
      <c r="D734" s="303">
        <v>268</v>
      </c>
      <c r="E734" s="100"/>
      <c r="F734" s="101">
        <v>51.641750800000004</v>
      </c>
      <c r="G734" s="100">
        <v>0</v>
      </c>
      <c r="H734" s="100">
        <v>42</v>
      </c>
      <c r="I734" s="101">
        <v>35</v>
      </c>
      <c r="J734" s="100">
        <v>8</v>
      </c>
      <c r="K734" s="100">
        <v>71</v>
      </c>
      <c r="L734" s="100"/>
      <c r="M734" s="100">
        <v>35</v>
      </c>
      <c r="N734" s="100">
        <v>5</v>
      </c>
      <c r="O734" s="100">
        <v>1</v>
      </c>
      <c r="P734" s="100">
        <v>2</v>
      </c>
      <c r="Q734" s="102">
        <v>16.094000000000001</v>
      </c>
      <c r="R734" s="100">
        <v>86</v>
      </c>
      <c r="S734" s="100">
        <v>51</v>
      </c>
      <c r="T734" s="100">
        <v>3</v>
      </c>
      <c r="U734" s="100">
        <v>12</v>
      </c>
      <c r="V734" s="666">
        <v>54</v>
      </c>
      <c r="W734" s="97"/>
      <c r="X734" s="97">
        <f t="shared" si="11"/>
        <v>12</v>
      </c>
      <c r="Y734" s="97"/>
      <c r="AC734" s="100">
        <v>12477.52247752248</v>
      </c>
    </row>
    <row r="735" spans="1:29" ht="15.95" customHeight="1" thickBot="1" x14ac:dyDescent="0.25">
      <c r="A735" s="669"/>
      <c r="B735" s="45"/>
      <c r="C735" s="151" t="s">
        <v>414</v>
      </c>
      <c r="D735" s="305"/>
      <c r="E735" s="105"/>
      <c r="F735" s="106">
        <v>0</v>
      </c>
      <c r="G735" s="105">
        <v>0</v>
      </c>
      <c r="H735" s="105">
        <v>0</v>
      </c>
      <c r="I735" s="106"/>
      <c r="J735" s="105">
        <v>0</v>
      </c>
      <c r="K735" s="105"/>
      <c r="L735" s="105"/>
      <c r="M735" s="105">
        <v>0</v>
      </c>
      <c r="N735" s="105"/>
      <c r="O735" s="105">
        <v>0</v>
      </c>
      <c r="P735" s="105">
        <v>0</v>
      </c>
      <c r="Q735" s="273"/>
      <c r="R735" s="105">
        <v>0</v>
      </c>
      <c r="S735" s="105">
        <v>0</v>
      </c>
      <c r="T735" s="105">
        <v>0</v>
      </c>
      <c r="U735" s="105">
        <v>0</v>
      </c>
      <c r="V735" s="670">
        <v>0</v>
      </c>
      <c r="W735" s="97"/>
      <c r="X735" s="97">
        <f t="shared" si="11"/>
        <v>0</v>
      </c>
      <c r="Y735" s="97">
        <f>+IF((AC735-ROUND(AC735,-3)&gt;400)*AND(AC735-ROUND(AC735,-3)&lt;500),1,0)</f>
        <v>0</v>
      </c>
      <c r="AC735" s="105">
        <v>0</v>
      </c>
    </row>
    <row r="736" spans="1:29" ht="15.95" customHeight="1" thickTop="1" x14ac:dyDescent="0.2">
      <c r="A736" s="665" t="s">
        <v>210</v>
      </c>
      <c r="B736" s="42">
        <v>2008</v>
      </c>
      <c r="C736" s="148" t="s">
        <v>289</v>
      </c>
      <c r="D736" s="303">
        <v>41281</v>
      </c>
      <c r="E736" s="100">
        <v>2813</v>
      </c>
      <c r="F736" s="101">
        <v>10647.588672000002</v>
      </c>
      <c r="G736" s="100">
        <v>6920.1430615164527</v>
      </c>
      <c r="H736" s="100">
        <v>888</v>
      </c>
      <c r="I736" s="101">
        <v>7245</v>
      </c>
      <c r="J736" s="100">
        <v>254</v>
      </c>
      <c r="K736" s="100">
        <v>284</v>
      </c>
      <c r="L736" s="100">
        <v>5471</v>
      </c>
      <c r="M736" s="100">
        <v>7121</v>
      </c>
      <c r="N736" s="100"/>
      <c r="O736" s="100">
        <v>263</v>
      </c>
      <c r="P736" s="100">
        <v>348</v>
      </c>
      <c r="Q736" s="271">
        <v>3550.8960000000002</v>
      </c>
      <c r="R736" s="100">
        <v>280</v>
      </c>
      <c r="S736" s="100">
        <v>10483</v>
      </c>
      <c r="T736" s="100">
        <v>327</v>
      </c>
      <c r="U736" s="100">
        <v>1264</v>
      </c>
      <c r="V736" s="666">
        <v>3328.7508928571424</v>
      </c>
      <c r="W736" s="97"/>
      <c r="X736" s="97">
        <f t="shared" si="11"/>
        <v>1264</v>
      </c>
      <c r="Y736" s="97"/>
      <c r="AC736" s="100">
        <v>1263801.2762078396</v>
      </c>
    </row>
    <row r="737" spans="1:29" ht="15.95" customHeight="1" x14ac:dyDescent="0.2">
      <c r="A737" s="665"/>
      <c r="B737" s="43"/>
      <c r="C737" s="149" t="s">
        <v>290</v>
      </c>
      <c r="D737" s="303">
        <v>41281</v>
      </c>
      <c r="E737" s="100">
        <v>2813</v>
      </c>
      <c r="F737" s="101">
        <v>0</v>
      </c>
      <c r="G737" s="100">
        <v>0</v>
      </c>
      <c r="H737" s="100">
        <v>888</v>
      </c>
      <c r="I737" s="101">
        <f>7245-4048</f>
        <v>3197</v>
      </c>
      <c r="J737" s="100">
        <v>254</v>
      </c>
      <c r="K737" s="100">
        <v>284</v>
      </c>
      <c r="L737" s="100">
        <v>5471</v>
      </c>
      <c r="M737" s="100">
        <v>7121</v>
      </c>
      <c r="N737" s="100">
        <v>1000</v>
      </c>
      <c r="O737" s="100">
        <v>233</v>
      </c>
      <c r="P737" s="100">
        <v>291</v>
      </c>
      <c r="Q737" s="271"/>
      <c r="R737" s="100">
        <v>280</v>
      </c>
      <c r="S737" s="100">
        <v>10483</v>
      </c>
      <c r="T737" s="100">
        <v>327</v>
      </c>
      <c r="U737" s="100">
        <v>1264</v>
      </c>
      <c r="V737" s="666">
        <v>3328.5714285714284</v>
      </c>
      <c r="W737" s="97"/>
      <c r="X737" s="97">
        <f t="shared" si="11"/>
        <v>1264</v>
      </c>
      <c r="Y737" s="97"/>
      <c r="AC737" s="100">
        <v>1263801.2762078396</v>
      </c>
    </row>
    <row r="738" spans="1:29" ht="15.95" customHeight="1" x14ac:dyDescent="0.2">
      <c r="A738" s="667"/>
      <c r="B738" s="44"/>
      <c r="C738" s="150" t="s">
        <v>291</v>
      </c>
      <c r="D738" s="304"/>
      <c r="E738" s="103">
        <v>0</v>
      </c>
      <c r="F738" s="104">
        <v>3433.0752000000002</v>
      </c>
      <c r="G738" s="103">
        <v>4195.5436337625179</v>
      </c>
      <c r="H738" s="103">
        <v>0</v>
      </c>
      <c r="I738" s="104"/>
      <c r="J738" s="103">
        <v>0</v>
      </c>
      <c r="K738" s="103"/>
      <c r="L738" s="103"/>
      <c r="M738" s="103">
        <v>1404</v>
      </c>
      <c r="N738" s="103"/>
      <c r="O738" s="103">
        <v>35</v>
      </c>
      <c r="P738" s="103">
        <v>57</v>
      </c>
      <c r="Q738" s="272"/>
      <c r="R738" s="103">
        <v>0</v>
      </c>
      <c r="S738" s="103">
        <v>0</v>
      </c>
      <c r="T738" s="103">
        <v>0</v>
      </c>
      <c r="U738" s="103">
        <v>0</v>
      </c>
      <c r="V738" s="668">
        <v>0</v>
      </c>
      <c r="W738" s="97"/>
      <c r="X738" s="97">
        <f t="shared" si="11"/>
        <v>0</v>
      </c>
      <c r="Y738" s="97"/>
      <c r="AC738" s="103">
        <v>0</v>
      </c>
    </row>
    <row r="739" spans="1:29" ht="15.95" customHeight="1" x14ac:dyDescent="0.2">
      <c r="A739" s="665"/>
      <c r="B739" s="42">
        <v>2009</v>
      </c>
      <c r="C739" s="149" t="s">
        <v>412</v>
      </c>
      <c r="D739" s="303">
        <f>54988+1</f>
        <v>54989</v>
      </c>
      <c r="E739" s="100">
        <v>2797</v>
      </c>
      <c r="F739" s="101">
        <v>10647.588672000002</v>
      </c>
      <c r="G739" s="100">
        <v>7235.3347763347765</v>
      </c>
      <c r="H739" s="100">
        <v>1163</v>
      </c>
      <c r="I739" s="101">
        <v>7245</v>
      </c>
      <c r="J739" s="100">
        <v>225</v>
      </c>
      <c r="K739" s="100">
        <v>284</v>
      </c>
      <c r="L739" s="100">
        <f>10942-L736</f>
        <v>5471</v>
      </c>
      <c r="M739" s="100">
        <v>7121</v>
      </c>
      <c r="N739" s="100"/>
      <c r="O739" s="100">
        <v>261</v>
      </c>
      <c r="P739" s="100">
        <v>348</v>
      </c>
      <c r="Q739" s="102">
        <v>3365.694</v>
      </c>
      <c r="R739" s="100">
        <v>287</v>
      </c>
      <c r="S739" s="100">
        <v>10483</v>
      </c>
      <c r="T739" s="100">
        <v>331</v>
      </c>
      <c r="U739" s="100">
        <v>1386</v>
      </c>
      <c r="V739" s="666">
        <v>3276.0017857142852</v>
      </c>
      <c r="W739" s="100"/>
      <c r="X739" s="97">
        <f>+ROUNDUP(AC739/1000,0)</f>
        <v>1386</v>
      </c>
      <c r="Y739" s="97"/>
      <c r="AC739" s="100">
        <v>1385004.9950049953</v>
      </c>
    </row>
    <row r="740" spans="1:29" ht="15.95" customHeight="1" x14ac:dyDescent="0.2">
      <c r="A740" s="665"/>
      <c r="B740" s="43"/>
      <c r="C740" s="149" t="s">
        <v>413</v>
      </c>
      <c r="D740" s="303">
        <f>41304+1</f>
        <v>41305</v>
      </c>
      <c r="E740" s="100">
        <v>1497</v>
      </c>
      <c r="F740" s="101">
        <v>5492.0329440000005</v>
      </c>
      <c r="G740" s="100">
        <v>0</v>
      </c>
      <c r="H740" s="100">
        <v>1163</v>
      </c>
      <c r="I740" s="101">
        <v>112</v>
      </c>
      <c r="J740" s="100">
        <v>225</v>
      </c>
      <c r="K740" s="100">
        <v>284</v>
      </c>
      <c r="L740" s="100"/>
      <c r="M740" s="100">
        <v>6373</v>
      </c>
      <c r="N740" s="100">
        <v>1000</v>
      </c>
      <c r="O740" s="100">
        <v>261</v>
      </c>
      <c r="P740" s="100">
        <v>348</v>
      </c>
      <c r="Q740" s="271"/>
      <c r="R740" s="100">
        <v>287</v>
      </c>
      <c r="S740" s="100">
        <v>1624</v>
      </c>
      <c r="T740" s="100">
        <v>331</v>
      </c>
      <c r="U740" s="100">
        <v>1386</v>
      </c>
      <c r="V740" s="666">
        <v>3276</v>
      </c>
      <c r="W740" s="97"/>
      <c r="X740" s="97">
        <f>+ROUNDUP(AC740/1000,0)</f>
        <v>1386</v>
      </c>
      <c r="Y740" s="97"/>
      <c r="AC740" s="100">
        <v>1385004.9950049953</v>
      </c>
    </row>
    <row r="741" spans="1:29" ht="15.95" customHeight="1" thickBot="1" x14ac:dyDescent="0.25">
      <c r="A741" s="669"/>
      <c r="B741" s="45"/>
      <c r="C741" s="151" t="s">
        <v>414</v>
      </c>
      <c r="D741" s="305"/>
      <c r="E741" s="105">
        <v>0</v>
      </c>
      <c r="F741" s="106">
        <v>16713.980607199999</v>
      </c>
      <c r="G741" s="105">
        <v>2474.5266955266957</v>
      </c>
      <c r="H741" s="105">
        <v>0</v>
      </c>
      <c r="I741" s="106">
        <v>4048</v>
      </c>
      <c r="J741" s="105">
        <v>0</v>
      </c>
      <c r="K741" s="105"/>
      <c r="L741" s="105"/>
      <c r="M741" s="105">
        <v>0</v>
      </c>
      <c r="N741" s="105"/>
      <c r="O741" s="105">
        <v>30</v>
      </c>
      <c r="P741" s="105">
        <v>57</v>
      </c>
      <c r="Q741" s="273"/>
      <c r="R741" s="105">
        <v>0</v>
      </c>
      <c r="S741" s="105">
        <v>0</v>
      </c>
      <c r="T741" s="105">
        <v>0</v>
      </c>
      <c r="U741" s="105">
        <v>0</v>
      </c>
      <c r="V741" s="670">
        <v>0</v>
      </c>
      <c r="W741" s="97"/>
      <c r="X741" s="97">
        <f t="shared" si="11"/>
        <v>0</v>
      </c>
      <c r="Y741" s="97">
        <f>+IF((AC741-ROUND(AC741,-3)&gt;400)*AND(AC741-ROUND(AC741,-3)&lt;500),1,0)</f>
        <v>0</v>
      </c>
      <c r="AC741" s="105">
        <v>0</v>
      </c>
    </row>
    <row r="742" spans="1:29" ht="15.95" customHeight="1" thickTop="1" x14ac:dyDescent="0.2">
      <c r="A742" s="665" t="s">
        <v>309</v>
      </c>
      <c r="B742" s="42">
        <v>2008</v>
      </c>
      <c r="C742" s="148" t="s">
        <v>289</v>
      </c>
      <c r="D742" s="303">
        <v>18</v>
      </c>
      <c r="E742" s="100">
        <v>1</v>
      </c>
      <c r="F742" s="101">
        <v>4.6946972000000002</v>
      </c>
      <c r="G742" s="100"/>
      <c r="H742" s="100">
        <v>37</v>
      </c>
      <c r="I742" s="101"/>
      <c r="J742" s="100"/>
      <c r="K742" s="100">
        <v>71</v>
      </c>
      <c r="L742" s="100"/>
      <c r="M742" s="100">
        <v>3</v>
      </c>
      <c r="N742" s="100"/>
      <c r="O742" s="100">
        <v>0</v>
      </c>
      <c r="P742" s="100">
        <v>0</v>
      </c>
      <c r="Q742" s="271"/>
      <c r="R742" s="100"/>
      <c r="S742" s="100">
        <v>5</v>
      </c>
      <c r="T742" s="100">
        <v>3</v>
      </c>
      <c r="U742" s="100">
        <v>11</v>
      </c>
      <c r="V742" s="666"/>
      <c r="W742" s="97"/>
      <c r="X742" s="97">
        <f t="shared" si="11"/>
        <v>11</v>
      </c>
      <c r="Y742" s="97"/>
      <c r="AC742" s="100">
        <v>11385.597082953509</v>
      </c>
    </row>
    <row r="743" spans="1:29" ht="15.95" customHeight="1" x14ac:dyDescent="0.2">
      <c r="A743" s="665"/>
      <c r="B743" s="43"/>
      <c r="C743" s="149" t="s">
        <v>290</v>
      </c>
      <c r="D743" s="303"/>
      <c r="E743" s="100">
        <v>0</v>
      </c>
      <c r="F743" s="101">
        <v>2.1694899999999997</v>
      </c>
      <c r="G743" s="100"/>
      <c r="H743" s="100">
        <v>0</v>
      </c>
      <c r="I743" s="101"/>
      <c r="J743" s="100"/>
      <c r="K743" s="100">
        <v>71</v>
      </c>
      <c r="L743" s="100"/>
      <c r="M743" s="100">
        <v>0</v>
      </c>
      <c r="N743" s="100"/>
      <c r="O743" s="100">
        <v>0</v>
      </c>
      <c r="P743" s="100">
        <v>0</v>
      </c>
      <c r="Q743" s="271"/>
      <c r="R743" s="100"/>
      <c r="S743" s="100">
        <v>5</v>
      </c>
      <c r="T743" s="100">
        <v>0</v>
      </c>
      <c r="U743" s="100">
        <v>0</v>
      </c>
      <c r="V743" s="666"/>
      <c r="W743" s="97"/>
      <c r="X743" s="97">
        <f t="shared" si="11"/>
        <v>0</v>
      </c>
      <c r="Y743" s="97"/>
      <c r="AC743" s="100">
        <v>0</v>
      </c>
    </row>
    <row r="744" spans="1:29" ht="15.95" customHeight="1" x14ac:dyDescent="0.2">
      <c r="A744" s="667"/>
      <c r="B744" s="44"/>
      <c r="C744" s="150" t="s">
        <v>291</v>
      </c>
      <c r="D744" s="304"/>
      <c r="E744" s="103">
        <v>0</v>
      </c>
      <c r="F744" s="104">
        <v>2.2260616</v>
      </c>
      <c r="G744" s="103"/>
      <c r="H744" s="103">
        <v>23</v>
      </c>
      <c r="I744" s="104"/>
      <c r="J744" s="103"/>
      <c r="K744" s="103"/>
      <c r="L744" s="103"/>
      <c r="M744" s="103">
        <v>0</v>
      </c>
      <c r="N744" s="103"/>
      <c r="O744" s="103">
        <v>0</v>
      </c>
      <c r="P744" s="103">
        <v>0</v>
      </c>
      <c r="Q744" s="272"/>
      <c r="R744" s="103"/>
      <c r="S744" s="103">
        <v>0</v>
      </c>
      <c r="T744" s="103">
        <v>0</v>
      </c>
      <c r="U744" s="103">
        <v>0</v>
      </c>
      <c r="V744" s="668"/>
      <c r="W744" s="97"/>
      <c r="X744" s="97">
        <f t="shared" si="11"/>
        <v>0</v>
      </c>
      <c r="Y744" s="97"/>
      <c r="AC744" s="103">
        <v>0</v>
      </c>
    </row>
    <row r="745" spans="1:29" ht="15.95" customHeight="1" x14ac:dyDescent="0.2">
      <c r="A745" s="665"/>
      <c r="B745" s="42">
        <v>2009</v>
      </c>
      <c r="C745" s="149" t="s">
        <v>412</v>
      </c>
      <c r="D745" s="303">
        <v>24</v>
      </c>
      <c r="E745" s="100">
        <v>1</v>
      </c>
      <c r="F745" s="101">
        <v>4.6946972000000002</v>
      </c>
      <c r="G745" s="100"/>
      <c r="H745" s="100">
        <v>42</v>
      </c>
      <c r="I745" s="101"/>
      <c r="J745" s="100"/>
      <c r="K745" s="100">
        <v>71</v>
      </c>
      <c r="L745" s="100"/>
      <c r="M745" s="100">
        <v>3</v>
      </c>
      <c r="N745" s="100"/>
      <c r="O745" s="100">
        <v>0</v>
      </c>
      <c r="P745" s="100">
        <v>0</v>
      </c>
      <c r="Q745" s="271"/>
      <c r="R745" s="100"/>
      <c r="S745" s="100">
        <v>5</v>
      </c>
      <c r="T745" s="100">
        <v>3</v>
      </c>
      <c r="U745" s="100">
        <v>12</v>
      </c>
      <c r="V745" s="666"/>
      <c r="W745" s="100"/>
      <c r="X745" s="97">
        <f t="shared" si="11"/>
        <v>12</v>
      </c>
      <c r="Y745" s="97"/>
      <c r="AC745" s="100">
        <v>12477.52247752248</v>
      </c>
    </row>
    <row r="746" spans="1:29" ht="15.95" customHeight="1" x14ac:dyDescent="0.2">
      <c r="A746" s="665"/>
      <c r="B746" s="43"/>
      <c r="C746" s="149" t="s">
        <v>413</v>
      </c>
      <c r="D746" s="303"/>
      <c r="E746" s="100">
        <v>0</v>
      </c>
      <c r="F746" s="101">
        <v>2.1694899999999997</v>
      </c>
      <c r="G746" s="100"/>
      <c r="H746" s="100">
        <v>0</v>
      </c>
      <c r="I746" s="101"/>
      <c r="J746" s="100"/>
      <c r="K746" s="100">
        <v>35</v>
      </c>
      <c r="L746" s="100"/>
      <c r="M746" s="100">
        <v>0</v>
      </c>
      <c r="N746" s="100"/>
      <c r="O746" s="100">
        <v>0</v>
      </c>
      <c r="P746" s="100">
        <v>0</v>
      </c>
      <c r="Q746" s="271"/>
      <c r="R746" s="100"/>
      <c r="S746" s="100">
        <v>3</v>
      </c>
      <c r="T746" s="100">
        <v>0</v>
      </c>
      <c r="U746" s="100">
        <v>0</v>
      </c>
      <c r="V746" s="666"/>
      <c r="W746" s="97"/>
      <c r="X746" s="97">
        <f t="shared" si="11"/>
        <v>0</v>
      </c>
      <c r="Y746" s="97"/>
      <c r="AC746" s="100">
        <v>0</v>
      </c>
    </row>
    <row r="747" spans="1:29" ht="15.95" customHeight="1" thickBot="1" x14ac:dyDescent="0.25">
      <c r="A747" s="669"/>
      <c r="B747" s="45"/>
      <c r="C747" s="151" t="s">
        <v>414</v>
      </c>
      <c r="D747" s="305">
        <v>38</v>
      </c>
      <c r="E747" s="105">
        <v>0</v>
      </c>
      <c r="F747" s="106">
        <v>2.3778784000000002</v>
      </c>
      <c r="G747" s="105"/>
      <c r="H747" s="105">
        <v>0</v>
      </c>
      <c r="I747" s="106"/>
      <c r="J747" s="105"/>
      <c r="K747" s="105"/>
      <c r="L747" s="105"/>
      <c r="M747" s="105">
        <v>0</v>
      </c>
      <c r="N747" s="105"/>
      <c r="O747" s="105">
        <v>0</v>
      </c>
      <c r="P747" s="105">
        <v>0</v>
      </c>
      <c r="Q747" s="273"/>
      <c r="R747" s="105"/>
      <c r="S747" s="105">
        <v>4</v>
      </c>
      <c r="T747" s="105">
        <v>0</v>
      </c>
      <c r="U747" s="105">
        <v>0</v>
      </c>
      <c r="V747" s="670"/>
      <c r="W747" s="97"/>
      <c r="X747" s="97">
        <f t="shared" si="11"/>
        <v>0</v>
      </c>
      <c r="Y747" s="97">
        <f>+IF((AC747-ROUND(AC747,-3)&gt;400)*AND(AC747-ROUND(AC747,-3)&lt;500),1,0)</f>
        <v>0</v>
      </c>
      <c r="AC747" s="105">
        <v>0</v>
      </c>
    </row>
    <row r="748" spans="1:29" ht="15.95" customHeight="1" thickTop="1" x14ac:dyDescent="0.2">
      <c r="A748" s="665" t="s">
        <v>211</v>
      </c>
      <c r="B748" s="42">
        <v>2008</v>
      </c>
      <c r="C748" s="148" t="s">
        <v>289</v>
      </c>
      <c r="D748" s="303">
        <v>55</v>
      </c>
      <c r="E748" s="100">
        <v>4</v>
      </c>
      <c r="F748" s="101">
        <v>14.084118800000001</v>
      </c>
      <c r="G748" s="100">
        <v>11.818311874105866</v>
      </c>
      <c r="H748" s="100">
        <v>37</v>
      </c>
      <c r="I748" s="101"/>
      <c r="J748" s="100">
        <v>8</v>
      </c>
      <c r="K748" s="100">
        <v>71</v>
      </c>
      <c r="L748" s="100"/>
      <c r="M748" s="100">
        <v>9</v>
      </c>
      <c r="N748" s="100"/>
      <c r="O748" s="100">
        <v>0</v>
      </c>
      <c r="P748" s="100">
        <v>1</v>
      </c>
      <c r="Q748" s="271">
        <v>4.5270000000000001</v>
      </c>
      <c r="R748" s="100">
        <v>65</v>
      </c>
      <c r="S748" s="100">
        <v>14</v>
      </c>
      <c r="T748" s="100">
        <v>44</v>
      </c>
      <c r="U748" s="100">
        <v>11</v>
      </c>
      <c r="V748" s="666"/>
      <c r="W748" s="97"/>
      <c r="X748" s="97">
        <f t="shared" si="11"/>
        <v>11</v>
      </c>
      <c r="Y748" s="97"/>
      <c r="AC748" s="100">
        <v>11385.597082953509</v>
      </c>
    </row>
    <row r="749" spans="1:29" ht="15.95" customHeight="1" x14ac:dyDescent="0.2">
      <c r="A749" s="665"/>
      <c r="B749" s="43"/>
      <c r="C749" s="149" t="s">
        <v>290</v>
      </c>
      <c r="D749" s="303">
        <v>55</v>
      </c>
      <c r="E749" s="100">
        <v>4</v>
      </c>
      <c r="F749" s="101">
        <v>14.084118800000001</v>
      </c>
      <c r="G749" s="100">
        <v>11.530758226037197</v>
      </c>
      <c r="H749" s="100">
        <v>37</v>
      </c>
      <c r="I749" s="101"/>
      <c r="J749" s="100">
        <v>8</v>
      </c>
      <c r="K749" s="100">
        <v>71</v>
      </c>
      <c r="L749" s="100"/>
      <c r="M749" s="100">
        <v>9</v>
      </c>
      <c r="N749" s="100"/>
      <c r="O749" s="100">
        <v>0</v>
      </c>
      <c r="P749" s="100">
        <v>1</v>
      </c>
      <c r="Q749" s="271">
        <v>4.5270000000000001</v>
      </c>
      <c r="R749" s="100">
        <v>65</v>
      </c>
      <c r="S749" s="100">
        <v>14</v>
      </c>
      <c r="T749" s="100">
        <v>44</v>
      </c>
      <c r="U749" s="100">
        <v>11</v>
      </c>
      <c r="V749" s="666"/>
      <c r="W749" s="97"/>
      <c r="X749" s="97">
        <f t="shared" si="11"/>
        <v>11</v>
      </c>
      <c r="Y749" s="97"/>
      <c r="AC749" s="100">
        <v>11385.597082953509</v>
      </c>
    </row>
    <row r="750" spans="1:29" ht="15.95" customHeight="1" x14ac:dyDescent="0.2">
      <c r="A750" s="667"/>
      <c r="B750" s="44"/>
      <c r="C750" s="150" t="s">
        <v>291</v>
      </c>
      <c r="D750" s="304"/>
      <c r="E750" s="103">
        <v>0</v>
      </c>
      <c r="F750" s="104">
        <v>0</v>
      </c>
      <c r="G750" s="103">
        <v>0</v>
      </c>
      <c r="H750" s="103">
        <v>0</v>
      </c>
      <c r="I750" s="104"/>
      <c r="J750" s="103">
        <v>0</v>
      </c>
      <c r="K750" s="103"/>
      <c r="L750" s="103"/>
      <c r="M750" s="103">
        <v>0</v>
      </c>
      <c r="N750" s="103"/>
      <c r="O750" s="103">
        <v>0</v>
      </c>
      <c r="P750" s="103">
        <v>0</v>
      </c>
      <c r="Q750" s="272"/>
      <c r="R750" s="103">
        <v>0</v>
      </c>
      <c r="S750" s="103">
        <v>0</v>
      </c>
      <c r="T750" s="103">
        <v>0</v>
      </c>
      <c r="U750" s="103">
        <v>0</v>
      </c>
      <c r="V750" s="668"/>
      <c r="W750" s="97"/>
      <c r="X750" s="97">
        <f t="shared" si="11"/>
        <v>0</v>
      </c>
      <c r="Y750" s="97"/>
      <c r="AC750" s="103">
        <v>0</v>
      </c>
    </row>
    <row r="751" spans="1:29" ht="15.95" customHeight="1" x14ac:dyDescent="0.2">
      <c r="A751" s="665"/>
      <c r="B751" s="42">
        <v>2009</v>
      </c>
      <c r="C751" s="149" t="s">
        <v>412</v>
      </c>
      <c r="D751" s="303">
        <v>73</v>
      </c>
      <c r="E751" s="100">
        <v>4</v>
      </c>
      <c r="F751" s="101">
        <v>14.084118800000001</v>
      </c>
      <c r="G751" s="100">
        <v>12.486291486291488</v>
      </c>
      <c r="H751" s="100">
        <v>42</v>
      </c>
      <c r="I751" s="101"/>
      <c r="J751" s="100">
        <v>7</v>
      </c>
      <c r="K751" s="100">
        <v>71</v>
      </c>
      <c r="L751" s="100"/>
      <c r="M751" s="100">
        <v>9</v>
      </c>
      <c r="N751" s="100"/>
      <c r="O751" s="100">
        <v>0</v>
      </c>
      <c r="P751" s="100">
        <v>1</v>
      </c>
      <c r="Q751" s="102">
        <v>4.2910000000000004</v>
      </c>
      <c r="R751" s="100">
        <v>64</v>
      </c>
      <c r="S751" s="100">
        <v>14</v>
      </c>
      <c r="T751" s="100">
        <v>44</v>
      </c>
      <c r="U751" s="100">
        <v>12</v>
      </c>
      <c r="V751" s="666"/>
      <c r="W751" s="100"/>
      <c r="X751" s="97">
        <f t="shared" si="11"/>
        <v>12</v>
      </c>
      <c r="Y751" s="97"/>
      <c r="AC751" s="100">
        <v>12477.52247752248</v>
      </c>
    </row>
    <row r="752" spans="1:29" ht="15.95" customHeight="1" x14ac:dyDescent="0.2">
      <c r="A752" s="665"/>
      <c r="B752" s="43"/>
      <c r="C752" s="149" t="s">
        <v>413</v>
      </c>
      <c r="D752" s="303">
        <v>73</v>
      </c>
      <c r="E752" s="100">
        <v>3</v>
      </c>
      <c r="F752" s="101">
        <v>14.084118800000001</v>
      </c>
      <c r="G752" s="100">
        <v>12.486291486291488</v>
      </c>
      <c r="H752" s="100">
        <v>42</v>
      </c>
      <c r="I752" s="101"/>
      <c r="J752" s="100">
        <v>7</v>
      </c>
      <c r="K752" s="100">
        <v>71</v>
      </c>
      <c r="L752" s="100"/>
      <c r="M752" s="100">
        <v>9</v>
      </c>
      <c r="N752" s="100"/>
      <c r="O752" s="100">
        <v>0</v>
      </c>
      <c r="P752" s="100">
        <v>1</v>
      </c>
      <c r="Q752" s="102">
        <v>4.2910000000000004</v>
      </c>
      <c r="R752" s="100">
        <v>64</v>
      </c>
      <c r="S752" s="100">
        <v>14</v>
      </c>
      <c r="T752" s="100">
        <v>44</v>
      </c>
      <c r="U752" s="100">
        <v>12</v>
      </c>
      <c r="V752" s="666"/>
      <c r="W752" s="97"/>
      <c r="X752" s="97">
        <f t="shared" si="11"/>
        <v>12</v>
      </c>
      <c r="Y752" s="97"/>
      <c r="AC752" s="100">
        <v>12477.52247752248</v>
      </c>
    </row>
    <row r="753" spans="1:29" ht="15.95" customHeight="1" thickBot="1" x14ac:dyDescent="0.25">
      <c r="A753" s="669"/>
      <c r="B753" s="45"/>
      <c r="C753" s="151" t="s">
        <v>414</v>
      </c>
      <c r="D753" s="305"/>
      <c r="E753" s="105">
        <v>0</v>
      </c>
      <c r="F753" s="106">
        <v>0</v>
      </c>
      <c r="G753" s="105">
        <v>0</v>
      </c>
      <c r="H753" s="105">
        <v>0</v>
      </c>
      <c r="I753" s="106"/>
      <c r="J753" s="105">
        <v>0</v>
      </c>
      <c r="K753" s="105"/>
      <c r="L753" s="105"/>
      <c r="M753" s="105">
        <v>0</v>
      </c>
      <c r="N753" s="105"/>
      <c r="O753" s="105">
        <v>0</v>
      </c>
      <c r="P753" s="105">
        <v>0</v>
      </c>
      <c r="Q753" s="273"/>
      <c r="R753" s="105">
        <v>0</v>
      </c>
      <c r="S753" s="105">
        <v>0</v>
      </c>
      <c r="T753" s="105">
        <v>0</v>
      </c>
      <c r="U753" s="105">
        <v>0</v>
      </c>
      <c r="V753" s="670"/>
      <c r="W753" s="97"/>
      <c r="X753" s="97">
        <f t="shared" si="11"/>
        <v>0</v>
      </c>
      <c r="Y753" s="97">
        <f>+IF((AC753-ROUND(AC753,-3)&gt;400)*AND(AC753-ROUND(AC753,-3)&lt;500),1,0)</f>
        <v>0</v>
      </c>
      <c r="AC753" s="105">
        <v>0</v>
      </c>
    </row>
    <row r="754" spans="1:29" ht="15.95" customHeight="1" thickTop="1" x14ac:dyDescent="0.2">
      <c r="A754" s="665" t="s">
        <v>212</v>
      </c>
      <c r="B754" s="42">
        <v>2008</v>
      </c>
      <c r="C754" s="148" t="s">
        <v>289</v>
      </c>
      <c r="D754" s="303">
        <v>18</v>
      </c>
      <c r="E754" s="100">
        <v>1</v>
      </c>
      <c r="F754" s="101">
        <v>4.6946972000000002</v>
      </c>
      <c r="G754" s="100">
        <v>3.1459227467811162</v>
      </c>
      <c r="H754" s="100">
        <v>37</v>
      </c>
      <c r="I754" s="101">
        <v>3</v>
      </c>
      <c r="J754" s="100">
        <v>31</v>
      </c>
      <c r="K754" s="100">
        <v>71</v>
      </c>
      <c r="L754" s="100"/>
      <c r="M754" s="100">
        <v>3</v>
      </c>
      <c r="N754" s="100"/>
      <c r="O754" s="100">
        <v>0</v>
      </c>
      <c r="P754" s="100">
        <v>0</v>
      </c>
      <c r="Q754" s="271">
        <v>1.1319999999999999</v>
      </c>
      <c r="R754" s="100">
        <v>35</v>
      </c>
      <c r="S754" s="100">
        <v>5</v>
      </c>
      <c r="T754" s="100">
        <v>3</v>
      </c>
      <c r="U754" s="100">
        <v>11</v>
      </c>
      <c r="V754" s="666">
        <v>23.726785714285715</v>
      </c>
      <c r="W754" s="97"/>
      <c r="X754" s="97">
        <f t="shared" si="11"/>
        <v>11</v>
      </c>
      <c r="Y754" s="97"/>
      <c r="AC754" s="100">
        <v>11385.597082953509</v>
      </c>
    </row>
    <row r="755" spans="1:29" ht="15.95" customHeight="1" x14ac:dyDescent="0.2">
      <c r="A755" s="665"/>
      <c r="B755" s="43"/>
      <c r="C755" s="149" t="s">
        <v>290</v>
      </c>
      <c r="D755" s="303">
        <v>18</v>
      </c>
      <c r="E755" s="100">
        <v>1</v>
      </c>
      <c r="F755" s="101">
        <v>4.6946972000000002</v>
      </c>
      <c r="G755" s="100">
        <v>3.0500715307582262</v>
      </c>
      <c r="H755" s="100">
        <v>0</v>
      </c>
      <c r="I755" s="101">
        <v>3</v>
      </c>
      <c r="J755" s="100">
        <v>31</v>
      </c>
      <c r="K755" s="100"/>
      <c r="L755" s="100"/>
      <c r="M755" s="100">
        <v>3</v>
      </c>
      <c r="N755" s="100"/>
      <c r="O755" s="100">
        <v>0</v>
      </c>
      <c r="P755" s="100">
        <v>0</v>
      </c>
      <c r="Q755" s="271">
        <v>1.1319999999999999</v>
      </c>
      <c r="R755" s="100">
        <v>0</v>
      </c>
      <c r="S755" s="100">
        <v>5</v>
      </c>
      <c r="T755" s="100">
        <v>3</v>
      </c>
      <c r="U755" s="100">
        <v>0</v>
      </c>
      <c r="V755" s="666">
        <v>24.107142857142854</v>
      </c>
      <c r="W755" s="97"/>
      <c r="X755" s="97">
        <f t="shared" si="11"/>
        <v>0</v>
      </c>
      <c r="Y755" s="97"/>
      <c r="AC755" s="100">
        <v>0.28258887876025524</v>
      </c>
    </row>
    <row r="756" spans="1:29" ht="15.95" customHeight="1" x14ac:dyDescent="0.2">
      <c r="A756" s="667"/>
      <c r="B756" s="44"/>
      <c r="C756" s="150" t="s">
        <v>291</v>
      </c>
      <c r="D756" s="304"/>
      <c r="E756" s="103">
        <v>0</v>
      </c>
      <c r="F756" s="104">
        <v>0</v>
      </c>
      <c r="G756" s="103">
        <v>0</v>
      </c>
      <c r="H756" s="103">
        <v>0</v>
      </c>
      <c r="I756" s="104">
        <v>3</v>
      </c>
      <c r="J756" s="103">
        <v>0</v>
      </c>
      <c r="K756" s="103"/>
      <c r="L756" s="103"/>
      <c r="M756" s="103">
        <v>0</v>
      </c>
      <c r="N756" s="103"/>
      <c r="O756" s="103">
        <v>0</v>
      </c>
      <c r="P756" s="103">
        <v>0</v>
      </c>
      <c r="Q756" s="272">
        <v>0.67800000000000005</v>
      </c>
      <c r="R756" s="103">
        <v>0</v>
      </c>
      <c r="S756" s="103">
        <v>0</v>
      </c>
      <c r="T756" s="103">
        <v>0</v>
      </c>
      <c r="U756" s="103">
        <v>0</v>
      </c>
      <c r="V756" s="668">
        <v>0</v>
      </c>
      <c r="W756" s="97"/>
      <c r="X756" s="97">
        <f t="shared" si="11"/>
        <v>0</v>
      </c>
      <c r="Y756" s="97"/>
      <c r="AC756" s="103">
        <v>0</v>
      </c>
    </row>
    <row r="757" spans="1:29" ht="15.95" customHeight="1" x14ac:dyDescent="0.2">
      <c r="A757" s="665"/>
      <c r="B757" s="42">
        <v>2009</v>
      </c>
      <c r="C757" s="149" t="s">
        <v>412</v>
      </c>
      <c r="D757" s="303">
        <v>24</v>
      </c>
      <c r="E757" s="100">
        <v>1</v>
      </c>
      <c r="F757" s="101">
        <v>4.6946972000000002</v>
      </c>
      <c r="G757" s="100">
        <v>3.3261183261183263</v>
      </c>
      <c r="H757" s="100">
        <v>42</v>
      </c>
      <c r="I757" s="101">
        <v>3</v>
      </c>
      <c r="J757" s="100">
        <v>35</v>
      </c>
      <c r="K757" s="100">
        <v>71</v>
      </c>
      <c r="L757" s="100"/>
      <c r="M757" s="100">
        <v>3</v>
      </c>
      <c r="N757" s="100"/>
      <c r="O757" s="100">
        <v>0</v>
      </c>
      <c r="P757" s="100">
        <v>0</v>
      </c>
      <c r="Q757" s="102">
        <v>1.073</v>
      </c>
      <c r="R757" s="100">
        <v>36</v>
      </c>
      <c r="S757" s="100">
        <v>5</v>
      </c>
      <c r="T757" s="100">
        <v>3</v>
      </c>
      <c r="U757" s="100">
        <v>12</v>
      </c>
      <c r="V757" s="666">
        <v>25</v>
      </c>
      <c r="W757" s="100"/>
      <c r="X757" s="97">
        <f t="shared" si="11"/>
        <v>12</v>
      </c>
      <c r="Y757" s="97"/>
      <c r="AC757" s="100">
        <v>12477.52247752248</v>
      </c>
    </row>
    <row r="758" spans="1:29" ht="15.95" customHeight="1" x14ac:dyDescent="0.2">
      <c r="A758" s="665"/>
      <c r="B758" s="43"/>
      <c r="C758" s="149" t="s">
        <v>413</v>
      </c>
      <c r="D758" s="303">
        <v>24</v>
      </c>
      <c r="E758" s="100">
        <v>1</v>
      </c>
      <c r="F758" s="101">
        <v>4.6946972000000002</v>
      </c>
      <c r="G758" s="100">
        <v>3.3261183261183263</v>
      </c>
      <c r="H758" s="100">
        <v>42</v>
      </c>
      <c r="I758" s="101">
        <v>3</v>
      </c>
      <c r="J758" s="100">
        <v>35</v>
      </c>
      <c r="K758" s="100">
        <v>71</v>
      </c>
      <c r="L758" s="100"/>
      <c r="M758" s="100">
        <v>3</v>
      </c>
      <c r="N758" s="100"/>
      <c r="O758" s="100">
        <v>0</v>
      </c>
      <c r="P758" s="100">
        <v>0</v>
      </c>
      <c r="Q758" s="102">
        <v>1.073</v>
      </c>
      <c r="R758" s="100">
        <v>36</v>
      </c>
      <c r="S758" s="100">
        <v>5</v>
      </c>
      <c r="T758" s="100">
        <v>3</v>
      </c>
      <c r="U758" s="100">
        <v>12</v>
      </c>
      <c r="V758" s="666">
        <v>24</v>
      </c>
      <c r="W758" s="97"/>
      <c r="X758" s="97">
        <f t="shared" si="11"/>
        <v>12</v>
      </c>
      <c r="Y758" s="97"/>
      <c r="AC758" s="100">
        <v>12477.52247752248</v>
      </c>
    </row>
    <row r="759" spans="1:29" ht="15.95" customHeight="1" thickBot="1" x14ac:dyDescent="0.25">
      <c r="A759" s="669"/>
      <c r="B759" s="45"/>
      <c r="C759" s="151" t="s">
        <v>414</v>
      </c>
      <c r="D759" s="305"/>
      <c r="E759" s="105">
        <v>0</v>
      </c>
      <c r="F759" s="106">
        <v>0</v>
      </c>
      <c r="G759" s="105">
        <v>0</v>
      </c>
      <c r="H759" s="105">
        <v>43</v>
      </c>
      <c r="I759" s="106"/>
      <c r="J759" s="105">
        <v>0</v>
      </c>
      <c r="K759" s="105"/>
      <c r="L759" s="105"/>
      <c r="M759" s="105">
        <v>0</v>
      </c>
      <c r="N759" s="105">
        <v>2</v>
      </c>
      <c r="O759" s="105">
        <v>0</v>
      </c>
      <c r="P759" s="105">
        <v>0</v>
      </c>
      <c r="Q759" s="273"/>
      <c r="R759" s="105">
        <v>0</v>
      </c>
      <c r="S759" s="105">
        <v>0</v>
      </c>
      <c r="T759" s="105">
        <v>0</v>
      </c>
      <c r="U759" s="105">
        <v>12</v>
      </c>
      <c r="V759" s="670">
        <v>0</v>
      </c>
      <c r="W759" s="97"/>
      <c r="X759" s="97">
        <f t="shared" si="11"/>
        <v>12</v>
      </c>
      <c r="Y759" s="97">
        <f>+IF((AC759-ROUND(AC759,-3)&gt;400)*AND(AC759-ROUND(AC759,-3)&lt;500),1,0)</f>
        <v>1</v>
      </c>
      <c r="AC759" s="105">
        <v>12477.212787212789</v>
      </c>
    </row>
    <row r="760" spans="1:29" ht="16.5" thickTop="1" x14ac:dyDescent="0.2">
      <c r="A760" s="671" t="s">
        <v>682</v>
      </c>
      <c r="B760" s="42">
        <v>2008</v>
      </c>
      <c r="C760" s="148" t="s">
        <v>289</v>
      </c>
      <c r="D760" s="303">
        <v>18</v>
      </c>
      <c r="E760" s="100">
        <v>1</v>
      </c>
      <c r="F760" s="101">
        <v>4.6946972000000002</v>
      </c>
      <c r="G760" s="100">
        <v>3.1602288984263236</v>
      </c>
      <c r="H760" s="100">
        <v>37</v>
      </c>
      <c r="I760" s="101">
        <v>3</v>
      </c>
      <c r="J760" s="100">
        <v>8</v>
      </c>
      <c r="K760" s="100">
        <v>35</v>
      </c>
      <c r="L760" s="100"/>
      <c r="M760" s="100">
        <v>3</v>
      </c>
      <c r="N760" s="100"/>
      <c r="O760" s="100">
        <v>0</v>
      </c>
      <c r="P760" s="100">
        <v>0</v>
      </c>
      <c r="Q760" s="271">
        <v>1.1319999999999999</v>
      </c>
      <c r="R760" s="100">
        <v>35</v>
      </c>
      <c r="S760" s="100">
        <v>5</v>
      </c>
      <c r="T760" s="100">
        <v>11</v>
      </c>
      <c r="U760" s="100">
        <v>11</v>
      </c>
      <c r="V760" s="666"/>
      <c r="W760" s="97"/>
      <c r="X760" s="97">
        <f t="shared" si="11"/>
        <v>11</v>
      </c>
      <c r="Y760" s="97"/>
      <c r="AC760" s="100">
        <v>11385.597082953509</v>
      </c>
    </row>
    <row r="761" spans="1:29" ht="15.95" customHeight="1" x14ac:dyDescent="0.2">
      <c r="A761" s="665" t="s">
        <v>359</v>
      </c>
      <c r="B761" s="43"/>
      <c r="C761" s="149" t="s">
        <v>290</v>
      </c>
      <c r="D761" s="303">
        <v>18</v>
      </c>
      <c r="E761" s="100">
        <v>1</v>
      </c>
      <c r="F761" s="101">
        <v>2.5252072000000001</v>
      </c>
      <c r="G761" s="100">
        <v>0</v>
      </c>
      <c r="H761" s="100">
        <v>0</v>
      </c>
      <c r="I761" s="101">
        <f>3-3</f>
        <v>0</v>
      </c>
      <c r="J761" s="100">
        <v>8</v>
      </c>
      <c r="K761" s="100">
        <v>35</v>
      </c>
      <c r="L761" s="100"/>
      <c r="M761" s="100">
        <v>3</v>
      </c>
      <c r="N761" s="100"/>
      <c r="O761" s="100">
        <v>0</v>
      </c>
      <c r="P761" s="100">
        <v>0</v>
      </c>
      <c r="Q761" s="271">
        <v>1.1319999999999999</v>
      </c>
      <c r="R761" s="100">
        <v>35</v>
      </c>
      <c r="S761" s="100">
        <v>5</v>
      </c>
      <c r="T761" s="100">
        <v>11</v>
      </c>
      <c r="U761" s="100">
        <v>11</v>
      </c>
      <c r="V761" s="666"/>
      <c r="W761" s="97"/>
      <c r="X761" s="97">
        <f t="shared" si="11"/>
        <v>11</v>
      </c>
      <c r="Y761" s="97"/>
      <c r="AC761" s="100">
        <v>11385.597082953509</v>
      </c>
    </row>
    <row r="762" spans="1:29" ht="15.95" customHeight="1" x14ac:dyDescent="0.2">
      <c r="A762" s="667"/>
      <c r="B762" s="44"/>
      <c r="C762" s="150" t="s">
        <v>291</v>
      </c>
      <c r="D762" s="304">
        <v>29</v>
      </c>
      <c r="E762" s="103">
        <v>1</v>
      </c>
      <c r="F762" s="104">
        <v>0.60105200000000003</v>
      </c>
      <c r="G762" s="103">
        <v>1.4306151645207441E-3</v>
      </c>
      <c r="H762" s="103">
        <v>0</v>
      </c>
      <c r="I762" s="104">
        <v>3</v>
      </c>
      <c r="J762" s="103">
        <v>0</v>
      </c>
      <c r="K762" s="103"/>
      <c r="L762" s="103"/>
      <c r="M762" s="103">
        <v>0</v>
      </c>
      <c r="N762" s="103"/>
      <c r="O762" s="103">
        <v>0</v>
      </c>
      <c r="P762" s="103">
        <v>0</v>
      </c>
      <c r="Q762" s="272"/>
      <c r="R762" s="103">
        <v>0</v>
      </c>
      <c r="S762" s="103">
        <v>0</v>
      </c>
      <c r="T762" s="103">
        <v>0</v>
      </c>
      <c r="U762" s="103">
        <v>0</v>
      </c>
      <c r="V762" s="668"/>
      <c r="W762" s="97"/>
      <c r="X762" s="97">
        <f t="shared" si="11"/>
        <v>0</v>
      </c>
      <c r="Y762" s="97"/>
      <c r="AC762" s="103">
        <v>0</v>
      </c>
    </row>
    <row r="763" spans="1:29" ht="15.75" x14ac:dyDescent="0.2">
      <c r="A763" s="665"/>
      <c r="B763" s="42">
        <v>2009</v>
      </c>
      <c r="C763" s="149" t="s">
        <v>412</v>
      </c>
      <c r="D763" s="303">
        <v>24</v>
      </c>
      <c r="E763" s="100">
        <v>1</v>
      </c>
      <c r="F763" s="101">
        <v>4.6946972000000002</v>
      </c>
      <c r="G763" s="100">
        <v>3.3246753246753249</v>
      </c>
      <c r="H763" s="100">
        <v>42</v>
      </c>
      <c r="I763" s="101">
        <v>3</v>
      </c>
      <c r="J763" s="100">
        <v>7</v>
      </c>
      <c r="K763" s="100">
        <v>35</v>
      </c>
      <c r="L763" s="100"/>
      <c r="M763" s="100">
        <v>3</v>
      </c>
      <c r="N763" s="100"/>
      <c r="O763" s="100">
        <v>0</v>
      </c>
      <c r="P763" s="100">
        <v>0</v>
      </c>
      <c r="Q763" s="102">
        <v>1.073</v>
      </c>
      <c r="R763" s="100">
        <v>36</v>
      </c>
      <c r="S763" s="100">
        <v>5</v>
      </c>
      <c r="T763" s="100">
        <v>11</v>
      </c>
      <c r="U763" s="100">
        <v>12</v>
      </c>
      <c r="V763" s="666"/>
      <c r="W763" s="100"/>
      <c r="X763" s="97">
        <f t="shared" si="11"/>
        <v>12</v>
      </c>
      <c r="Y763" s="97"/>
      <c r="AC763" s="100">
        <v>12477.52247752248</v>
      </c>
    </row>
    <row r="764" spans="1:29" ht="15.95" customHeight="1" x14ac:dyDescent="0.2">
      <c r="A764" s="665"/>
      <c r="B764" s="43"/>
      <c r="C764" s="149" t="s">
        <v>413</v>
      </c>
      <c r="D764" s="303">
        <v>24</v>
      </c>
      <c r="E764" s="100">
        <v>1</v>
      </c>
      <c r="F764" s="101">
        <v>4.6946972000000002</v>
      </c>
      <c r="G764" s="100">
        <v>3.3246753246753249</v>
      </c>
      <c r="H764" s="100">
        <v>0</v>
      </c>
      <c r="I764" s="101"/>
      <c r="J764" s="100">
        <v>7</v>
      </c>
      <c r="K764" s="100">
        <v>35</v>
      </c>
      <c r="L764" s="100"/>
      <c r="M764" s="100">
        <v>3</v>
      </c>
      <c r="N764" s="100"/>
      <c r="O764" s="100">
        <v>0</v>
      </c>
      <c r="P764" s="100">
        <v>0</v>
      </c>
      <c r="Q764" s="102">
        <v>1.073</v>
      </c>
      <c r="R764" s="100">
        <v>36</v>
      </c>
      <c r="S764" s="100">
        <v>5</v>
      </c>
      <c r="T764" s="100">
        <v>11</v>
      </c>
      <c r="U764" s="100">
        <v>0</v>
      </c>
      <c r="V764" s="666"/>
      <c r="W764" s="97"/>
      <c r="X764" s="97">
        <f t="shared" si="11"/>
        <v>0</v>
      </c>
      <c r="Y764" s="97"/>
      <c r="AC764" s="100">
        <v>22.62737262737263</v>
      </c>
    </row>
    <row r="765" spans="1:29" ht="16.5" thickBot="1" x14ac:dyDescent="0.25">
      <c r="A765" s="669"/>
      <c r="B765" s="45"/>
      <c r="C765" s="151" t="s">
        <v>414</v>
      </c>
      <c r="D765" s="305"/>
      <c r="E765" s="105">
        <v>0</v>
      </c>
      <c r="F765" s="106">
        <v>0.60136000000000001</v>
      </c>
      <c r="G765" s="105">
        <v>8.7647907647907655</v>
      </c>
      <c r="H765" s="105">
        <v>0</v>
      </c>
      <c r="I765" s="106">
        <f>1+3</f>
        <v>4</v>
      </c>
      <c r="J765" s="105">
        <v>0</v>
      </c>
      <c r="K765" s="105"/>
      <c r="L765" s="105"/>
      <c r="M765" s="105">
        <v>0</v>
      </c>
      <c r="N765" s="105"/>
      <c r="O765" s="105">
        <v>0</v>
      </c>
      <c r="P765" s="105">
        <v>0</v>
      </c>
      <c r="Q765" s="273"/>
      <c r="R765" s="105">
        <v>0</v>
      </c>
      <c r="S765" s="105">
        <v>0</v>
      </c>
      <c r="T765" s="105">
        <v>0</v>
      </c>
      <c r="U765" s="105">
        <v>0</v>
      </c>
      <c r="V765" s="670"/>
      <c r="W765" s="97"/>
      <c r="X765" s="97">
        <f t="shared" si="11"/>
        <v>0</v>
      </c>
      <c r="Y765" s="97">
        <f>+IF((AC765-ROUND(AC765,-3)&gt;400)*AND(AC765-ROUND(AC765,-3)&lt;500),1,0)</f>
        <v>0</v>
      </c>
      <c r="AC765" s="105">
        <v>0</v>
      </c>
    </row>
    <row r="766" spans="1:29" ht="15.95" customHeight="1" thickTop="1" x14ac:dyDescent="0.2">
      <c r="A766" s="665" t="s">
        <v>213</v>
      </c>
      <c r="B766" s="42">
        <v>2008</v>
      </c>
      <c r="C766" s="148" t="s">
        <v>289</v>
      </c>
      <c r="D766" s="303">
        <v>768</v>
      </c>
      <c r="E766" s="100">
        <v>52</v>
      </c>
      <c r="F766" s="101">
        <v>197.17756800000004</v>
      </c>
      <c r="G766" s="100">
        <v>124.99570815450645</v>
      </c>
      <c r="H766" s="100">
        <v>55</v>
      </c>
      <c r="I766" s="101">
        <v>135</v>
      </c>
      <c r="J766" s="100">
        <v>33</v>
      </c>
      <c r="K766" s="100">
        <v>284</v>
      </c>
      <c r="L766" s="100"/>
      <c r="M766" s="100">
        <v>133</v>
      </c>
      <c r="N766" s="100"/>
      <c r="O766" s="100">
        <v>5</v>
      </c>
      <c r="P766" s="100">
        <v>6</v>
      </c>
      <c r="Q766" s="271">
        <v>65.653000000000006</v>
      </c>
      <c r="R766" s="100">
        <v>103</v>
      </c>
      <c r="S766" s="100">
        <v>195</v>
      </c>
      <c r="T766" s="100">
        <v>5</v>
      </c>
      <c r="U766" s="100">
        <v>23</v>
      </c>
      <c r="V766" s="666">
        <v>258.24285714285713</v>
      </c>
      <c r="W766" s="97"/>
      <c r="X766" s="97">
        <f t="shared" si="11"/>
        <v>23</v>
      </c>
      <c r="Y766" s="97"/>
      <c r="AC766" s="100">
        <v>22771.194165907018</v>
      </c>
    </row>
    <row r="767" spans="1:29" ht="15.95" customHeight="1" x14ac:dyDescent="0.2">
      <c r="A767" s="665"/>
      <c r="B767" s="43"/>
      <c r="C767" s="149" t="s">
        <v>290</v>
      </c>
      <c r="D767" s="303">
        <v>768</v>
      </c>
      <c r="E767" s="100">
        <v>52</v>
      </c>
      <c r="F767" s="101">
        <v>197.17756800000001</v>
      </c>
      <c r="G767" s="100">
        <v>120.64520743919886</v>
      </c>
      <c r="H767" s="100">
        <v>55</v>
      </c>
      <c r="I767" s="101">
        <v>135</v>
      </c>
      <c r="J767" s="100">
        <v>33</v>
      </c>
      <c r="K767" s="100">
        <v>284</v>
      </c>
      <c r="L767" s="100"/>
      <c r="M767" s="100">
        <v>133</v>
      </c>
      <c r="N767" s="100">
        <v>300</v>
      </c>
      <c r="O767" s="100">
        <v>0</v>
      </c>
      <c r="P767" s="100">
        <v>0</v>
      </c>
      <c r="Q767" s="271">
        <v>65.653000000000006</v>
      </c>
      <c r="R767" s="100">
        <v>103</v>
      </c>
      <c r="S767" s="100">
        <v>195</v>
      </c>
      <c r="T767" s="100">
        <v>5</v>
      </c>
      <c r="U767" s="100">
        <v>0</v>
      </c>
      <c r="V767" s="666">
        <v>258.03571428571428</v>
      </c>
      <c r="W767" s="97"/>
      <c r="X767" s="97">
        <f t="shared" ref="X767:X830" si="12">+ROUND(AC767/1000,0)</f>
        <v>0</v>
      </c>
      <c r="Y767" s="97"/>
      <c r="AC767" s="100">
        <v>0</v>
      </c>
    </row>
    <row r="768" spans="1:29" ht="15.95" customHeight="1" x14ac:dyDescent="0.2">
      <c r="A768" s="667"/>
      <c r="B768" s="44"/>
      <c r="C768" s="150" t="s">
        <v>291</v>
      </c>
      <c r="D768" s="304"/>
      <c r="E768" s="103">
        <v>3</v>
      </c>
      <c r="F768" s="104">
        <v>0</v>
      </c>
      <c r="G768" s="103">
        <v>0</v>
      </c>
      <c r="H768" s="103">
        <v>0</v>
      </c>
      <c r="I768" s="104"/>
      <c r="J768" s="103">
        <v>0</v>
      </c>
      <c r="K768" s="103"/>
      <c r="L768" s="103"/>
      <c r="M768" s="103">
        <v>0</v>
      </c>
      <c r="N768" s="103"/>
      <c r="O768" s="103">
        <v>0</v>
      </c>
      <c r="P768" s="103">
        <v>0</v>
      </c>
      <c r="Q768" s="272"/>
      <c r="R768" s="103">
        <v>0</v>
      </c>
      <c r="S768" s="103">
        <v>0</v>
      </c>
      <c r="T768" s="103">
        <v>0</v>
      </c>
      <c r="U768" s="103">
        <v>0</v>
      </c>
      <c r="V768" s="668">
        <v>0</v>
      </c>
      <c r="W768" s="97"/>
      <c r="X768" s="97">
        <f t="shared" si="12"/>
        <v>0</v>
      </c>
      <c r="Y768" s="97"/>
      <c r="AC768" s="103">
        <v>0</v>
      </c>
    </row>
    <row r="769" spans="1:29" ht="15.95" customHeight="1" x14ac:dyDescent="0.2">
      <c r="A769" s="665"/>
      <c r="B769" s="42">
        <v>2009</v>
      </c>
      <c r="C769" s="149" t="s">
        <v>412</v>
      </c>
      <c r="D769" s="303">
        <v>1023</v>
      </c>
      <c r="E769" s="100">
        <v>49</v>
      </c>
      <c r="F769" s="101">
        <v>197.17756800000004</v>
      </c>
      <c r="G769" s="100">
        <v>133.04473304473305</v>
      </c>
      <c r="H769" s="100">
        <v>57</v>
      </c>
      <c r="I769" s="101">
        <v>135</v>
      </c>
      <c r="J769" s="100">
        <v>28</v>
      </c>
      <c r="K769" s="100">
        <v>284</v>
      </c>
      <c r="L769" s="100"/>
      <c r="M769" s="100">
        <v>133</v>
      </c>
      <c r="N769" s="100"/>
      <c r="O769" s="100">
        <v>5</v>
      </c>
      <c r="P769" s="100">
        <v>6</v>
      </c>
      <c r="Q769" s="102">
        <v>62.228999999999999</v>
      </c>
      <c r="R769" s="100">
        <v>111</v>
      </c>
      <c r="S769" s="100">
        <v>195</v>
      </c>
      <c r="T769" s="100">
        <v>6</v>
      </c>
      <c r="U769" s="100">
        <v>26</v>
      </c>
      <c r="V769" s="666">
        <v>265.37857142857138</v>
      </c>
      <c r="W769" s="100"/>
      <c r="X769" s="97">
        <f>+ROUNDUP(AC769/1000+0.5,0)</f>
        <v>26</v>
      </c>
      <c r="Y769" s="97"/>
      <c r="AC769" s="100">
        <v>24955.044955044959</v>
      </c>
    </row>
    <row r="770" spans="1:29" ht="15.95" customHeight="1" x14ac:dyDescent="0.2">
      <c r="A770" s="665"/>
      <c r="B770" s="43"/>
      <c r="C770" s="149" t="s">
        <v>413</v>
      </c>
      <c r="D770" s="303">
        <v>1023</v>
      </c>
      <c r="E770" s="100">
        <v>49</v>
      </c>
      <c r="F770" s="101">
        <v>197.17756800000004</v>
      </c>
      <c r="G770" s="100">
        <v>128.71861471861473</v>
      </c>
      <c r="H770" s="100">
        <v>57</v>
      </c>
      <c r="I770" s="101">
        <v>135</v>
      </c>
      <c r="J770" s="100">
        <v>28</v>
      </c>
      <c r="K770" s="100">
        <v>284</v>
      </c>
      <c r="L770" s="100"/>
      <c r="M770" s="100">
        <v>133</v>
      </c>
      <c r="N770" s="100"/>
      <c r="O770" s="100">
        <v>5</v>
      </c>
      <c r="P770" s="100">
        <v>0</v>
      </c>
      <c r="Q770" s="102">
        <v>6.5720000000000001</v>
      </c>
      <c r="R770" s="100">
        <v>111</v>
      </c>
      <c r="S770" s="100">
        <v>195</v>
      </c>
      <c r="T770" s="100">
        <v>6</v>
      </c>
      <c r="U770" s="100">
        <v>26</v>
      </c>
      <c r="V770" s="666">
        <v>265</v>
      </c>
      <c r="W770" s="97"/>
      <c r="X770" s="97">
        <f>+ROUNDUP(AC770/1000+0.5,0)</f>
        <v>26</v>
      </c>
      <c r="Y770" s="97"/>
      <c r="AC770" s="100">
        <v>24955.044955044959</v>
      </c>
    </row>
    <row r="771" spans="1:29" ht="15.95" customHeight="1" thickBot="1" x14ac:dyDescent="0.25">
      <c r="A771" s="669"/>
      <c r="B771" s="45"/>
      <c r="C771" s="151" t="s">
        <v>414</v>
      </c>
      <c r="D771" s="305"/>
      <c r="E771" s="105">
        <v>0</v>
      </c>
      <c r="F771" s="106">
        <v>0</v>
      </c>
      <c r="G771" s="105">
        <v>0</v>
      </c>
      <c r="H771" s="105">
        <v>0</v>
      </c>
      <c r="I771" s="106"/>
      <c r="J771" s="105">
        <v>0</v>
      </c>
      <c r="K771" s="105"/>
      <c r="L771" s="105"/>
      <c r="M771" s="105">
        <v>0</v>
      </c>
      <c r="N771" s="105"/>
      <c r="O771" s="105">
        <v>16</v>
      </c>
      <c r="P771" s="105">
        <v>12</v>
      </c>
      <c r="Q771" s="273"/>
      <c r="R771" s="105">
        <v>0</v>
      </c>
      <c r="S771" s="105">
        <v>0</v>
      </c>
      <c r="T771" s="105">
        <v>0</v>
      </c>
      <c r="U771" s="105">
        <v>26</v>
      </c>
      <c r="V771" s="670">
        <v>0</v>
      </c>
      <c r="W771" s="97"/>
      <c r="X771" s="97">
        <f>+ROUNDUP(AC771/1000+0.5,0)</f>
        <v>26</v>
      </c>
      <c r="Y771" s="97">
        <f>+IF((AC771-ROUND(AC771,-3)&gt;400)*AND(AC771-ROUND(AC771,-3)&lt;500),1,0)</f>
        <v>0</v>
      </c>
      <c r="AC771" s="105">
        <v>24955.044955044959</v>
      </c>
    </row>
    <row r="772" spans="1:29" ht="15.95" customHeight="1" thickTop="1" x14ac:dyDescent="0.2">
      <c r="A772" s="665" t="s">
        <v>214</v>
      </c>
      <c r="B772" s="42">
        <v>2008</v>
      </c>
      <c r="C772" s="148" t="s">
        <v>289</v>
      </c>
      <c r="D772" s="303">
        <v>18</v>
      </c>
      <c r="E772" s="100">
        <v>1</v>
      </c>
      <c r="F772" s="101">
        <v>4.6946972000000002</v>
      </c>
      <c r="G772" s="100">
        <v>3.1587982832618029</v>
      </c>
      <c r="H772" s="100">
        <v>37</v>
      </c>
      <c r="I772" s="101">
        <v>3</v>
      </c>
      <c r="J772" s="100">
        <v>8</v>
      </c>
      <c r="K772" s="100">
        <v>18</v>
      </c>
      <c r="L772" s="100"/>
      <c r="M772" s="100">
        <v>3</v>
      </c>
      <c r="N772" s="100"/>
      <c r="O772" s="100">
        <v>0</v>
      </c>
      <c r="P772" s="100">
        <v>0</v>
      </c>
      <c r="Q772" s="271">
        <v>1.1319999999999999</v>
      </c>
      <c r="R772" s="100">
        <v>35</v>
      </c>
      <c r="S772" s="100">
        <v>5</v>
      </c>
      <c r="T772" s="100">
        <v>1</v>
      </c>
      <c r="U772" s="100">
        <v>11</v>
      </c>
      <c r="V772" s="666">
        <v>31.682142857142857</v>
      </c>
      <c r="W772" s="97"/>
      <c r="X772" s="97">
        <f t="shared" si="12"/>
        <v>11</v>
      </c>
      <c r="Y772" s="97"/>
      <c r="AC772" s="100">
        <v>11385.597082953509</v>
      </c>
    </row>
    <row r="773" spans="1:29" ht="15.95" customHeight="1" x14ac:dyDescent="0.2">
      <c r="A773" s="665"/>
      <c r="B773" s="43"/>
      <c r="C773" s="149" t="s">
        <v>290</v>
      </c>
      <c r="D773" s="303">
        <v>18</v>
      </c>
      <c r="E773" s="100">
        <v>1</v>
      </c>
      <c r="F773" s="101">
        <v>4.6946972000000002</v>
      </c>
      <c r="G773" s="100">
        <v>0.83977110157367674</v>
      </c>
      <c r="H773" s="100">
        <v>36</v>
      </c>
      <c r="I773" s="101">
        <v>3</v>
      </c>
      <c r="J773" s="100">
        <v>8</v>
      </c>
      <c r="K773" s="100">
        <v>18</v>
      </c>
      <c r="L773" s="100"/>
      <c r="M773" s="100">
        <v>3</v>
      </c>
      <c r="N773" s="100"/>
      <c r="O773" s="100">
        <v>0</v>
      </c>
      <c r="P773" s="100">
        <v>0</v>
      </c>
      <c r="Q773" s="271"/>
      <c r="R773" s="100">
        <v>35</v>
      </c>
      <c r="S773" s="100">
        <v>5</v>
      </c>
      <c r="T773" s="100">
        <v>1</v>
      </c>
      <c r="U773" s="100">
        <v>11</v>
      </c>
      <c r="V773" s="666">
        <v>31.25</v>
      </c>
      <c r="W773" s="97"/>
      <c r="X773" s="97">
        <f t="shared" si="12"/>
        <v>11</v>
      </c>
      <c r="Y773" s="97"/>
      <c r="AC773" s="100">
        <v>11385.597082953509</v>
      </c>
    </row>
    <row r="774" spans="1:29" ht="15.95" customHeight="1" x14ac:dyDescent="0.2">
      <c r="A774" s="667"/>
      <c r="B774" s="44"/>
      <c r="C774" s="150" t="s">
        <v>291</v>
      </c>
      <c r="D774" s="304"/>
      <c r="E774" s="103">
        <v>0</v>
      </c>
      <c r="F774" s="104">
        <v>0</v>
      </c>
      <c r="G774" s="103">
        <v>2.319027181688126</v>
      </c>
      <c r="H774" s="103">
        <v>0</v>
      </c>
      <c r="I774" s="104"/>
      <c r="J774" s="103">
        <v>0</v>
      </c>
      <c r="K774" s="103"/>
      <c r="L774" s="103"/>
      <c r="M774" s="103">
        <v>0</v>
      </c>
      <c r="N774" s="103"/>
      <c r="O774" s="103">
        <v>0</v>
      </c>
      <c r="P774" s="103">
        <v>0</v>
      </c>
      <c r="Q774" s="272">
        <v>0.39200000000000002</v>
      </c>
      <c r="R774" s="103">
        <v>78</v>
      </c>
      <c r="S774" s="103">
        <v>0</v>
      </c>
      <c r="T774" s="103">
        <v>0</v>
      </c>
      <c r="U774" s="103">
        <v>0</v>
      </c>
      <c r="V774" s="668">
        <v>0</v>
      </c>
      <c r="W774" s="97"/>
      <c r="X774" s="97">
        <f t="shared" si="12"/>
        <v>0</v>
      </c>
      <c r="Y774" s="97"/>
      <c r="AC774" s="103">
        <v>0</v>
      </c>
    </row>
    <row r="775" spans="1:29" ht="15.95" customHeight="1" x14ac:dyDescent="0.2">
      <c r="A775" s="665"/>
      <c r="B775" s="42">
        <v>2009</v>
      </c>
      <c r="C775" s="149" t="s">
        <v>412</v>
      </c>
      <c r="D775" s="303">
        <v>24</v>
      </c>
      <c r="E775" s="100">
        <v>1</v>
      </c>
      <c r="F775" s="101">
        <v>4.6946972000000002</v>
      </c>
      <c r="G775" s="100">
        <v>3.2525252525252526</v>
      </c>
      <c r="H775" s="100">
        <v>42</v>
      </c>
      <c r="I775" s="101">
        <v>3</v>
      </c>
      <c r="J775" s="100">
        <v>7</v>
      </c>
      <c r="K775" s="100">
        <v>18</v>
      </c>
      <c r="L775" s="100"/>
      <c r="M775" s="100">
        <v>3</v>
      </c>
      <c r="N775" s="100"/>
      <c r="O775" s="100">
        <v>0</v>
      </c>
      <c r="P775" s="100">
        <v>0</v>
      </c>
      <c r="Q775" s="102">
        <v>1.073</v>
      </c>
      <c r="R775" s="100">
        <v>36</v>
      </c>
      <c r="S775" s="100">
        <v>5</v>
      </c>
      <c r="T775" s="100">
        <v>1</v>
      </c>
      <c r="U775" s="100">
        <v>12</v>
      </c>
      <c r="V775" s="666">
        <v>33</v>
      </c>
      <c r="W775" s="100"/>
      <c r="X775" s="97">
        <f t="shared" si="12"/>
        <v>12</v>
      </c>
      <c r="Y775" s="97"/>
      <c r="AC775" s="100">
        <v>12477.52247752248</v>
      </c>
    </row>
    <row r="776" spans="1:29" ht="15.95" customHeight="1" x14ac:dyDescent="0.2">
      <c r="A776" s="665"/>
      <c r="B776" s="43"/>
      <c r="C776" s="149" t="s">
        <v>413</v>
      </c>
      <c r="D776" s="303">
        <v>18</v>
      </c>
      <c r="E776" s="100">
        <v>1</v>
      </c>
      <c r="F776" s="101">
        <v>4.6946972000000002</v>
      </c>
      <c r="G776" s="100">
        <v>0</v>
      </c>
      <c r="H776" s="100">
        <v>42</v>
      </c>
      <c r="I776" s="101">
        <v>3</v>
      </c>
      <c r="J776" s="100">
        <v>7</v>
      </c>
      <c r="K776" s="100">
        <v>18</v>
      </c>
      <c r="L776" s="100"/>
      <c r="M776" s="100">
        <v>3</v>
      </c>
      <c r="N776" s="100">
        <v>85</v>
      </c>
      <c r="O776" s="100">
        <v>0</v>
      </c>
      <c r="P776" s="100">
        <v>0</v>
      </c>
      <c r="Q776" s="102">
        <v>1.073</v>
      </c>
      <c r="R776" s="100">
        <v>36</v>
      </c>
      <c r="S776" s="100">
        <v>5</v>
      </c>
      <c r="T776" s="100">
        <v>1</v>
      </c>
      <c r="U776" s="100">
        <v>12</v>
      </c>
      <c r="V776" s="666">
        <v>33</v>
      </c>
      <c r="W776" s="97"/>
      <c r="X776" s="97">
        <f t="shared" si="12"/>
        <v>12</v>
      </c>
      <c r="Y776" s="97"/>
      <c r="AC776" s="100">
        <v>12477.52247752248</v>
      </c>
    </row>
    <row r="777" spans="1:29" ht="15.95" customHeight="1" thickBot="1" x14ac:dyDescent="0.25">
      <c r="A777" s="669"/>
      <c r="B777" s="45"/>
      <c r="C777" s="151" t="s">
        <v>414</v>
      </c>
      <c r="D777" s="305"/>
      <c r="E777" s="105">
        <v>0</v>
      </c>
      <c r="F777" s="106">
        <v>0</v>
      </c>
      <c r="G777" s="105">
        <v>6.4935064935064943E-2</v>
      </c>
      <c r="H777" s="105">
        <v>0</v>
      </c>
      <c r="I777" s="106"/>
      <c r="J777" s="105">
        <v>0</v>
      </c>
      <c r="K777" s="105"/>
      <c r="L777" s="105"/>
      <c r="M777" s="105">
        <v>0</v>
      </c>
      <c r="N777" s="105"/>
      <c r="O777" s="105">
        <v>0</v>
      </c>
      <c r="P777" s="105">
        <v>0</v>
      </c>
      <c r="Q777" s="273">
        <v>1.349</v>
      </c>
      <c r="R777" s="105">
        <v>0</v>
      </c>
      <c r="S777" s="105">
        <v>0</v>
      </c>
      <c r="T777" s="105">
        <v>0</v>
      </c>
      <c r="U777" s="105">
        <v>0</v>
      </c>
      <c r="V777" s="670">
        <v>0</v>
      </c>
      <c r="W777" s="97"/>
      <c r="X777" s="97">
        <f t="shared" si="12"/>
        <v>0</v>
      </c>
      <c r="Y777" s="97">
        <f>+IF((AC777-ROUND(AC777,-3)&gt;400)*AND(AC777-ROUND(AC777,-3)&lt;500),1,0)</f>
        <v>0</v>
      </c>
      <c r="AC777" s="105">
        <v>0</v>
      </c>
    </row>
    <row r="778" spans="1:29" ht="15.95" customHeight="1" thickTop="1" x14ac:dyDescent="0.2">
      <c r="A778" s="665" t="s">
        <v>215</v>
      </c>
      <c r="B778" s="42">
        <v>2008</v>
      </c>
      <c r="C778" s="148" t="s">
        <v>289</v>
      </c>
      <c r="D778" s="303">
        <v>91</v>
      </c>
      <c r="E778" s="100">
        <v>6</v>
      </c>
      <c r="F778" s="101">
        <v>23.473526799999998</v>
      </c>
      <c r="G778" s="100">
        <v>15.555078683834051</v>
      </c>
      <c r="H778" s="100">
        <v>37</v>
      </c>
      <c r="I778" s="101">
        <v>16</v>
      </c>
      <c r="J778" s="100">
        <v>27</v>
      </c>
      <c r="K778" s="100">
        <v>35</v>
      </c>
      <c r="L778" s="100"/>
      <c r="M778" s="100">
        <v>16</v>
      </c>
      <c r="N778" s="100"/>
      <c r="O778" s="100">
        <v>1</v>
      </c>
      <c r="P778" s="100">
        <v>1</v>
      </c>
      <c r="Q778" s="271">
        <v>7.9240000000000004</v>
      </c>
      <c r="R778" s="100"/>
      <c r="S778" s="100">
        <v>23</v>
      </c>
      <c r="T778" s="100">
        <v>1</v>
      </c>
      <c r="U778" s="100">
        <v>11</v>
      </c>
      <c r="V778" s="666">
        <v>44.474999999999994</v>
      </c>
      <c r="W778" s="97"/>
      <c r="X778" s="97">
        <f t="shared" si="12"/>
        <v>11</v>
      </c>
      <c r="Y778" s="97"/>
      <c r="AC778" s="100">
        <v>11385.597082953509</v>
      </c>
    </row>
    <row r="779" spans="1:29" ht="15.95" customHeight="1" x14ac:dyDescent="0.2">
      <c r="A779" s="665"/>
      <c r="B779" s="43"/>
      <c r="C779" s="149" t="s">
        <v>290</v>
      </c>
      <c r="D779" s="303">
        <v>91</v>
      </c>
      <c r="E779" s="100">
        <v>2</v>
      </c>
      <c r="F779" s="101">
        <v>0</v>
      </c>
      <c r="G779" s="100">
        <v>13.675250357653793</v>
      </c>
      <c r="H779" s="100">
        <v>37</v>
      </c>
      <c r="I779" s="101">
        <v>16</v>
      </c>
      <c r="J779" s="100">
        <v>27</v>
      </c>
      <c r="K779" s="100">
        <v>35</v>
      </c>
      <c r="L779" s="100"/>
      <c r="M779" s="100">
        <v>0</v>
      </c>
      <c r="N779" s="100"/>
      <c r="O779" s="100">
        <v>0</v>
      </c>
      <c r="P779" s="100">
        <v>0</v>
      </c>
      <c r="Q779" s="271"/>
      <c r="R779" s="100"/>
      <c r="S779" s="100">
        <v>23</v>
      </c>
      <c r="T779" s="100">
        <v>1</v>
      </c>
      <c r="U779" s="100">
        <v>10</v>
      </c>
      <c r="V779" s="666">
        <v>42.857142857142854</v>
      </c>
      <c r="W779" s="97"/>
      <c r="X779" s="97">
        <f>+ROUNDDOWN(AC779/1000,0)</f>
        <v>10</v>
      </c>
      <c r="Y779" s="97"/>
      <c r="AC779" s="100">
        <v>10888.404740200547</v>
      </c>
    </row>
    <row r="780" spans="1:29" ht="15.95" customHeight="1" x14ac:dyDescent="0.2">
      <c r="A780" s="667"/>
      <c r="B780" s="44"/>
      <c r="C780" s="150" t="s">
        <v>291</v>
      </c>
      <c r="D780" s="304"/>
      <c r="E780" s="103">
        <v>0</v>
      </c>
      <c r="F780" s="104">
        <v>39.502927999999997</v>
      </c>
      <c r="G780" s="103">
        <v>0</v>
      </c>
      <c r="H780" s="103">
        <v>30</v>
      </c>
      <c r="I780" s="104"/>
      <c r="J780" s="103">
        <v>0</v>
      </c>
      <c r="K780" s="103"/>
      <c r="L780" s="103"/>
      <c r="M780" s="103">
        <v>0</v>
      </c>
      <c r="N780" s="103"/>
      <c r="O780" s="103">
        <v>0</v>
      </c>
      <c r="P780" s="103">
        <v>0</v>
      </c>
      <c r="Q780" s="272">
        <v>0.73499999999999999</v>
      </c>
      <c r="R780" s="103"/>
      <c r="S780" s="103">
        <v>1</v>
      </c>
      <c r="T780" s="103">
        <v>0</v>
      </c>
      <c r="U780" s="103">
        <v>23</v>
      </c>
      <c r="V780" s="668">
        <v>0</v>
      </c>
      <c r="W780" s="97"/>
      <c r="X780" s="97">
        <f t="shared" si="12"/>
        <v>23</v>
      </c>
      <c r="Y780" s="97"/>
      <c r="AC780" s="103">
        <v>22771.194165907018</v>
      </c>
    </row>
    <row r="781" spans="1:29" ht="15.95" customHeight="1" x14ac:dyDescent="0.2">
      <c r="A781" s="665"/>
      <c r="B781" s="42">
        <v>2009</v>
      </c>
      <c r="C781" s="149" t="s">
        <v>412</v>
      </c>
      <c r="D781" s="303">
        <v>122</v>
      </c>
      <c r="E781" s="100">
        <v>6</v>
      </c>
      <c r="F781" s="101">
        <v>23.473526799999998</v>
      </c>
      <c r="G781" s="100">
        <v>16.558441558441558</v>
      </c>
      <c r="H781" s="100">
        <v>42</v>
      </c>
      <c r="I781" s="101">
        <v>16</v>
      </c>
      <c r="J781" s="100">
        <v>13</v>
      </c>
      <c r="K781" s="100">
        <v>35</v>
      </c>
      <c r="L781" s="100"/>
      <c r="M781" s="100">
        <v>16</v>
      </c>
      <c r="N781" s="100"/>
      <c r="O781" s="100">
        <v>1</v>
      </c>
      <c r="P781" s="100">
        <v>1</v>
      </c>
      <c r="Q781" s="102">
        <v>7.5110000000000001</v>
      </c>
      <c r="R781" s="100"/>
      <c r="S781" s="100">
        <v>23</v>
      </c>
      <c r="T781" s="100">
        <v>1</v>
      </c>
      <c r="U781" s="100">
        <v>12</v>
      </c>
      <c r="V781" s="666">
        <v>45.921428571428571</v>
      </c>
      <c r="W781" s="100"/>
      <c r="X781" s="97">
        <f t="shared" si="12"/>
        <v>12</v>
      </c>
      <c r="Y781" s="97"/>
      <c r="AC781" s="100">
        <v>12477.52247752248</v>
      </c>
    </row>
    <row r="782" spans="1:29" ht="15.95" customHeight="1" x14ac:dyDescent="0.2">
      <c r="A782" s="665"/>
      <c r="B782" s="43"/>
      <c r="C782" s="149" t="s">
        <v>413</v>
      </c>
      <c r="D782" s="303">
        <v>122</v>
      </c>
      <c r="E782" s="100">
        <v>6</v>
      </c>
      <c r="F782" s="101">
        <v>23.473526799999998</v>
      </c>
      <c r="G782" s="100">
        <v>16.533910533910532</v>
      </c>
      <c r="H782" s="100">
        <v>40</v>
      </c>
      <c r="I782" s="101">
        <v>16</v>
      </c>
      <c r="J782" s="100">
        <v>13</v>
      </c>
      <c r="K782" s="100">
        <v>35</v>
      </c>
      <c r="L782" s="100"/>
      <c r="M782" s="100">
        <v>0</v>
      </c>
      <c r="N782" s="100"/>
      <c r="O782" s="100">
        <v>0</v>
      </c>
      <c r="P782" s="100">
        <v>0</v>
      </c>
      <c r="Q782" s="271"/>
      <c r="R782" s="100"/>
      <c r="S782" s="100">
        <v>23</v>
      </c>
      <c r="T782" s="100">
        <v>1</v>
      </c>
      <c r="U782" s="100">
        <v>12</v>
      </c>
      <c r="V782" s="666">
        <v>45</v>
      </c>
      <c r="W782" s="97"/>
      <c r="X782" s="97">
        <f t="shared" si="12"/>
        <v>12</v>
      </c>
      <c r="Y782" s="97"/>
      <c r="AC782" s="100">
        <v>12477.52247752248</v>
      </c>
    </row>
    <row r="783" spans="1:29" ht="15.95" customHeight="1" thickBot="1" x14ac:dyDescent="0.25">
      <c r="A783" s="669"/>
      <c r="B783" s="45"/>
      <c r="C783" s="151" t="s">
        <v>414</v>
      </c>
      <c r="D783" s="305"/>
      <c r="E783" s="105">
        <v>4</v>
      </c>
      <c r="F783" s="106">
        <v>25.550994800000002</v>
      </c>
      <c r="G783" s="105">
        <v>7.5036075036075053E-2</v>
      </c>
      <c r="H783" s="105">
        <v>0</v>
      </c>
      <c r="I783" s="106"/>
      <c r="J783" s="105">
        <v>0</v>
      </c>
      <c r="K783" s="105"/>
      <c r="L783" s="105"/>
      <c r="M783" s="105">
        <v>57</v>
      </c>
      <c r="N783" s="105"/>
      <c r="O783" s="105">
        <v>0</v>
      </c>
      <c r="P783" s="105">
        <v>0</v>
      </c>
      <c r="Q783" s="273">
        <v>0.17100000000000001</v>
      </c>
      <c r="R783" s="105"/>
      <c r="S783" s="105">
        <v>0</v>
      </c>
      <c r="T783" s="105">
        <v>0</v>
      </c>
      <c r="U783" s="105">
        <v>1</v>
      </c>
      <c r="V783" s="670">
        <v>0</v>
      </c>
      <c r="W783" s="97"/>
      <c r="X783" s="97">
        <f t="shared" si="12"/>
        <v>1</v>
      </c>
      <c r="Y783" s="97">
        <f>+IF((AC783-ROUND(AC783,-3)&gt;400)*AND(AC783-ROUND(AC783,-3)&lt;500),1,0)</f>
        <v>0</v>
      </c>
      <c r="AC783" s="105">
        <v>544.87512487512492</v>
      </c>
    </row>
    <row r="784" spans="1:29" ht="15.95" customHeight="1" thickTop="1" x14ac:dyDescent="0.2">
      <c r="A784" s="665" t="s">
        <v>216</v>
      </c>
      <c r="B784" s="42">
        <v>2008</v>
      </c>
      <c r="C784" s="148" t="s">
        <v>289</v>
      </c>
      <c r="D784" s="303">
        <v>110</v>
      </c>
      <c r="E784" s="100">
        <v>7</v>
      </c>
      <c r="F784" s="101">
        <v>28.168224000000002</v>
      </c>
      <c r="G784" s="100">
        <v>18.814020028612305</v>
      </c>
      <c r="H784" s="100">
        <v>37</v>
      </c>
      <c r="I784" s="101">
        <v>19</v>
      </c>
      <c r="J784" s="100">
        <v>11</v>
      </c>
      <c r="K784" s="100">
        <v>71</v>
      </c>
      <c r="L784" s="100"/>
      <c r="M784" s="100">
        <v>19</v>
      </c>
      <c r="N784" s="100"/>
      <c r="O784" s="100">
        <v>1</v>
      </c>
      <c r="P784" s="100">
        <v>1</v>
      </c>
      <c r="Q784" s="271">
        <v>9.0559999999999992</v>
      </c>
      <c r="R784" s="100">
        <v>65</v>
      </c>
      <c r="S784" s="100">
        <v>28</v>
      </c>
      <c r="T784" s="100">
        <v>3</v>
      </c>
      <c r="U784" s="100">
        <v>11</v>
      </c>
      <c r="V784" s="666">
        <v>30.179464285714285</v>
      </c>
      <c r="W784" s="97"/>
      <c r="X784" s="97">
        <f t="shared" si="12"/>
        <v>11</v>
      </c>
      <c r="Y784" s="97"/>
      <c r="AC784" s="100">
        <v>11385.597082953509</v>
      </c>
    </row>
    <row r="785" spans="1:29" ht="15.95" customHeight="1" x14ac:dyDescent="0.2">
      <c r="A785" s="665"/>
      <c r="B785" s="43"/>
      <c r="C785" s="149" t="s">
        <v>290</v>
      </c>
      <c r="D785" s="303"/>
      <c r="E785" s="100">
        <v>5</v>
      </c>
      <c r="F785" s="101">
        <v>28.168224000000002</v>
      </c>
      <c r="G785" s="100">
        <v>18.814020028612305</v>
      </c>
      <c r="H785" s="100">
        <v>0</v>
      </c>
      <c r="I785" s="101">
        <v>19</v>
      </c>
      <c r="J785" s="100">
        <v>0</v>
      </c>
      <c r="K785" s="100">
        <v>71</v>
      </c>
      <c r="L785" s="100"/>
      <c r="M785" s="100">
        <v>19</v>
      </c>
      <c r="N785" s="100"/>
      <c r="O785" s="100">
        <v>1</v>
      </c>
      <c r="P785" s="100">
        <v>1</v>
      </c>
      <c r="Q785" s="271">
        <v>9.0559999999999992</v>
      </c>
      <c r="R785" s="100">
        <v>0</v>
      </c>
      <c r="S785" s="100">
        <v>28</v>
      </c>
      <c r="T785" s="100">
        <v>3</v>
      </c>
      <c r="U785" s="100">
        <v>11</v>
      </c>
      <c r="V785" s="666">
        <v>21</v>
      </c>
      <c r="W785" s="97"/>
      <c r="X785" s="97">
        <f t="shared" si="12"/>
        <v>11</v>
      </c>
      <c r="Y785" s="97"/>
      <c r="AC785" s="100">
        <v>11385.597082953509</v>
      </c>
    </row>
    <row r="786" spans="1:29" ht="15.95" customHeight="1" x14ac:dyDescent="0.2">
      <c r="A786" s="667"/>
      <c r="B786" s="44"/>
      <c r="C786" s="150" t="s">
        <v>291</v>
      </c>
      <c r="D786" s="304"/>
      <c r="E786" s="103">
        <v>0</v>
      </c>
      <c r="F786" s="104">
        <v>0</v>
      </c>
      <c r="G786" s="103">
        <v>16.330472103004293</v>
      </c>
      <c r="H786" s="103">
        <v>0</v>
      </c>
      <c r="I786" s="104"/>
      <c r="J786" s="103">
        <v>0</v>
      </c>
      <c r="K786" s="103"/>
      <c r="L786" s="103"/>
      <c r="M786" s="103">
        <v>0</v>
      </c>
      <c r="N786" s="103"/>
      <c r="O786" s="103">
        <v>0</v>
      </c>
      <c r="P786" s="103">
        <v>0</v>
      </c>
      <c r="Q786" s="272"/>
      <c r="R786" s="103">
        <v>69</v>
      </c>
      <c r="S786" s="103">
        <v>0</v>
      </c>
      <c r="T786" s="103">
        <v>0</v>
      </c>
      <c r="U786" s="103">
        <v>0</v>
      </c>
      <c r="V786" s="668">
        <v>34</v>
      </c>
      <c r="W786" s="97"/>
      <c r="X786" s="97">
        <f t="shared" si="12"/>
        <v>0</v>
      </c>
      <c r="Y786" s="97"/>
      <c r="AC786" s="103">
        <v>0</v>
      </c>
    </row>
    <row r="787" spans="1:29" ht="15.95" customHeight="1" x14ac:dyDescent="0.2">
      <c r="A787" s="665"/>
      <c r="B787" s="42">
        <v>2009</v>
      </c>
      <c r="C787" s="149" t="s">
        <v>412</v>
      </c>
      <c r="D787" s="303">
        <v>146</v>
      </c>
      <c r="E787" s="100">
        <v>7</v>
      </c>
      <c r="F787" s="101">
        <v>28.168224000000002</v>
      </c>
      <c r="G787" s="100">
        <v>19.979797979797983</v>
      </c>
      <c r="H787" s="100">
        <v>42</v>
      </c>
      <c r="I787" s="101">
        <v>19</v>
      </c>
      <c r="J787" s="100">
        <v>11</v>
      </c>
      <c r="K787" s="100">
        <v>71</v>
      </c>
      <c r="L787" s="100"/>
      <c r="M787" s="100">
        <v>19</v>
      </c>
      <c r="N787" s="100"/>
      <c r="O787" s="100">
        <v>1</v>
      </c>
      <c r="P787" s="100">
        <v>1</v>
      </c>
      <c r="Q787" s="102">
        <v>8.5830000000000002</v>
      </c>
      <c r="R787" s="100">
        <v>64</v>
      </c>
      <c r="S787" s="100">
        <v>28</v>
      </c>
      <c r="T787" s="100">
        <v>3</v>
      </c>
      <c r="U787" s="100">
        <v>12</v>
      </c>
      <c r="V787" s="666">
        <v>34.443749999999994</v>
      </c>
      <c r="W787" s="100"/>
      <c r="X787" s="97">
        <f t="shared" si="12"/>
        <v>12</v>
      </c>
      <c r="Y787" s="97"/>
      <c r="AC787" s="100">
        <v>12477.52247752248</v>
      </c>
    </row>
    <row r="788" spans="1:29" ht="15.95" customHeight="1" x14ac:dyDescent="0.2">
      <c r="A788" s="665"/>
      <c r="B788" s="43"/>
      <c r="C788" s="149" t="s">
        <v>413</v>
      </c>
      <c r="D788" s="303">
        <v>146</v>
      </c>
      <c r="E788" s="100">
        <v>0</v>
      </c>
      <c r="F788" s="101">
        <v>28.168224000000002</v>
      </c>
      <c r="G788" s="100">
        <v>19.979797979797983</v>
      </c>
      <c r="H788" s="100">
        <v>42</v>
      </c>
      <c r="I788" s="101">
        <v>19</v>
      </c>
      <c r="J788" s="100">
        <v>11</v>
      </c>
      <c r="K788" s="100">
        <v>71</v>
      </c>
      <c r="L788" s="100"/>
      <c r="M788" s="100">
        <v>19</v>
      </c>
      <c r="N788" s="100"/>
      <c r="O788" s="100">
        <v>1</v>
      </c>
      <c r="P788" s="100">
        <v>1</v>
      </c>
      <c r="Q788" s="102">
        <v>8.5830000000000002</v>
      </c>
      <c r="R788" s="100">
        <v>64</v>
      </c>
      <c r="S788" s="100">
        <v>28</v>
      </c>
      <c r="T788" s="100">
        <v>3</v>
      </c>
      <c r="U788" s="100">
        <v>12</v>
      </c>
      <c r="V788" s="666">
        <v>34</v>
      </c>
      <c r="W788" s="97"/>
      <c r="X788" s="97">
        <f t="shared" si="12"/>
        <v>12</v>
      </c>
      <c r="Y788" s="97"/>
      <c r="AC788" s="100">
        <v>12477.52247752248</v>
      </c>
    </row>
    <row r="789" spans="1:29" ht="15.95" customHeight="1" thickBot="1" x14ac:dyDescent="0.25">
      <c r="A789" s="669"/>
      <c r="B789" s="45"/>
      <c r="C789" s="151" t="s">
        <v>414</v>
      </c>
      <c r="D789" s="305">
        <v>111</v>
      </c>
      <c r="E789" s="105">
        <v>1</v>
      </c>
      <c r="F789" s="106">
        <v>0</v>
      </c>
      <c r="G789" s="105">
        <v>0</v>
      </c>
      <c r="H789" s="105">
        <v>43</v>
      </c>
      <c r="I789" s="106"/>
      <c r="J789" s="105">
        <v>10</v>
      </c>
      <c r="K789" s="105"/>
      <c r="L789" s="105"/>
      <c r="M789" s="105">
        <v>0</v>
      </c>
      <c r="N789" s="105"/>
      <c r="O789" s="105">
        <v>0</v>
      </c>
      <c r="P789" s="105">
        <v>0</v>
      </c>
      <c r="Q789" s="273"/>
      <c r="R789" s="105">
        <v>1</v>
      </c>
      <c r="S789" s="105">
        <v>0</v>
      </c>
      <c r="T789" s="105">
        <v>0</v>
      </c>
      <c r="U789" s="105">
        <v>0</v>
      </c>
      <c r="V789" s="670">
        <v>0</v>
      </c>
      <c r="W789" s="97"/>
      <c r="X789" s="97">
        <f t="shared" si="12"/>
        <v>0</v>
      </c>
      <c r="Y789" s="97">
        <f>+IF((AC789-ROUND(AC789,-3)&gt;400)*AND(AC789-ROUND(AC789,-3)&lt;500),1,0)</f>
        <v>0</v>
      </c>
      <c r="AC789" s="105">
        <v>0</v>
      </c>
    </row>
    <row r="790" spans="1:29" ht="15.95" customHeight="1" thickTop="1" x14ac:dyDescent="0.2">
      <c r="A790" s="665" t="s">
        <v>217</v>
      </c>
      <c r="B790" s="42">
        <v>2008</v>
      </c>
      <c r="C790" s="148" t="s">
        <v>289</v>
      </c>
      <c r="D790" s="303">
        <v>18</v>
      </c>
      <c r="E790" s="100">
        <v>1</v>
      </c>
      <c r="F790" s="101">
        <v>4.6946972000000002</v>
      </c>
      <c r="G790" s="100"/>
      <c r="H790" s="100">
        <v>37</v>
      </c>
      <c r="I790" s="101"/>
      <c r="J790" s="100"/>
      <c r="K790" s="100">
        <v>18</v>
      </c>
      <c r="L790" s="100"/>
      <c r="M790" s="100">
        <v>3</v>
      </c>
      <c r="N790" s="100"/>
      <c r="O790" s="100">
        <v>0</v>
      </c>
      <c r="P790" s="100">
        <v>0</v>
      </c>
      <c r="Q790" s="271"/>
      <c r="R790" s="100"/>
      <c r="S790" s="100">
        <v>5</v>
      </c>
      <c r="T790" s="100"/>
      <c r="U790" s="100"/>
      <c r="V790" s="666"/>
      <c r="W790" s="97"/>
      <c r="X790" s="97">
        <f t="shared" si="12"/>
        <v>0</v>
      </c>
      <c r="Y790" s="97"/>
      <c r="AC790" s="100"/>
    </row>
    <row r="791" spans="1:29" ht="15.95" customHeight="1" x14ac:dyDescent="0.2">
      <c r="A791" s="665"/>
      <c r="B791" s="43"/>
      <c r="C791" s="149" t="s">
        <v>290</v>
      </c>
      <c r="D791" s="303"/>
      <c r="E791" s="100">
        <v>0</v>
      </c>
      <c r="F791" s="101">
        <v>0</v>
      </c>
      <c r="G791" s="100"/>
      <c r="H791" s="100">
        <v>0</v>
      </c>
      <c r="I791" s="101"/>
      <c r="J791" s="100"/>
      <c r="K791" s="100">
        <v>18</v>
      </c>
      <c r="L791" s="100"/>
      <c r="M791" s="100">
        <v>3</v>
      </c>
      <c r="N791" s="100"/>
      <c r="O791" s="100">
        <v>0</v>
      </c>
      <c r="P791" s="100">
        <v>0</v>
      </c>
      <c r="Q791" s="271"/>
      <c r="R791" s="100"/>
      <c r="S791" s="100">
        <v>0</v>
      </c>
      <c r="T791" s="100"/>
      <c r="U791" s="100"/>
      <c r="V791" s="666"/>
      <c r="W791" s="97"/>
      <c r="X791" s="97">
        <f t="shared" si="12"/>
        <v>0</v>
      </c>
      <c r="Y791" s="97"/>
      <c r="AC791" s="100"/>
    </row>
    <row r="792" spans="1:29" ht="15.95" customHeight="1" x14ac:dyDescent="0.2">
      <c r="A792" s="667"/>
      <c r="B792" s="44"/>
      <c r="C792" s="150" t="s">
        <v>291</v>
      </c>
      <c r="D792" s="304">
        <v>21</v>
      </c>
      <c r="E792" s="103">
        <v>0</v>
      </c>
      <c r="F792" s="104">
        <v>0</v>
      </c>
      <c r="G792" s="103"/>
      <c r="H792" s="103">
        <v>0</v>
      </c>
      <c r="I792" s="104"/>
      <c r="J792" s="103"/>
      <c r="K792" s="103"/>
      <c r="L792" s="103"/>
      <c r="M792" s="103">
        <v>3</v>
      </c>
      <c r="N792" s="103"/>
      <c r="O792" s="103">
        <v>0</v>
      </c>
      <c r="P792" s="103">
        <v>0</v>
      </c>
      <c r="Q792" s="272"/>
      <c r="R792" s="103"/>
      <c r="S792" s="103">
        <v>0</v>
      </c>
      <c r="T792" s="103"/>
      <c r="U792" s="103"/>
      <c r="V792" s="668"/>
      <c r="W792" s="97"/>
      <c r="X792" s="97">
        <f t="shared" si="12"/>
        <v>0</v>
      </c>
      <c r="Y792" s="97"/>
      <c r="AC792" s="103"/>
    </row>
    <row r="793" spans="1:29" ht="15.95" customHeight="1" x14ac:dyDescent="0.2">
      <c r="A793" s="665"/>
      <c r="B793" s="42">
        <v>2009</v>
      </c>
      <c r="C793" s="149" t="s">
        <v>412</v>
      </c>
      <c r="D793" s="303">
        <v>24</v>
      </c>
      <c r="E793" s="100">
        <v>1</v>
      </c>
      <c r="F793" s="101">
        <v>4.6946972000000002</v>
      </c>
      <c r="G793" s="100"/>
      <c r="H793" s="100">
        <v>42</v>
      </c>
      <c r="I793" s="101"/>
      <c r="J793" s="100"/>
      <c r="K793" s="100">
        <v>18</v>
      </c>
      <c r="L793" s="100"/>
      <c r="M793" s="100">
        <v>3</v>
      </c>
      <c r="N793" s="100"/>
      <c r="O793" s="100">
        <v>0</v>
      </c>
      <c r="P793" s="100">
        <v>0</v>
      </c>
      <c r="Q793" s="271"/>
      <c r="R793" s="100"/>
      <c r="S793" s="100">
        <v>5</v>
      </c>
      <c r="T793" s="100"/>
      <c r="U793" s="100"/>
      <c r="V793" s="666"/>
      <c r="W793" s="100"/>
      <c r="X793" s="97">
        <f t="shared" si="12"/>
        <v>0</v>
      </c>
      <c r="Y793" s="97"/>
      <c r="AC793" s="100"/>
    </row>
    <row r="794" spans="1:29" ht="15.95" customHeight="1" x14ac:dyDescent="0.2">
      <c r="A794" s="665"/>
      <c r="B794" s="43"/>
      <c r="C794" s="149" t="s">
        <v>413</v>
      </c>
      <c r="D794" s="303">
        <v>1</v>
      </c>
      <c r="E794" s="100">
        <v>0</v>
      </c>
      <c r="F794" s="101">
        <v>1.9233199999999999</v>
      </c>
      <c r="G794" s="100"/>
      <c r="H794" s="100">
        <v>0</v>
      </c>
      <c r="I794" s="101"/>
      <c r="J794" s="100"/>
      <c r="K794" s="100">
        <v>18</v>
      </c>
      <c r="L794" s="100"/>
      <c r="M794" s="100">
        <v>3</v>
      </c>
      <c r="N794" s="100"/>
      <c r="O794" s="100">
        <v>0</v>
      </c>
      <c r="P794" s="100">
        <v>0</v>
      </c>
      <c r="Q794" s="271"/>
      <c r="R794" s="100"/>
      <c r="S794" s="100">
        <v>0</v>
      </c>
      <c r="T794" s="100"/>
      <c r="U794" s="100"/>
      <c r="V794" s="666"/>
      <c r="W794" s="97"/>
      <c r="X794" s="97">
        <f t="shared" si="12"/>
        <v>0</v>
      </c>
      <c r="Y794" s="97"/>
      <c r="AC794" s="100"/>
    </row>
    <row r="795" spans="1:29" ht="15.95" customHeight="1" thickBot="1" x14ac:dyDescent="0.25">
      <c r="A795" s="669"/>
      <c r="B795" s="45"/>
      <c r="C795" s="151" t="s">
        <v>414</v>
      </c>
      <c r="D795" s="305">
        <v>24</v>
      </c>
      <c r="E795" s="105">
        <v>0</v>
      </c>
      <c r="F795" s="106">
        <v>16.34263</v>
      </c>
      <c r="G795" s="105"/>
      <c r="H795" s="105">
        <v>0</v>
      </c>
      <c r="I795" s="106"/>
      <c r="J795" s="105"/>
      <c r="K795" s="105"/>
      <c r="L795" s="105"/>
      <c r="M795" s="105">
        <v>0</v>
      </c>
      <c r="N795" s="105"/>
      <c r="O795" s="105">
        <v>0</v>
      </c>
      <c r="P795" s="105">
        <v>0</v>
      </c>
      <c r="Q795" s="273"/>
      <c r="R795" s="105"/>
      <c r="S795" s="105">
        <v>5</v>
      </c>
      <c r="T795" s="105"/>
      <c r="U795" s="105"/>
      <c r="V795" s="670"/>
      <c r="W795" s="97"/>
      <c r="X795" s="97">
        <f t="shared" si="12"/>
        <v>0</v>
      </c>
      <c r="Y795" s="97">
        <f>+IF((AC795-ROUND(AC795,-3)&gt;400)*AND(AC795-ROUND(AC795,-3)&lt;500),1,0)</f>
        <v>0</v>
      </c>
      <c r="AC795" s="105"/>
    </row>
    <row r="796" spans="1:29" ht="15.95" customHeight="1" thickTop="1" x14ac:dyDescent="0.2">
      <c r="A796" s="665" t="s">
        <v>218</v>
      </c>
      <c r="B796" s="42">
        <v>2008</v>
      </c>
      <c r="C796" s="148" t="s">
        <v>289</v>
      </c>
      <c r="D796" s="303">
        <v>55</v>
      </c>
      <c r="E796" s="100">
        <v>4</v>
      </c>
      <c r="F796" s="101">
        <v>14.084118800000001</v>
      </c>
      <c r="G796" s="100">
        <v>9.436337625178826</v>
      </c>
      <c r="H796" s="100">
        <v>37</v>
      </c>
      <c r="I796" s="101">
        <v>10</v>
      </c>
      <c r="J796" s="100">
        <v>8</v>
      </c>
      <c r="K796" s="100">
        <v>18</v>
      </c>
      <c r="L796" s="100"/>
      <c r="M796" s="100">
        <v>9</v>
      </c>
      <c r="N796" s="100"/>
      <c r="O796" s="100">
        <v>0</v>
      </c>
      <c r="P796" s="100">
        <v>1</v>
      </c>
      <c r="Q796" s="271">
        <v>4.5270000000000001</v>
      </c>
      <c r="R796" s="100">
        <v>35</v>
      </c>
      <c r="S796" s="100">
        <v>14</v>
      </c>
      <c r="T796" s="100">
        <v>1</v>
      </c>
      <c r="U796" s="100">
        <v>11</v>
      </c>
      <c r="V796" s="666">
        <v>25.303571428571427</v>
      </c>
      <c r="W796" s="97"/>
      <c r="X796" s="97">
        <f t="shared" si="12"/>
        <v>11</v>
      </c>
      <c r="Y796" s="97"/>
      <c r="AC796" s="100">
        <v>11385.597082953509</v>
      </c>
    </row>
    <row r="797" spans="1:29" ht="15.95" customHeight="1" x14ac:dyDescent="0.2">
      <c r="A797" s="665"/>
      <c r="B797" s="43"/>
      <c r="C797" s="149" t="s">
        <v>290</v>
      </c>
      <c r="D797" s="303">
        <v>55</v>
      </c>
      <c r="E797" s="100">
        <v>4</v>
      </c>
      <c r="F797" s="101">
        <v>14.084118800000001</v>
      </c>
      <c r="G797" s="100">
        <v>0</v>
      </c>
      <c r="H797" s="100">
        <v>36</v>
      </c>
      <c r="I797" s="101">
        <v>10</v>
      </c>
      <c r="J797" s="100">
        <v>8</v>
      </c>
      <c r="K797" s="100">
        <v>18</v>
      </c>
      <c r="L797" s="100"/>
      <c r="M797" s="100">
        <v>9</v>
      </c>
      <c r="N797" s="100"/>
      <c r="O797" s="100">
        <v>0</v>
      </c>
      <c r="P797" s="100">
        <v>0</v>
      </c>
      <c r="Q797" s="271"/>
      <c r="R797" s="100">
        <v>35</v>
      </c>
      <c r="S797" s="100">
        <v>14</v>
      </c>
      <c r="T797" s="100">
        <v>1</v>
      </c>
      <c r="U797" s="100">
        <v>0</v>
      </c>
      <c r="V797" s="666">
        <v>0</v>
      </c>
      <c r="W797" s="97"/>
      <c r="X797" s="97">
        <f t="shared" si="12"/>
        <v>0</v>
      </c>
      <c r="Y797" s="97"/>
      <c r="AC797" s="100">
        <v>0</v>
      </c>
    </row>
    <row r="798" spans="1:29" ht="15.95" customHeight="1" x14ac:dyDescent="0.2">
      <c r="A798" s="667"/>
      <c r="B798" s="44"/>
      <c r="C798" s="150" t="s">
        <v>291</v>
      </c>
      <c r="D798" s="304"/>
      <c r="E798" s="103">
        <v>0</v>
      </c>
      <c r="F798" s="104">
        <v>0</v>
      </c>
      <c r="G798" s="103">
        <v>0</v>
      </c>
      <c r="H798" s="103">
        <v>0</v>
      </c>
      <c r="I798" s="104"/>
      <c r="J798" s="103">
        <v>0</v>
      </c>
      <c r="K798" s="103"/>
      <c r="L798" s="103"/>
      <c r="M798" s="103">
        <v>0</v>
      </c>
      <c r="N798" s="103"/>
      <c r="O798" s="103">
        <v>0</v>
      </c>
      <c r="P798" s="103">
        <v>0</v>
      </c>
      <c r="Q798" s="272">
        <v>0.58599999999999997</v>
      </c>
      <c r="R798" s="103">
        <v>0</v>
      </c>
      <c r="S798" s="103">
        <v>0</v>
      </c>
      <c r="T798" s="103">
        <v>0</v>
      </c>
      <c r="U798" s="103">
        <v>11</v>
      </c>
      <c r="V798" s="668">
        <v>0</v>
      </c>
      <c r="W798" s="97"/>
      <c r="X798" s="97">
        <f t="shared" si="12"/>
        <v>11</v>
      </c>
      <c r="Y798" s="97"/>
      <c r="AC798" s="103">
        <v>11385.597082953509</v>
      </c>
    </row>
    <row r="799" spans="1:29" ht="15.95" customHeight="1" x14ac:dyDescent="0.2">
      <c r="A799" s="665"/>
      <c r="B799" s="42">
        <v>2009</v>
      </c>
      <c r="C799" s="149" t="s">
        <v>412</v>
      </c>
      <c r="D799" s="303">
        <v>73</v>
      </c>
      <c r="E799" s="100">
        <v>4</v>
      </c>
      <c r="F799" s="101">
        <v>14.084118800000001</v>
      </c>
      <c r="G799" s="100">
        <v>9.7604617604617623</v>
      </c>
      <c r="H799" s="100">
        <v>42</v>
      </c>
      <c r="I799" s="101">
        <v>10</v>
      </c>
      <c r="J799" s="100">
        <v>7</v>
      </c>
      <c r="K799" s="100">
        <v>18</v>
      </c>
      <c r="L799" s="100"/>
      <c r="M799" s="100">
        <v>9</v>
      </c>
      <c r="N799" s="100"/>
      <c r="O799" s="100">
        <v>0</v>
      </c>
      <c r="P799" s="100">
        <v>1</v>
      </c>
      <c r="Q799" s="102">
        <v>4.2910000000000004</v>
      </c>
      <c r="R799" s="100">
        <v>36</v>
      </c>
      <c r="S799" s="100">
        <v>14</v>
      </c>
      <c r="T799" s="100">
        <v>1</v>
      </c>
      <c r="U799" s="100">
        <v>12</v>
      </c>
      <c r="V799" s="666">
        <v>26</v>
      </c>
      <c r="W799" s="100"/>
      <c r="X799" s="97">
        <f t="shared" si="12"/>
        <v>12</v>
      </c>
      <c r="Y799" s="97"/>
      <c r="AC799" s="100">
        <v>12477.52247752248</v>
      </c>
    </row>
    <row r="800" spans="1:29" ht="15.95" customHeight="1" x14ac:dyDescent="0.2">
      <c r="A800" s="665"/>
      <c r="B800" s="43"/>
      <c r="C800" s="149" t="s">
        <v>413</v>
      </c>
      <c r="D800" s="303"/>
      <c r="E800" s="100">
        <v>0</v>
      </c>
      <c r="F800" s="101">
        <v>14.084118800000001</v>
      </c>
      <c r="G800" s="100">
        <v>0</v>
      </c>
      <c r="H800" s="100">
        <v>39</v>
      </c>
      <c r="I800" s="101">
        <v>10</v>
      </c>
      <c r="J800" s="100">
        <v>7</v>
      </c>
      <c r="K800" s="100">
        <v>18</v>
      </c>
      <c r="L800" s="100"/>
      <c r="M800" s="100">
        <v>0</v>
      </c>
      <c r="N800" s="100"/>
      <c r="O800" s="100">
        <v>0</v>
      </c>
      <c r="P800" s="100">
        <v>0</v>
      </c>
      <c r="Q800" s="271"/>
      <c r="R800" s="100">
        <v>36</v>
      </c>
      <c r="S800" s="100">
        <v>14</v>
      </c>
      <c r="T800" s="100">
        <v>1</v>
      </c>
      <c r="U800" s="100">
        <v>12</v>
      </c>
      <c r="V800" s="666">
        <v>26</v>
      </c>
      <c r="W800" s="97"/>
      <c r="X800" s="97">
        <f t="shared" si="12"/>
        <v>12</v>
      </c>
      <c r="Y800" s="97"/>
      <c r="AC800" s="100">
        <v>12477.52247752248</v>
      </c>
    </row>
    <row r="801" spans="1:29" ht="15.95" customHeight="1" thickBot="1" x14ac:dyDescent="0.25">
      <c r="A801" s="669"/>
      <c r="B801" s="45"/>
      <c r="C801" s="151" t="s">
        <v>414</v>
      </c>
      <c r="D801" s="305"/>
      <c r="E801" s="105">
        <v>0</v>
      </c>
      <c r="F801" s="106">
        <v>0</v>
      </c>
      <c r="G801" s="105">
        <v>0</v>
      </c>
      <c r="H801" s="105">
        <v>0</v>
      </c>
      <c r="I801" s="106"/>
      <c r="J801" s="105">
        <v>0</v>
      </c>
      <c r="K801" s="105"/>
      <c r="L801" s="105"/>
      <c r="M801" s="105">
        <v>0</v>
      </c>
      <c r="N801" s="105"/>
      <c r="O801" s="105">
        <v>0</v>
      </c>
      <c r="P801" s="105">
        <v>0</v>
      </c>
      <c r="Q801" s="273">
        <v>0.16800000000000001</v>
      </c>
      <c r="R801" s="105">
        <v>0</v>
      </c>
      <c r="S801" s="105">
        <v>0</v>
      </c>
      <c r="T801" s="105">
        <v>0</v>
      </c>
      <c r="U801" s="105">
        <v>12</v>
      </c>
      <c r="V801" s="670">
        <v>0</v>
      </c>
      <c r="W801" s="97"/>
      <c r="X801" s="97">
        <f t="shared" si="12"/>
        <v>12</v>
      </c>
      <c r="Y801" s="97">
        <f>+IF((AC801-ROUND(AC801,-3)&gt;400)*AND(AC801-ROUND(AC801,-3)&lt;500),1,0)</f>
        <v>1</v>
      </c>
      <c r="AC801" s="105">
        <v>12477.52247752248</v>
      </c>
    </row>
    <row r="802" spans="1:29" ht="15.95" customHeight="1" thickTop="1" x14ac:dyDescent="0.2">
      <c r="A802" s="665" t="s">
        <v>219</v>
      </c>
      <c r="B802" s="42">
        <v>2008</v>
      </c>
      <c r="C802" s="148" t="s">
        <v>289</v>
      </c>
      <c r="D802" s="303">
        <v>34257</v>
      </c>
      <c r="E802" s="100">
        <v>2254</v>
      </c>
      <c r="F802" s="101">
        <v>8835.4329280000002</v>
      </c>
      <c r="G802" s="100">
        <v>7194.3304721030045</v>
      </c>
      <c r="H802" s="100">
        <v>1193</v>
      </c>
      <c r="I802" s="101">
        <v>6013</v>
      </c>
      <c r="J802" s="100">
        <v>496</v>
      </c>
      <c r="K802" s="100">
        <v>1420</v>
      </c>
      <c r="L802" s="100">
        <v>81</v>
      </c>
      <c r="M802" s="100">
        <v>5909</v>
      </c>
      <c r="N802" s="100"/>
      <c r="O802" s="100">
        <v>218</v>
      </c>
      <c r="P802" s="100">
        <v>289</v>
      </c>
      <c r="Q802" s="271">
        <v>2946.4409999999998</v>
      </c>
      <c r="R802" s="100">
        <v>280</v>
      </c>
      <c r="S802" s="100">
        <v>8699</v>
      </c>
      <c r="T802" s="100">
        <v>654</v>
      </c>
      <c r="U802" s="100">
        <v>1048</v>
      </c>
      <c r="V802" s="666">
        <v>5323.182142857142</v>
      </c>
      <c r="W802" s="97"/>
      <c r="X802" s="97">
        <f>+ROUNDUP(AC802/1000,0)</f>
        <v>1048</v>
      </c>
      <c r="Y802" s="97"/>
      <c r="AC802" s="100">
        <v>1047474.931631723</v>
      </c>
    </row>
    <row r="803" spans="1:29" ht="15.95" customHeight="1" x14ac:dyDescent="0.2">
      <c r="A803" s="665"/>
      <c r="B803" s="43"/>
      <c r="C803" s="149" t="s">
        <v>290</v>
      </c>
      <c r="D803" s="303">
        <v>34257</v>
      </c>
      <c r="E803" s="100">
        <v>2254</v>
      </c>
      <c r="F803" s="101">
        <v>8835.4329280000002</v>
      </c>
      <c r="G803" s="100">
        <v>7070.3562231759661</v>
      </c>
      <c r="H803" s="100">
        <v>1193</v>
      </c>
      <c r="I803" s="101">
        <v>6013</v>
      </c>
      <c r="J803" s="100">
        <v>496</v>
      </c>
      <c r="K803" s="100">
        <v>1420</v>
      </c>
      <c r="L803" s="100">
        <v>81</v>
      </c>
      <c r="M803" s="100">
        <v>5909</v>
      </c>
      <c r="N803" s="100"/>
      <c r="O803" s="100">
        <v>218</v>
      </c>
      <c r="P803" s="100">
        <v>289</v>
      </c>
      <c r="Q803" s="271">
        <v>2946.4409999999998</v>
      </c>
      <c r="R803" s="100">
        <v>280</v>
      </c>
      <c r="S803" s="100">
        <v>8699</v>
      </c>
      <c r="T803" s="100">
        <v>654</v>
      </c>
      <c r="U803" s="100">
        <v>1048</v>
      </c>
      <c r="V803" s="666">
        <v>5323.2142857142853</v>
      </c>
      <c r="W803" s="97"/>
      <c r="X803" s="97">
        <f>+ROUNDUP(AC803/1000,0)</f>
        <v>1048</v>
      </c>
      <c r="Y803" s="97"/>
      <c r="AC803" s="100">
        <v>1047474.931631723</v>
      </c>
    </row>
    <row r="804" spans="1:29" ht="15.95" customHeight="1" x14ac:dyDescent="0.2">
      <c r="A804" s="667"/>
      <c r="B804" s="44"/>
      <c r="C804" s="150" t="s">
        <v>291</v>
      </c>
      <c r="D804" s="304"/>
      <c r="E804" s="103">
        <v>0</v>
      </c>
      <c r="F804" s="104">
        <v>0</v>
      </c>
      <c r="G804" s="103">
        <v>0</v>
      </c>
      <c r="H804" s="103">
        <v>0</v>
      </c>
      <c r="I804" s="104"/>
      <c r="J804" s="103">
        <v>0</v>
      </c>
      <c r="K804" s="103"/>
      <c r="L804" s="103"/>
      <c r="M804" s="103">
        <v>0</v>
      </c>
      <c r="N804" s="103"/>
      <c r="O804" s="103">
        <v>14</v>
      </c>
      <c r="P804" s="103">
        <v>28</v>
      </c>
      <c r="Q804" s="272"/>
      <c r="R804" s="103">
        <v>0</v>
      </c>
      <c r="S804" s="103">
        <v>0</v>
      </c>
      <c r="T804" s="103">
        <v>0</v>
      </c>
      <c r="U804" s="103">
        <v>0</v>
      </c>
      <c r="V804" s="668">
        <v>0</v>
      </c>
      <c r="W804" s="97"/>
      <c r="X804" s="97">
        <f t="shared" si="12"/>
        <v>0</v>
      </c>
      <c r="Y804" s="97"/>
      <c r="AC804" s="103">
        <v>0</v>
      </c>
    </row>
    <row r="805" spans="1:29" ht="15.95" customHeight="1" x14ac:dyDescent="0.2">
      <c r="A805" s="665"/>
      <c r="B805" s="42">
        <v>2009</v>
      </c>
      <c r="C805" s="149" t="s">
        <v>412</v>
      </c>
      <c r="D805" s="303">
        <v>45632</v>
      </c>
      <c r="E805" s="100">
        <v>2171</v>
      </c>
      <c r="F805" s="101">
        <v>8835.4329280000002</v>
      </c>
      <c r="G805" s="100">
        <v>7520.2943722943728</v>
      </c>
      <c r="H805" s="100">
        <v>1355</v>
      </c>
      <c r="I805" s="101">
        <v>6013</v>
      </c>
      <c r="J805" s="100">
        <v>462</v>
      </c>
      <c r="K805" s="100">
        <v>1420</v>
      </c>
      <c r="L805" s="100">
        <f>162-L802</f>
        <v>81</v>
      </c>
      <c r="M805" s="100">
        <v>5909</v>
      </c>
      <c r="N805" s="100"/>
      <c r="O805" s="100">
        <v>217</v>
      </c>
      <c r="P805" s="100">
        <v>288</v>
      </c>
      <c r="Q805" s="102">
        <v>2792.7649999999999</v>
      </c>
      <c r="R805" s="100">
        <v>287</v>
      </c>
      <c r="S805" s="100">
        <v>8699</v>
      </c>
      <c r="T805" s="100">
        <v>664</v>
      </c>
      <c r="U805" s="100">
        <v>1149</v>
      </c>
      <c r="V805" s="666">
        <v>5359.875</v>
      </c>
      <c r="W805" s="100"/>
      <c r="X805" s="97">
        <f>+ROUNDUP(AC805/1000+0.5,0)</f>
        <v>1149</v>
      </c>
      <c r="Y805" s="97"/>
      <c r="AC805" s="100">
        <v>1147932.0679320681</v>
      </c>
    </row>
    <row r="806" spans="1:29" ht="15.95" customHeight="1" x14ac:dyDescent="0.2">
      <c r="A806" s="665"/>
      <c r="B806" s="43"/>
      <c r="C806" s="149" t="s">
        <v>413</v>
      </c>
      <c r="D806" s="303">
        <v>45632</v>
      </c>
      <c r="E806" s="100">
        <v>2171</v>
      </c>
      <c r="F806" s="101">
        <v>8835.4329280000002</v>
      </c>
      <c r="G806" s="100">
        <v>7520.2943722943728</v>
      </c>
      <c r="H806" s="100">
        <v>1355</v>
      </c>
      <c r="I806" s="101">
        <v>6013</v>
      </c>
      <c r="J806" s="100">
        <v>462</v>
      </c>
      <c r="K806" s="100">
        <v>1420</v>
      </c>
      <c r="L806" s="100">
        <v>81</v>
      </c>
      <c r="M806" s="100">
        <v>5909</v>
      </c>
      <c r="N806" s="100">
        <v>75000</v>
      </c>
      <c r="O806" s="100">
        <v>216</v>
      </c>
      <c r="P806" s="100">
        <v>288</v>
      </c>
      <c r="Q806" s="102">
        <v>2792.7649999999999</v>
      </c>
      <c r="R806" s="100">
        <v>287</v>
      </c>
      <c r="S806" s="100">
        <v>8699</v>
      </c>
      <c r="T806" s="100">
        <v>664</v>
      </c>
      <c r="U806" s="100">
        <v>1149</v>
      </c>
      <c r="V806" s="666">
        <v>5360</v>
      </c>
      <c r="W806" s="97"/>
      <c r="X806" s="97">
        <f>+ROUNDUP(AC806/1000+0.5,0)</f>
        <v>1149</v>
      </c>
      <c r="Y806" s="97"/>
      <c r="AC806" s="100">
        <v>1147932.0679320681</v>
      </c>
    </row>
    <row r="807" spans="1:29" ht="15.95" customHeight="1" thickBot="1" x14ac:dyDescent="0.25">
      <c r="A807" s="669"/>
      <c r="B807" s="45"/>
      <c r="C807" s="151" t="s">
        <v>414</v>
      </c>
      <c r="D807" s="305"/>
      <c r="E807" s="105">
        <v>0</v>
      </c>
      <c r="F807" s="106">
        <v>0</v>
      </c>
      <c r="G807" s="105">
        <v>0</v>
      </c>
      <c r="H807" s="105">
        <v>5</v>
      </c>
      <c r="I807" s="106"/>
      <c r="J807" s="105">
        <v>0</v>
      </c>
      <c r="K807" s="105"/>
      <c r="L807" s="105"/>
      <c r="M807" s="105">
        <v>0</v>
      </c>
      <c r="N807" s="105"/>
      <c r="O807" s="105">
        <v>0</v>
      </c>
      <c r="P807" s="105">
        <v>0</v>
      </c>
      <c r="Q807" s="273"/>
      <c r="R807" s="105">
        <v>0</v>
      </c>
      <c r="S807" s="105">
        <v>0</v>
      </c>
      <c r="T807" s="105">
        <v>0</v>
      </c>
      <c r="U807" s="105">
        <v>0</v>
      </c>
      <c r="V807" s="670">
        <v>0</v>
      </c>
      <c r="W807" s="97"/>
      <c r="X807" s="97">
        <f t="shared" si="12"/>
        <v>0</v>
      </c>
      <c r="Y807" s="97">
        <f>+IF((AC807-ROUND(AC807,-3)&gt;400)*AND(AC807-ROUND(AC807,-3)&lt;500),1,0)</f>
        <v>0</v>
      </c>
      <c r="AC807" s="105">
        <v>0</v>
      </c>
    </row>
    <row r="808" spans="1:29" ht="15.95" customHeight="1" thickTop="1" x14ac:dyDescent="0.2">
      <c r="A808" s="665" t="s">
        <v>81</v>
      </c>
      <c r="B808" s="42">
        <v>2008</v>
      </c>
      <c r="C808" s="148" t="s">
        <v>289</v>
      </c>
      <c r="D808" s="303"/>
      <c r="E808" s="100"/>
      <c r="F808" s="101"/>
      <c r="G808" s="100"/>
      <c r="H808" s="100"/>
      <c r="I808" s="101"/>
      <c r="J808" s="100"/>
      <c r="K808" s="100"/>
      <c r="L808" s="100"/>
      <c r="M808" s="100">
        <v>2</v>
      </c>
      <c r="N808" s="100"/>
      <c r="O808" s="100"/>
      <c r="P808" s="100"/>
      <c r="Q808" s="271"/>
      <c r="R808" s="100">
        <v>32</v>
      </c>
      <c r="S808" s="100"/>
      <c r="T808" s="100"/>
      <c r="U808" s="100">
        <v>11</v>
      </c>
      <c r="V808" s="666"/>
      <c r="W808" s="97"/>
      <c r="X808" s="97">
        <f t="shared" si="12"/>
        <v>11</v>
      </c>
      <c r="Y808" s="97"/>
      <c r="AC808" s="100">
        <v>11385.597082953509</v>
      </c>
    </row>
    <row r="809" spans="1:29" ht="15.95" customHeight="1" x14ac:dyDescent="0.2">
      <c r="A809" s="665" t="s">
        <v>673</v>
      </c>
      <c r="B809" s="43"/>
      <c r="C809" s="149" t="s">
        <v>290</v>
      </c>
      <c r="D809" s="303"/>
      <c r="E809" s="100"/>
      <c r="F809" s="101"/>
      <c r="G809" s="100"/>
      <c r="H809" s="100"/>
      <c r="I809" s="101"/>
      <c r="J809" s="100"/>
      <c r="K809" s="100"/>
      <c r="L809" s="100"/>
      <c r="M809" s="100">
        <v>2</v>
      </c>
      <c r="N809" s="100"/>
      <c r="O809" s="100"/>
      <c r="P809" s="100"/>
      <c r="Q809" s="271"/>
      <c r="R809" s="100">
        <v>0</v>
      </c>
      <c r="S809" s="100"/>
      <c r="T809" s="100"/>
      <c r="U809" s="100">
        <v>11</v>
      </c>
      <c r="V809" s="666"/>
      <c r="W809" s="97"/>
      <c r="X809" s="97">
        <f t="shared" si="12"/>
        <v>11</v>
      </c>
      <c r="Y809" s="97"/>
      <c r="AC809" s="100">
        <v>11288.340929808568</v>
      </c>
    </row>
    <row r="810" spans="1:29" ht="15.95" customHeight="1" x14ac:dyDescent="0.2">
      <c r="A810" s="667"/>
      <c r="B810" s="44"/>
      <c r="C810" s="150" t="s">
        <v>291</v>
      </c>
      <c r="D810" s="304"/>
      <c r="E810" s="103"/>
      <c r="F810" s="104"/>
      <c r="G810" s="103"/>
      <c r="H810" s="103"/>
      <c r="I810" s="104"/>
      <c r="J810" s="103"/>
      <c r="K810" s="103"/>
      <c r="L810" s="103"/>
      <c r="M810" s="103">
        <v>0</v>
      </c>
      <c r="N810" s="103"/>
      <c r="O810" s="103"/>
      <c r="P810" s="103"/>
      <c r="Q810" s="272"/>
      <c r="R810" s="103">
        <v>0</v>
      </c>
      <c r="S810" s="103"/>
      <c r="T810" s="103"/>
      <c r="U810" s="103">
        <v>0</v>
      </c>
      <c r="V810" s="668"/>
      <c r="W810" s="97"/>
      <c r="X810" s="97">
        <f t="shared" si="12"/>
        <v>0</v>
      </c>
      <c r="Y810" s="97"/>
      <c r="AC810" s="103">
        <v>0</v>
      </c>
    </row>
    <row r="811" spans="1:29" ht="15.95" customHeight="1" x14ac:dyDescent="0.2">
      <c r="A811" s="665"/>
      <c r="B811" s="42">
        <v>2009</v>
      </c>
      <c r="C811" s="149" t="s">
        <v>412</v>
      </c>
      <c r="D811" s="303"/>
      <c r="E811" s="100"/>
      <c r="F811" s="101"/>
      <c r="G811" s="100"/>
      <c r="H811" s="100"/>
      <c r="I811" s="101"/>
      <c r="J811" s="100"/>
      <c r="K811" s="100"/>
      <c r="L811" s="100"/>
      <c r="M811" s="100">
        <v>2</v>
      </c>
      <c r="N811" s="100"/>
      <c r="O811" s="100"/>
      <c r="P811" s="100"/>
      <c r="Q811" s="271"/>
      <c r="R811" s="100">
        <v>32</v>
      </c>
      <c r="S811" s="100"/>
      <c r="T811" s="100"/>
      <c r="U811" s="100">
        <v>12</v>
      </c>
      <c r="V811" s="666"/>
      <c r="W811" s="100"/>
      <c r="X811" s="97">
        <f t="shared" si="12"/>
        <v>12</v>
      </c>
      <c r="Y811" s="97"/>
      <c r="AC811" s="100">
        <v>12477.52247752248</v>
      </c>
    </row>
    <row r="812" spans="1:29" ht="15.95" customHeight="1" x14ac:dyDescent="0.2">
      <c r="A812" s="665"/>
      <c r="B812" s="43"/>
      <c r="C812" s="149" t="s">
        <v>413</v>
      </c>
      <c r="D812" s="303"/>
      <c r="E812" s="100"/>
      <c r="F812" s="101"/>
      <c r="G812" s="100"/>
      <c r="H812" s="100"/>
      <c r="I812" s="101"/>
      <c r="J812" s="100"/>
      <c r="K812" s="100"/>
      <c r="L812" s="100"/>
      <c r="M812" s="100">
        <v>2</v>
      </c>
      <c r="N812" s="100"/>
      <c r="O812" s="100"/>
      <c r="P812" s="100"/>
      <c r="Q812" s="271"/>
      <c r="R812" s="100">
        <v>0</v>
      </c>
      <c r="S812" s="100"/>
      <c r="T812" s="100"/>
      <c r="U812" s="100">
        <v>11</v>
      </c>
      <c r="V812" s="666"/>
      <c r="W812" s="97"/>
      <c r="X812" s="97">
        <f>+ROUNDDOWN(AC812/1000-0.5,0)</f>
        <v>11</v>
      </c>
      <c r="Y812" s="97"/>
      <c r="AC812" s="100">
        <v>12116.413586413588</v>
      </c>
    </row>
    <row r="813" spans="1:29" ht="15.95" customHeight="1" thickBot="1" x14ac:dyDescent="0.25">
      <c r="A813" s="669"/>
      <c r="B813" s="45"/>
      <c r="C813" s="151" t="s">
        <v>414</v>
      </c>
      <c r="D813" s="305"/>
      <c r="E813" s="105"/>
      <c r="F813" s="106"/>
      <c r="G813" s="105"/>
      <c r="H813" s="105"/>
      <c r="I813" s="106"/>
      <c r="J813" s="105"/>
      <c r="K813" s="105"/>
      <c r="L813" s="105"/>
      <c r="M813" s="105">
        <v>0</v>
      </c>
      <c r="N813" s="105"/>
      <c r="O813" s="105"/>
      <c r="P813" s="105"/>
      <c r="Q813" s="273"/>
      <c r="R813" s="105">
        <v>0</v>
      </c>
      <c r="S813" s="105"/>
      <c r="T813" s="105"/>
      <c r="U813" s="105">
        <v>0</v>
      </c>
      <c r="V813" s="670"/>
      <c r="W813" s="97"/>
      <c r="X813" s="97">
        <f t="shared" si="12"/>
        <v>0</v>
      </c>
      <c r="Y813" s="97">
        <f>+IF((AC813-ROUND(AC813,-3)&gt;400)*AND(AC813-ROUND(AC813,-3)&lt;500),1,0)</f>
        <v>0</v>
      </c>
      <c r="AC813" s="105">
        <v>106.58341658341659</v>
      </c>
    </row>
    <row r="814" spans="1:29" ht="15.95" customHeight="1" thickTop="1" x14ac:dyDescent="0.2">
      <c r="A814" s="665" t="s">
        <v>221</v>
      </c>
      <c r="B814" s="42">
        <v>2008</v>
      </c>
      <c r="C814" s="148" t="s">
        <v>289</v>
      </c>
      <c r="D814" s="303"/>
      <c r="E814" s="100"/>
      <c r="F814" s="101"/>
      <c r="G814" s="100"/>
      <c r="H814" s="100"/>
      <c r="I814" s="101"/>
      <c r="J814" s="100"/>
      <c r="K814" s="100"/>
      <c r="L814" s="100"/>
      <c r="M814" s="100"/>
      <c r="N814" s="100"/>
      <c r="O814" s="100"/>
      <c r="P814" s="100"/>
      <c r="Q814" s="271"/>
      <c r="R814" s="100"/>
      <c r="S814" s="100"/>
      <c r="T814" s="100"/>
      <c r="U814" s="100">
        <v>11</v>
      </c>
      <c r="V814" s="666"/>
      <c r="W814" s="97"/>
      <c r="X814" s="97">
        <f t="shared" si="12"/>
        <v>11</v>
      </c>
      <c r="Y814" s="97"/>
      <c r="AC814" s="100">
        <v>11385.597082953509</v>
      </c>
    </row>
    <row r="815" spans="1:29" ht="15.95" customHeight="1" x14ac:dyDescent="0.2">
      <c r="A815" s="665"/>
      <c r="B815" s="43"/>
      <c r="C815" s="149" t="s">
        <v>290</v>
      </c>
      <c r="D815" s="303"/>
      <c r="E815" s="100"/>
      <c r="F815" s="101"/>
      <c r="G815" s="100"/>
      <c r="H815" s="100"/>
      <c r="I815" s="101"/>
      <c r="J815" s="100"/>
      <c r="K815" s="100"/>
      <c r="L815" s="100"/>
      <c r="M815" s="100"/>
      <c r="N815" s="100"/>
      <c r="O815" s="100"/>
      <c r="P815" s="100"/>
      <c r="Q815" s="271"/>
      <c r="R815" s="100"/>
      <c r="S815" s="100"/>
      <c r="T815" s="100"/>
      <c r="U815" s="100">
        <v>11</v>
      </c>
      <c r="V815" s="666"/>
      <c r="W815" s="97"/>
      <c r="X815" s="97">
        <f t="shared" si="12"/>
        <v>11</v>
      </c>
      <c r="Y815" s="97"/>
      <c r="AC815" s="100">
        <v>11385.597082953509</v>
      </c>
    </row>
    <row r="816" spans="1:29" ht="15.95" customHeight="1" x14ac:dyDescent="0.2">
      <c r="A816" s="667"/>
      <c r="B816" s="44"/>
      <c r="C816" s="150" t="s">
        <v>291</v>
      </c>
      <c r="D816" s="304"/>
      <c r="E816" s="103"/>
      <c r="F816" s="104"/>
      <c r="G816" s="103"/>
      <c r="H816" s="103"/>
      <c r="I816" s="104"/>
      <c r="J816" s="103"/>
      <c r="K816" s="103"/>
      <c r="L816" s="103"/>
      <c r="M816" s="103"/>
      <c r="N816" s="103"/>
      <c r="O816" s="103"/>
      <c r="P816" s="103"/>
      <c r="Q816" s="272"/>
      <c r="R816" s="103"/>
      <c r="S816" s="103"/>
      <c r="T816" s="103"/>
      <c r="U816" s="103">
        <v>0</v>
      </c>
      <c r="V816" s="668"/>
      <c r="W816" s="97"/>
      <c r="X816" s="97">
        <f t="shared" si="12"/>
        <v>0</v>
      </c>
      <c r="Y816" s="97"/>
      <c r="AC816" s="103">
        <v>0</v>
      </c>
    </row>
    <row r="817" spans="1:29" ht="15.95" customHeight="1" x14ac:dyDescent="0.2">
      <c r="A817" s="665"/>
      <c r="B817" s="42">
        <v>2009</v>
      </c>
      <c r="C817" s="149" t="s">
        <v>412</v>
      </c>
      <c r="D817" s="303"/>
      <c r="E817" s="100"/>
      <c r="F817" s="101"/>
      <c r="G817" s="100"/>
      <c r="H817" s="100"/>
      <c r="I817" s="101"/>
      <c r="J817" s="100"/>
      <c r="K817" s="100"/>
      <c r="L817" s="100"/>
      <c r="M817" s="100"/>
      <c r="N817" s="100"/>
      <c r="O817" s="100"/>
      <c r="P817" s="100"/>
      <c r="Q817" s="271"/>
      <c r="R817" s="100"/>
      <c r="S817" s="100"/>
      <c r="T817" s="100"/>
      <c r="U817" s="100">
        <v>12</v>
      </c>
      <c r="V817" s="666"/>
      <c r="W817" s="100"/>
      <c r="X817" s="97">
        <f t="shared" si="12"/>
        <v>12</v>
      </c>
      <c r="Y817" s="97"/>
      <c r="AC817" s="100">
        <v>12477.52247752248</v>
      </c>
    </row>
    <row r="818" spans="1:29" ht="15.95" customHeight="1" x14ac:dyDescent="0.2">
      <c r="A818" s="665"/>
      <c r="B818" s="43"/>
      <c r="C818" s="149" t="s">
        <v>413</v>
      </c>
      <c r="D818" s="303"/>
      <c r="E818" s="100"/>
      <c r="F818" s="101"/>
      <c r="G818" s="100"/>
      <c r="H818" s="100"/>
      <c r="I818" s="101"/>
      <c r="J818" s="100"/>
      <c r="K818" s="100"/>
      <c r="L818" s="100"/>
      <c r="M818" s="100"/>
      <c r="N818" s="100"/>
      <c r="O818" s="100"/>
      <c r="P818" s="100"/>
      <c r="Q818" s="271"/>
      <c r="R818" s="100"/>
      <c r="S818" s="100"/>
      <c r="T818" s="100"/>
      <c r="U818" s="100">
        <v>12</v>
      </c>
      <c r="V818" s="666"/>
      <c r="W818" s="97"/>
      <c r="X818" s="97">
        <f t="shared" si="12"/>
        <v>12</v>
      </c>
      <c r="Y818" s="97"/>
      <c r="AC818" s="100">
        <v>12477.52247752248</v>
      </c>
    </row>
    <row r="819" spans="1:29" ht="15.95" customHeight="1" thickBot="1" x14ac:dyDescent="0.25">
      <c r="A819" s="669"/>
      <c r="B819" s="45"/>
      <c r="C819" s="151" t="s">
        <v>414</v>
      </c>
      <c r="D819" s="305"/>
      <c r="E819" s="105"/>
      <c r="F819" s="106"/>
      <c r="G819" s="105"/>
      <c r="H819" s="105"/>
      <c r="I819" s="106"/>
      <c r="J819" s="105"/>
      <c r="K819" s="105"/>
      <c r="L819" s="105"/>
      <c r="M819" s="105"/>
      <c r="N819" s="105"/>
      <c r="O819" s="105"/>
      <c r="P819" s="105"/>
      <c r="Q819" s="273"/>
      <c r="R819" s="105"/>
      <c r="S819" s="105"/>
      <c r="T819" s="105"/>
      <c r="U819" s="105">
        <v>0</v>
      </c>
      <c r="V819" s="670"/>
      <c r="W819" s="97"/>
      <c r="X819" s="97">
        <f t="shared" si="12"/>
        <v>0</v>
      </c>
      <c r="Y819" s="97">
        <f>+IF((AC819-ROUND(AC819,-3)&gt;400)*AND(AC819-ROUND(AC819,-3)&lt;500),1,0)</f>
        <v>0</v>
      </c>
      <c r="AC819" s="105">
        <v>0</v>
      </c>
    </row>
    <row r="820" spans="1:29" ht="15.95" customHeight="1" thickTop="1" x14ac:dyDescent="0.2">
      <c r="A820" s="665" t="s">
        <v>222</v>
      </c>
      <c r="B820" s="42">
        <v>2008</v>
      </c>
      <c r="C820" s="148" t="s">
        <v>289</v>
      </c>
      <c r="D820" s="303">
        <v>4682</v>
      </c>
      <c r="E820" s="100">
        <v>308</v>
      </c>
      <c r="F820" s="101">
        <v>1206.5389347999999</v>
      </c>
      <c r="G820" s="100">
        <v>981.72961373390558</v>
      </c>
      <c r="H820" s="100">
        <v>225</v>
      </c>
      <c r="I820" s="101">
        <v>821</v>
      </c>
      <c r="J820" s="100">
        <v>56</v>
      </c>
      <c r="K820" s="100">
        <v>568</v>
      </c>
      <c r="L820" s="100"/>
      <c r="M820" s="100">
        <v>808</v>
      </c>
      <c r="N820" s="100"/>
      <c r="O820" s="100">
        <v>30</v>
      </c>
      <c r="P820" s="100">
        <v>40</v>
      </c>
      <c r="Q820" s="271">
        <v>402.97199999999998</v>
      </c>
      <c r="R820" s="100"/>
      <c r="S820" s="100">
        <v>1189</v>
      </c>
      <c r="T820" s="100">
        <v>131</v>
      </c>
      <c r="U820" s="100">
        <v>143</v>
      </c>
      <c r="V820" s="666">
        <v>405.08839285714282</v>
      </c>
      <c r="W820" s="97"/>
      <c r="X820" s="97">
        <f>+ROUNDUP(AC820/1000,0)</f>
        <v>143</v>
      </c>
      <c r="Y820" s="97"/>
      <c r="AC820" s="100">
        <v>142319.96353691886</v>
      </c>
    </row>
    <row r="821" spans="1:29" ht="15.95" customHeight="1" x14ac:dyDescent="0.2">
      <c r="A821" s="665"/>
      <c r="B821" s="43"/>
      <c r="C821" s="149" t="s">
        <v>290</v>
      </c>
      <c r="D821" s="303">
        <v>4682</v>
      </c>
      <c r="E821" s="100">
        <v>308</v>
      </c>
      <c r="F821" s="101">
        <v>1206.5389347999999</v>
      </c>
      <c r="G821" s="100">
        <v>0</v>
      </c>
      <c r="H821" s="100">
        <v>225</v>
      </c>
      <c r="I821" s="101">
        <v>821</v>
      </c>
      <c r="J821" s="100">
        <v>56</v>
      </c>
      <c r="K821" s="100">
        <v>568</v>
      </c>
      <c r="L821" s="100"/>
      <c r="M821" s="100">
        <v>808</v>
      </c>
      <c r="N821" s="100"/>
      <c r="O821" s="100">
        <v>30</v>
      </c>
      <c r="P821" s="100">
        <v>40</v>
      </c>
      <c r="Q821" s="271">
        <v>402.97199999999998</v>
      </c>
      <c r="R821" s="100"/>
      <c r="S821" s="100">
        <v>1189</v>
      </c>
      <c r="T821" s="100">
        <v>131</v>
      </c>
      <c r="U821" s="100">
        <v>143</v>
      </c>
      <c r="V821" s="666">
        <v>405.35714285714283</v>
      </c>
      <c r="W821" s="97"/>
      <c r="X821" s="97">
        <f>+ROUNDUP(AC821/1000,0)</f>
        <v>143</v>
      </c>
      <c r="Y821" s="97"/>
      <c r="AC821" s="100">
        <v>142319.96353691886</v>
      </c>
    </row>
    <row r="822" spans="1:29" ht="15.95" customHeight="1" x14ac:dyDescent="0.2">
      <c r="A822" s="667"/>
      <c r="B822" s="44"/>
      <c r="C822" s="150" t="s">
        <v>291</v>
      </c>
      <c r="D822" s="304">
        <v>0</v>
      </c>
      <c r="E822" s="103">
        <v>0</v>
      </c>
      <c r="F822" s="104">
        <v>0</v>
      </c>
      <c r="G822" s="103">
        <v>0</v>
      </c>
      <c r="H822" s="103">
        <v>0</v>
      </c>
      <c r="I822" s="104"/>
      <c r="J822" s="103">
        <v>0</v>
      </c>
      <c r="K822" s="103"/>
      <c r="L822" s="103"/>
      <c r="M822" s="103">
        <v>0</v>
      </c>
      <c r="N822" s="103"/>
      <c r="O822" s="103">
        <v>0</v>
      </c>
      <c r="P822" s="103">
        <v>0</v>
      </c>
      <c r="Q822" s="272"/>
      <c r="R822" s="103"/>
      <c r="S822" s="103">
        <v>0</v>
      </c>
      <c r="T822" s="103">
        <v>0</v>
      </c>
      <c r="U822" s="103">
        <v>0</v>
      </c>
      <c r="V822" s="668">
        <v>0</v>
      </c>
      <c r="W822" s="97"/>
      <c r="X822" s="97">
        <f t="shared" si="12"/>
        <v>0</v>
      </c>
      <c r="Y822" s="97"/>
      <c r="AC822" s="103">
        <v>0</v>
      </c>
    </row>
    <row r="823" spans="1:29" ht="15.95" customHeight="1" x14ac:dyDescent="0.2">
      <c r="A823" s="665"/>
      <c r="B823" s="42">
        <v>2009</v>
      </c>
      <c r="C823" s="149" t="s">
        <v>412</v>
      </c>
      <c r="D823" s="303">
        <v>6237</v>
      </c>
      <c r="E823" s="100">
        <v>312</v>
      </c>
      <c r="F823" s="101">
        <v>1206.5389347999999</v>
      </c>
      <c r="G823" s="100">
        <v>1018.3593073593074</v>
      </c>
      <c r="H823" s="100">
        <v>257</v>
      </c>
      <c r="I823" s="101">
        <v>821</v>
      </c>
      <c r="J823" s="100">
        <v>44</v>
      </c>
      <c r="K823" s="100">
        <v>568</v>
      </c>
      <c r="L823" s="100"/>
      <c r="M823" s="100">
        <v>808</v>
      </c>
      <c r="N823" s="100"/>
      <c r="O823" s="100">
        <v>30</v>
      </c>
      <c r="P823" s="100">
        <v>39</v>
      </c>
      <c r="Q823" s="102">
        <v>381.95499999999998</v>
      </c>
      <c r="R823" s="100"/>
      <c r="S823" s="100">
        <v>1189</v>
      </c>
      <c r="T823" s="100">
        <v>133</v>
      </c>
      <c r="U823" s="100">
        <v>157</v>
      </c>
      <c r="V823" s="666">
        <v>407.06428571428563</v>
      </c>
      <c r="W823" s="100"/>
      <c r="X823" s="97">
        <f>+ROUNDUP(AC823/1000+0.5,0)</f>
        <v>157</v>
      </c>
      <c r="Y823" s="97"/>
      <c r="AC823" s="100">
        <v>155969.03096903098</v>
      </c>
    </row>
    <row r="824" spans="1:29" ht="15.95" customHeight="1" x14ac:dyDescent="0.2">
      <c r="A824" s="665"/>
      <c r="B824" s="43"/>
      <c r="C824" s="149" t="s">
        <v>413</v>
      </c>
      <c r="D824" s="303">
        <v>6237</v>
      </c>
      <c r="E824" s="100">
        <v>312</v>
      </c>
      <c r="F824" s="101">
        <v>1206.5389347999999</v>
      </c>
      <c r="G824" s="100">
        <v>0</v>
      </c>
      <c r="H824" s="100">
        <v>257</v>
      </c>
      <c r="I824" s="101">
        <v>821</v>
      </c>
      <c r="J824" s="100">
        <v>44</v>
      </c>
      <c r="K824" s="100">
        <v>568</v>
      </c>
      <c r="L824" s="100"/>
      <c r="M824" s="100">
        <v>808</v>
      </c>
      <c r="N824" s="100"/>
      <c r="O824" s="100">
        <v>30</v>
      </c>
      <c r="P824" s="100">
        <v>39</v>
      </c>
      <c r="Q824" s="102">
        <v>381.95499999999998</v>
      </c>
      <c r="R824" s="100"/>
      <c r="S824" s="100">
        <v>1189</v>
      </c>
      <c r="T824" s="100">
        <v>133</v>
      </c>
      <c r="U824" s="100">
        <v>157</v>
      </c>
      <c r="V824" s="666">
        <v>407</v>
      </c>
      <c r="W824" s="97"/>
      <c r="X824" s="97">
        <f>+ROUNDUP(AC824/1000+0.5,0)</f>
        <v>157</v>
      </c>
      <c r="Y824" s="97"/>
      <c r="AC824" s="100">
        <v>155969.03096903098</v>
      </c>
    </row>
    <row r="825" spans="1:29" ht="15.95" customHeight="1" thickBot="1" x14ac:dyDescent="0.25">
      <c r="A825" s="669"/>
      <c r="B825" s="45"/>
      <c r="C825" s="151" t="s">
        <v>414</v>
      </c>
      <c r="D825" s="305"/>
      <c r="E825" s="105">
        <v>0</v>
      </c>
      <c r="F825" s="106">
        <v>0</v>
      </c>
      <c r="G825" s="105">
        <v>0</v>
      </c>
      <c r="H825" s="105">
        <v>0</v>
      </c>
      <c r="I825" s="106"/>
      <c r="J825" s="105">
        <v>0</v>
      </c>
      <c r="K825" s="105"/>
      <c r="L825" s="105"/>
      <c r="M825" s="105">
        <v>0</v>
      </c>
      <c r="N825" s="105"/>
      <c r="O825" s="105">
        <v>0</v>
      </c>
      <c r="P825" s="105">
        <v>0</v>
      </c>
      <c r="Q825" s="273"/>
      <c r="R825" s="105"/>
      <c r="S825" s="105">
        <v>0</v>
      </c>
      <c r="T825" s="105">
        <v>0</v>
      </c>
      <c r="U825" s="105">
        <v>0</v>
      </c>
      <c r="V825" s="670">
        <v>0</v>
      </c>
      <c r="W825" s="97"/>
      <c r="X825" s="97">
        <f t="shared" si="12"/>
        <v>0</v>
      </c>
      <c r="Y825" s="97">
        <f>+IF((AC825-ROUND(AC825,-3)&gt;400)*AND(AC825-ROUND(AC825,-3)&lt;500),1,0)</f>
        <v>0</v>
      </c>
      <c r="AC825" s="105">
        <v>0</v>
      </c>
    </row>
    <row r="826" spans="1:29" ht="15.95" customHeight="1" thickTop="1" x14ac:dyDescent="0.2">
      <c r="A826" s="665" t="s">
        <v>223</v>
      </c>
      <c r="B826" s="42">
        <v>2008</v>
      </c>
      <c r="C826" s="148" t="s">
        <v>289</v>
      </c>
      <c r="D826" s="303">
        <v>37</v>
      </c>
      <c r="E826" s="100">
        <v>2</v>
      </c>
      <c r="F826" s="101">
        <v>9.3894079999999995</v>
      </c>
      <c r="G826" s="100">
        <v>6.2117310443490705</v>
      </c>
      <c r="H826" s="100">
        <v>37</v>
      </c>
      <c r="I826" s="101">
        <v>6</v>
      </c>
      <c r="J826" s="100">
        <v>8</v>
      </c>
      <c r="K826" s="100">
        <v>71</v>
      </c>
      <c r="L826" s="100">
        <v>63</v>
      </c>
      <c r="M826" s="100">
        <v>6</v>
      </c>
      <c r="N826" s="100"/>
      <c r="O826" s="100">
        <v>0</v>
      </c>
      <c r="P826" s="100">
        <v>0</v>
      </c>
      <c r="Q826" s="271">
        <v>3.395</v>
      </c>
      <c r="R826" s="100">
        <v>35</v>
      </c>
      <c r="S826" s="100">
        <v>9</v>
      </c>
      <c r="T826" s="100">
        <v>3</v>
      </c>
      <c r="U826" s="100">
        <v>11</v>
      </c>
      <c r="V826" s="666">
        <v>33.250892857142851</v>
      </c>
      <c r="W826" s="97"/>
      <c r="X826" s="97">
        <f t="shared" si="12"/>
        <v>11</v>
      </c>
      <c r="Y826" s="97"/>
      <c r="AC826" s="100">
        <v>11385.597082953509</v>
      </c>
    </row>
    <row r="827" spans="1:29" ht="15.95" customHeight="1" x14ac:dyDescent="0.2">
      <c r="A827" s="665"/>
      <c r="B827" s="43"/>
      <c r="C827" s="149" t="s">
        <v>290</v>
      </c>
      <c r="D827" s="303">
        <v>37</v>
      </c>
      <c r="E827" s="100">
        <v>2</v>
      </c>
      <c r="F827" s="101">
        <v>0</v>
      </c>
      <c r="G827" s="100">
        <v>6.2117310443490705</v>
      </c>
      <c r="H827" s="100">
        <v>37</v>
      </c>
      <c r="I827" s="101">
        <v>6</v>
      </c>
      <c r="J827" s="100">
        <v>8</v>
      </c>
      <c r="K827" s="100"/>
      <c r="L827" s="100">
        <v>63</v>
      </c>
      <c r="M827" s="100">
        <v>6</v>
      </c>
      <c r="N827" s="100">
        <v>8</v>
      </c>
      <c r="O827" s="100">
        <v>0</v>
      </c>
      <c r="P827" s="100">
        <v>0</v>
      </c>
      <c r="Q827" s="271"/>
      <c r="R827" s="100">
        <v>0</v>
      </c>
      <c r="S827" s="100">
        <v>9</v>
      </c>
      <c r="T827" s="100">
        <v>0</v>
      </c>
      <c r="U827" s="100">
        <v>0</v>
      </c>
      <c r="V827" s="666">
        <v>0</v>
      </c>
      <c r="W827" s="97"/>
      <c r="X827" s="97">
        <f t="shared" si="12"/>
        <v>0</v>
      </c>
      <c r="Y827" s="97"/>
      <c r="AC827" s="100">
        <v>0</v>
      </c>
    </row>
    <row r="828" spans="1:29" ht="15.95" customHeight="1" x14ac:dyDescent="0.2">
      <c r="A828" s="667"/>
      <c r="B828" s="44"/>
      <c r="C828" s="150" t="s">
        <v>291</v>
      </c>
      <c r="D828" s="304"/>
      <c r="E828" s="103">
        <v>0</v>
      </c>
      <c r="F828" s="104">
        <v>0</v>
      </c>
      <c r="G828" s="103">
        <v>0</v>
      </c>
      <c r="H828" s="103">
        <v>0</v>
      </c>
      <c r="I828" s="104"/>
      <c r="J828" s="103">
        <v>6</v>
      </c>
      <c r="K828" s="103"/>
      <c r="L828" s="103"/>
      <c r="M828" s="103">
        <v>0</v>
      </c>
      <c r="N828" s="103"/>
      <c r="O828" s="103">
        <v>0</v>
      </c>
      <c r="P828" s="103">
        <v>0</v>
      </c>
      <c r="Q828" s="272"/>
      <c r="R828" s="103">
        <v>0</v>
      </c>
      <c r="S828" s="103">
        <v>0</v>
      </c>
      <c r="T828" s="103">
        <v>0</v>
      </c>
      <c r="U828" s="103">
        <v>0</v>
      </c>
      <c r="V828" s="668">
        <v>0</v>
      </c>
      <c r="W828" s="97"/>
      <c r="X828" s="97">
        <f t="shared" si="12"/>
        <v>0</v>
      </c>
      <c r="Y828" s="97"/>
      <c r="AC828" s="103">
        <v>0</v>
      </c>
    </row>
    <row r="829" spans="1:29" ht="15.95" customHeight="1" x14ac:dyDescent="0.2">
      <c r="A829" s="665"/>
      <c r="B829" s="42">
        <v>2009</v>
      </c>
      <c r="C829" s="149" t="s">
        <v>412</v>
      </c>
      <c r="D829" s="303">
        <v>49</v>
      </c>
      <c r="E829" s="100">
        <v>2</v>
      </c>
      <c r="F829" s="101">
        <v>9.3894079999999995</v>
      </c>
      <c r="G829" s="100">
        <v>6.5945165945165956</v>
      </c>
      <c r="H829" s="100">
        <v>42</v>
      </c>
      <c r="I829" s="101">
        <v>6</v>
      </c>
      <c r="J829" s="100">
        <v>7</v>
      </c>
      <c r="K829" s="100">
        <v>71</v>
      </c>
      <c r="L829" s="100">
        <f>126-L826</f>
        <v>63</v>
      </c>
      <c r="M829" s="100">
        <v>6</v>
      </c>
      <c r="N829" s="100"/>
      <c r="O829" s="100">
        <v>0</v>
      </c>
      <c r="P829" s="100">
        <v>0</v>
      </c>
      <c r="Q829" s="102">
        <v>3.218</v>
      </c>
      <c r="R829" s="100">
        <v>36</v>
      </c>
      <c r="S829" s="100">
        <v>9</v>
      </c>
      <c r="T829" s="100">
        <v>3</v>
      </c>
      <c r="U829" s="100">
        <v>12</v>
      </c>
      <c r="V829" s="666">
        <v>34.443749999999994</v>
      </c>
      <c r="W829" s="100"/>
      <c r="X829" s="97">
        <f t="shared" si="12"/>
        <v>12</v>
      </c>
      <c r="Y829" s="97"/>
      <c r="AC829" s="100">
        <v>12477.52247752248</v>
      </c>
    </row>
    <row r="830" spans="1:29" ht="15.95" customHeight="1" x14ac:dyDescent="0.2">
      <c r="A830" s="665"/>
      <c r="B830" s="43"/>
      <c r="C830" s="149" t="s">
        <v>413</v>
      </c>
      <c r="D830" s="303">
        <v>49</v>
      </c>
      <c r="E830" s="100">
        <v>2</v>
      </c>
      <c r="F830" s="101">
        <v>0</v>
      </c>
      <c r="G830" s="100">
        <v>6.5945165945165956</v>
      </c>
      <c r="H830" s="100">
        <v>42</v>
      </c>
      <c r="I830" s="101">
        <v>6</v>
      </c>
      <c r="J830" s="100">
        <v>7</v>
      </c>
      <c r="K830" s="100"/>
      <c r="L830" s="100">
        <v>63</v>
      </c>
      <c r="M830" s="100">
        <v>0</v>
      </c>
      <c r="N830" s="100"/>
      <c r="O830" s="100">
        <v>0</v>
      </c>
      <c r="P830" s="100">
        <v>0</v>
      </c>
      <c r="Q830" s="271"/>
      <c r="R830" s="100">
        <v>0</v>
      </c>
      <c r="S830" s="100">
        <v>9</v>
      </c>
      <c r="T830" s="100">
        <v>0</v>
      </c>
      <c r="U830" s="100">
        <v>0</v>
      </c>
      <c r="V830" s="666">
        <v>0</v>
      </c>
      <c r="W830" s="97"/>
      <c r="X830" s="97">
        <f t="shared" si="12"/>
        <v>0</v>
      </c>
      <c r="Y830" s="97"/>
      <c r="AC830" s="100">
        <v>0</v>
      </c>
    </row>
    <row r="831" spans="1:29" ht="15.95" customHeight="1" thickBot="1" x14ac:dyDescent="0.25">
      <c r="A831" s="669"/>
      <c r="B831" s="45"/>
      <c r="C831" s="151" t="s">
        <v>414</v>
      </c>
      <c r="D831" s="305"/>
      <c r="E831" s="105">
        <v>0</v>
      </c>
      <c r="F831" s="106">
        <v>0</v>
      </c>
      <c r="G831" s="105">
        <v>0</v>
      </c>
      <c r="H831" s="105">
        <v>0</v>
      </c>
      <c r="I831" s="106"/>
      <c r="J831" s="105">
        <v>0</v>
      </c>
      <c r="K831" s="105"/>
      <c r="L831" s="105"/>
      <c r="M831" s="105">
        <v>0</v>
      </c>
      <c r="N831" s="105"/>
      <c r="O831" s="105">
        <v>0</v>
      </c>
      <c r="P831" s="105">
        <v>0</v>
      </c>
      <c r="Q831" s="273"/>
      <c r="R831" s="105">
        <v>20</v>
      </c>
      <c r="S831" s="105">
        <v>0</v>
      </c>
      <c r="T831" s="105">
        <v>0</v>
      </c>
      <c r="U831" s="105">
        <v>0</v>
      </c>
      <c r="V831" s="670">
        <v>0</v>
      </c>
      <c r="W831" s="97"/>
      <c r="X831" s="97">
        <f t="shared" ref="X831:X894" si="13">+ROUND(AC831/1000,0)</f>
        <v>0</v>
      </c>
      <c r="Y831" s="97">
        <f>+IF((AC831-ROUND(AC831,-3)&gt;400)*AND(AC831-ROUND(AC831,-3)&lt;500),1,0)</f>
        <v>0</v>
      </c>
      <c r="AC831" s="105">
        <v>0</v>
      </c>
    </row>
    <row r="832" spans="1:29" ht="15.95" customHeight="1" thickTop="1" x14ac:dyDescent="0.2">
      <c r="A832" s="665" t="s">
        <v>224</v>
      </c>
      <c r="B832" s="42">
        <v>2008</v>
      </c>
      <c r="C832" s="148" t="s">
        <v>289</v>
      </c>
      <c r="D832" s="303">
        <v>18</v>
      </c>
      <c r="E832" s="100">
        <v>1</v>
      </c>
      <c r="F832" s="672">
        <v>4.6946972000000002</v>
      </c>
      <c r="G832" s="100">
        <v>3.1459227467811162</v>
      </c>
      <c r="H832" s="100">
        <v>37</v>
      </c>
      <c r="I832" s="101">
        <v>3</v>
      </c>
      <c r="J832" s="100"/>
      <c r="K832" s="100">
        <v>35</v>
      </c>
      <c r="L832" s="100"/>
      <c r="M832" s="100">
        <v>3</v>
      </c>
      <c r="N832" s="100"/>
      <c r="O832" s="100">
        <v>0</v>
      </c>
      <c r="P832" s="100">
        <v>0</v>
      </c>
      <c r="Q832" s="271">
        <v>1.1319999999999999</v>
      </c>
      <c r="R832" s="100">
        <v>35</v>
      </c>
      <c r="S832" s="100">
        <v>5</v>
      </c>
      <c r="T832" s="100">
        <v>1</v>
      </c>
      <c r="U832" s="100">
        <v>11</v>
      </c>
      <c r="V832" s="666">
        <v>24</v>
      </c>
      <c r="W832" s="97"/>
      <c r="X832" s="97">
        <f t="shared" si="13"/>
        <v>11</v>
      </c>
      <c r="Y832" s="97"/>
      <c r="AC832" s="100">
        <v>11385.597082953509</v>
      </c>
    </row>
    <row r="833" spans="1:29" ht="15.95" customHeight="1" x14ac:dyDescent="0.2">
      <c r="A833" s="665"/>
      <c r="B833" s="43"/>
      <c r="C833" s="149" t="s">
        <v>290</v>
      </c>
      <c r="D833" s="303">
        <v>18</v>
      </c>
      <c r="E833" s="100">
        <v>0</v>
      </c>
      <c r="F833" s="101">
        <v>4.6946972000000002</v>
      </c>
      <c r="G833" s="100">
        <v>0</v>
      </c>
      <c r="H833" s="100">
        <v>37</v>
      </c>
      <c r="I833" s="101">
        <f>3-3</f>
        <v>0</v>
      </c>
      <c r="J833" s="100"/>
      <c r="K833" s="100">
        <v>35</v>
      </c>
      <c r="L833" s="100"/>
      <c r="M833" s="100">
        <v>3</v>
      </c>
      <c r="N833" s="100"/>
      <c r="O833" s="100">
        <v>0</v>
      </c>
      <c r="P833" s="100">
        <v>0</v>
      </c>
      <c r="Q833" s="271"/>
      <c r="R833" s="100">
        <v>22</v>
      </c>
      <c r="S833" s="100">
        <v>5</v>
      </c>
      <c r="T833" s="100">
        <v>0</v>
      </c>
      <c r="U833" s="100">
        <v>11</v>
      </c>
      <c r="V833" s="666">
        <v>0</v>
      </c>
      <c r="W833" s="97"/>
      <c r="X833" s="97">
        <f t="shared" si="13"/>
        <v>11</v>
      </c>
      <c r="Y833" s="97"/>
      <c r="AC833" s="100">
        <v>11385.597082953509</v>
      </c>
    </row>
    <row r="834" spans="1:29" ht="15.95" customHeight="1" x14ac:dyDescent="0.2">
      <c r="A834" s="667"/>
      <c r="B834" s="44"/>
      <c r="C834" s="150" t="s">
        <v>291</v>
      </c>
      <c r="D834" s="304">
        <v>20</v>
      </c>
      <c r="E834" s="103">
        <v>0</v>
      </c>
      <c r="F834" s="104">
        <v>3.3892016000000003</v>
      </c>
      <c r="G834" s="103">
        <v>0</v>
      </c>
      <c r="H834" s="103">
        <v>0</v>
      </c>
      <c r="I834" s="104"/>
      <c r="J834" s="103"/>
      <c r="K834" s="103"/>
      <c r="L834" s="103"/>
      <c r="M834" s="103">
        <v>15</v>
      </c>
      <c r="N834" s="103"/>
      <c r="O834" s="103">
        <v>0</v>
      </c>
      <c r="P834" s="103">
        <v>0</v>
      </c>
      <c r="Q834" s="272"/>
      <c r="R834" s="103">
        <v>11</v>
      </c>
      <c r="S834" s="103">
        <v>0</v>
      </c>
      <c r="T834" s="103">
        <v>0</v>
      </c>
      <c r="U834" s="103">
        <v>0</v>
      </c>
      <c r="V834" s="668">
        <v>0</v>
      </c>
      <c r="W834" s="97"/>
      <c r="X834" s="97">
        <f t="shared" si="13"/>
        <v>0</v>
      </c>
      <c r="Y834" s="97"/>
      <c r="AC834" s="103">
        <v>0</v>
      </c>
    </row>
    <row r="835" spans="1:29" ht="15.95" customHeight="1" x14ac:dyDescent="0.2">
      <c r="A835" s="665"/>
      <c r="B835" s="42">
        <v>2009</v>
      </c>
      <c r="C835" s="149" t="s">
        <v>412</v>
      </c>
      <c r="D835" s="303">
        <v>24</v>
      </c>
      <c r="E835" s="100">
        <v>1</v>
      </c>
      <c r="F835" s="101">
        <v>4.6946972000000002</v>
      </c>
      <c r="G835" s="100">
        <v>3.2539682539682544</v>
      </c>
      <c r="H835" s="100">
        <v>42</v>
      </c>
      <c r="I835" s="101">
        <v>3</v>
      </c>
      <c r="J835" s="100"/>
      <c r="K835" s="100">
        <v>35</v>
      </c>
      <c r="L835" s="100"/>
      <c r="M835" s="100">
        <v>3</v>
      </c>
      <c r="N835" s="100"/>
      <c r="O835" s="100">
        <v>0</v>
      </c>
      <c r="P835" s="100">
        <v>0</v>
      </c>
      <c r="Q835" s="102">
        <v>1.073</v>
      </c>
      <c r="R835" s="100">
        <v>36</v>
      </c>
      <c r="S835" s="100">
        <v>5</v>
      </c>
      <c r="T835" s="100">
        <v>1</v>
      </c>
      <c r="U835" s="100">
        <v>12</v>
      </c>
      <c r="V835" s="666">
        <v>25</v>
      </c>
      <c r="W835" s="100"/>
      <c r="X835" s="97">
        <f t="shared" si="13"/>
        <v>12</v>
      </c>
      <c r="Y835" s="97"/>
      <c r="AC835" s="100">
        <v>12477.52247752248</v>
      </c>
    </row>
    <row r="836" spans="1:29" ht="15.95" customHeight="1" x14ac:dyDescent="0.2">
      <c r="A836" s="665"/>
      <c r="B836" s="43"/>
      <c r="C836" s="149" t="s">
        <v>413</v>
      </c>
      <c r="D836" s="303">
        <v>24</v>
      </c>
      <c r="E836" s="100">
        <v>0</v>
      </c>
      <c r="F836" s="101">
        <v>0.96526000000000001</v>
      </c>
      <c r="G836" s="100">
        <v>3.2539682539682544</v>
      </c>
      <c r="H836" s="100">
        <v>42</v>
      </c>
      <c r="I836" s="101"/>
      <c r="J836" s="100"/>
      <c r="K836" s="100">
        <v>35</v>
      </c>
      <c r="L836" s="100"/>
      <c r="M836" s="100">
        <v>3</v>
      </c>
      <c r="N836" s="100">
        <v>100</v>
      </c>
      <c r="O836" s="100">
        <v>0</v>
      </c>
      <c r="P836" s="100">
        <v>0</v>
      </c>
      <c r="Q836" s="271"/>
      <c r="R836" s="100">
        <v>0</v>
      </c>
      <c r="S836" s="100">
        <v>5</v>
      </c>
      <c r="T836" s="100">
        <v>0</v>
      </c>
      <c r="U836" s="100">
        <v>11</v>
      </c>
      <c r="V836" s="666">
        <v>0</v>
      </c>
      <c r="W836" s="97"/>
      <c r="X836" s="97">
        <f>+ROUNDDOWN(AC836/1000,0)</f>
        <v>11</v>
      </c>
      <c r="Y836" s="97"/>
      <c r="AC836" s="100">
        <v>11757.162837162839</v>
      </c>
    </row>
    <row r="837" spans="1:29" ht="15.95" customHeight="1" thickBot="1" x14ac:dyDescent="0.25">
      <c r="A837" s="669"/>
      <c r="B837" s="45"/>
      <c r="C837" s="151" t="s">
        <v>414</v>
      </c>
      <c r="D837" s="305"/>
      <c r="E837" s="105">
        <v>0</v>
      </c>
      <c r="F837" s="106">
        <v>1.7653099999999999</v>
      </c>
      <c r="G837" s="105">
        <v>91.119769119769131</v>
      </c>
      <c r="H837" s="105">
        <v>0</v>
      </c>
      <c r="I837" s="106">
        <v>3</v>
      </c>
      <c r="J837" s="105"/>
      <c r="K837" s="105"/>
      <c r="L837" s="105"/>
      <c r="M837" s="105">
        <v>21</v>
      </c>
      <c r="N837" s="105"/>
      <c r="O837" s="105">
        <v>0</v>
      </c>
      <c r="P837" s="105">
        <v>0</v>
      </c>
      <c r="Q837" s="273"/>
      <c r="R837" s="105">
        <v>0</v>
      </c>
      <c r="S837" s="105">
        <v>0</v>
      </c>
      <c r="T837" s="105">
        <v>0</v>
      </c>
      <c r="U837" s="105">
        <v>0</v>
      </c>
      <c r="V837" s="670">
        <v>0</v>
      </c>
      <c r="W837" s="97"/>
      <c r="X837" s="97">
        <f t="shared" si="13"/>
        <v>0</v>
      </c>
      <c r="Y837" s="97">
        <f>+IF((AC837-ROUND(AC837,-3)&gt;400)*AND(AC837-ROUND(AC837,-3)&lt;500),1,0)</f>
        <v>0</v>
      </c>
      <c r="AC837" s="105">
        <v>0</v>
      </c>
    </row>
    <row r="838" spans="1:29" ht="15.95" customHeight="1" thickTop="1" x14ac:dyDescent="0.2">
      <c r="A838" s="665" t="s">
        <v>225</v>
      </c>
      <c r="B838" s="42">
        <v>2008</v>
      </c>
      <c r="C838" s="148" t="s">
        <v>289</v>
      </c>
      <c r="D838" s="303">
        <v>878</v>
      </c>
      <c r="E838" s="100">
        <v>55</v>
      </c>
      <c r="F838" s="101">
        <v>225.34579200000002</v>
      </c>
      <c r="G838" s="100">
        <v>145.97567954220315</v>
      </c>
      <c r="H838" s="100">
        <v>37</v>
      </c>
      <c r="I838" s="101">
        <v>154</v>
      </c>
      <c r="J838" s="100">
        <v>26</v>
      </c>
      <c r="K838" s="100">
        <v>568</v>
      </c>
      <c r="L838" s="100"/>
      <c r="M838" s="100">
        <v>151</v>
      </c>
      <c r="N838" s="100"/>
      <c r="O838" s="100">
        <v>6</v>
      </c>
      <c r="P838" s="100">
        <v>7</v>
      </c>
      <c r="Q838" s="271">
        <v>75.84</v>
      </c>
      <c r="R838" s="100">
        <v>42</v>
      </c>
      <c r="S838" s="100">
        <v>223</v>
      </c>
      <c r="T838" s="100">
        <v>5</v>
      </c>
      <c r="U838" s="100">
        <v>29</v>
      </c>
      <c r="V838" s="666">
        <v>430.45446428571421</v>
      </c>
      <c r="W838" s="97"/>
      <c r="X838" s="97">
        <f>+ROUNDUP(AC838/1000,0)</f>
        <v>29</v>
      </c>
      <c r="Y838" s="97"/>
      <c r="AC838" s="100">
        <v>28463.992707383775</v>
      </c>
    </row>
    <row r="839" spans="1:29" ht="15.95" customHeight="1" x14ac:dyDescent="0.2">
      <c r="A839" s="665"/>
      <c r="B839" s="43"/>
      <c r="C839" s="149" t="s">
        <v>290</v>
      </c>
      <c r="D839" s="303">
        <v>878</v>
      </c>
      <c r="E839" s="100">
        <v>53</v>
      </c>
      <c r="F839" s="101">
        <v>115.4987636</v>
      </c>
      <c r="G839" s="100">
        <v>6.4477825464949925</v>
      </c>
      <c r="H839" s="100">
        <v>37</v>
      </c>
      <c r="I839" s="101">
        <v>154</v>
      </c>
      <c r="J839" s="100">
        <v>26</v>
      </c>
      <c r="K839" s="100"/>
      <c r="L839" s="100"/>
      <c r="M839" s="100">
        <v>151</v>
      </c>
      <c r="N839" s="100">
        <v>2500</v>
      </c>
      <c r="O839" s="100">
        <v>0</v>
      </c>
      <c r="P839" s="100">
        <v>0</v>
      </c>
      <c r="Q839" s="271"/>
      <c r="R839" s="100">
        <v>0</v>
      </c>
      <c r="S839" s="100">
        <v>223</v>
      </c>
      <c r="T839" s="100">
        <v>0</v>
      </c>
      <c r="U839" s="100">
        <v>29</v>
      </c>
      <c r="V839" s="666">
        <v>470.53571428571422</v>
      </c>
      <c r="W839" s="97"/>
      <c r="X839" s="97">
        <f>+ROUNDUP(AC839/1000,0)</f>
        <v>29</v>
      </c>
      <c r="Y839" s="97"/>
      <c r="AC839" s="100">
        <v>28463.992707383775</v>
      </c>
    </row>
    <row r="840" spans="1:29" ht="15.95" customHeight="1" x14ac:dyDescent="0.2">
      <c r="A840" s="667"/>
      <c r="B840" s="44"/>
      <c r="C840" s="150" t="s">
        <v>291</v>
      </c>
      <c r="D840" s="304"/>
      <c r="E840" s="103">
        <v>203</v>
      </c>
      <c r="F840" s="104">
        <v>255.95441879999998</v>
      </c>
      <c r="G840" s="103">
        <v>331.6824034334764</v>
      </c>
      <c r="H840" s="103">
        <v>0</v>
      </c>
      <c r="I840" s="104"/>
      <c r="J840" s="103">
        <v>0</v>
      </c>
      <c r="K840" s="103"/>
      <c r="L840" s="103"/>
      <c r="M840" s="103">
        <v>0</v>
      </c>
      <c r="N840" s="103">
        <v>19</v>
      </c>
      <c r="O840" s="103">
        <v>0</v>
      </c>
      <c r="P840" s="103">
        <v>0</v>
      </c>
      <c r="Q840" s="272">
        <v>11.029</v>
      </c>
      <c r="R840" s="103">
        <v>80</v>
      </c>
      <c r="S840" s="103">
        <v>121</v>
      </c>
      <c r="T840" s="103">
        <v>0</v>
      </c>
      <c r="U840" s="103">
        <v>0</v>
      </c>
      <c r="V840" s="668">
        <v>0</v>
      </c>
      <c r="W840" s="97"/>
      <c r="X840" s="97">
        <f t="shared" si="13"/>
        <v>0</v>
      </c>
      <c r="Y840" s="97"/>
      <c r="AC840" s="103">
        <v>0</v>
      </c>
    </row>
    <row r="841" spans="1:29" ht="15.95" customHeight="1" x14ac:dyDescent="0.2">
      <c r="A841" s="665"/>
      <c r="B841" s="42">
        <v>2009</v>
      </c>
      <c r="C841" s="149" t="s">
        <v>412</v>
      </c>
      <c r="D841" s="303">
        <v>1169</v>
      </c>
      <c r="E841" s="100">
        <v>59</v>
      </c>
      <c r="F841" s="101">
        <v>225.34579200000002</v>
      </c>
      <c r="G841" s="100">
        <v>151.05916305916307</v>
      </c>
      <c r="H841" s="100">
        <v>42</v>
      </c>
      <c r="I841" s="101">
        <v>154</v>
      </c>
      <c r="J841" s="100">
        <v>26</v>
      </c>
      <c r="K841" s="100">
        <v>568</v>
      </c>
      <c r="L841" s="100"/>
      <c r="M841" s="100">
        <v>151</v>
      </c>
      <c r="N841" s="100"/>
      <c r="O841" s="100">
        <v>6</v>
      </c>
      <c r="P841" s="100">
        <v>7</v>
      </c>
      <c r="Q841" s="102">
        <v>71.885000000000005</v>
      </c>
      <c r="R841" s="100">
        <v>43</v>
      </c>
      <c r="S841" s="100">
        <v>223</v>
      </c>
      <c r="T841" s="100">
        <v>6</v>
      </c>
      <c r="U841" s="100">
        <v>32</v>
      </c>
      <c r="V841" s="666">
        <v>387.08124999999995</v>
      </c>
      <c r="W841" s="100"/>
      <c r="X841" s="97">
        <f>+ROUNDUP(AC841/1000,0)</f>
        <v>32</v>
      </c>
      <c r="Y841" s="97"/>
      <c r="AC841" s="100">
        <v>31193.806193806198</v>
      </c>
    </row>
    <row r="842" spans="1:29" ht="15.95" customHeight="1" x14ac:dyDescent="0.2">
      <c r="A842" s="665"/>
      <c r="B842" s="43"/>
      <c r="C842" s="149" t="s">
        <v>413</v>
      </c>
      <c r="D842" s="303">
        <v>1169</v>
      </c>
      <c r="E842" s="100">
        <v>2</v>
      </c>
      <c r="F842" s="101">
        <v>137.50056320000002</v>
      </c>
      <c r="G842" s="100">
        <v>0</v>
      </c>
      <c r="H842" s="100">
        <v>42</v>
      </c>
      <c r="I842" s="101">
        <v>154</v>
      </c>
      <c r="J842" s="100">
        <v>26</v>
      </c>
      <c r="K842" s="100"/>
      <c r="L842" s="100"/>
      <c r="M842" s="100">
        <v>151</v>
      </c>
      <c r="N842" s="100">
        <v>2211</v>
      </c>
      <c r="O842" s="100">
        <v>0</v>
      </c>
      <c r="P842" s="100">
        <v>0</v>
      </c>
      <c r="Q842" s="271"/>
      <c r="R842" s="100">
        <v>43</v>
      </c>
      <c r="S842" s="100">
        <v>223</v>
      </c>
      <c r="T842" s="100">
        <v>0</v>
      </c>
      <c r="U842" s="100">
        <v>32</v>
      </c>
      <c r="V842" s="666">
        <v>387</v>
      </c>
      <c r="W842" s="97"/>
      <c r="X842" s="97">
        <f>+ROUNDUP(AC842/1000,0)</f>
        <v>32</v>
      </c>
      <c r="Y842" s="97"/>
      <c r="AC842" s="100">
        <v>31193.806193806198</v>
      </c>
    </row>
    <row r="843" spans="1:29" ht="15.95" customHeight="1" thickBot="1" x14ac:dyDescent="0.25">
      <c r="A843" s="669"/>
      <c r="B843" s="45"/>
      <c r="C843" s="151" t="s">
        <v>414</v>
      </c>
      <c r="D843" s="305"/>
      <c r="E843" s="105">
        <v>1</v>
      </c>
      <c r="F843" s="106">
        <v>81.358858400000017</v>
      </c>
      <c r="G843" s="105">
        <v>1.9581529581529582</v>
      </c>
      <c r="H843" s="105">
        <v>0</v>
      </c>
      <c r="I843" s="106"/>
      <c r="J843" s="105">
        <v>0</v>
      </c>
      <c r="K843" s="105"/>
      <c r="L843" s="105"/>
      <c r="M843" s="105">
        <v>0</v>
      </c>
      <c r="N843" s="105"/>
      <c r="O843" s="105">
        <v>0</v>
      </c>
      <c r="P843" s="105">
        <v>0</v>
      </c>
      <c r="Q843" s="273">
        <v>48.987000000000002</v>
      </c>
      <c r="R843" s="105">
        <v>43</v>
      </c>
      <c r="S843" s="105">
        <v>0</v>
      </c>
      <c r="T843" s="105">
        <v>0</v>
      </c>
      <c r="U843" s="105">
        <v>0</v>
      </c>
      <c r="V843" s="670">
        <v>0</v>
      </c>
      <c r="W843" s="97"/>
      <c r="X843" s="97">
        <f t="shared" si="13"/>
        <v>0</v>
      </c>
      <c r="Y843" s="97">
        <f>+IF((AC843-ROUND(AC843,-3)&gt;400)*AND(AC843-ROUND(AC843,-3)&lt;500),1,0)</f>
        <v>0</v>
      </c>
      <c r="AC843" s="105">
        <v>0</v>
      </c>
    </row>
    <row r="844" spans="1:29" ht="15.95" customHeight="1" thickTop="1" x14ac:dyDescent="0.2">
      <c r="A844" s="665" t="s">
        <v>226</v>
      </c>
      <c r="B844" s="42">
        <v>2008</v>
      </c>
      <c r="C844" s="148" t="s">
        <v>289</v>
      </c>
      <c r="D844" s="303"/>
      <c r="E844" s="100"/>
      <c r="F844" s="101">
        <v>4.6946972000000002</v>
      </c>
      <c r="G844" s="100"/>
      <c r="H844" s="100"/>
      <c r="I844" s="101"/>
      <c r="J844" s="100"/>
      <c r="K844" s="100"/>
      <c r="L844" s="100"/>
      <c r="M844" s="100">
        <v>3</v>
      </c>
      <c r="N844" s="100"/>
      <c r="O844" s="100">
        <v>0</v>
      </c>
      <c r="P844" s="100">
        <v>0</v>
      </c>
      <c r="Q844" s="271"/>
      <c r="R844" s="100"/>
      <c r="S844" s="100">
        <v>5</v>
      </c>
      <c r="T844" s="100"/>
      <c r="U844" s="100">
        <v>11</v>
      </c>
      <c r="V844" s="666"/>
      <c r="W844" s="97"/>
      <c r="X844" s="97">
        <f t="shared" si="13"/>
        <v>11</v>
      </c>
      <c r="Y844" s="97"/>
      <c r="AC844" s="100">
        <v>11385.597082953509</v>
      </c>
    </row>
    <row r="845" spans="1:29" ht="15.95" customHeight="1" x14ac:dyDescent="0.2">
      <c r="A845" s="665"/>
      <c r="B845" s="43"/>
      <c r="C845" s="149" t="s">
        <v>290</v>
      </c>
      <c r="D845" s="303"/>
      <c r="E845" s="100"/>
      <c r="F845" s="101">
        <v>4.6946972000000002</v>
      </c>
      <c r="G845" s="100"/>
      <c r="H845" s="100"/>
      <c r="I845" s="101"/>
      <c r="J845" s="100"/>
      <c r="K845" s="100"/>
      <c r="L845" s="100"/>
      <c r="M845" s="100">
        <v>3</v>
      </c>
      <c r="N845" s="100"/>
      <c r="O845" s="100">
        <v>0</v>
      </c>
      <c r="P845" s="100">
        <v>0</v>
      </c>
      <c r="Q845" s="271"/>
      <c r="R845" s="100"/>
      <c r="S845" s="100">
        <v>5</v>
      </c>
      <c r="T845" s="100"/>
      <c r="U845" s="100">
        <v>0</v>
      </c>
      <c r="V845" s="666"/>
      <c r="W845" s="97"/>
      <c r="X845" s="97">
        <f t="shared" si="13"/>
        <v>0</v>
      </c>
      <c r="Y845" s="97"/>
      <c r="AC845" s="100">
        <v>0</v>
      </c>
    </row>
    <row r="846" spans="1:29" ht="15.95" customHeight="1" x14ac:dyDescent="0.2">
      <c r="A846" s="667"/>
      <c r="B846" s="44"/>
      <c r="C846" s="150" t="s">
        <v>291</v>
      </c>
      <c r="D846" s="304"/>
      <c r="E846" s="103"/>
      <c r="F846" s="104">
        <v>0</v>
      </c>
      <c r="G846" s="103"/>
      <c r="H846" s="103"/>
      <c r="I846" s="104"/>
      <c r="J846" s="103"/>
      <c r="K846" s="103"/>
      <c r="L846" s="103"/>
      <c r="M846" s="103">
        <v>0</v>
      </c>
      <c r="N846" s="103"/>
      <c r="O846" s="103">
        <v>0</v>
      </c>
      <c r="P846" s="103">
        <v>0</v>
      </c>
      <c r="Q846" s="272"/>
      <c r="R846" s="103"/>
      <c r="S846" s="103">
        <v>4</v>
      </c>
      <c r="T846" s="103"/>
      <c r="U846" s="103">
        <v>11</v>
      </c>
      <c r="V846" s="668"/>
      <c r="W846" s="97"/>
      <c r="X846" s="97">
        <f t="shared" si="13"/>
        <v>11</v>
      </c>
      <c r="Y846" s="97"/>
      <c r="AC846" s="103">
        <v>11385.597082953509</v>
      </c>
    </row>
    <row r="847" spans="1:29" ht="15.95" customHeight="1" x14ac:dyDescent="0.2">
      <c r="A847" s="665"/>
      <c r="B847" s="42">
        <v>2009</v>
      </c>
      <c r="C847" s="149" t="s">
        <v>412</v>
      </c>
      <c r="D847" s="303"/>
      <c r="E847" s="100"/>
      <c r="F847" s="101">
        <v>4.6946972000000002</v>
      </c>
      <c r="G847" s="100"/>
      <c r="H847" s="100"/>
      <c r="I847" s="101"/>
      <c r="J847" s="100"/>
      <c r="K847" s="100"/>
      <c r="L847" s="100"/>
      <c r="M847" s="100">
        <v>3</v>
      </c>
      <c r="N847" s="100"/>
      <c r="O847" s="100">
        <v>0</v>
      </c>
      <c r="P847" s="100">
        <v>0</v>
      </c>
      <c r="Q847" s="271"/>
      <c r="R847" s="100"/>
      <c r="S847" s="100">
        <v>5</v>
      </c>
      <c r="T847" s="100"/>
      <c r="U847" s="100">
        <v>12</v>
      </c>
      <c r="V847" s="666"/>
      <c r="W847" s="100"/>
      <c r="X847" s="97">
        <f t="shared" si="13"/>
        <v>12</v>
      </c>
      <c r="Y847" s="97"/>
      <c r="AC847" s="100">
        <v>12477.52247752248</v>
      </c>
    </row>
    <row r="848" spans="1:29" ht="15.95" customHeight="1" x14ac:dyDescent="0.2">
      <c r="A848" s="665"/>
      <c r="B848" s="43"/>
      <c r="C848" s="149" t="s">
        <v>413</v>
      </c>
      <c r="D848" s="303"/>
      <c r="E848" s="100"/>
      <c r="F848" s="101">
        <v>4.6946972000000002</v>
      </c>
      <c r="G848" s="100"/>
      <c r="H848" s="100"/>
      <c r="I848" s="101"/>
      <c r="J848" s="100"/>
      <c r="K848" s="100"/>
      <c r="L848" s="100"/>
      <c r="M848" s="100">
        <v>3</v>
      </c>
      <c r="N848" s="100"/>
      <c r="O848" s="100">
        <v>0</v>
      </c>
      <c r="P848" s="100">
        <v>0</v>
      </c>
      <c r="Q848" s="271"/>
      <c r="R848" s="100"/>
      <c r="S848" s="100">
        <v>0</v>
      </c>
      <c r="T848" s="100"/>
      <c r="U848" s="100">
        <v>0</v>
      </c>
      <c r="V848" s="666"/>
      <c r="W848" s="97"/>
      <c r="X848" s="97">
        <f t="shared" si="13"/>
        <v>0</v>
      </c>
      <c r="Y848" s="97"/>
      <c r="AC848" s="100">
        <v>0</v>
      </c>
    </row>
    <row r="849" spans="1:29" ht="15.95" customHeight="1" thickBot="1" x14ac:dyDescent="0.25">
      <c r="A849" s="669"/>
      <c r="B849" s="45"/>
      <c r="C849" s="151" t="s">
        <v>414</v>
      </c>
      <c r="D849" s="305"/>
      <c r="E849" s="105"/>
      <c r="F849" s="106">
        <v>0</v>
      </c>
      <c r="G849" s="105"/>
      <c r="H849" s="105"/>
      <c r="I849" s="106"/>
      <c r="J849" s="105"/>
      <c r="K849" s="105"/>
      <c r="L849" s="105"/>
      <c r="M849" s="105">
        <v>0</v>
      </c>
      <c r="N849" s="105"/>
      <c r="O849" s="105">
        <v>0</v>
      </c>
      <c r="P849" s="105">
        <v>0</v>
      </c>
      <c r="Q849" s="273"/>
      <c r="R849" s="105"/>
      <c r="S849" s="105">
        <v>0</v>
      </c>
      <c r="T849" s="105"/>
      <c r="U849" s="105">
        <v>28</v>
      </c>
      <c r="V849" s="670"/>
      <c r="W849" s="97"/>
      <c r="X849" s="97">
        <f t="shared" si="13"/>
        <v>28</v>
      </c>
      <c r="Y849" s="97">
        <f>+IF((AC849-ROUND(AC849,-3)&gt;400)*AND(AC849-ROUND(AC849,-3)&lt;500),1,0)</f>
        <v>0</v>
      </c>
      <c r="AC849" s="105">
        <v>27763.976023976029</v>
      </c>
    </row>
    <row r="850" spans="1:29" ht="15.95" customHeight="1" thickTop="1" x14ac:dyDescent="0.2">
      <c r="A850" s="665" t="s">
        <v>227</v>
      </c>
      <c r="B850" s="42">
        <v>2008</v>
      </c>
      <c r="C850" s="148" t="s">
        <v>289</v>
      </c>
      <c r="D850" s="303">
        <v>14303</v>
      </c>
      <c r="E850" s="100">
        <v>933</v>
      </c>
      <c r="F850" s="101">
        <v>3690.0373439999994</v>
      </c>
      <c r="G850" s="100">
        <v>3001.8783977110156</v>
      </c>
      <c r="H850" s="100">
        <v>347</v>
      </c>
      <c r="I850" s="101">
        <v>2512</v>
      </c>
      <c r="J850" s="100">
        <v>986</v>
      </c>
      <c r="K850" s="100">
        <v>1420</v>
      </c>
      <c r="L850" s="100"/>
      <c r="M850" s="100">
        <v>2467</v>
      </c>
      <c r="N850" s="100"/>
      <c r="O850" s="100">
        <v>91</v>
      </c>
      <c r="P850" s="100">
        <v>121</v>
      </c>
      <c r="Q850" s="271">
        <v>1230.42</v>
      </c>
      <c r="R850" s="100"/>
      <c r="S850" s="100">
        <v>3632</v>
      </c>
      <c r="T850" s="100">
        <v>436</v>
      </c>
      <c r="U850" s="100">
        <v>439</v>
      </c>
      <c r="V850" s="666">
        <v>1360.9428571428571</v>
      </c>
      <c r="W850" s="97"/>
      <c r="X850" s="97">
        <f>+ROUNDUP(AC850/1000,0)</f>
        <v>439</v>
      </c>
      <c r="Y850" s="97"/>
      <c r="AC850" s="100">
        <v>438345.48769371014</v>
      </c>
    </row>
    <row r="851" spans="1:29" ht="15.95" customHeight="1" x14ac:dyDescent="0.2">
      <c r="A851" s="665"/>
      <c r="B851" s="43"/>
      <c r="C851" s="149" t="s">
        <v>290</v>
      </c>
      <c r="D851" s="303">
        <v>14303</v>
      </c>
      <c r="E851" s="100">
        <v>933</v>
      </c>
      <c r="F851" s="101">
        <v>3690.0373439999994</v>
      </c>
      <c r="G851" s="100">
        <v>2958.0987124463518</v>
      </c>
      <c r="H851" s="100">
        <v>347</v>
      </c>
      <c r="I851" s="101">
        <v>2512</v>
      </c>
      <c r="J851" s="100">
        <v>986</v>
      </c>
      <c r="K851" s="100">
        <v>1420</v>
      </c>
      <c r="L851" s="100"/>
      <c r="M851" s="100">
        <v>2467</v>
      </c>
      <c r="N851" s="100">
        <v>13570</v>
      </c>
      <c r="O851" s="100">
        <v>91</v>
      </c>
      <c r="P851" s="100">
        <v>121</v>
      </c>
      <c r="Q851" s="271">
        <v>1230.42</v>
      </c>
      <c r="R851" s="100"/>
      <c r="S851" s="100">
        <v>3632</v>
      </c>
      <c r="T851" s="100">
        <v>436</v>
      </c>
      <c r="U851" s="100">
        <v>439</v>
      </c>
      <c r="V851" s="666">
        <v>1360.7142857142856</v>
      </c>
      <c r="W851" s="97"/>
      <c r="X851" s="97">
        <f>+ROUNDUP(AC851/1000,0)</f>
        <v>439</v>
      </c>
      <c r="Y851" s="97"/>
      <c r="AC851" s="100">
        <v>438345.48769371014</v>
      </c>
    </row>
    <row r="852" spans="1:29" ht="15.95" customHeight="1" x14ac:dyDescent="0.2">
      <c r="A852" s="667"/>
      <c r="B852" s="44"/>
      <c r="C852" s="150" t="s">
        <v>291</v>
      </c>
      <c r="D852" s="304"/>
      <c r="E852" s="103">
        <v>0</v>
      </c>
      <c r="F852" s="104">
        <v>0</v>
      </c>
      <c r="G852" s="103">
        <v>0</v>
      </c>
      <c r="H852" s="103">
        <v>0</v>
      </c>
      <c r="I852" s="104"/>
      <c r="J852" s="103">
        <v>0</v>
      </c>
      <c r="K852" s="103"/>
      <c r="L852" s="103"/>
      <c r="M852" s="103">
        <v>0</v>
      </c>
      <c r="N852" s="103"/>
      <c r="O852" s="103">
        <v>9</v>
      </c>
      <c r="P852" s="103">
        <v>16</v>
      </c>
      <c r="Q852" s="272"/>
      <c r="R852" s="103"/>
      <c r="S852" s="103">
        <v>0</v>
      </c>
      <c r="T852" s="103">
        <v>0</v>
      </c>
      <c r="U852" s="103">
        <v>0</v>
      </c>
      <c r="V852" s="668">
        <v>0</v>
      </c>
      <c r="W852" s="97"/>
      <c r="X852" s="97">
        <f t="shared" si="13"/>
        <v>0</v>
      </c>
      <c r="Y852" s="97"/>
      <c r="AC852" s="103">
        <v>0</v>
      </c>
    </row>
    <row r="853" spans="1:29" ht="15.95" customHeight="1" x14ac:dyDescent="0.2">
      <c r="A853" s="665"/>
      <c r="B853" s="42">
        <v>2009</v>
      </c>
      <c r="C853" s="149" t="s">
        <v>412</v>
      </c>
      <c r="D853" s="303">
        <v>19052</v>
      </c>
      <c r="E853" s="100">
        <v>907</v>
      </c>
      <c r="F853" s="101">
        <v>3690.0373439999994</v>
      </c>
      <c r="G853" s="100">
        <v>3137.9725829725835</v>
      </c>
      <c r="H853" s="100">
        <v>392</v>
      </c>
      <c r="I853" s="101">
        <v>2512</v>
      </c>
      <c r="J853" s="100">
        <v>812</v>
      </c>
      <c r="K853" s="100">
        <v>1420</v>
      </c>
      <c r="L853" s="100"/>
      <c r="M853" s="100">
        <v>2467</v>
      </c>
      <c r="N853" s="100"/>
      <c r="O853" s="100">
        <v>91</v>
      </c>
      <c r="P853" s="100">
        <v>120</v>
      </c>
      <c r="Q853" s="102">
        <v>1166.2460000000001</v>
      </c>
      <c r="R853" s="100">
        <v>0</v>
      </c>
      <c r="S853" s="100">
        <v>3632</v>
      </c>
      <c r="T853" s="100">
        <v>443</v>
      </c>
      <c r="U853" s="100">
        <v>481</v>
      </c>
      <c r="V853" s="666">
        <v>1409.6008928571428</v>
      </c>
      <c r="W853" s="100"/>
      <c r="X853" s="97">
        <f>+ROUNDUP(AC853/1000,0)</f>
        <v>481</v>
      </c>
      <c r="Y853" s="97"/>
      <c r="AC853" s="100">
        <v>480384.61538461543</v>
      </c>
    </row>
    <row r="854" spans="1:29" ht="15.95" customHeight="1" x14ac:dyDescent="0.2">
      <c r="A854" s="665"/>
      <c r="B854" s="43"/>
      <c r="C854" s="149" t="s">
        <v>413</v>
      </c>
      <c r="D854" s="303">
        <v>19052</v>
      </c>
      <c r="E854" s="100">
        <v>907</v>
      </c>
      <c r="F854" s="101">
        <v>3690.0373439999994</v>
      </c>
      <c r="G854" s="100">
        <v>3137.9725829725835</v>
      </c>
      <c r="H854" s="100">
        <v>392</v>
      </c>
      <c r="I854" s="101">
        <v>2512</v>
      </c>
      <c r="J854" s="100">
        <v>812</v>
      </c>
      <c r="K854" s="100">
        <v>1420</v>
      </c>
      <c r="L854" s="100"/>
      <c r="M854" s="100">
        <v>2467</v>
      </c>
      <c r="N854" s="100">
        <v>9951</v>
      </c>
      <c r="O854" s="100">
        <v>91</v>
      </c>
      <c r="P854" s="100">
        <v>120</v>
      </c>
      <c r="Q854" s="102">
        <v>1166.2460000000001</v>
      </c>
      <c r="R854" s="100">
        <v>289</v>
      </c>
      <c r="S854" s="100">
        <v>3632</v>
      </c>
      <c r="T854" s="100">
        <v>443</v>
      </c>
      <c r="U854" s="100">
        <v>481</v>
      </c>
      <c r="V854" s="666">
        <v>1410</v>
      </c>
      <c r="W854" s="97"/>
      <c r="X854" s="97">
        <f>+ROUNDUP(AC854/1000,0)</f>
        <v>481</v>
      </c>
      <c r="Y854" s="97"/>
      <c r="AC854" s="100">
        <v>480384.61538461543</v>
      </c>
    </row>
    <row r="855" spans="1:29" ht="15.95" customHeight="1" thickBot="1" x14ac:dyDescent="0.25">
      <c r="A855" s="669"/>
      <c r="B855" s="45"/>
      <c r="C855" s="151" t="s">
        <v>414</v>
      </c>
      <c r="D855" s="305"/>
      <c r="E855" s="105">
        <v>0</v>
      </c>
      <c r="F855" s="106">
        <v>0</v>
      </c>
      <c r="G855" s="105">
        <v>0</v>
      </c>
      <c r="H855" s="105">
        <v>0</v>
      </c>
      <c r="I855" s="106"/>
      <c r="J855" s="105">
        <v>0</v>
      </c>
      <c r="K855" s="105"/>
      <c r="L855" s="105"/>
      <c r="M855" s="105">
        <v>0</v>
      </c>
      <c r="N855" s="105"/>
      <c r="O855" s="105">
        <v>0</v>
      </c>
      <c r="P855" s="105">
        <v>0</v>
      </c>
      <c r="Q855" s="273"/>
      <c r="R855" s="105">
        <v>0</v>
      </c>
      <c r="S855" s="105">
        <v>0</v>
      </c>
      <c r="T855" s="105">
        <v>0</v>
      </c>
      <c r="U855" s="105">
        <v>0</v>
      </c>
      <c r="V855" s="670">
        <v>0</v>
      </c>
      <c r="W855" s="97"/>
      <c r="X855" s="97">
        <f t="shared" si="13"/>
        <v>0</v>
      </c>
      <c r="Y855" s="97">
        <f>+IF((AC855-ROUND(AC855,-3)&gt;400)*AND(AC855-ROUND(AC855,-3)&lt;500),1,0)</f>
        <v>0</v>
      </c>
      <c r="AC855" s="105">
        <v>0</v>
      </c>
    </row>
    <row r="856" spans="1:29" ht="15.95" customHeight="1" thickTop="1" x14ac:dyDescent="0.2">
      <c r="A856" s="665" t="s">
        <v>228</v>
      </c>
      <c r="B856" s="42">
        <v>2008</v>
      </c>
      <c r="C856" s="148" t="s">
        <v>289</v>
      </c>
      <c r="D856" s="303">
        <v>1335</v>
      </c>
      <c r="E856" s="100">
        <v>89</v>
      </c>
      <c r="F856" s="101">
        <v>342.71339879999999</v>
      </c>
      <c r="G856" s="100">
        <v>0</v>
      </c>
      <c r="H856" s="100">
        <v>67</v>
      </c>
      <c r="I856" s="101">
        <v>234</v>
      </c>
      <c r="J856" s="100">
        <v>21</v>
      </c>
      <c r="K856" s="100">
        <v>284</v>
      </c>
      <c r="L856" s="100"/>
      <c r="M856" s="100">
        <v>230</v>
      </c>
      <c r="N856" s="100"/>
      <c r="O856" s="100">
        <v>9</v>
      </c>
      <c r="P856" s="100">
        <v>11</v>
      </c>
      <c r="Q856" s="271">
        <v>114.327</v>
      </c>
      <c r="R856" s="100">
        <v>95</v>
      </c>
      <c r="S856" s="100">
        <v>339</v>
      </c>
      <c r="T856" s="100">
        <v>5</v>
      </c>
      <c r="U856" s="100">
        <v>40</v>
      </c>
      <c r="V856" s="666">
        <v>193.45892857142857</v>
      </c>
      <c r="W856" s="97"/>
      <c r="X856" s="97">
        <f t="shared" si="13"/>
        <v>40</v>
      </c>
      <c r="Y856" s="97"/>
      <c r="AC856" s="100">
        <v>39849.589790337282</v>
      </c>
    </row>
    <row r="857" spans="1:29" ht="15.95" customHeight="1" x14ac:dyDescent="0.2">
      <c r="A857" s="665"/>
      <c r="B857" s="43"/>
      <c r="C857" s="149" t="s">
        <v>290</v>
      </c>
      <c r="D857" s="303">
        <v>1335</v>
      </c>
      <c r="E857" s="100">
        <v>89</v>
      </c>
      <c r="F857" s="101">
        <v>342.71339879999999</v>
      </c>
      <c r="G857" s="100">
        <v>0</v>
      </c>
      <c r="H857" s="100">
        <v>67</v>
      </c>
      <c r="I857" s="101">
        <v>234</v>
      </c>
      <c r="J857" s="100">
        <v>21</v>
      </c>
      <c r="K857" s="100">
        <v>142</v>
      </c>
      <c r="L857" s="100"/>
      <c r="M857" s="100">
        <v>230</v>
      </c>
      <c r="N857" s="100"/>
      <c r="O857" s="100">
        <v>9</v>
      </c>
      <c r="P857" s="100">
        <v>11</v>
      </c>
      <c r="Q857" s="271">
        <v>114.327</v>
      </c>
      <c r="R857" s="100">
        <v>95</v>
      </c>
      <c r="S857" s="100">
        <v>339</v>
      </c>
      <c r="T857" s="100">
        <v>5</v>
      </c>
      <c r="U857" s="100">
        <v>40</v>
      </c>
      <c r="V857" s="666">
        <v>145.53571428571428</v>
      </c>
      <c r="W857" s="97"/>
      <c r="X857" s="97">
        <f t="shared" si="13"/>
        <v>40</v>
      </c>
      <c r="Y857" s="97"/>
      <c r="AC857" s="100">
        <v>39849.589790337282</v>
      </c>
    </row>
    <row r="858" spans="1:29" ht="15.95" customHeight="1" x14ac:dyDescent="0.2">
      <c r="A858" s="667"/>
      <c r="B858" s="44"/>
      <c r="C858" s="150" t="s">
        <v>291</v>
      </c>
      <c r="D858" s="304"/>
      <c r="E858" s="103">
        <v>0</v>
      </c>
      <c r="F858" s="104">
        <v>0</v>
      </c>
      <c r="G858" s="103">
        <v>0</v>
      </c>
      <c r="H858" s="103">
        <v>0</v>
      </c>
      <c r="I858" s="104"/>
      <c r="J858" s="103">
        <v>21</v>
      </c>
      <c r="K858" s="103"/>
      <c r="L858" s="103"/>
      <c r="M858" s="103">
        <v>0</v>
      </c>
      <c r="N858" s="103"/>
      <c r="O858" s="103">
        <v>0</v>
      </c>
      <c r="P858" s="103">
        <v>0</v>
      </c>
      <c r="Q858" s="272"/>
      <c r="R858" s="103">
        <v>0</v>
      </c>
      <c r="S858" s="103">
        <v>0</v>
      </c>
      <c r="T858" s="103">
        <v>0</v>
      </c>
      <c r="U858" s="103">
        <v>0</v>
      </c>
      <c r="V858" s="668">
        <v>0</v>
      </c>
      <c r="W858" s="97"/>
      <c r="X858" s="97">
        <f t="shared" si="13"/>
        <v>0</v>
      </c>
      <c r="Y858" s="97"/>
      <c r="AC858" s="103">
        <v>0</v>
      </c>
    </row>
    <row r="859" spans="1:29" ht="15.95" customHeight="1" x14ac:dyDescent="0.2">
      <c r="A859" s="665"/>
      <c r="B859" s="42">
        <v>2009</v>
      </c>
      <c r="C859" s="149" t="s">
        <v>412</v>
      </c>
      <c r="D859" s="303">
        <v>1779</v>
      </c>
      <c r="E859" s="100">
        <v>85</v>
      </c>
      <c r="F859" s="101">
        <v>342.71339879999999</v>
      </c>
      <c r="G859" s="100">
        <v>294.35064935064941</v>
      </c>
      <c r="H859" s="100">
        <v>78</v>
      </c>
      <c r="I859" s="101">
        <v>234</v>
      </c>
      <c r="J859" s="100">
        <v>19</v>
      </c>
      <c r="K859" s="100">
        <v>284</v>
      </c>
      <c r="L859" s="100"/>
      <c r="M859" s="100">
        <v>230</v>
      </c>
      <c r="N859" s="100"/>
      <c r="O859" s="100">
        <v>9</v>
      </c>
      <c r="P859" s="100">
        <v>11</v>
      </c>
      <c r="Q859" s="102">
        <v>108.364</v>
      </c>
      <c r="R859" s="100">
        <v>97</v>
      </c>
      <c r="S859" s="100">
        <v>339</v>
      </c>
      <c r="T859" s="100">
        <v>6</v>
      </c>
      <c r="U859" s="100">
        <v>44</v>
      </c>
      <c r="V859" s="666">
        <v>199.27142857142854</v>
      </c>
      <c r="W859" s="100"/>
      <c r="X859" s="97">
        <f t="shared" si="13"/>
        <v>44</v>
      </c>
      <c r="Y859" s="97"/>
      <c r="AC859" s="100">
        <v>43671.328671328672</v>
      </c>
    </row>
    <row r="860" spans="1:29" ht="15.95" customHeight="1" x14ac:dyDescent="0.2">
      <c r="A860" s="665"/>
      <c r="B860" s="43"/>
      <c r="C860" s="149" t="s">
        <v>413</v>
      </c>
      <c r="D860" s="303">
        <v>1779</v>
      </c>
      <c r="E860" s="100">
        <v>85</v>
      </c>
      <c r="F860" s="101">
        <v>342.71339879999999</v>
      </c>
      <c r="G860" s="100">
        <v>294.35064935064941</v>
      </c>
      <c r="H860" s="100">
        <v>78</v>
      </c>
      <c r="I860" s="101">
        <v>234</v>
      </c>
      <c r="J860" s="100">
        <v>19</v>
      </c>
      <c r="K860" s="100">
        <v>284</v>
      </c>
      <c r="L860" s="100"/>
      <c r="M860" s="100">
        <v>230</v>
      </c>
      <c r="N860" s="100">
        <v>50</v>
      </c>
      <c r="O860" s="100">
        <v>9</v>
      </c>
      <c r="P860" s="100">
        <v>11</v>
      </c>
      <c r="Q860" s="102">
        <v>108.364</v>
      </c>
      <c r="R860" s="100">
        <v>97</v>
      </c>
      <c r="S860" s="100">
        <v>339</v>
      </c>
      <c r="T860" s="100">
        <v>6</v>
      </c>
      <c r="U860" s="100">
        <v>44</v>
      </c>
      <c r="V860" s="666">
        <v>149</v>
      </c>
      <c r="W860" s="97"/>
      <c r="X860" s="97">
        <f t="shared" si="13"/>
        <v>44</v>
      </c>
      <c r="Y860" s="97"/>
      <c r="AC860" s="100">
        <v>43671.328671328672</v>
      </c>
    </row>
    <row r="861" spans="1:29" ht="15.95" customHeight="1" thickBot="1" x14ac:dyDescent="0.25">
      <c r="A861" s="669"/>
      <c r="B861" s="45"/>
      <c r="C861" s="151" t="s">
        <v>414</v>
      </c>
      <c r="D861" s="305"/>
      <c r="E861" s="105">
        <v>0</v>
      </c>
      <c r="F861" s="106">
        <v>0</v>
      </c>
      <c r="G861" s="105">
        <v>0</v>
      </c>
      <c r="H861" s="105">
        <v>0</v>
      </c>
      <c r="I861" s="106"/>
      <c r="J861" s="105">
        <v>0</v>
      </c>
      <c r="K861" s="105"/>
      <c r="L861" s="105"/>
      <c r="M861" s="105">
        <v>0</v>
      </c>
      <c r="N861" s="105"/>
      <c r="O861" s="105">
        <v>0</v>
      </c>
      <c r="P861" s="105">
        <v>0</v>
      </c>
      <c r="Q861" s="273"/>
      <c r="R861" s="105">
        <v>0</v>
      </c>
      <c r="S861" s="105">
        <v>0</v>
      </c>
      <c r="T861" s="105">
        <v>0</v>
      </c>
      <c r="U861" s="105">
        <v>0</v>
      </c>
      <c r="V861" s="670">
        <v>0</v>
      </c>
      <c r="W861" s="97"/>
      <c r="X861" s="97">
        <f t="shared" si="13"/>
        <v>0</v>
      </c>
      <c r="Y861" s="97">
        <f>+IF((AC861-ROUND(AC861,-3)&gt;400)*AND(AC861-ROUND(AC861,-3)&lt;500),1,0)</f>
        <v>0</v>
      </c>
      <c r="AC861" s="105">
        <v>0</v>
      </c>
    </row>
    <row r="862" spans="1:29" ht="15.95" customHeight="1" thickTop="1" x14ac:dyDescent="0.2">
      <c r="A862" s="665" t="s">
        <v>229</v>
      </c>
      <c r="B862" s="42">
        <v>2008</v>
      </c>
      <c r="C862" s="148" t="s">
        <v>289</v>
      </c>
      <c r="D862" s="303">
        <v>1079</v>
      </c>
      <c r="E862" s="100"/>
      <c r="F862" s="101">
        <v>276.98754279999997</v>
      </c>
      <c r="G862" s="100">
        <v>179.31187410586554</v>
      </c>
      <c r="H862" s="100">
        <v>98</v>
      </c>
      <c r="I862" s="101">
        <v>189</v>
      </c>
      <c r="J862" s="100">
        <v>36</v>
      </c>
      <c r="K862" s="100">
        <v>568</v>
      </c>
      <c r="L862" s="100"/>
      <c r="M862" s="100">
        <v>186</v>
      </c>
      <c r="N862" s="100"/>
      <c r="O862" s="100">
        <v>7</v>
      </c>
      <c r="P862" s="100">
        <v>9</v>
      </c>
      <c r="Q862" s="271">
        <v>92.817999999999998</v>
      </c>
      <c r="R862" s="100">
        <v>42</v>
      </c>
      <c r="S862" s="100">
        <v>274</v>
      </c>
      <c r="T862" s="100">
        <v>5</v>
      </c>
      <c r="U862" s="100">
        <v>35</v>
      </c>
      <c r="V862" s="666">
        <v>266.39732142857139</v>
      </c>
      <c r="W862" s="97"/>
      <c r="X862" s="97">
        <f>+ROUNDUP(AC862/1000,0)</f>
        <v>35</v>
      </c>
      <c r="Y862" s="97"/>
      <c r="AC862" s="100">
        <v>34156.791248860529</v>
      </c>
    </row>
    <row r="863" spans="1:29" ht="15.95" customHeight="1" x14ac:dyDescent="0.2">
      <c r="A863" s="665"/>
      <c r="B863" s="43"/>
      <c r="C863" s="149" t="s">
        <v>290</v>
      </c>
      <c r="D863" s="303">
        <v>1079</v>
      </c>
      <c r="E863" s="100"/>
      <c r="F863" s="101">
        <v>127.7375</v>
      </c>
      <c r="G863" s="100">
        <v>176.34620886981403</v>
      </c>
      <c r="H863" s="100">
        <v>98</v>
      </c>
      <c r="I863" s="101">
        <f>189-71</f>
        <v>118</v>
      </c>
      <c r="J863" s="100">
        <v>19</v>
      </c>
      <c r="K863" s="100">
        <v>568</v>
      </c>
      <c r="L863" s="100"/>
      <c r="M863" s="100">
        <v>0</v>
      </c>
      <c r="N863" s="100"/>
      <c r="O863" s="100">
        <v>0</v>
      </c>
      <c r="P863" s="100">
        <v>0</v>
      </c>
      <c r="Q863" s="271"/>
      <c r="R863" s="100">
        <v>37</v>
      </c>
      <c r="S863" s="100">
        <v>206</v>
      </c>
      <c r="T863" s="100">
        <v>5</v>
      </c>
      <c r="U863" s="100">
        <v>0</v>
      </c>
      <c r="V863" s="666">
        <v>266.07142857142856</v>
      </c>
      <c r="W863" s="97"/>
      <c r="X863" s="97">
        <f t="shared" si="13"/>
        <v>0</v>
      </c>
      <c r="Y863" s="97"/>
      <c r="AC863" s="100">
        <v>263.13582497721058</v>
      </c>
    </row>
    <row r="864" spans="1:29" ht="15.95" customHeight="1" x14ac:dyDescent="0.2">
      <c r="A864" s="667"/>
      <c r="B864" s="44"/>
      <c r="C864" s="150" t="s">
        <v>291</v>
      </c>
      <c r="D864" s="304"/>
      <c r="E864" s="103"/>
      <c r="F864" s="104">
        <v>0</v>
      </c>
      <c r="G864" s="103">
        <v>0</v>
      </c>
      <c r="H864" s="103">
        <v>0</v>
      </c>
      <c r="I864" s="104">
        <v>25</v>
      </c>
      <c r="J864" s="103">
        <v>4</v>
      </c>
      <c r="K864" s="103"/>
      <c r="L864" s="103"/>
      <c r="M864" s="103">
        <v>0</v>
      </c>
      <c r="N864" s="103"/>
      <c r="O864" s="103">
        <v>0</v>
      </c>
      <c r="P864" s="103">
        <v>0</v>
      </c>
      <c r="Q864" s="272">
        <v>85.305000000000007</v>
      </c>
      <c r="R864" s="103">
        <v>44</v>
      </c>
      <c r="S864" s="103">
        <v>0</v>
      </c>
      <c r="T864" s="103">
        <v>0</v>
      </c>
      <c r="U864" s="103">
        <v>23</v>
      </c>
      <c r="V864" s="668">
        <v>0</v>
      </c>
      <c r="W864" s="97"/>
      <c r="X864" s="97">
        <f>+ROUNDUP(AC864/1000,0)</f>
        <v>23</v>
      </c>
      <c r="Y864" s="97"/>
      <c r="AC864" s="103">
        <v>22481.73199635369</v>
      </c>
    </row>
    <row r="865" spans="1:29" ht="15.95" customHeight="1" x14ac:dyDescent="0.2">
      <c r="A865" s="665"/>
      <c r="B865" s="42">
        <v>2009</v>
      </c>
      <c r="C865" s="149" t="s">
        <v>412</v>
      </c>
      <c r="D865" s="303">
        <v>1437</v>
      </c>
      <c r="E865" s="100"/>
      <c r="F865" s="101">
        <v>276.98754279999997</v>
      </c>
      <c r="G865" s="100">
        <v>190.57720057720059</v>
      </c>
      <c r="H865" s="100">
        <v>114</v>
      </c>
      <c r="I865" s="101">
        <v>189</v>
      </c>
      <c r="J865" s="100">
        <v>35</v>
      </c>
      <c r="K865" s="100">
        <v>568</v>
      </c>
      <c r="L865" s="100"/>
      <c r="M865" s="100">
        <v>186</v>
      </c>
      <c r="N865" s="100"/>
      <c r="O865" s="100">
        <v>7</v>
      </c>
      <c r="P865" s="100">
        <v>9</v>
      </c>
      <c r="Q865" s="102">
        <v>87.977000000000004</v>
      </c>
      <c r="R865" s="100">
        <v>43</v>
      </c>
      <c r="S865" s="100">
        <v>274</v>
      </c>
      <c r="T865" s="100">
        <v>6</v>
      </c>
      <c r="U865" s="100">
        <v>38</v>
      </c>
      <c r="V865" s="666">
        <v>287.10535714285709</v>
      </c>
      <c r="W865" s="100"/>
      <c r="X865" s="97">
        <f>+ROUNDUP(AC865/1000,0)</f>
        <v>38</v>
      </c>
      <c r="Y865" s="97"/>
      <c r="AC865" s="100">
        <v>37432.567432567434</v>
      </c>
    </row>
    <row r="866" spans="1:29" ht="15.95" customHeight="1" x14ac:dyDescent="0.2">
      <c r="A866" s="665"/>
      <c r="B866" s="43"/>
      <c r="C866" s="149" t="s">
        <v>413</v>
      </c>
      <c r="D866" s="303">
        <v>1437</v>
      </c>
      <c r="E866" s="100"/>
      <c r="F866" s="101">
        <v>0</v>
      </c>
      <c r="G866" s="100">
        <v>190.57720057720059</v>
      </c>
      <c r="H866" s="100">
        <v>80</v>
      </c>
      <c r="I866" s="101">
        <v>76</v>
      </c>
      <c r="J866" s="100">
        <v>35</v>
      </c>
      <c r="K866" s="100">
        <v>0</v>
      </c>
      <c r="L866" s="100"/>
      <c r="M866" s="100">
        <v>0</v>
      </c>
      <c r="N866" s="100"/>
      <c r="O866" s="100">
        <v>0</v>
      </c>
      <c r="P866" s="100">
        <v>0</v>
      </c>
      <c r="Q866" s="271"/>
      <c r="R866" s="100">
        <v>43</v>
      </c>
      <c r="S866" s="100">
        <v>0</v>
      </c>
      <c r="T866" s="100">
        <v>6</v>
      </c>
      <c r="U866" s="100">
        <v>0</v>
      </c>
      <c r="V866" s="666">
        <v>287</v>
      </c>
      <c r="W866" s="97"/>
      <c r="X866" s="97">
        <f t="shared" si="13"/>
        <v>0</v>
      </c>
      <c r="Y866" s="97"/>
      <c r="AC866" s="100">
        <v>0</v>
      </c>
    </row>
    <row r="867" spans="1:29" ht="15.95" customHeight="1" thickBot="1" x14ac:dyDescent="0.25">
      <c r="A867" s="669"/>
      <c r="B867" s="45"/>
      <c r="C867" s="151" t="s">
        <v>414</v>
      </c>
      <c r="D867" s="305"/>
      <c r="E867" s="105"/>
      <c r="F867" s="106">
        <v>145.93071800000001</v>
      </c>
      <c r="G867" s="105">
        <v>0</v>
      </c>
      <c r="H867" s="105">
        <v>0</v>
      </c>
      <c r="I867" s="106">
        <v>71</v>
      </c>
      <c r="J867" s="105">
        <v>15</v>
      </c>
      <c r="K867" s="105"/>
      <c r="L867" s="105"/>
      <c r="M867" s="105">
        <v>137</v>
      </c>
      <c r="N867" s="105"/>
      <c r="O867" s="105">
        <v>7</v>
      </c>
      <c r="P867" s="105">
        <v>9</v>
      </c>
      <c r="Q867" s="273">
        <v>73.313000000000002</v>
      </c>
      <c r="R867" s="105">
        <v>3</v>
      </c>
      <c r="S867" s="105">
        <v>0</v>
      </c>
      <c r="T867" s="105">
        <v>0</v>
      </c>
      <c r="U867" s="105">
        <v>28</v>
      </c>
      <c r="V867" s="670">
        <v>0</v>
      </c>
      <c r="W867" s="97"/>
      <c r="X867" s="97">
        <f t="shared" si="13"/>
        <v>28</v>
      </c>
      <c r="Y867" s="97">
        <f>+IF((AC867-ROUND(AC867,-3)&gt;400)*AND(AC867-ROUND(AC867,-3)&lt;500),1,0)</f>
        <v>0</v>
      </c>
      <c r="AC867" s="105">
        <v>28065.094905094909</v>
      </c>
    </row>
    <row r="868" spans="1:29" ht="15.95" customHeight="1" thickTop="1" x14ac:dyDescent="0.2">
      <c r="A868" s="665" t="s">
        <v>230</v>
      </c>
      <c r="B868" s="42">
        <v>2008</v>
      </c>
      <c r="C868" s="148" t="s">
        <v>289</v>
      </c>
      <c r="D868" s="303">
        <v>18</v>
      </c>
      <c r="E868" s="100">
        <v>1</v>
      </c>
      <c r="F868" s="101">
        <v>4.6946972000000002</v>
      </c>
      <c r="G868" s="100">
        <v>3.1602288984263236</v>
      </c>
      <c r="H868" s="100">
        <v>37</v>
      </c>
      <c r="I868" s="101"/>
      <c r="J868" s="100"/>
      <c r="K868" s="100"/>
      <c r="L868" s="100"/>
      <c r="M868" s="100">
        <v>3</v>
      </c>
      <c r="N868" s="100"/>
      <c r="O868" s="100">
        <v>0</v>
      </c>
      <c r="P868" s="100">
        <v>0</v>
      </c>
      <c r="Q868" s="271"/>
      <c r="R868" s="100"/>
      <c r="S868" s="100">
        <v>5</v>
      </c>
      <c r="T868" s="100"/>
      <c r="U868" s="100"/>
      <c r="V868" s="666"/>
      <c r="W868" s="97"/>
      <c r="X868" s="97">
        <f t="shared" si="13"/>
        <v>0</v>
      </c>
      <c r="Y868" s="97"/>
      <c r="AC868" s="100"/>
    </row>
    <row r="869" spans="1:29" ht="15.95" customHeight="1" x14ac:dyDescent="0.2">
      <c r="A869" s="665"/>
      <c r="B869" s="43"/>
      <c r="C869" s="149" t="s">
        <v>290</v>
      </c>
      <c r="D869" s="303"/>
      <c r="E869" s="100">
        <v>0</v>
      </c>
      <c r="F869" s="101">
        <v>0</v>
      </c>
      <c r="G869" s="100">
        <v>0</v>
      </c>
      <c r="H869" s="100">
        <v>0</v>
      </c>
      <c r="I869" s="101"/>
      <c r="J869" s="100"/>
      <c r="K869" s="100"/>
      <c r="L869" s="100"/>
      <c r="M869" s="100">
        <v>0</v>
      </c>
      <c r="N869" s="100"/>
      <c r="O869" s="100">
        <v>0</v>
      </c>
      <c r="P869" s="100">
        <v>0</v>
      </c>
      <c r="Q869" s="271"/>
      <c r="R869" s="100"/>
      <c r="S869" s="100">
        <v>0</v>
      </c>
      <c r="T869" s="100"/>
      <c r="U869" s="100"/>
      <c r="V869" s="666"/>
      <c r="W869" s="97"/>
      <c r="X869" s="97">
        <f t="shared" si="13"/>
        <v>0</v>
      </c>
      <c r="Y869" s="97"/>
      <c r="AC869" s="100"/>
    </row>
    <row r="870" spans="1:29" ht="15.95" customHeight="1" x14ac:dyDescent="0.2">
      <c r="A870" s="667"/>
      <c r="B870" s="44"/>
      <c r="C870" s="150" t="s">
        <v>291</v>
      </c>
      <c r="D870" s="304"/>
      <c r="E870" s="103">
        <v>0</v>
      </c>
      <c r="F870" s="104">
        <v>0</v>
      </c>
      <c r="G870" s="103">
        <v>0</v>
      </c>
      <c r="H870" s="103">
        <v>0</v>
      </c>
      <c r="I870" s="104"/>
      <c r="J870" s="103"/>
      <c r="K870" s="103"/>
      <c r="L870" s="103"/>
      <c r="M870" s="103">
        <v>0</v>
      </c>
      <c r="N870" s="103"/>
      <c r="O870" s="103">
        <v>0</v>
      </c>
      <c r="P870" s="103">
        <v>0</v>
      </c>
      <c r="Q870" s="272"/>
      <c r="R870" s="103"/>
      <c r="S870" s="103">
        <v>0</v>
      </c>
      <c r="T870" s="103"/>
      <c r="U870" s="103"/>
      <c r="V870" s="668"/>
      <c r="W870" s="97"/>
      <c r="X870" s="97">
        <f t="shared" si="13"/>
        <v>0</v>
      </c>
      <c r="Y870" s="97"/>
      <c r="AC870" s="103"/>
    </row>
    <row r="871" spans="1:29" ht="15.95" customHeight="1" x14ac:dyDescent="0.2">
      <c r="A871" s="665"/>
      <c r="B871" s="42">
        <v>2009</v>
      </c>
      <c r="C871" s="149" t="s">
        <v>412</v>
      </c>
      <c r="D871" s="303">
        <v>24</v>
      </c>
      <c r="E871" s="100">
        <v>1</v>
      </c>
      <c r="F871" s="101">
        <v>4.6946972000000002</v>
      </c>
      <c r="G871" s="100">
        <v>3.3232323232323235</v>
      </c>
      <c r="H871" s="100">
        <v>42</v>
      </c>
      <c r="I871" s="101"/>
      <c r="J871" s="100"/>
      <c r="K871" s="100"/>
      <c r="L871" s="100"/>
      <c r="M871" s="100">
        <v>3</v>
      </c>
      <c r="N871" s="100"/>
      <c r="O871" s="100">
        <v>0</v>
      </c>
      <c r="P871" s="100">
        <v>0</v>
      </c>
      <c r="Q871" s="271"/>
      <c r="R871" s="100"/>
      <c r="S871" s="100">
        <v>5</v>
      </c>
      <c r="T871" s="100"/>
      <c r="U871" s="100"/>
      <c r="V871" s="666"/>
      <c r="W871" s="100"/>
      <c r="X871" s="97">
        <f t="shared" si="13"/>
        <v>0</v>
      </c>
      <c r="Y871" s="97"/>
      <c r="AC871" s="100"/>
    </row>
    <row r="872" spans="1:29" ht="15.95" customHeight="1" x14ac:dyDescent="0.2">
      <c r="A872" s="665"/>
      <c r="B872" s="43"/>
      <c r="C872" s="149" t="s">
        <v>413</v>
      </c>
      <c r="D872" s="303">
        <v>24</v>
      </c>
      <c r="E872" s="100">
        <v>0</v>
      </c>
      <c r="F872" s="101">
        <v>0</v>
      </c>
      <c r="G872" s="100">
        <v>0</v>
      </c>
      <c r="H872" s="100">
        <v>0</v>
      </c>
      <c r="I872" s="101"/>
      <c r="J872" s="100"/>
      <c r="K872" s="100"/>
      <c r="L872" s="100"/>
      <c r="M872" s="100">
        <v>0</v>
      </c>
      <c r="N872" s="100"/>
      <c r="O872" s="100">
        <v>0</v>
      </c>
      <c r="P872" s="100">
        <v>0</v>
      </c>
      <c r="Q872" s="271"/>
      <c r="R872" s="100"/>
      <c r="S872" s="100">
        <v>0</v>
      </c>
      <c r="T872" s="100"/>
      <c r="U872" s="100"/>
      <c r="V872" s="666"/>
      <c r="W872" s="97"/>
      <c r="X872" s="97">
        <f t="shared" si="13"/>
        <v>0</v>
      </c>
      <c r="Y872" s="97"/>
      <c r="AC872" s="100"/>
    </row>
    <row r="873" spans="1:29" ht="15.95" customHeight="1" thickBot="1" x14ac:dyDescent="0.25">
      <c r="A873" s="669"/>
      <c r="B873" s="45"/>
      <c r="C873" s="151" t="s">
        <v>414</v>
      </c>
      <c r="D873" s="305">
        <v>18</v>
      </c>
      <c r="E873" s="105">
        <v>0</v>
      </c>
      <c r="F873" s="106">
        <v>0</v>
      </c>
      <c r="G873" s="105">
        <v>1.443001443001443E-3</v>
      </c>
      <c r="H873" s="105">
        <v>0</v>
      </c>
      <c r="I873" s="106"/>
      <c r="J873" s="105"/>
      <c r="K873" s="105"/>
      <c r="L873" s="105"/>
      <c r="M873" s="105">
        <v>7</v>
      </c>
      <c r="N873" s="105"/>
      <c r="O873" s="105">
        <v>0</v>
      </c>
      <c r="P873" s="105">
        <v>0</v>
      </c>
      <c r="Q873" s="273"/>
      <c r="R873" s="105"/>
      <c r="S873" s="105">
        <v>0</v>
      </c>
      <c r="T873" s="105"/>
      <c r="U873" s="105"/>
      <c r="V873" s="670"/>
      <c r="W873" s="97"/>
      <c r="X873" s="97">
        <f t="shared" si="13"/>
        <v>0</v>
      </c>
      <c r="Y873" s="97">
        <f>+IF((AC873-ROUND(AC873,-3)&gt;400)*AND(AC873-ROUND(AC873,-3)&lt;500),1,0)</f>
        <v>0</v>
      </c>
      <c r="AC873" s="105"/>
    </row>
    <row r="874" spans="1:29" ht="15.95" customHeight="1" thickTop="1" x14ac:dyDescent="0.2">
      <c r="A874" s="665" t="s">
        <v>231</v>
      </c>
      <c r="B874" s="42">
        <v>2008</v>
      </c>
      <c r="C874" s="148" t="s">
        <v>289</v>
      </c>
      <c r="D874" s="303">
        <v>421</v>
      </c>
      <c r="E874" s="100">
        <v>27</v>
      </c>
      <c r="F874" s="101">
        <v>107.97819880000002</v>
      </c>
      <c r="G874" s="100">
        <v>68.600858369098717</v>
      </c>
      <c r="H874" s="100">
        <v>37</v>
      </c>
      <c r="I874" s="101">
        <v>74</v>
      </c>
      <c r="J874" s="100">
        <v>8434</v>
      </c>
      <c r="K874" s="100">
        <v>142</v>
      </c>
      <c r="L874" s="100">
        <v>117</v>
      </c>
      <c r="M874" s="100">
        <v>73</v>
      </c>
      <c r="N874" s="100"/>
      <c r="O874" s="100">
        <v>3</v>
      </c>
      <c r="P874" s="100">
        <v>4</v>
      </c>
      <c r="Q874" s="271">
        <v>36.222999999999999</v>
      </c>
      <c r="R874" s="100">
        <v>84</v>
      </c>
      <c r="S874" s="100">
        <v>107</v>
      </c>
      <c r="T874" s="100">
        <v>5</v>
      </c>
      <c r="U874" s="100">
        <v>11</v>
      </c>
      <c r="V874" s="666">
        <v>144.23035714285714</v>
      </c>
      <c r="W874" s="97"/>
      <c r="X874" s="97">
        <f t="shared" si="13"/>
        <v>11</v>
      </c>
      <c r="Y874" s="97"/>
      <c r="AC874" s="100">
        <v>11385.597082953509</v>
      </c>
    </row>
    <row r="875" spans="1:29" ht="15.95" customHeight="1" x14ac:dyDescent="0.2">
      <c r="A875" s="665"/>
      <c r="B875" s="43"/>
      <c r="C875" s="149" t="s">
        <v>290</v>
      </c>
      <c r="D875" s="303">
        <v>421</v>
      </c>
      <c r="E875" s="100">
        <v>10</v>
      </c>
      <c r="F875" s="101">
        <v>107.9781988</v>
      </c>
      <c r="G875" s="100">
        <v>64.494992846924177</v>
      </c>
      <c r="H875" s="100">
        <v>37</v>
      </c>
      <c r="I875" s="101">
        <f>74-10</f>
        <v>64</v>
      </c>
      <c r="J875" s="100">
        <v>8434</v>
      </c>
      <c r="K875" s="100">
        <v>142</v>
      </c>
      <c r="L875" s="100">
        <v>96</v>
      </c>
      <c r="M875" s="100">
        <v>0</v>
      </c>
      <c r="N875" s="100">
        <v>8</v>
      </c>
      <c r="O875" s="100">
        <v>3</v>
      </c>
      <c r="P875" s="100">
        <v>4</v>
      </c>
      <c r="Q875" s="271"/>
      <c r="R875" s="100">
        <v>78</v>
      </c>
      <c r="S875" s="100">
        <v>107</v>
      </c>
      <c r="T875" s="100">
        <v>5</v>
      </c>
      <c r="U875" s="100">
        <v>11</v>
      </c>
      <c r="V875" s="666">
        <v>70.535714285714278</v>
      </c>
      <c r="W875" s="97"/>
      <c r="X875" s="97">
        <f t="shared" si="13"/>
        <v>11</v>
      </c>
      <c r="Y875" s="97"/>
      <c r="AC875" s="100">
        <v>11385.597082953509</v>
      </c>
    </row>
    <row r="876" spans="1:29" ht="15.95" customHeight="1" x14ac:dyDescent="0.2">
      <c r="A876" s="667"/>
      <c r="B876" s="44"/>
      <c r="C876" s="150" t="s">
        <v>291</v>
      </c>
      <c r="D876" s="304"/>
      <c r="E876" s="103">
        <v>7</v>
      </c>
      <c r="F876" s="104">
        <v>0</v>
      </c>
      <c r="G876" s="103">
        <v>22.260371959942777</v>
      </c>
      <c r="H876" s="103">
        <v>0</v>
      </c>
      <c r="I876" s="104"/>
      <c r="J876" s="103">
        <v>0</v>
      </c>
      <c r="K876" s="103"/>
      <c r="L876" s="103">
        <v>61</v>
      </c>
      <c r="M876" s="103">
        <v>44</v>
      </c>
      <c r="N876" s="103"/>
      <c r="O876" s="103">
        <v>6</v>
      </c>
      <c r="P876" s="103">
        <v>3</v>
      </c>
      <c r="Q876" s="272">
        <v>26.122</v>
      </c>
      <c r="R876" s="103">
        <v>0</v>
      </c>
      <c r="S876" s="103">
        <v>49</v>
      </c>
      <c r="T876" s="103">
        <v>0</v>
      </c>
      <c r="U876" s="103">
        <v>0</v>
      </c>
      <c r="V876" s="668">
        <v>0</v>
      </c>
      <c r="W876" s="97"/>
      <c r="X876" s="97">
        <f t="shared" si="13"/>
        <v>0</v>
      </c>
      <c r="Y876" s="97"/>
      <c r="AC876" s="103">
        <v>0</v>
      </c>
    </row>
    <row r="877" spans="1:29" ht="15.95" customHeight="1" x14ac:dyDescent="0.2">
      <c r="A877" s="665"/>
      <c r="B877" s="42">
        <v>2009</v>
      </c>
      <c r="C877" s="149" t="s">
        <v>412</v>
      </c>
      <c r="D877" s="303">
        <v>560</v>
      </c>
      <c r="E877" s="100">
        <v>28</v>
      </c>
      <c r="F877" s="101">
        <v>107.97819880000002</v>
      </c>
      <c r="G877" s="100">
        <v>72.5988455988456</v>
      </c>
      <c r="H877" s="100">
        <v>42</v>
      </c>
      <c r="I877" s="101">
        <v>74</v>
      </c>
      <c r="J877" s="100">
        <v>7724</v>
      </c>
      <c r="K877" s="100">
        <v>142</v>
      </c>
      <c r="L877" s="100">
        <f>234-L874</f>
        <v>117</v>
      </c>
      <c r="M877" s="100">
        <v>73</v>
      </c>
      <c r="N877" s="100"/>
      <c r="O877" s="100">
        <v>3</v>
      </c>
      <c r="P877" s="100">
        <v>4</v>
      </c>
      <c r="Q877" s="102">
        <v>34.332999999999998</v>
      </c>
      <c r="R877" s="100">
        <v>86</v>
      </c>
      <c r="S877" s="100">
        <v>107</v>
      </c>
      <c r="T877" s="100">
        <v>6</v>
      </c>
      <c r="U877" s="100">
        <v>12</v>
      </c>
      <c r="V877" s="666">
        <v>142.39910714285713</v>
      </c>
      <c r="W877" s="100"/>
      <c r="X877" s="97">
        <f t="shared" si="13"/>
        <v>12</v>
      </c>
      <c r="Y877" s="97"/>
      <c r="AC877" s="100">
        <v>12477.52247752248</v>
      </c>
    </row>
    <row r="878" spans="1:29" ht="15.95" customHeight="1" x14ac:dyDescent="0.2">
      <c r="A878" s="665"/>
      <c r="B878" s="43"/>
      <c r="C878" s="149" t="s">
        <v>413</v>
      </c>
      <c r="D878" s="303">
        <v>446</v>
      </c>
      <c r="E878" s="100">
        <v>21</v>
      </c>
      <c r="F878" s="101">
        <v>107.9781988</v>
      </c>
      <c r="G878" s="100">
        <v>72.5988455988456</v>
      </c>
      <c r="H878" s="100">
        <v>42</v>
      </c>
      <c r="I878" s="101">
        <v>53</v>
      </c>
      <c r="J878" s="100">
        <v>7724</v>
      </c>
      <c r="K878" s="100">
        <v>142</v>
      </c>
      <c r="L878" s="100">
        <v>117</v>
      </c>
      <c r="M878" s="100">
        <v>0</v>
      </c>
      <c r="N878" s="100">
        <v>8</v>
      </c>
      <c r="O878" s="100">
        <v>3</v>
      </c>
      <c r="P878" s="100">
        <v>4</v>
      </c>
      <c r="Q878" s="102">
        <v>10.936</v>
      </c>
      <c r="R878" s="100">
        <v>86</v>
      </c>
      <c r="S878" s="100">
        <v>107</v>
      </c>
      <c r="T878" s="100">
        <v>6</v>
      </c>
      <c r="U878" s="100">
        <v>12</v>
      </c>
      <c r="V878" s="666">
        <v>142</v>
      </c>
      <c r="W878" s="97"/>
      <c r="X878" s="97">
        <f t="shared" si="13"/>
        <v>12</v>
      </c>
      <c r="Y878" s="97"/>
      <c r="AC878" s="100">
        <v>12477.52247752248</v>
      </c>
    </row>
    <row r="879" spans="1:29" ht="15.95" customHeight="1" thickBot="1" x14ac:dyDescent="0.25">
      <c r="A879" s="669"/>
      <c r="B879" s="45"/>
      <c r="C879" s="151" t="s">
        <v>414</v>
      </c>
      <c r="D879" s="305"/>
      <c r="E879" s="105">
        <v>17</v>
      </c>
      <c r="F879" s="106">
        <v>0</v>
      </c>
      <c r="G879" s="105">
        <v>4.141414141414141</v>
      </c>
      <c r="H879" s="105">
        <v>0</v>
      </c>
      <c r="I879" s="106">
        <v>10</v>
      </c>
      <c r="J879" s="105">
        <v>0</v>
      </c>
      <c r="K879" s="105"/>
      <c r="L879" s="105">
        <v>21</v>
      </c>
      <c r="M879" s="105">
        <v>56</v>
      </c>
      <c r="N879" s="105"/>
      <c r="O879" s="105">
        <v>0</v>
      </c>
      <c r="P879" s="105">
        <v>0</v>
      </c>
      <c r="Q879" s="273">
        <v>58.055999999999997</v>
      </c>
      <c r="R879" s="105">
        <v>6</v>
      </c>
      <c r="S879" s="105">
        <v>0</v>
      </c>
      <c r="T879" s="105">
        <v>0</v>
      </c>
      <c r="U879" s="105">
        <v>0</v>
      </c>
      <c r="V879" s="670">
        <v>0</v>
      </c>
      <c r="W879" s="97"/>
      <c r="X879" s="97">
        <f t="shared" si="13"/>
        <v>0</v>
      </c>
      <c r="Y879" s="97">
        <f>+IF((AC879-ROUND(AC879,-3)&gt;400)*AND(AC879-ROUND(AC879,-3)&lt;500),1,0)</f>
        <v>0</v>
      </c>
      <c r="AC879" s="105">
        <v>0</v>
      </c>
    </row>
    <row r="880" spans="1:29" ht="15.95" customHeight="1" thickTop="1" x14ac:dyDescent="0.2">
      <c r="A880" s="665" t="s">
        <v>232</v>
      </c>
      <c r="B880" s="42">
        <v>2008</v>
      </c>
      <c r="C880" s="148" t="s">
        <v>289</v>
      </c>
      <c r="D880" s="303">
        <v>37</v>
      </c>
      <c r="E880" s="100">
        <v>2</v>
      </c>
      <c r="F880" s="101">
        <v>9.3894079999999995</v>
      </c>
      <c r="G880" s="100">
        <v>0</v>
      </c>
      <c r="H880" s="100">
        <v>37</v>
      </c>
      <c r="I880" s="101">
        <v>6</v>
      </c>
      <c r="J880" s="100">
        <v>11</v>
      </c>
      <c r="K880" s="100">
        <v>71</v>
      </c>
      <c r="L880" s="100"/>
      <c r="M880" s="100">
        <v>6</v>
      </c>
      <c r="N880" s="100"/>
      <c r="O880" s="100">
        <v>0</v>
      </c>
      <c r="P880" s="100">
        <v>0</v>
      </c>
      <c r="Q880" s="271">
        <v>3.395</v>
      </c>
      <c r="R880" s="100">
        <v>35</v>
      </c>
      <c r="S880" s="100">
        <v>9</v>
      </c>
      <c r="T880" s="100">
        <v>3</v>
      </c>
      <c r="U880" s="100">
        <v>11</v>
      </c>
      <c r="V880" s="666">
        <v>39.574107142857137</v>
      </c>
      <c r="W880" s="97"/>
      <c r="X880" s="97">
        <f t="shared" si="13"/>
        <v>11</v>
      </c>
      <c r="Y880" s="97"/>
      <c r="AC880" s="100">
        <v>11385.597082953509</v>
      </c>
    </row>
    <row r="881" spans="1:29" ht="15.95" customHeight="1" x14ac:dyDescent="0.2">
      <c r="A881" s="665"/>
      <c r="B881" s="43"/>
      <c r="C881" s="149" t="s">
        <v>290</v>
      </c>
      <c r="D881" s="303">
        <v>37</v>
      </c>
      <c r="E881" s="100">
        <v>0</v>
      </c>
      <c r="F881" s="101">
        <v>9.3894079999999995</v>
      </c>
      <c r="G881" s="100">
        <v>0</v>
      </c>
      <c r="H881" s="100">
        <v>0</v>
      </c>
      <c r="I881" s="101"/>
      <c r="J881" s="100">
        <v>11</v>
      </c>
      <c r="K881" s="100">
        <v>71</v>
      </c>
      <c r="L881" s="100"/>
      <c r="M881" s="100">
        <v>0</v>
      </c>
      <c r="N881" s="100"/>
      <c r="O881" s="100">
        <v>0</v>
      </c>
      <c r="P881" s="100">
        <v>0</v>
      </c>
      <c r="Q881" s="271"/>
      <c r="R881" s="100">
        <v>8</v>
      </c>
      <c r="S881" s="100">
        <v>0</v>
      </c>
      <c r="T881" s="100">
        <v>0</v>
      </c>
      <c r="U881" s="100">
        <v>2</v>
      </c>
      <c r="V881" s="666">
        <v>0</v>
      </c>
      <c r="W881" s="97"/>
      <c r="X881" s="97">
        <f>+ROUNDDOWN(AC881/1000,0)</f>
        <v>2</v>
      </c>
      <c r="Y881" s="97"/>
      <c r="AC881" s="100">
        <v>2529.872379216044</v>
      </c>
    </row>
    <row r="882" spans="1:29" ht="15.95" customHeight="1" x14ac:dyDescent="0.2">
      <c r="A882" s="667"/>
      <c r="B882" s="44"/>
      <c r="C882" s="150" t="s">
        <v>291</v>
      </c>
      <c r="D882" s="304">
        <v>90</v>
      </c>
      <c r="E882" s="103">
        <v>0</v>
      </c>
      <c r="F882" s="104">
        <v>0</v>
      </c>
      <c r="G882" s="103">
        <v>0</v>
      </c>
      <c r="H882" s="103">
        <v>30</v>
      </c>
      <c r="I882" s="104"/>
      <c r="J882" s="103">
        <v>0</v>
      </c>
      <c r="K882" s="103"/>
      <c r="L882" s="103"/>
      <c r="M882" s="103">
        <v>0</v>
      </c>
      <c r="N882" s="103"/>
      <c r="O882" s="103">
        <v>0</v>
      </c>
      <c r="P882" s="103">
        <v>0</v>
      </c>
      <c r="Q882" s="272">
        <v>0.45400000000000001</v>
      </c>
      <c r="R882" s="103">
        <v>0</v>
      </c>
      <c r="S882" s="103">
        <v>13</v>
      </c>
      <c r="T882" s="103">
        <v>0</v>
      </c>
      <c r="U882" s="103">
        <v>9</v>
      </c>
      <c r="V882" s="668">
        <v>0</v>
      </c>
      <c r="W882" s="97"/>
      <c r="X882" s="97">
        <f t="shared" si="13"/>
        <v>9</v>
      </c>
      <c r="Y882" s="97"/>
      <c r="AC882" s="103">
        <v>8855.7247037374655</v>
      </c>
    </row>
    <row r="883" spans="1:29" ht="15.95" customHeight="1" x14ac:dyDescent="0.2">
      <c r="A883" s="665"/>
      <c r="B883" s="42">
        <v>2009</v>
      </c>
      <c r="C883" s="149" t="s">
        <v>412</v>
      </c>
      <c r="D883" s="303">
        <v>49</v>
      </c>
      <c r="E883" s="100">
        <v>2</v>
      </c>
      <c r="F883" s="101">
        <v>9.3894079999999995</v>
      </c>
      <c r="G883" s="100">
        <v>0</v>
      </c>
      <c r="H883" s="100">
        <v>42</v>
      </c>
      <c r="I883" s="101">
        <v>6</v>
      </c>
      <c r="J883" s="100">
        <v>10</v>
      </c>
      <c r="K883" s="100">
        <v>71</v>
      </c>
      <c r="L883" s="100"/>
      <c r="M883" s="100">
        <v>6</v>
      </c>
      <c r="N883" s="100"/>
      <c r="O883" s="100">
        <v>0</v>
      </c>
      <c r="P883" s="100">
        <v>0</v>
      </c>
      <c r="Q883" s="102">
        <v>3.218</v>
      </c>
      <c r="R883" s="100">
        <v>36</v>
      </c>
      <c r="S883" s="100">
        <v>9</v>
      </c>
      <c r="T883" s="100">
        <v>3</v>
      </c>
      <c r="U883" s="100">
        <v>12</v>
      </c>
      <c r="V883" s="666">
        <v>34.153571428571425</v>
      </c>
      <c r="W883" s="100"/>
      <c r="X883" s="97">
        <f t="shared" si="13"/>
        <v>12</v>
      </c>
      <c r="Y883" s="97"/>
      <c r="AC883" s="100">
        <v>12477.52247752248</v>
      </c>
    </row>
    <row r="884" spans="1:29" ht="15.95" customHeight="1" x14ac:dyDescent="0.2">
      <c r="A884" s="665"/>
      <c r="B884" s="43"/>
      <c r="C884" s="149" t="s">
        <v>413</v>
      </c>
      <c r="D884" s="303">
        <v>4</v>
      </c>
      <c r="E884" s="100">
        <v>0</v>
      </c>
      <c r="F884" s="101">
        <v>9.3894079999999995</v>
      </c>
      <c r="G884" s="100">
        <v>0</v>
      </c>
      <c r="H884" s="100">
        <v>0</v>
      </c>
      <c r="I884" s="101"/>
      <c r="J884" s="100">
        <v>10</v>
      </c>
      <c r="K884" s="100">
        <v>71</v>
      </c>
      <c r="L884" s="100"/>
      <c r="M884" s="100">
        <v>4</v>
      </c>
      <c r="N884" s="100"/>
      <c r="O884" s="100">
        <v>0</v>
      </c>
      <c r="P884" s="100">
        <v>0</v>
      </c>
      <c r="Q884" s="271"/>
      <c r="R884" s="100">
        <v>0</v>
      </c>
      <c r="S884" s="100">
        <v>0</v>
      </c>
      <c r="T884" s="100">
        <v>0</v>
      </c>
      <c r="U884" s="100">
        <v>0</v>
      </c>
      <c r="V884" s="666">
        <v>0</v>
      </c>
      <c r="W884" s="97"/>
      <c r="X884" s="97">
        <f t="shared" si="13"/>
        <v>0</v>
      </c>
      <c r="Y884" s="97"/>
      <c r="AC884" s="100">
        <v>0</v>
      </c>
    </row>
    <row r="885" spans="1:29" ht="15.95" customHeight="1" thickBot="1" x14ac:dyDescent="0.25">
      <c r="A885" s="669"/>
      <c r="B885" s="45"/>
      <c r="C885" s="151" t="s">
        <v>414</v>
      </c>
      <c r="D885" s="305"/>
      <c r="E885" s="105">
        <v>0</v>
      </c>
      <c r="F885" s="106">
        <v>0</v>
      </c>
      <c r="G885" s="105">
        <v>0</v>
      </c>
      <c r="H885" s="105">
        <v>0</v>
      </c>
      <c r="I885" s="106"/>
      <c r="J885" s="105">
        <v>0</v>
      </c>
      <c r="K885" s="105"/>
      <c r="L885" s="105"/>
      <c r="M885" s="105">
        <v>24</v>
      </c>
      <c r="N885" s="105"/>
      <c r="O885" s="105">
        <v>0</v>
      </c>
      <c r="P885" s="105">
        <v>0</v>
      </c>
      <c r="Q885" s="273">
        <v>0.16800000000000001</v>
      </c>
      <c r="R885" s="105">
        <v>0</v>
      </c>
      <c r="S885" s="105">
        <v>0</v>
      </c>
      <c r="T885" s="105">
        <v>0</v>
      </c>
      <c r="U885" s="105">
        <v>0</v>
      </c>
      <c r="V885" s="670">
        <v>0</v>
      </c>
      <c r="W885" s="97"/>
      <c r="X885" s="97">
        <f t="shared" si="13"/>
        <v>0</v>
      </c>
      <c r="Y885" s="97">
        <f>+IF((AC885-ROUND(AC885,-3)&gt;400)*AND(AC885-ROUND(AC885,-3)&lt;500),1,0)</f>
        <v>0</v>
      </c>
      <c r="AC885" s="105">
        <v>0</v>
      </c>
    </row>
    <row r="886" spans="1:29" ht="15.95" customHeight="1" thickTop="1" x14ac:dyDescent="0.2">
      <c r="A886" s="665" t="s">
        <v>233</v>
      </c>
      <c r="B886" s="42">
        <v>2008</v>
      </c>
      <c r="C886" s="148" t="s">
        <v>289</v>
      </c>
      <c r="D886" s="303">
        <v>91</v>
      </c>
      <c r="E886" s="100">
        <v>6</v>
      </c>
      <c r="F886" s="101">
        <v>23.473526799999998</v>
      </c>
      <c r="G886" s="100">
        <v>15.801144492131618</v>
      </c>
      <c r="H886" s="100">
        <v>37</v>
      </c>
      <c r="I886" s="101">
        <v>16</v>
      </c>
      <c r="J886" s="100">
        <v>8</v>
      </c>
      <c r="K886" s="100">
        <v>71</v>
      </c>
      <c r="L886" s="100">
        <v>162</v>
      </c>
      <c r="M886" s="100">
        <v>16</v>
      </c>
      <c r="N886" s="100"/>
      <c r="O886" s="100">
        <v>1</v>
      </c>
      <c r="P886" s="100">
        <v>1</v>
      </c>
      <c r="Q886" s="271">
        <v>7.9240000000000004</v>
      </c>
      <c r="R886" s="100">
        <v>52</v>
      </c>
      <c r="S886" s="100">
        <v>23</v>
      </c>
      <c r="T886" s="100">
        <v>3</v>
      </c>
      <c r="U886" s="100">
        <v>11</v>
      </c>
      <c r="V886" s="666">
        <v>50.828571428571422</v>
      </c>
      <c r="W886" s="97"/>
      <c r="X886" s="97">
        <f t="shared" si="13"/>
        <v>11</v>
      </c>
      <c r="Y886" s="97"/>
      <c r="AC886" s="100">
        <v>11385.597082953509</v>
      </c>
    </row>
    <row r="887" spans="1:29" ht="15.95" customHeight="1" x14ac:dyDescent="0.2">
      <c r="A887" s="665"/>
      <c r="B887" s="43"/>
      <c r="C887" s="149" t="s">
        <v>290</v>
      </c>
      <c r="D887" s="303">
        <v>91</v>
      </c>
      <c r="E887" s="100">
        <v>0</v>
      </c>
      <c r="F887" s="101">
        <v>10.84745</v>
      </c>
      <c r="G887" s="100">
        <v>0</v>
      </c>
      <c r="H887" s="100">
        <v>37</v>
      </c>
      <c r="I887" s="101">
        <v>16</v>
      </c>
      <c r="J887" s="100">
        <v>5</v>
      </c>
      <c r="K887" s="100">
        <v>71</v>
      </c>
      <c r="L887" s="100">
        <v>161</v>
      </c>
      <c r="M887" s="100">
        <v>16</v>
      </c>
      <c r="N887" s="100"/>
      <c r="O887" s="100">
        <v>0</v>
      </c>
      <c r="P887" s="100">
        <v>0</v>
      </c>
      <c r="Q887" s="271">
        <v>7.9240000000000004</v>
      </c>
      <c r="R887" s="100">
        <v>0</v>
      </c>
      <c r="S887" s="100">
        <v>23</v>
      </c>
      <c r="T887" s="100">
        <v>3</v>
      </c>
      <c r="U887" s="100">
        <v>11</v>
      </c>
      <c r="V887" s="666">
        <v>0</v>
      </c>
      <c r="W887" s="97"/>
      <c r="X887" s="97">
        <f t="shared" si="13"/>
        <v>11</v>
      </c>
      <c r="Y887" s="97"/>
      <c r="AC887" s="100">
        <v>11385.597082953509</v>
      </c>
    </row>
    <row r="888" spans="1:29" ht="15.95" customHeight="1" x14ac:dyDescent="0.2">
      <c r="A888" s="667"/>
      <c r="B888" s="44"/>
      <c r="C888" s="150" t="s">
        <v>291</v>
      </c>
      <c r="D888" s="304">
        <v>177</v>
      </c>
      <c r="E888" s="103">
        <v>0</v>
      </c>
      <c r="F888" s="104">
        <v>35.926546399999999</v>
      </c>
      <c r="G888" s="103">
        <v>1.5221745350500717</v>
      </c>
      <c r="H888" s="103">
        <v>0</v>
      </c>
      <c r="I888" s="104">
        <v>35</v>
      </c>
      <c r="J888" s="103">
        <v>11</v>
      </c>
      <c r="K888" s="103"/>
      <c r="L888" s="103">
        <v>37</v>
      </c>
      <c r="M888" s="103">
        <v>32</v>
      </c>
      <c r="N888" s="103">
        <v>12</v>
      </c>
      <c r="O888" s="103">
        <v>0</v>
      </c>
      <c r="P888" s="103">
        <v>0</v>
      </c>
      <c r="Q888" s="272">
        <v>36.078000000000003</v>
      </c>
      <c r="R888" s="103">
        <v>43</v>
      </c>
      <c r="S888" s="103">
        <v>0</v>
      </c>
      <c r="T888" s="103">
        <v>0</v>
      </c>
      <c r="U888" s="103">
        <v>11</v>
      </c>
      <c r="V888" s="668">
        <v>168.18181818181816</v>
      </c>
      <c r="W888" s="97"/>
      <c r="X888" s="97">
        <f t="shared" si="13"/>
        <v>11</v>
      </c>
      <c r="Y888" s="97"/>
      <c r="AC888" s="103">
        <v>11385.597082953509</v>
      </c>
    </row>
    <row r="889" spans="1:29" ht="15.95" customHeight="1" x14ac:dyDescent="0.2">
      <c r="A889" s="665"/>
      <c r="B889" s="42">
        <v>2009</v>
      </c>
      <c r="C889" s="149" t="s">
        <v>412</v>
      </c>
      <c r="D889" s="303">
        <v>122</v>
      </c>
      <c r="E889" s="100">
        <v>6</v>
      </c>
      <c r="F889" s="101">
        <v>23.473526799999998</v>
      </c>
      <c r="G889" s="100">
        <v>16.419913419913421</v>
      </c>
      <c r="H889" s="100">
        <v>42</v>
      </c>
      <c r="I889" s="101">
        <v>16</v>
      </c>
      <c r="J889" s="100">
        <v>7</v>
      </c>
      <c r="K889" s="100">
        <v>71</v>
      </c>
      <c r="L889" s="100">
        <f>324-L886</f>
        <v>162</v>
      </c>
      <c r="M889" s="100">
        <v>16</v>
      </c>
      <c r="N889" s="100"/>
      <c r="O889" s="100">
        <v>1</v>
      </c>
      <c r="P889" s="100">
        <v>1</v>
      </c>
      <c r="Q889" s="102">
        <v>7.5110000000000001</v>
      </c>
      <c r="R889" s="100">
        <v>43</v>
      </c>
      <c r="S889" s="100">
        <v>23</v>
      </c>
      <c r="T889" s="100">
        <v>3</v>
      </c>
      <c r="U889" s="100">
        <v>12</v>
      </c>
      <c r="V889" s="666">
        <v>55.766071428571422</v>
      </c>
      <c r="W889" s="100"/>
      <c r="X889" s="97">
        <f t="shared" si="13"/>
        <v>12</v>
      </c>
      <c r="Y889" s="97"/>
      <c r="AC889" s="100">
        <v>12477.52247752248</v>
      </c>
    </row>
    <row r="890" spans="1:29" ht="15.95" customHeight="1" x14ac:dyDescent="0.2">
      <c r="A890" s="665"/>
      <c r="B890" s="43"/>
      <c r="C890" s="149" t="s">
        <v>413</v>
      </c>
      <c r="D890" s="303">
        <v>122</v>
      </c>
      <c r="E890" s="100">
        <v>0</v>
      </c>
      <c r="F890" s="101">
        <v>0</v>
      </c>
      <c r="G890" s="100">
        <v>0</v>
      </c>
      <c r="H890" s="100">
        <v>42</v>
      </c>
      <c r="I890" s="101">
        <v>16</v>
      </c>
      <c r="J890" s="100">
        <v>7</v>
      </c>
      <c r="K890" s="100">
        <v>71</v>
      </c>
      <c r="L890" s="100">
        <v>162</v>
      </c>
      <c r="M890" s="100">
        <v>16</v>
      </c>
      <c r="N890" s="100">
        <v>1</v>
      </c>
      <c r="O890" s="100">
        <v>0</v>
      </c>
      <c r="P890" s="100">
        <v>0</v>
      </c>
      <c r="Q890" s="102">
        <v>7.5110000000000001</v>
      </c>
      <c r="R890" s="100">
        <v>43</v>
      </c>
      <c r="S890" s="100">
        <v>23</v>
      </c>
      <c r="T890" s="100">
        <v>3</v>
      </c>
      <c r="U890" s="100">
        <v>12</v>
      </c>
      <c r="V890" s="666">
        <v>56</v>
      </c>
      <c r="W890" s="97"/>
      <c r="X890" s="97">
        <f t="shared" si="13"/>
        <v>12</v>
      </c>
      <c r="Y890" s="97"/>
      <c r="AC890" s="100">
        <v>12477.52247752248</v>
      </c>
    </row>
    <row r="891" spans="1:29" ht="15.95" customHeight="1" thickBot="1" x14ac:dyDescent="0.25">
      <c r="A891" s="669"/>
      <c r="B891" s="45"/>
      <c r="C891" s="151" t="s">
        <v>414</v>
      </c>
      <c r="D891" s="305"/>
      <c r="E891" s="105">
        <v>0</v>
      </c>
      <c r="F891" s="106">
        <v>55.862748000000003</v>
      </c>
      <c r="G891" s="105">
        <v>0</v>
      </c>
      <c r="H891" s="105">
        <v>0</v>
      </c>
      <c r="I891" s="106">
        <v>35</v>
      </c>
      <c r="J891" s="105">
        <v>3</v>
      </c>
      <c r="K891" s="105"/>
      <c r="L891" s="105">
        <v>0.5</v>
      </c>
      <c r="M891" s="105">
        <v>0</v>
      </c>
      <c r="N891" s="105">
        <v>88</v>
      </c>
      <c r="O891" s="105">
        <v>0</v>
      </c>
      <c r="P891" s="105">
        <v>0</v>
      </c>
      <c r="Q891" s="273"/>
      <c r="R891" s="105">
        <v>65</v>
      </c>
      <c r="S891" s="105">
        <v>0</v>
      </c>
      <c r="T891" s="105">
        <v>0</v>
      </c>
      <c r="U891" s="105">
        <v>0</v>
      </c>
      <c r="V891" s="670">
        <v>0</v>
      </c>
      <c r="W891" s="97"/>
      <c r="X891" s="97">
        <f t="shared" si="13"/>
        <v>0</v>
      </c>
      <c r="Y891" s="97">
        <f>+IF((AC891-ROUND(AC891,-3)&gt;400)*AND(AC891-ROUND(AC891,-3)&lt;500),1,0)</f>
        <v>0</v>
      </c>
      <c r="AC891" s="105">
        <v>0</v>
      </c>
    </row>
    <row r="892" spans="1:29" ht="15.95" customHeight="1" thickTop="1" x14ac:dyDescent="0.2">
      <c r="A892" s="665" t="s">
        <v>234</v>
      </c>
      <c r="B892" s="42">
        <v>2008</v>
      </c>
      <c r="C892" s="148" t="s">
        <v>289</v>
      </c>
      <c r="D892" s="303">
        <v>1427</v>
      </c>
      <c r="E892" s="100">
        <v>92</v>
      </c>
      <c r="F892" s="101">
        <v>366.18691200000001</v>
      </c>
      <c r="G892" s="100">
        <v>236.99713876967098</v>
      </c>
      <c r="H892" s="100">
        <v>61</v>
      </c>
      <c r="I892" s="101">
        <v>250</v>
      </c>
      <c r="J892" s="100">
        <v>32</v>
      </c>
      <c r="K892" s="100">
        <v>71</v>
      </c>
      <c r="L892" s="100">
        <v>369</v>
      </c>
      <c r="M892" s="100">
        <v>246</v>
      </c>
      <c r="N892" s="100"/>
      <c r="O892" s="100">
        <v>9</v>
      </c>
      <c r="P892" s="100">
        <v>12</v>
      </c>
      <c r="Q892" s="271">
        <v>122.249</v>
      </c>
      <c r="R892" s="100">
        <v>84</v>
      </c>
      <c r="S892" s="100">
        <v>362</v>
      </c>
      <c r="T892" s="100">
        <v>5</v>
      </c>
      <c r="U892" s="100">
        <v>46</v>
      </c>
      <c r="V892" s="666">
        <v>201.72589285714284</v>
      </c>
      <c r="W892" s="97"/>
      <c r="X892" s="97">
        <f t="shared" si="13"/>
        <v>46</v>
      </c>
      <c r="Y892" s="97"/>
      <c r="AC892" s="100">
        <v>45542.388331814036</v>
      </c>
    </row>
    <row r="893" spans="1:29" ht="15.95" customHeight="1" x14ac:dyDescent="0.2">
      <c r="A893" s="665"/>
      <c r="B893" s="43"/>
      <c r="C893" s="149" t="s">
        <v>290</v>
      </c>
      <c r="D893" s="303">
        <v>1427</v>
      </c>
      <c r="E893" s="100">
        <v>0</v>
      </c>
      <c r="F893" s="101">
        <v>0</v>
      </c>
      <c r="G893" s="100">
        <v>0</v>
      </c>
      <c r="H893" s="100">
        <v>60</v>
      </c>
      <c r="I893" s="101">
        <v>18</v>
      </c>
      <c r="J893" s="100">
        <v>2</v>
      </c>
      <c r="K893" s="100">
        <v>71</v>
      </c>
      <c r="L893" s="100">
        <v>0</v>
      </c>
      <c r="M893" s="100">
        <v>239</v>
      </c>
      <c r="N893" s="100">
        <v>200</v>
      </c>
      <c r="O893" s="100">
        <v>0</v>
      </c>
      <c r="P893" s="100">
        <v>0</v>
      </c>
      <c r="Q893" s="271"/>
      <c r="R893" s="100">
        <v>84</v>
      </c>
      <c r="S893" s="100">
        <v>0</v>
      </c>
      <c r="T893" s="100">
        <v>5</v>
      </c>
      <c r="U893" s="100">
        <v>0</v>
      </c>
      <c r="V893" s="666">
        <v>0</v>
      </c>
      <c r="W893" s="97"/>
      <c r="X893" s="97">
        <f t="shared" si="13"/>
        <v>0</v>
      </c>
      <c r="Y893" s="97"/>
      <c r="AC893" s="100">
        <v>0</v>
      </c>
    </row>
    <row r="894" spans="1:29" ht="15.95" customHeight="1" x14ac:dyDescent="0.2">
      <c r="A894" s="667"/>
      <c r="B894" s="44"/>
      <c r="C894" s="150" t="s">
        <v>291</v>
      </c>
      <c r="D894" s="304"/>
      <c r="E894" s="103">
        <v>0</v>
      </c>
      <c r="F894" s="104">
        <v>340.26764120000001</v>
      </c>
      <c r="G894" s="103">
        <v>334.74535050071529</v>
      </c>
      <c r="H894" s="103">
        <v>0</v>
      </c>
      <c r="I894" s="104">
        <v>248</v>
      </c>
      <c r="J894" s="103">
        <v>0</v>
      </c>
      <c r="K894" s="103"/>
      <c r="L894" s="103">
        <v>600</v>
      </c>
      <c r="M894" s="259">
        <v>181</v>
      </c>
      <c r="N894" s="103"/>
      <c r="O894" s="103">
        <v>0</v>
      </c>
      <c r="P894" s="103">
        <v>0</v>
      </c>
      <c r="Q894" s="272">
        <v>43.564999999999998</v>
      </c>
      <c r="R894" s="103">
        <v>21</v>
      </c>
      <c r="S894" s="103">
        <v>323</v>
      </c>
      <c r="T894" s="103">
        <v>12</v>
      </c>
      <c r="U894" s="103">
        <v>68</v>
      </c>
      <c r="V894" s="668">
        <v>100.90909090909091</v>
      </c>
      <c r="W894" s="97"/>
      <c r="X894" s="97">
        <f t="shared" si="13"/>
        <v>68</v>
      </c>
      <c r="Y894" s="97"/>
      <c r="AC894" s="103">
        <v>68061.221513217868</v>
      </c>
    </row>
    <row r="895" spans="1:29" ht="15.95" customHeight="1" x14ac:dyDescent="0.2">
      <c r="A895" s="665"/>
      <c r="B895" s="42">
        <v>2009</v>
      </c>
      <c r="C895" s="149" t="s">
        <v>412</v>
      </c>
      <c r="D895" s="303">
        <f>1900+1</f>
        <v>1901</v>
      </c>
      <c r="E895" s="100">
        <v>95</v>
      </c>
      <c r="F895" s="101">
        <v>366.18691200000001</v>
      </c>
      <c r="G895" s="100">
        <v>246.29437229437232</v>
      </c>
      <c r="H895" s="100">
        <v>71</v>
      </c>
      <c r="I895" s="101">
        <v>250</v>
      </c>
      <c r="J895" s="100">
        <v>29</v>
      </c>
      <c r="K895" s="100">
        <v>71</v>
      </c>
      <c r="L895" s="100">
        <f>738-L892</f>
        <v>369</v>
      </c>
      <c r="M895" s="100">
        <v>246</v>
      </c>
      <c r="N895" s="100"/>
      <c r="O895" s="100">
        <v>9</v>
      </c>
      <c r="P895" s="100">
        <v>12</v>
      </c>
      <c r="Q895" s="102">
        <v>115.873</v>
      </c>
      <c r="R895" s="100">
        <v>86</v>
      </c>
      <c r="S895" s="100">
        <v>362</v>
      </c>
      <c r="T895" s="100">
        <v>6</v>
      </c>
      <c r="U895" s="100">
        <v>51</v>
      </c>
      <c r="V895" s="666">
        <v>223.06428571428569</v>
      </c>
      <c r="W895" s="100"/>
      <c r="X895" s="97">
        <f>+ROUNDUP(AC895/1000+0.5,0)</f>
        <v>51</v>
      </c>
      <c r="Y895" s="97"/>
      <c r="AC895" s="100">
        <v>49910.089910089919</v>
      </c>
    </row>
    <row r="896" spans="1:29" ht="15.95" customHeight="1" x14ac:dyDescent="0.2">
      <c r="A896" s="665"/>
      <c r="B896" s="43"/>
      <c r="C896" s="149" t="s">
        <v>413</v>
      </c>
      <c r="D896" s="303">
        <v>1774</v>
      </c>
      <c r="E896" s="100">
        <v>0</v>
      </c>
      <c r="F896" s="101">
        <v>0</v>
      </c>
      <c r="G896" s="100">
        <v>0</v>
      </c>
      <c r="H896" s="100">
        <v>71</v>
      </c>
      <c r="I896" s="101"/>
      <c r="J896" s="100">
        <v>11</v>
      </c>
      <c r="K896" s="100">
        <v>71</v>
      </c>
      <c r="L896" s="100">
        <v>174</v>
      </c>
      <c r="M896" s="100">
        <v>235</v>
      </c>
      <c r="N896" s="100"/>
      <c r="O896" s="100">
        <v>0</v>
      </c>
      <c r="P896" s="100">
        <v>0</v>
      </c>
      <c r="Q896" s="102">
        <v>7.0000000000000001E-3</v>
      </c>
      <c r="R896" s="100">
        <v>86</v>
      </c>
      <c r="S896" s="100">
        <v>0</v>
      </c>
      <c r="T896" s="100">
        <v>6</v>
      </c>
      <c r="U896" s="100">
        <v>0</v>
      </c>
      <c r="V896" s="666">
        <v>0</v>
      </c>
      <c r="W896" s="97"/>
      <c r="X896" s="97">
        <f t="shared" ref="X896:X958" si="14">+ROUND(AC896/1000,0)</f>
        <v>0</v>
      </c>
      <c r="Y896" s="97"/>
      <c r="AC896" s="100">
        <v>0</v>
      </c>
    </row>
    <row r="897" spans="1:29" ht="15.95" customHeight="1" thickBot="1" x14ac:dyDescent="0.25">
      <c r="A897" s="669"/>
      <c r="B897" s="45"/>
      <c r="C897" s="151" t="s">
        <v>414</v>
      </c>
      <c r="D897" s="305"/>
      <c r="E897" s="105">
        <v>0</v>
      </c>
      <c r="F897" s="106">
        <v>50</v>
      </c>
      <c r="G897" s="105">
        <v>0</v>
      </c>
      <c r="H897" s="105">
        <v>2</v>
      </c>
      <c r="I897" s="106"/>
      <c r="J897" s="105">
        <v>26</v>
      </c>
      <c r="K897" s="105"/>
      <c r="L897" s="105">
        <v>476</v>
      </c>
      <c r="M897" s="105">
        <v>7</v>
      </c>
      <c r="N897" s="105"/>
      <c r="O897" s="105">
        <v>0</v>
      </c>
      <c r="P897" s="105">
        <v>0</v>
      </c>
      <c r="Q897" s="273">
        <v>225.66200000000001</v>
      </c>
      <c r="R897" s="105">
        <v>21</v>
      </c>
      <c r="S897" s="105">
        <v>306</v>
      </c>
      <c r="T897" s="105">
        <v>0</v>
      </c>
      <c r="U897" s="105">
        <v>0</v>
      </c>
      <c r="V897" s="670">
        <v>158</v>
      </c>
      <c r="W897" s="97"/>
      <c r="X897" s="97">
        <f t="shared" si="14"/>
        <v>0</v>
      </c>
      <c r="Y897" s="97">
        <f>+IF((AC897-ROUND(AC897,-3)&gt;400)*AND(AC897-ROUND(AC897,-3)&lt;500),1,0)</f>
        <v>0</v>
      </c>
      <c r="AC897" s="105">
        <v>0</v>
      </c>
    </row>
    <row r="898" spans="1:29" ht="15.95" customHeight="1" thickTop="1" x14ac:dyDescent="0.2">
      <c r="A898" s="665" t="s">
        <v>235</v>
      </c>
      <c r="B898" s="42">
        <v>2008</v>
      </c>
      <c r="C898" s="148" t="s">
        <v>289</v>
      </c>
      <c r="D898" s="303">
        <v>1427</v>
      </c>
      <c r="E898" s="100">
        <v>94</v>
      </c>
      <c r="F898" s="101">
        <v>366.18691200000001</v>
      </c>
      <c r="G898" s="100">
        <v>234.54506437768242</v>
      </c>
      <c r="H898" s="100">
        <v>110</v>
      </c>
      <c r="I898" s="101">
        <v>250</v>
      </c>
      <c r="J898" s="100">
        <v>286</v>
      </c>
      <c r="K898" s="100">
        <v>142</v>
      </c>
      <c r="L898" s="100"/>
      <c r="M898" s="100">
        <v>246</v>
      </c>
      <c r="N898" s="100"/>
      <c r="O898" s="100">
        <v>9</v>
      </c>
      <c r="P898" s="100">
        <v>12</v>
      </c>
      <c r="Q898" s="271">
        <v>122.249</v>
      </c>
      <c r="R898" s="100">
        <v>90</v>
      </c>
      <c r="S898" s="100">
        <v>362</v>
      </c>
      <c r="T898" s="100">
        <v>5</v>
      </c>
      <c r="U898" s="100">
        <v>46</v>
      </c>
      <c r="V898" s="666">
        <v>740.19107142857138</v>
      </c>
      <c r="W898" s="97"/>
      <c r="X898" s="97">
        <f t="shared" si="14"/>
        <v>46</v>
      </c>
      <c r="Y898" s="97"/>
      <c r="AC898" s="100">
        <v>45542.388331814036</v>
      </c>
    </row>
    <row r="899" spans="1:29" ht="15.95" customHeight="1" x14ac:dyDescent="0.2">
      <c r="A899" s="665"/>
      <c r="B899" s="43"/>
      <c r="C899" s="149" t="s">
        <v>290</v>
      </c>
      <c r="D899" s="303">
        <v>1427</v>
      </c>
      <c r="E899" s="100">
        <v>94</v>
      </c>
      <c r="F899" s="101">
        <v>169.22022000000001</v>
      </c>
      <c r="G899" s="100">
        <v>234.54506437768242</v>
      </c>
      <c r="H899" s="100">
        <v>110</v>
      </c>
      <c r="I899" s="101">
        <v>250</v>
      </c>
      <c r="J899" s="100">
        <v>286</v>
      </c>
      <c r="K899" s="100">
        <v>142</v>
      </c>
      <c r="L899" s="100"/>
      <c r="M899" s="100">
        <v>246</v>
      </c>
      <c r="N899" s="100"/>
      <c r="O899" s="100">
        <v>9</v>
      </c>
      <c r="P899" s="100">
        <v>12</v>
      </c>
      <c r="Q899" s="271">
        <v>122.249</v>
      </c>
      <c r="R899" s="100">
        <v>90</v>
      </c>
      <c r="S899" s="100">
        <v>362</v>
      </c>
      <c r="T899" s="100">
        <v>1</v>
      </c>
      <c r="U899" s="100">
        <v>14</v>
      </c>
      <c r="V899" s="666">
        <v>740.17857142857133</v>
      </c>
      <c r="W899" s="97"/>
      <c r="X899" s="97">
        <f>+ROUNDDOWN(AC899/1000-0.5,0)</f>
        <v>14</v>
      </c>
      <c r="Y899" s="97"/>
      <c r="AC899" s="100">
        <v>15249.006381039198</v>
      </c>
    </row>
    <row r="900" spans="1:29" ht="15.95" customHeight="1" x14ac:dyDescent="0.2">
      <c r="A900" s="667"/>
      <c r="B900" s="44"/>
      <c r="C900" s="150" t="s">
        <v>291</v>
      </c>
      <c r="D900" s="304">
        <v>569</v>
      </c>
      <c r="E900" s="103">
        <v>44</v>
      </c>
      <c r="F900" s="104">
        <v>593.10785919999989</v>
      </c>
      <c r="G900" s="103">
        <v>241.68669527896998</v>
      </c>
      <c r="H900" s="103">
        <v>0</v>
      </c>
      <c r="I900" s="104">
        <v>161</v>
      </c>
      <c r="J900" s="103">
        <v>0</v>
      </c>
      <c r="K900" s="103"/>
      <c r="L900" s="103"/>
      <c r="M900" s="103">
        <v>0</v>
      </c>
      <c r="N900" s="103"/>
      <c r="O900" s="103">
        <v>12</v>
      </c>
      <c r="P900" s="103">
        <v>0</v>
      </c>
      <c r="Q900" s="272">
        <v>63.043999999999997</v>
      </c>
      <c r="R900" s="103">
        <v>0</v>
      </c>
      <c r="S900" s="103">
        <v>8</v>
      </c>
      <c r="T900" s="103">
        <v>0</v>
      </c>
      <c r="U900" s="103">
        <v>0</v>
      </c>
      <c r="V900" s="668">
        <v>197.27272727272725</v>
      </c>
      <c r="W900" s="97"/>
      <c r="X900" s="97">
        <f t="shared" si="14"/>
        <v>0</v>
      </c>
      <c r="Y900" s="97"/>
      <c r="AC900" s="103">
        <v>0</v>
      </c>
    </row>
    <row r="901" spans="1:29" ht="15.95" customHeight="1" x14ac:dyDescent="0.2">
      <c r="A901" s="665"/>
      <c r="B901" s="42">
        <v>2009</v>
      </c>
      <c r="C901" s="149" t="s">
        <v>412</v>
      </c>
      <c r="D901" s="303">
        <v>1900</v>
      </c>
      <c r="E901" s="100">
        <v>91</v>
      </c>
      <c r="F901" s="101">
        <v>366.18691200000001</v>
      </c>
      <c r="G901" s="100">
        <v>249.6046176046176</v>
      </c>
      <c r="H901" s="100">
        <v>121</v>
      </c>
      <c r="I901" s="101">
        <v>250</v>
      </c>
      <c r="J901" s="100">
        <v>233</v>
      </c>
      <c r="K901" s="100">
        <v>142</v>
      </c>
      <c r="L901" s="100"/>
      <c r="M901" s="100">
        <v>246</v>
      </c>
      <c r="N901" s="100"/>
      <c r="O901" s="100">
        <v>9</v>
      </c>
      <c r="P901" s="100">
        <v>12</v>
      </c>
      <c r="Q901" s="102">
        <v>115.873</v>
      </c>
      <c r="R901" s="100">
        <v>86</v>
      </c>
      <c r="S901" s="100">
        <v>362</v>
      </c>
      <c r="T901" s="100">
        <v>6</v>
      </c>
      <c r="U901" s="100">
        <v>51</v>
      </c>
      <c r="V901" s="666">
        <v>718.36785714285713</v>
      </c>
      <c r="W901" s="100"/>
      <c r="X901" s="97">
        <f>+ROUNDUP(AC901/1000+0.5,0)</f>
        <v>51</v>
      </c>
      <c r="Y901" s="97"/>
      <c r="AC901" s="100">
        <v>49910.089910089919</v>
      </c>
    </row>
    <row r="902" spans="1:29" ht="15.95" customHeight="1" x14ac:dyDescent="0.2">
      <c r="A902" s="665"/>
      <c r="B902" s="43"/>
      <c r="C902" s="149" t="s">
        <v>413</v>
      </c>
      <c r="D902" s="303">
        <v>1900</v>
      </c>
      <c r="E902" s="100">
        <v>91</v>
      </c>
      <c r="F902" s="101">
        <v>360.78227200000003</v>
      </c>
      <c r="G902" s="100">
        <v>249.6046176046176</v>
      </c>
      <c r="H902" s="100">
        <v>109</v>
      </c>
      <c r="I902" s="101">
        <v>250</v>
      </c>
      <c r="J902" s="100">
        <v>233</v>
      </c>
      <c r="K902" s="100">
        <v>142</v>
      </c>
      <c r="L902" s="100"/>
      <c r="M902" s="100">
        <v>236</v>
      </c>
      <c r="N902" s="100">
        <v>176</v>
      </c>
      <c r="O902" s="100">
        <v>9</v>
      </c>
      <c r="P902" s="100">
        <v>12</v>
      </c>
      <c r="Q902" s="102">
        <v>115.873</v>
      </c>
      <c r="R902" s="100">
        <v>80</v>
      </c>
      <c r="S902" s="100">
        <v>362</v>
      </c>
      <c r="T902" s="100">
        <v>4</v>
      </c>
      <c r="U902" s="100">
        <v>51</v>
      </c>
      <c r="V902" s="666">
        <v>718</v>
      </c>
      <c r="W902" s="97"/>
      <c r="X902" s="97">
        <f>+ROUNDUP(AC902/1000+0.5,0)</f>
        <v>51</v>
      </c>
      <c r="Y902" s="97"/>
      <c r="AC902" s="100">
        <v>49910.089910089919</v>
      </c>
    </row>
    <row r="903" spans="1:29" ht="15.95" customHeight="1" thickBot="1" x14ac:dyDescent="0.25">
      <c r="A903" s="669"/>
      <c r="B903" s="45"/>
      <c r="C903" s="151" t="s">
        <v>414</v>
      </c>
      <c r="D903" s="305"/>
      <c r="E903" s="105">
        <v>0</v>
      </c>
      <c r="F903" s="106">
        <v>350.2878968</v>
      </c>
      <c r="G903" s="105">
        <v>0</v>
      </c>
      <c r="H903" s="105">
        <v>0</v>
      </c>
      <c r="I903" s="106"/>
      <c r="J903" s="105">
        <v>0</v>
      </c>
      <c r="K903" s="105"/>
      <c r="L903" s="105"/>
      <c r="M903" s="105">
        <v>0</v>
      </c>
      <c r="N903" s="105"/>
      <c r="O903" s="105">
        <v>0</v>
      </c>
      <c r="P903" s="105">
        <v>0</v>
      </c>
      <c r="Q903" s="273"/>
      <c r="R903" s="105">
        <v>0</v>
      </c>
      <c r="S903" s="105">
        <v>0</v>
      </c>
      <c r="T903" s="105">
        <v>6</v>
      </c>
      <c r="U903" s="105">
        <v>33</v>
      </c>
      <c r="V903" s="670">
        <v>0</v>
      </c>
      <c r="W903" s="97"/>
      <c r="X903" s="97">
        <f t="shared" si="14"/>
        <v>33</v>
      </c>
      <c r="Y903" s="97">
        <f>+IF((AC903-ROUND(AC903,-3)&gt;400)*AND(AC903-ROUND(AC903,-3)&lt;500),1,0)</f>
        <v>0</v>
      </c>
      <c r="AC903" s="105">
        <v>33198.641358641362</v>
      </c>
    </row>
    <row r="904" spans="1:29" ht="15.95" customHeight="1" thickTop="1" x14ac:dyDescent="0.2">
      <c r="A904" s="665" t="s">
        <v>236</v>
      </c>
      <c r="B904" s="42">
        <v>2008</v>
      </c>
      <c r="C904" s="148" t="s">
        <v>289</v>
      </c>
      <c r="D904" s="303">
        <v>9163</v>
      </c>
      <c r="E904" s="100">
        <v>602</v>
      </c>
      <c r="F904" s="101">
        <v>2366.1308160000003</v>
      </c>
      <c r="G904" s="100">
        <v>1519.4206008583692</v>
      </c>
      <c r="H904" s="100">
        <v>256</v>
      </c>
      <c r="I904" s="101">
        <v>1608</v>
      </c>
      <c r="J904" s="100">
        <v>49</v>
      </c>
      <c r="K904" s="100">
        <v>284</v>
      </c>
      <c r="L904" s="100"/>
      <c r="M904" s="100">
        <v>1581</v>
      </c>
      <c r="N904" s="100"/>
      <c r="O904" s="100">
        <v>58</v>
      </c>
      <c r="P904" s="100">
        <v>77</v>
      </c>
      <c r="Q904" s="271">
        <v>787.83199999999999</v>
      </c>
      <c r="R904" s="100">
        <v>210</v>
      </c>
      <c r="S904" s="100">
        <v>2327</v>
      </c>
      <c r="T904" s="100">
        <v>131</v>
      </c>
      <c r="U904" s="100">
        <v>280</v>
      </c>
      <c r="V904" s="666">
        <v>1350.0901785714286</v>
      </c>
      <c r="W904" s="97"/>
      <c r="X904" s="97">
        <f>+ROUNDUP(AC904/1000+0.5,0)</f>
        <v>280</v>
      </c>
      <c r="Y904" s="97"/>
      <c r="AC904" s="100">
        <v>278947.12853236101</v>
      </c>
    </row>
    <row r="905" spans="1:29" ht="15.95" customHeight="1" x14ac:dyDescent="0.2">
      <c r="A905" s="665"/>
      <c r="B905" s="43"/>
      <c r="C905" s="149" t="s">
        <v>290</v>
      </c>
      <c r="D905" s="303">
        <v>9163</v>
      </c>
      <c r="E905" s="100">
        <v>602</v>
      </c>
      <c r="F905" s="101">
        <v>2366.1308159999999</v>
      </c>
      <c r="G905" s="100">
        <v>1495.0758226037199</v>
      </c>
      <c r="H905" s="100">
        <v>256</v>
      </c>
      <c r="I905" s="101">
        <v>1608</v>
      </c>
      <c r="J905" s="100">
        <v>49</v>
      </c>
      <c r="K905" s="100">
        <v>284</v>
      </c>
      <c r="L905" s="100"/>
      <c r="M905" s="100">
        <v>1581</v>
      </c>
      <c r="N905" s="100"/>
      <c r="O905" s="100">
        <v>58</v>
      </c>
      <c r="P905" s="100">
        <v>77</v>
      </c>
      <c r="Q905" s="271">
        <v>787.83199999999999</v>
      </c>
      <c r="R905" s="100">
        <v>210</v>
      </c>
      <c r="S905" s="100">
        <v>2327</v>
      </c>
      <c r="T905" s="100">
        <v>131</v>
      </c>
      <c r="U905" s="100">
        <v>280</v>
      </c>
      <c r="V905" s="666">
        <v>1350</v>
      </c>
      <c r="W905" s="97"/>
      <c r="X905" s="97">
        <f>+ROUNDUP(AC905/1000+0.5,0)</f>
        <v>280</v>
      </c>
      <c r="Y905" s="97"/>
      <c r="AC905" s="100">
        <v>278947.12853236101</v>
      </c>
    </row>
    <row r="906" spans="1:29" ht="15.95" customHeight="1" x14ac:dyDescent="0.2">
      <c r="A906" s="667"/>
      <c r="B906" s="44"/>
      <c r="C906" s="150" t="s">
        <v>291</v>
      </c>
      <c r="D906" s="304"/>
      <c r="E906" s="103">
        <v>0</v>
      </c>
      <c r="F906" s="104">
        <v>0</v>
      </c>
      <c r="G906" s="103">
        <v>0</v>
      </c>
      <c r="H906" s="103">
        <v>0</v>
      </c>
      <c r="I906" s="104"/>
      <c r="J906" s="103">
        <v>0</v>
      </c>
      <c r="K906" s="103"/>
      <c r="L906" s="103"/>
      <c r="M906" s="103">
        <v>0</v>
      </c>
      <c r="N906" s="103"/>
      <c r="O906" s="103">
        <v>0</v>
      </c>
      <c r="P906" s="103">
        <v>0</v>
      </c>
      <c r="Q906" s="272"/>
      <c r="R906" s="103">
        <v>0</v>
      </c>
      <c r="S906" s="103">
        <v>0</v>
      </c>
      <c r="T906" s="103">
        <v>0</v>
      </c>
      <c r="U906" s="103">
        <v>0</v>
      </c>
      <c r="V906" s="668">
        <v>0</v>
      </c>
      <c r="W906" s="97"/>
      <c r="X906" s="97">
        <f t="shared" si="14"/>
        <v>0</v>
      </c>
      <c r="Y906" s="97"/>
      <c r="AC906" s="103">
        <v>0</v>
      </c>
    </row>
    <row r="907" spans="1:29" ht="15.95" customHeight="1" x14ac:dyDescent="0.2">
      <c r="A907" s="665"/>
      <c r="B907" s="42">
        <v>2009</v>
      </c>
      <c r="C907" s="149" t="s">
        <v>412</v>
      </c>
      <c r="D907" s="303">
        <v>12206</v>
      </c>
      <c r="E907" s="100">
        <v>583</v>
      </c>
      <c r="F907" s="101">
        <v>2366.1308160000003</v>
      </c>
      <c r="G907" s="100">
        <v>1606.4848484848487</v>
      </c>
      <c r="H907" s="100">
        <v>293</v>
      </c>
      <c r="I907" s="101">
        <v>1608</v>
      </c>
      <c r="J907" s="100">
        <v>43</v>
      </c>
      <c r="K907" s="100">
        <v>284</v>
      </c>
      <c r="L907" s="100"/>
      <c r="M907" s="100">
        <v>1581</v>
      </c>
      <c r="N907" s="100"/>
      <c r="O907" s="100">
        <v>58</v>
      </c>
      <c r="P907" s="100">
        <v>77</v>
      </c>
      <c r="Q907" s="102">
        <v>746.74099999999999</v>
      </c>
      <c r="R907" s="100">
        <v>215</v>
      </c>
      <c r="S907" s="100">
        <v>2327</v>
      </c>
      <c r="T907" s="100">
        <v>133</v>
      </c>
      <c r="U907" s="100">
        <v>306</v>
      </c>
      <c r="V907" s="666">
        <v>1474.6571428571426</v>
      </c>
      <c r="W907" s="100"/>
      <c r="X907" s="97">
        <f t="shared" si="14"/>
        <v>306</v>
      </c>
      <c r="Y907" s="97"/>
      <c r="AC907" s="100">
        <v>305699.30069930071</v>
      </c>
    </row>
    <row r="908" spans="1:29" ht="15.95" customHeight="1" x14ac:dyDescent="0.2">
      <c r="A908" s="665"/>
      <c r="B908" s="43"/>
      <c r="C908" s="149" t="s">
        <v>413</v>
      </c>
      <c r="D908" s="303">
        <v>12206</v>
      </c>
      <c r="E908" s="100">
        <v>583</v>
      </c>
      <c r="F908" s="101">
        <v>1370.7987679999999</v>
      </c>
      <c r="G908" s="100">
        <v>1606.4848484848487</v>
      </c>
      <c r="H908" s="100">
        <v>293</v>
      </c>
      <c r="I908" s="101">
        <v>1608</v>
      </c>
      <c r="J908" s="100">
        <v>43</v>
      </c>
      <c r="K908" s="100">
        <v>284</v>
      </c>
      <c r="L908" s="100"/>
      <c r="M908" s="100">
        <v>1581</v>
      </c>
      <c r="N908" s="100"/>
      <c r="O908" s="100">
        <v>58</v>
      </c>
      <c r="P908" s="100">
        <v>77</v>
      </c>
      <c r="Q908" s="102">
        <v>746.74099999999999</v>
      </c>
      <c r="R908" s="100">
        <v>215</v>
      </c>
      <c r="S908" s="100">
        <v>2327</v>
      </c>
      <c r="T908" s="100">
        <v>133</v>
      </c>
      <c r="U908" s="100">
        <v>306</v>
      </c>
      <c r="V908" s="666">
        <v>1475</v>
      </c>
      <c r="W908" s="97"/>
      <c r="X908" s="97">
        <f t="shared" si="14"/>
        <v>306</v>
      </c>
      <c r="Y908" s="97"/>
      <c r="AC908" s="100">
        <v>305699.30069930071</v>
      </c>
    </row>
    <row r="909" spans="1:29" ht="15.95" customHeight="1" thickBot="1" x14ac:dyDescent="0.25">
      <c r="A909" s="669"/>
      <c r="B909" s="45"/>
      <c r="C909" s="151" t="s">
        <v>414</v>
      </c>
      <c r="D909" s="305"/>
      <c r="E909" s="105">
        <v>0</v>
      </c>
      <c r="F909" s="106">
        <v>0</v>
      </c>
      <c r="G909" s="105">
        <v>0</v>
      </c>
      <c r="H909" s="105">
        <v>0</v>
      </c>
      <c r="I909" s="106"/>
      <c r="J909" s="105">
        <v>0</v>
      </c>
      <c r="K909" s="105"/>
      <c r="L909" s="105"/>
      <c r="M909" s="105">
        <v>0</v>
      </c>
      <c r="N909" s="105"/>
      <c r="O909" s="105">
        <v>0</v>
      </c>
      <c r="P909" s="105">
        <v>0</v>
      </c>
      <c r="Q909" s="273"/>
      <c r="R909" s="105">
        <v>0</v>
      </c>
      <c r="S909" s="105">
        <v>0</v>
      </c>
      <c r="T909" s="105">
        <v>0</v>
      </c>
      <c r="U909" s="105">
        <v>0</v>
      </c>
      <c r="V909" s="670">
        <v>0</v>
      </c>
      <c r="W909" s="97"/>
      <c r="X909" s="97">
        <f t="shared" si="14"/>
        <v>0</v>
      </c>
      <c r="Y909" s="97">
        <f>+IF((AC909-ROUND(AC909,-3)&gt;400)*AND(AC909-ROUND(AC909,-3)&lt;500),1,0)</f>
        <v>0</v>
      </c>
      <c r="AC909" s="105">
        <v>0</v>
      </c>
    </row>
    <row r="910" spans="1:29" ht="15.95" customHeight="1" thickTop="1" x14ac:dyDescent="0.2">
      <c r="A910" s="665" t="s">
        <v>237</v>
      </c>
      <c r="B910" s="42">
        <v>2008</v>
      </c>
      <c r="C910" s="148" t="s">
        <v>289</v>
      </c>
      <c r="D910" s="303">
        <v>9639</v>
      </c>
      <c r="E910" s="100">
        <v>633</v>
      </c>
      <c r="F910" s="101">
        <v>2488.1931199999999</v>
      </c>
      <c r="G910" s="100">
        <v>1729.0057224606583</v>
      </c>
      <c r="H910" s="100">
        <v>286</v>
      </c>
      <c r="I910" s="101">
        <v>1691</v>
      </c>
      <c r="J910" s="100">
        <v>100</v>
      </c>
      <c r="K910" s="100">
        <v>568</v>
      </c>
      <c r="L910" s="100"/>
      <c r="M910" s="100">
        <v>1663</v>
      </c>
      <c r="N910" s="100"/>
      <c r="O910" s="100">
        <v>61</v>
      </c>
      <c r="P910" s="100">
        <v>81</v>
      </c>
      <c r="Q910" s="271">
        <v>828.58100000000002</v>
      </c>
      <c r="R910" s="100">
        <v>266</v>
      </c>
      <c r="S910" s="100">
        <v>2464</v>
      </c>
      <c r="T910" s="100">
        <v>327</v>
      </c>
      <c r="U910" s="100">
        <v>297</v>
      </c>
      <c r="V910" s="666">
        <v>842.51874999999995</v>
      </c>
      <c r="W910" s="97"/>
      <c r="X910" s="97">
        <f>+ROUNDUP(AC910/1000,0)</f>
        <v>297</v>
      </c>
      <c r="Y910" s="97"/>
      <c r="AC910" s="100">
        <v>296025.52415679127</v>
      </c>
    </row>
    <row r="911" spans="1:29" ht="15.95" customHeight="1" x14ac:dyDescent="0.2">
      <c r="A911" s="665"/>
      <c r="B911" s="43"/>
      <c r="C911" s="149" t="s">
        <v>290</v>
      </c>
      <c r="D911" s="303">
        <v>9639</v>
      </c>
      <c r="E911" s="100">
        <v>633</v>
      </c>
      <c r="F911" s="101">
        <v>2488.1931199999999</v>
      </c>
      <c r="G911" s="100">
        <v>1707.7854077253221</v>
      </c>
      <c r="H911" s="100">
        <v>286</v>
      </c>
      <c r="I911" s="101">
        <v>1691</v>
      </c>
      <c r="J911" s="100">
        <v>100</v>
      </c>
      <c r="K911" s="100">
        <v>568</v>
      </c>
      <c r="L911" s="100"/>
      <c r="M911" s="100">
        <v>1663</v>
      </c>
      <c r="N911" s="100">
        <v>461</v>
      </c>
      <c r="O911" s="100">
        <v>61</v>
      </c>
      <c r="P911" s="100">
        <v>81</v>
      </c>
      <c r="Q911" s="271">
        <v>828.58100000000002</v>
      </c>
      <c r="R911" s="100">
        <v>266</v>
      </c>
      <c r="S911" s="100">
        <v>2464</v>
      </c>
      <c r="T911" s="100">
        <v>327</v>
      </c>
      <c r="U911" s="100">
        <v>297</v>
      </c>
      <c r="V911" s="666">
        <v>842.85714285714278</v>
      </c>
      <c r="W911" s="97"/>
      <c r="X911" s="97">
        <f>+ROUNDUP(AC911/1000,0)</f>
        <v>297</v>
      </c>
      <c r="Y911" s="97"/>
      <c r="AC911" s="100">
        <v>296025.52415679127</v>
      </c>
    </row>
    <row r="912" spans="1:29" ht="15.95" customHeight="1" x14ac:dyDescent="0.2">
      <c r="A912" s="667"/>
      <c r="B912" s="44"/>
      <c r="C912" s="150" t="s">
        <v>291</v>
      </c>
      <c r="D912" s="304"/>
      <c r="E912" s="103">
        <v>0</v>
      </c>
      <c r="F912" s="104">
        <v>0</v>
      </c>
      <c r="G912" s="103">
        <v>0</v>
      </c>
      <c r="H912" s="103">
        <v>0</v>
      </c>
      <c r="I912" s="104"/>
      <c r="J912" s="103">
        <v>0</v>
      </c>
      <c r="K912" s="103"/>
      <c r="L912" s="103"/>
      <c r="M912" s="103">
        <v>0</v>
      </c>
      <c r="N912" s="103"/>
      <c r="O912" s="103">
        <v>61</v>
      </c>
      <c r="P912" s="103">
        <v>23</v>
      </c>
      <c r="Q912" s="272"/>
      <c r="R912" s="103">
        <v>0</v>
      </c>
      <c r="S912" s="103">
        <v>0</v>
      </c>
      <c r="T912" s="103">
        <v>0</v>
      </c>
      <c r="U912" s="103">
        <v>0</v>
      </c>
      <c r="V912" s="668">
        <v>0</v>
      </c>
      <c r="W912" s="97"/>
      <c r="X912" s="97">
        <f t="shared" si="14"/>
        <v>0</v>
      </c>
      <c r="Y912" s="97"/>
      <c r="AC912" s="103">
        <v>0</v>
      </c>
    </row>
    <row r="913" spans="1:29" ht="15.95" customHeight="1" x14ac:dyDescent="0.2">
      <c r="A913" s="665"/>
      <c r="B913" s="42">
        <v>2009</v>
      </c>
      <c r="C913" s="149" t="s">
        <v>412</v>
      </c>
      <c r="D913" s="303">
        <v>12839</v>
      </c>
      <c r="E913" s="100">
        <v>612</v>
      </c>
      <c r="F913" s="101">
        <v>2488.1931199999999</v>
      </c>
      <c r="G913" s="100">
        <v>1877.9610389610391</v>
      </c>
      <c r="H913" s="100">
        <v>321</v>
      </c>
      <c r="I913" s="101">
        <v>1691</v>
      </c>
      <c r="J913" s="100">
        <v>84</v>
      </c>
      <c r="K913" s="100">
        <v>568</v>
      </c>
      <c r="L913" s="100"/>
      <c r="M913" s="100">
        <v>1663</v>
      </c>
      <c r="N913" s="100"/>
      <c r="O913" s="100">
        <v>61</v>
      </c>
      <c r="P913" s="100">
        <v>81</v>
      </c>
      <c r="Q913" s="102">
        <v>785.36500000000001</v>
      </c>
      <c r="R913" s="100">
        <v>272</v>
      </c>
      <c r="S913" s="100">
        <v>2464</v>
      </c>
      <c r="T913" s="100">
        <v>331</v>
      </c>
      <c r="U913" s="100">
        <v>325</v>
      </c>
      <c r="V913" s="666">
        <v>848.53035714285716</v>
      </c>
      <c r="W913" s="100"/>
      <c r="X913" s="97">
        <f>+ROUNDUP(AC913/1000,0)</f>
        <v>325</v>
      </c>
      <c r="Y913" s="97"/>
      <c r="AC913" s="100">
        <v>324415.58441558445</v>
      </c>
    </row>
    <row r="914" spans="1:29" ht="15.95" customHeight="1" x14ac:dyDescent="0.2">
      <c r="A914" s="665"/>
      <c r="B914" s="43"/>
      <c r="C914" s="149" t="s">
        <v>413</v>
      </c>
      <c r="D914" s="303">
        <v>12839</v>
      </c>
      <c r="E914" s="100">
        <v>612</v>
      </c>
      <c r="F914" s="101">
        <v>2488.1931199999999</v>
      </c>
      <c r="G914" s="100">
        <v>1877.9610389610391</v>
      </c>
      <c r="H914" s="100">
        <v>321</v>
      </c>
      <c r="I914" s="101">
        <v>1691</v>
      </c>
      <c r="J914" s="100">
        <v>84</v>
      </c>
      <c r="K914" s="100">
        <v>568</v>
      </c>
      <c r="L914" s="100"/>
      <c r="M914" s="100">
        <v>1663</v>
      </c>
      <c r="N914" s="100"/>
      <c r="O914" s="100">
        <v>61</v>
      </c>
      <c r="P914" s="100">
        <v>81</v>
      </c>
      <c r="Q914" s="102">
        <v>9.2430000000000003</v>
      </c>
      <c r="R914" s="100">
        <v>272</v>
      </c>
      <c r="S914" s="100">
        <v>2464</v>
      </c>
      <c r="T914" s="100">
        <v>331</v>
      </c>
      <c r="U914" s="100">
        <v>325</v>
      </c>
      <c r="V914" s="666">
        <v>849</v>
      </c>
      <c r="W914" s="97"/>
      <c r="X914" s="97">
        <f>+ROUNDUP(AC914/1000,0)</f>
        <v>325</v>
      </c>
      <c r="Y914" s="97"/>
      <c r="AC914" s="100">
        <v>324415.58441558445</v>
      </c>
    </row>
    <row r="915" spans="1:29" ht="15.95" customHeight="1" thickBot="1" x14ac:dyDescent="0.25">
      <c r="A915" s="669"/>
      <c r="B915" s="45"/>
      <c r="C915" s="151" t="s">
        <v>414</v>
      </c>
      <c r="D915" s="305"/>
      <c r="E915" s="105">
        <v>0</v>
      </c>
      <c r="F915" s="106">
        <v>0</v>
      </c>
      <c r="G915" s="105">
        <v>0</v>
      </c>
      <c r="H915" s="105">
        <v>0</v>
      </c>
      <c r="I915" s="106"/>
      <c r="J915" s="105">
        <v>0</v>
      </c>
      <c r="K915" s="105"/>
      <c r="L915" s="105"/>
      <c r="M915" s="105">
        <v>0</v>
      </c>
      <c r="N915" s="105"/>
      <c r="O915" s="105">
        <v>0</v>
      </c>
      <c r="P915" s="105">
        <v>0</v>
      </c>
      <c r="Q915" s="273"/>
      <c r="R915" s="105">
        <v>0</v>
      </c>
      <c r="S915" s="105">
        <v>0</v>
      </c>
      <c r="T915" s="105">
        <v>0</v>
      </c>
      <c r="U915" s="105">
        <v>0</v>
      </c>
      <c r="V915" s="670">
        <v>0</v>
      </c>
      <c r="W915" s="97"/>
      <c r="X915" s="97">
        <f t="shared" si="14"/>
        <v>0</v>
      </c>
      <c r="Y915" s="97">
        <f>+IF((AC915-ROUND(AC915,-3)&gt;400)*AND(AC915-ROUND(AC915,-3)&lt;500),1,0)</f>
        <v>0</v>
      </c>
      <c r="AC915" s="105">
        <v>0</v>
      </c>
    </row>
    <row r="916" spans="1:29" ht="15.95" customHeight="1" thickTop="1" x14ac:dyDescent="0.2">
      <c r="A916" s="665" t="s">
        <v>67</v>
      </c>
      <c r="B916" s="42">
        <v>2008</v>
      </c>
      <c r="C916" s="148" t="s">
        <v>289</v>
      </c>
      <c r="D916" s="303"/>
      <c r="E916" s="100"/>
      <c r="F916" s="101"/>
      <c r="G916" s="100"/>
      <c r="H916" s="100"/>
      <c r="I916" s="101"/>
      <c r="J916" s="100"/>
      <c r="K916" s="100"/>
      <c r="L916" s="100">
        <v>100</v>
      </c>
      <c r="M916" s="100"/>
      <c r="N916" s="100"/>
      <c r="O916" s="100"/>
      <c r="P916" s="100"/>
      <c r="Q916" s="271"/>
      <c r="R916" s="100">
        <v>32</v>
      </c>
      <c r="S916" s="100">
        <v>5</v>
      </c>
      <c r="T916" s="100"/>
      <c r="U916" s="100"/>
      <c r="V916" s="666"/>
      <c r="W916" s="97"/>
      <c r="X916" s="97">
        <f t="shared" si="14"/>
        <v>0</v>
      </c>
      <c r="Y916" s="97"/>
      <c r="AC916" s="100"/>
    </row>
    <row r="917" spans="1:29" ht="15.95" customHeight="1" x14ac:dyDescent="0.2">
      <c r="A917" s="665"/>
      <c r="B917" s="43"/>
      <c r="C917" s="149" t="s">
        <v>290</v>
      </c>
      <c r="D917" s="303"/>
      <c r="E917" s="100"/>
      <c r="F917" s="101"/>
      <c r="G917" s="100"/>
      <c r="H917" s="100"/>
      <c r="I917" s="101"/>
      <c r="J917" s="100"/>
      <c r="K917" s="100"/>
      <c r="L917" s="100">
        <v>0</v>
      </c>
      <c r="M917" s="100"/>
      <c r="N917" s="100"/>
      <c r="O917" s="100"/>
      <c r="P917" s="100"/>
      <c r="Q917" s="271"/>
      <c r="R917" s="100">
        <v>32</v>
      </c>
      <c r="S917" s="100">
        <v>0</v>
      </c>
      <c r="T917" s="100"/>
      <c r="U917" s="100"/>
      <c r="V917" s="666"/>
      <c r="W917" s="97"/>
      <c r="X917" s="97">
        <f t="shared" si="14"/>
        <v>0</v>
      </c>
      <c r="Y917" s="97"/>
      <c r="AC917" s="100"/>
    </row>
    <row r="918" spans="1:29" ht="15.95" customHeight="1" x14ac:dyDescent="0.2">
      <c r="A918" s="667"/>
      <c r="B918" s="44"/>
      <c r="C918" s="150" t="s">
        <v>291</v>
      </c>
      <c r="D918" s="304"/>
      <c r="E918" s="103"/>
      <c r="F918" s="104"/>
      <c r="G918" s="103"/>
      <c r="H918" s="103"/>
      <c r="I918" s="104"/>
      <c r="J918" s="103"/>
      <c r="K918" s="103"/>
      <c r="L918" s="103"/>
      <c r="M918" s="103"/>
      <c r="N918" s="103"/>
      <c r="O918" s="103"/>
      <c r="P918" s="103"/>
      <c r="Q918" s="272"/>
      <c r="R918" s="103">
        <v>0</v>
      </c>
      <c r="S918" s="103">
        <v>0</v>
      </c>
      <c r="T918" s="103"/>
      <c r="U918" s="103"/>
      <c r="V918" s="668"/>
      <c r="W918" s="97"/>
      <c r="X918" s="97">
        <f t="shared" si="14"/>
        <v>0</v>
      </c>
      <c r="Y918" s="97"/>
      <c r="AC918" s="103"/>
    </row>
    <row r="919" spans="1:29" ht="15.95" customHeight="1" x14ac:dyDescent="0.2">
      <c r="A919" s="665"/>
      <c r="B919" s="42">
        <v>2009</v>
      </c>
      <c r="C919" s="149" t="s">
        <v>412</v>
      </c>
      <c r="D919" s="303"/>
      <c r="E919" s="100"/>
      <c r="F919" s="101"/>
      <c r="G919" s="100"/>
      <c r="H919" s="100"/>
      <c r="I919" s="101"/>
      <c r="J919" s="100"/>
      <c r="K919" s="100"/>
      <c r="L919" s="100">
        <f>200-L916</f>
        <v>100</v>
      </c>
      <c r="M919" s="100"/>
      <c r="N919" s="100"/>
      <c r="O919" s="100"/>
      <c r="P919" s="100"/>
      <c r="Q919" s="271"/>
      <c r="R919" s="100">
        <v>32</v>
      </c>
      <c r="S919" s="100">
        <v>5</v>
      </c>
      <c r="T919" s="100"/>
      <c r="U919" s="100"/>
      <c r="V919" s="666"/>
      <c r="W919" s="100"/>
      <c r="X919" s="97">
        <f t="shared" si="14"/>
        <v>0</v>
      </c>
      <c r="Y919" s="97"/>
      <c r="AC919" s="100"/>
    </row>
    <row r="920" spans="1:29" ht="15.95" customHeight="1" x14ac:dyDescent="0.2">
      <c r="A920" s="665"/>
      <c r="B920" s="43"/>
      <c r="C920" s="149" t="s">
        <v>413</v>
      </c>
      <c r="D920" s="303"/>
      <c r="E920" s="100"/>
      <c r="F920" s="101"/>
      <c r="G920" s="100"/>
      <c r="H920" s="100"/>
      <c r="I920" s="101"/>
      <c r="J920" s="100"/>
      <c r="K920" s="100"/>
      <c r="L920" s="100">
        <v>100</v>
      </c>
      <c r="M920" s="100"/>
      <c r="N920" s="100"/>
      <c r="O920" s="100"/>
      <c r="P920" s="100"/>
      <c r="Q920" s="271"/>
      <c r="R920" s="100">
        <v>0</v>
      </c>
      <c r="S920" s="100">
        <v>0</v>
      </c>
      <c r="T920" s="100"/>
      <c r="U920" s="100"/>
      <c r="V920" s="666"/>
      <c r="W920" s="97"/>
      <c r="X920" s="97">
        <f t="shared" si="14"/>
        <v>0</v>
      </c>
      <c r="Y920" s="97"/>
      <c r="AC920" s="100"/>
    </row>
    <row r="921" spans="1:29" ht="15.95" customHeight="1" thickBot="1" x14ac:dyDescent="0.25">
      <c r="A921" s="669"/>
      <c r="B921" s="45"/>
      <c r="C921" s="151" t="s">
        <v>414</v>
      </c>
      <c r="D921" s="305"/>
      <c r="E921" s="105"/>
      <c r="F921" s="106"/>
      <c r="G921" s="105"/>
      <c r="H921" s="105"/>
      <c r="I921" s="106"/>
      <c r="J921" s="105"/>
      <c r="K921" s="105"/>
      <c r="L921" s="105">
        <v>100</v>
      </c>
      <c r="M921" s="105"/>
      <c r="N921" s="105"/>
      <c r="O921" s="105"/>
      <c r="P921" s="105"/>
      <c r="Q921" s="273"/>
      <c r="R921" s="105">
        <v>0</v>
      </c>
      <c r="S921" s="105">
        <v>0</v>
      </c>
      <c r="T921" s="105"/>
      <c r="U921" s="105"/>
      <c r="V921" s="670"/>
      <c r="W921" s="97"/>
      <c r="X921" s="97">
        <f t="shared" si="14"/>
        <v>0</v>
      </c>
      <c r="Y921" s="97">
        <f>+IF((AC921-ROUND(AC921,-3)&gt;400)*AND(AC921-ROUND(AC921,-3)&lt;500),1,0)</f>
        <v>0</v>
      </c>
      <c r="AC921" s="105"/>
    </row>
    <row r="922" spans="1:29" ht="15.95" customHeight="1" thickTop="1" x14ac:dyDescent="0.2">
      <c r="A922" s="733" t="s">
        <v>238</v>
      </c>
      <c r="B922" s="42">
        <v>2008</v>
      </c>
      <c r="C922" s="148" t="s">
        <v>289</v>
      </c>
      <c r="D922" s="303">
        <v>1555</v>
      </c>
      <c r="E922" s="100">
        <v>101</v>
      </c>
      <c r="F922" s="101">
        <v>403.74454400000002</v>
      </c>
      <c r="G922" s="100">
        <v>327.31902718168817</v>
      </c>
      <c r="H922" s="100">
        <v>98</v>
      </c>
      <c r="I922" s="101">
        <v>273</v>
      </c>
      <c r="J922" s="100">
        <v>51</v>
      </c>
      <c r="K922" s="100">
        <v>142</v>
      </c>
      <c r="L922" s="100"/>
      <c r="M922" s="100">
        <v>268</v>
      </c>
      <c r="N922" s="100"/>
      <c r="O922" s="100">
        <v>10</v>
      </c>
      <c r="P922" s="100">
        <v>13</v>
      </c>
      <c r="Q922" s="271">
        <v>133.57</v>
      </c>
      <c r="R922" s="100">
        <v>122</v>
      </c>
      <c r="S922" s="100">
        <v>395</v>
      </c>
      <c r="T922" s="100">
        <v>5</v>
      </c>
      <c r="U922" s="100">
        <v>46</v>
      </c>
      <c r="V922" s="666">
        <v>212.54196428571427</v>
      </c>
      <c r="W922" s="97"/>
      <c r="X922" s="97">
        <f t="shared" si="14"/>
        <v>46</v>
      </c>
      <c r="Y922" s="97"/>
      <c r="AC922" s="100">
        <v>45542.388331814036</v>
      </c>
    </row>
    <row r="923" spans="1:29" ht="15.95" customHeight="1" x14ac:dyDescent="0.2">
      <c r="A923" s="734"/>
      <c r="B923" s="43"/>
      <c r="C923" s="149" t="s">
        <v>290</v>
      </c>
      <c r="D923" s="303">
        <v>1555</v>
      </c>
      <c r="E923" s="100">
        <v>101</v>
      </c>
      <c r="F923" s="101">
        <v>403.74454400000002</v>
      </c>
      <c r="G923" s="100">
        <v>0</v>
      </c>
      <c r="H923" s="100">
        <v>98</v>
      </c>
      <c r="I923" s="101">
        <v>273</v>
      </c>
      <c r="J923" s="100">
        <v>51</v>
      </c>
      <c r="K923" s="100">
        <v>142</v>
      </c>
      <c r="L923" s="100"/>
      <c r="M923" s="100">
        <v>259</v>
      </c>
      <c r="N923" s="100"/>
      <c r="O923" s="100">
        <v>10</v>
      </c>
      <c r="P923" s="100">
        <v>13</v>
      </c>
      <c r="Q923" s="271">
        <v>133.57</v>
      </c>
      <c r="R923" s="100">
        <v>122</v>
      </c>
      <c r="S923" s="100">
        <v>395</v>
      </c>
      <c r="T923" s="100">
        <v>5</v>
      </c>
      <c r="U923" s="100">
        <v>46</v>
      </c>
      <c r="V923" s="666">
        <v>212.5</v>
      </c>
      <c r="W923" s="97"/>
      <c r="X923" s="97">
        <f t="shared" si="14"/>
        <v>46</v>
      </c>
      <c r="Y923" s="97"/>
      <c r="AC923" s="100">
        <v>45542.388331814036</v>
      </c>
    </row>
    <row r="924" spans="1:29" ht="15.95" customHeight="1" x14ac:dyDescent="0.2">
      <c r="A924" s="667"/>
      <c r="B924" s="44"/>
      <c r="C924" s="150" t="s">
        <v>291</v>
      </c>
      <c r="D924" s="304"/>
      <c r="E924" s="103">
        <v>0</v>
      </c>
      <c r="F924" s="104">
        <v>0</v>
      </c>
      <c r="G924" s="103">
        <v>0</v>
      </c>
      <c r="H924" s="103">
        <v>0</v>
      </c>
      <c r="I924" s="104"/>
      <c r="J924" s="103">
        <v>0</v>
      </c>
      <c r="K924" s="103"/>
      <c r="L924" s="103"/>
      <c r="M924" s="103">
        <v>79</v>
      </c>
      <c r="N924" s="103"/>
      <c r="O924" s="103">
        <v>0</v>
      </c>
      <c r="P924" s="103">
        <v>0</v>
      </c>
      <c r="Q924" s="272"/>
      <c r="R924" s="103">
        <v>0</v>
      </c>
      <c r="S924" s="103">
        <v>0</v>
      </c>
      <c r="T924" s="103">
        <v>0</v>
      </c>
      <c r="U924" s="103">
        <v>0</v>
      </c>
      <c r="V924" s="668">
        <v>195.45454545454544</v>
      </c>
      <c r="W924" s="97"/>
      <c r="X924" s="97">
        <f t="shared" si="14"/>
        <v>0</v>
      </c>
      <c r="Y924" s="97"/>
      <c r="AC924" s="103">
        <v>0</v>
      </c>
    </row>
    <row r="925" spans="1:29" ht="15.95" customHeight="1" x14ac:dyDescent="0.2">
      <c r="A925" s="665"/>
      <c r="B925" s="42">
        <v>2009</v>
      </c>
      <c r="C925" s="149" t="s">
        <v>412</v>
      </c>
      <c r="D925" s="303">
        <v>2071</v>
      </c>
      <c r="E925" s="100">
        <v>103</v>
      </c>
      <c r="F925" s="101">
        <v>403.74454400000002</v>
      </c>
      <c r="G925" s="100">
        <v>339.99422799422803</v>
      </c>
      <c r="H925" s="100">
        <v>171</v>
      </c>
      <c r="I925" s="101">
        <v>273</v>
      </c>
      <c r="J925" s="100">
        <v>47</v>
      </c>
      <c r="K925" s="100">
        <v>284</v>
      </c>
      <c r="L925" s="100"/>
      <c r="M925" s="100">
        <v>268</v>
      </c>
      <c r="N925" s="100"/>
      <c r="O925" s="100">
        <v>10</v>
      </c>
      <c r="P925" s="100">
        <v>13</v>
      </c>
      <c r="Q925" s="102">
        <v>126.60299999999999</v>
      </c>
      <c r="R925" s="100">
        <v>132</v>
      </c>
      <c r="S925" s="100">
        <v>395</v>
      </c>
      <c r="T925" s="100">
        <v>6</v>
      </c>
      <c r="U925" s="100">
        <v>51</v>
      </c>
      <c r="V925" s="666">
        <v>257.50803571428565</v>
      </c>
      <c r="W925" s="100"/>
      <c r="X925" s="97">
        <f>+ROUNDUP(AC925/1000+0.5,0)</f>
        <v>51</v>
      </c>
      <c r="Y925" s="97"/>
      <c r="AC925" s="100">
        <v>49910.089910089919</v>
      </c>
    </row>
    <row r="926" spans="1:29" ht="15.95" customHeight="1" x14ac:dyDescent="0.2">
      <c r="A926" s="665"/>
      <c r="B926" s="43"/>
      <c r="C926" s="149" t="s">
        <v>413</v>
      </c>
      <c r="D926" s="303">
        <v>2071</v>
      </c>
      <c r="E926" s="100">
        <v>103</v>
      </c>
      <c r="F926" s="101">
        <v>277.83034480000003</v>
      </c>
      <c r="G926" s="100">
        <v>48.080808080808083</v>
      </c>
      <c r="H926" s="100">
        <v>171</v>
      </c>
      <c r="I926" s="101">
        <v>273</v>
      </c>
      <c r="J926" s="100">
        <v>47</v>
      </c>
      <c r="K926" s="100">
        <v>284</v>
      </c>
      <c r="L926" s="100"/>
      <c r="M926" s="100">
        <v>268</v>
      </c>
      <c r="N926" s="100">
        <v>3000</v>
      </c>
      <c r="O926" s="100">
        <v>10</v>
      </c>
      <c r="P926" s="100">
        <v>13</v>
      </c>
      <c r="Q926" s="102">
        <v>126.60299999999999</v>
      </c>
      <c r="R926" s="100">
        <v>132</v>
      </c>
      <c r="S926" s="100">
        <v>395</v>
      </c>
      <c r="T926" s="100">
        <v>6</v>
      </c>
      <c r="U926" s="100">
        <v>51</v>
      </c>
      <c r="V926" s="666">
        <v>258</v>
      </c>
      <c r="W926" s="97"/>
      <c r="X926" s="97">
        <f>+ROUNDUP(AC926/1000+0.5,0)</f>
        <v>51</v>
      </c>
      <c r="Y926" s="97"/>
      <c r="AC926" s="100">
        <v>49910.089910089919</v>
      </c>
    </row>
    <row r="927" spans="1:29" ht="15.95" customHeight="1" thickBot="1" x14ac:dyDescent="0.25">
      <c r="A927" s="669"/>
      <c r="B927" s="45"/>
      <c r="C927" s="151" t="s">
        <v>414</v>
      </c>
      <c r="D927" s="305"/>
      <c r="E927" s="105">
        <v>0</v>
      </c>
      <c r="F927" s="106">
        <v>0</v>
      </c>
      <c r="G927" s="105">
        <v>334.23953823953826</v>
      </c>
      <c r="H927" s="105">
        <v>0</v>
      </c>
      <c r="I927" s="106"/>
      <c r="J927" s="105">
        <v>0</v>
      </c>
      <c r="K927" s="105"/>
      <c r="L927" s="105"/>
      <c r="M927" s="105">
        <v>9</v>
      </c>
      <c r="N927" s="105"/>
      <c r="O927" s="105">
        <v>0</v>
      </c>
      <c r="P927" s="105">
        <v>0</v>
      </c>
      <c r="Q927" s="273"/>
      <c r="R927" s="105">
        <v>0</v>
      </c>
      <c r="S927" s="105">
        <v>0</v>
      </c>
      <c r="T927" s="105">
        <v>0</v>
      </c>
      <c r="U927" s="105">
        <v>0</v>
      </c>
      <c r="V927" s="670">
        <v>0</v>
      </c>
      <c r="W927" s="97"/>
      <c r="X927" s="97">
        <f t="shared" si="14"/>
        <v>0</v>
      </c>
      <c r="Y927" s="97">
        <f>+IF((AC927-ROUND(AC927,-3)&gt;400)*AND(AC927-ROUND(AC927,-3)&lt;500),1,0)</f>
        <v>0</v>
      </c>
      <c r="AC927" s="105">
        <v>0</v>
      </c>
    </row>
    <row r="928" spans="1:29" ht="15.95" customHeight="1" thickTop="1" x14ac:dyDescent="0.2">
      <c r="A928" s="665" t="s">
        <v>239</v>
      </c>
      <c r="B928" s="42">
        <v>2008</v>
      </c>
      <c r="C928" s="148" t="s">
        <v>289</v>
      </c>
      <c r="D928" s="303">
        <v>39745</v>
      </c>
      <c r="E928" s="100">
        <v>2614</v>
      </c>
      <c r="F928" s="101">
        <v>10253.233536</v>
      </c>
      <c r="G928" s="100">
        <v>7121.294706723892</v>
      </c>
      <c r="H928" s="100">
        <v>1491</v>
      </c>
      <c r="I928" s="101">
        <v>6976</v>
      </c>
      <c r="J928" s="100">
        <v>777</v>
      </c>
      <c r="K928" s="100">
        <v>1420</v>
      </c>
      <c r="L928" s="100"/>
      <c r="M928" s="100">
        <v>6856</v>
      </c>
      <c r="N928" s="100"/>
      <c r="O928" s="100">
        <v>253</v>
      </c>
      <c r="P928" s="100">
        <v>335</v>
      </c>
      <c r="Q928" s="271">
        <v>3418.46</v>
      </c>
      <c r="R928" s="100">
        <v>280</v>
      </c>
      <c r="S928" s="100">
        <v>10093</v>
      </c>
      <c r="T928" s="100">
        <v>218</v>
      </c>
      <c r="U928" s="100">
        <v>1219</v>
      </c>
      <c r="V928" s="666">
        <v>4013.7241071428571</v>
      </c>
      <c r="W928" s="97"/>
      <c r="X928" s="97">
        <f>+ROUNDUP(AC928/1000,0)</f>
        <v>1219</v>
      </c>
      <c r="Y928" s="97"/>
      <c r="AC928" s="100">
        <v>1218258.8878760256</v>
      </c>
    </row>
    <row r="929" spans="1:29" ht="15.95" customHeight="1" x14ac:dyDescent="0.2">
      <c r="A929" s="665"/>
      <c r="B929" s="43"/>
      <c r="C929" s="149" t="s">
        <v>290</v>
      </c>
      <c r="D929" s="303">
        <v>39745</v>
      </c>
      <c r="E929" s="100">
        <v>2614</v>
      </c>
      <c r="F929" s="101">
        <v>5515.067376</v>
      </c>
      <c r="G929" s="100">
        <v>7073.4763948497857</v>
      </c>
      <c r="H929" s="100">
        <v>1491</v>
      </c>
      <c r="I929" s="101">
        <f>6976-4175</f>
        <v>2801</v>
      </c>
      <c r="J929" s="100">
        <v>777</v>
      </c>
      <c r="K929" s="100">
        <v>1420</v>
      </c>
      <c r="L929" s="100"/>
      <c r="M929" s="100">
        <v>6856</v>
      </c>
      <c r="N929" s="100"/>
      <c r="O929" s="100">
        <v>60</v>
      </c>
      <c r="P929" s="100">
        <v>335</v>
      </c>
      <c r="Q929" s="271">
        <v>3418.46</v>
      </c>
      <c r="R929" s="100">
        <v>280</v>
      </c>
      <c r="S929" s="100">
        <v>10093</v>
      </c>
      <c r="T929" s="100">
        <v>218</v>
      </c>
      <c r="U929" s="100">
        <v>972</v>
      </c>
      <c r="V929" s="666">
        <v>4013</v>
      </c>
      <c r="W929" s="97"/>
      <c r="X929" s="97">
        <f>+ROUNDDOWN(AC929/1000-0.5,0)</f>
        <v>972</v>
      </c>
      <c r="Y929" s="97"/>
      <c r="AC929" s="100">
        <v>973237.92160437559</v>
      </c>
    </row>
    <row r="930" spans="1:29" ht="15.95" customHeight="1" x14ac:dyDescent="0.2">
      <c r="A930" s="667"/>
      <c r="B930" s="44"/>
      <c r="C930" s="150" t="s">
        <v>291</v>
      </c>
      <c r="D930" s="304"/>
      <c r="E930" s="103">
        <v>0</v>
      </c>
      <c r="F930" s="104">
        <v>88.601960000000005</v>
      </c>
      <c r="G930" s="103">
        <v>0</v>
      </c>
      <c r="H930" s="103">
        <v>0</v>
      </c>
      <c r="I930" s="104">
        <v>2520</v>
      </c>
      <c r="J930" s="103">
        <v>0</v>
      </c>
      <c r="K930" s="103"/>
      <c r="L930" s="103"/>
      <c r="M930" s="103">
        <v>0</v>
      </c>
      <c r="N930" s="103"/>
      <c r="O930" s="103">
        <v>217</v>
      </c>
      <c r="P930" s="103">
        <v>0</v>
      </c>
      <c r="Q930" s="272"/>
      <c r="R930" s="103">
        <v>0</v>
      </c>
      <c r="S930" s="103">
        <v>0</v>
      </c>
      <c r="T930" s="103">
        <v>0</v>
      </c>
      <c r="U930" s="103">
        <v>0</v>
      </c>
      <c r="V930" s="668">
        <v>0</v>
      </c>
      <c r="W930" s="97"/>
      <c r="X930" s="97">
        <f t="shared" si="14"/>
        <v>0</v>
      </c>
      <c r="Y930" s="97"/>
      <c r="AC930" s="103">
        <v>284.04740200546951</v>
      </c>
    </row>
    <row r="931" spans="1:29" ht="15.95" customHeight="1" x14ac:dyDescent="0.2">
      <c r="A931" s="665"/>
      <c r="B931" s="42">
        <v>2009</v>
      </c>
      <c r="C931" s="149" t="s">
        <v>412</v>
      </c>
      <c r="D931" s="303">
        <v>52941</v>
      </c>
      <c r="E931" s="100">
        <v>2608</v>
      </c>
      <c r="F931" s="101">
        <v>10253.233536</v>
      </c>
      <c r="G931" s="100">
        <v>7718.3102453102456</v>
      </c>
      <c r="H931" s="100">
        <v>1691</v>
      </c>
      <c r="I931" s="101">
        <v>6976</v>
      </c>
      <c r="J931" s="100">
        <v>773</v>
      </c>
      <c r="K931" s="100">
        <v>2839</v>
      </c>
      <c r="L931" s="100"/>
      <c r="M931" s="100">
        <v>6856</v>
      </c>
      <c r="N931" s="100"/>
      <c r="O931" s="100">
        <v>251</v>
      </c>
      <c r="P931" s="100">
        <v>335</v>
      </c>
      <c r="Q931" s="102">
        <v>3240.165</v>
      </c>
      <c r="R931" s="100">
        <v>287</v>
      </c>
      <c r="S931" s="100">
        <v>10093</v>
      </c>
      <c r="T931" s="100">
        <v>221</v>
      </c>
      <c r="U931" s="100">
        <v>1336</v>
      </c>
      <c r="V931" s="666">
        <v>4229.1330357142851</v>
      </c>
      <c r="W931" s="100"/>
      <c r="X931" s="97">
        <f>+ROUNDUP(AC931/1000,0)</f>
        <v>1336</v>
      </c>
      <c r="Y931" s="97"/>
      <c r="AC931" s="100">
        <v>1335094.9050949053</v>
      </c>
    </row>
    <row r="932" spans="1:29" ht="15.95" customHeight="1" x14ac:dyDescent="0.2">
      <c r="A932" s="665"/>
      <c r="B932" s="43"/>
      <c r="C932" s="149" t="s">
        <v>413</v>
      </c>
      <c r="D932" s="303">
        <v>52941</v>
      </c>
      <c r="E932" s="100">
        <v>2608</v>
      </c>
      <c r="F932" s="101">
        <v>4479.4004000000004</v>
      </c>
      <c r="G932" s="100">
        <v>7718.3102453102456</v>
      </c>
      <c r="H932" s="100">
        <v>1691</v>
      </c>
      <c r="I932" s="101">
        <v>3908</v>
      </c>
      <c r="J932" s="100">
        <v>773</v>
      </c>
      <c r="K932" s="100">
        <v>2839</v>
      </c>
      <c r="L932" s="100"/>
      <c r="M932" s="100">
        <v>6856</v>
      </c>
      <c r="N932" s="100"/>
      <c r="O932" s="100">
        <v>61</v>
      </c>
      <c r="P932" s="100">
        <v>335</v>
      </c>
      <c r="Q932" s="102">
        <v>3240.165</v>
      </c>
      <c r="R932" s="100">
        <v>165</v>
      </c>
      <c r="S932" s="100">
        <v>7852</v>
      </c>
      <c r="T932" s="100">
        <v>221</v>
      </c>
      <c r="U932" s="100">
        <v>942</v>
      </c>
      <c r="V932" s="666">
        <v>4229</v>
      </c>
      <c r="W932" s="97"/>
      <c r="X932" s="97">
        <f>+ROUNDDOWN(AC932/1000,0)</f>
        <v>942</v>
      </c>
      <c r="Y932" s="97"/>
      <c r="AC932" s="100">
        <v>942928.38161838183</v>
      </c>
    </row>
    <row r="933" spans="1:29" ht="15.95" customHeight="1" thickBot="1" x14ac:dyDescent="0.25">
      <c r="A933" s="669"/>
      <c r="B933" s="45"/>
      <c r="C933" s="151" t="s">
        <v>414</v>
      </c>
      <c r="D933" s="305"/>
      <c r="E933" s="105">
        <v>0</v>
      </c>
      <c r="F933" s="106">
        <v>4738.1661600000007</v>
      </c>
      <c r="G933" s="105">
        <v>0</v>
      </c>
      <c r="H933" s="105">
        <v>0</v>
      </c>
      <c r="I933" s="106">
        <v>4175</v>
      </c>
      <c r="J933" s="105">
        <v>0</v>
      </c>
      <c r="K933" s="105"/>
      <c r="L933" s="105"/>
      <c r="M933" s="105">
        <v>0</v>
      </c>
      <c r="N933" s="105"/>
      <c r="O933" s="105">
        <v>193</v>
      </c>
      <c r="P933" s="105">
        <v>0</v>
      </c>
      <c r="Q933" s="273"/>
      <c r="R933" s="105">
        <v>0</v>
      </c>
      <c r="S933" s="105">
        <v>0</v>
      </c>
      <c r="T933" s="105">
        <v>0</v>
      </c>
      <c r="U933" s="105">
        <v>269</v>
      </c>
      <c r="V933" s="670">
        <v>0</v>
      </c>
      <c r="W933" s="97"/>
      <c r="X933" s="97">
        <f t="shared" si="14"/>
        <v>269</v>
      </c>
      <c r="Y933" s="97">
        <f>+IF((AC933-ROUND(AC933,-3)&gt;400)*AND(AC933-ROUND(AC933,-3)&lt;500),1,0)</f>
        <v>0</v>
      </c>
      <c r="AC933" s="105">
        <v>268519.48051948054</v>
      </c>
    </row>
    <row r="934" spans="1:29" ht="15.95" customHeight="1" thickTop="1" x14ac:dyDescent="0.2">
      <c r="A934" s="665" t="s">
        <v>305</v>
      </c>
      <c r="B934" s="42">
        <v>2008</v>
      </c>
      <c r="C934" s="148" t="s">
        <v>289</v>
      </c>
      <c r="D934" s="303">
        <v>18</v>
      </c>
      <c r="E934" s="100">
        <v>1</v>
      </c>
      <c r="F934" s="101">
        <v>4.6946972000000002</v>
      </c>
      <c r="G934" s="100">
        <v>3.1459227467811162</v>
      </c>
      <c r="H934" s="100">
        <v>37</v>
      </c>
      <c r="I934" s="101">
        <v>3</v>
      </c>
      <c r="J934" s="100">
        <v>8</v>
      </c>
      <c r="K934" s="100">
        <v>71</v>
      </c>
      <c r="L934" s="100"/>
      <c r="M934" s="100">
        <v>3</v>
      </c>
      <c r="N934" s="100"/>
      <c r="O934" s="100">
        <v>0</v>
      </c>
      <c r="P934" s="100">
        <v>0</v>
      </c>
      <c r="Q934" s="271">
        <v>1.1319999999999999</v>
      </c>
      <c r="R934" s="100">
        <v>35</v>
      </c>
      <c r="S934" s="100">
        <v>5</v>
      </c>
      <c r="T934" s="100">
        <v>11</v>
      </c>
      <c r="U934" s="100">
        <v>11</v>
      </c>
      <c r="V934" s="666">
        <v>23.737499999999997</v>
      </c>
      <c r="W934" s="97"/>
      <c r="X934" s="97">
        <f t="shared" si="14"/>
        <v>11</v>
      </c>
      <c r="Y934" s="97"/>
      <c r="AC934" s="100">
        <v>11385.597082953509</v>
      </c>
    </row>
    <row r="935" spans="1:29" ht="15.95" customHeight="1" x14ac:dyDescent="0.2">
      <c r="A935" s="665"/>
      <c r="B935" s="43"/>
      <c r="C935" s="149" t="s">
        <v>290</v>
      </c>
      <c r="D935" s="303">
        <v>18</v>
      </c>
      <c r="E935" s="100">
        <v>1</v>
      </c>
      <c r="F935" s="101">
        <v>4.6946972000000002</v>
      </c>
      <c r="G935" s="100">
        <v>3.1459227467811162</v>
      </c>
      <c r="H935" s="100">
        <v>37</v>
      </c>
      <c r="I935" s="101">
        <v>3</v>
      </c>
      <c r="J935" s="100">
        <v>8</v>
      </c>
      <c r="K935" s="100">
        <v>71</v>
      </c>
      <c r="L935" s="100"/>
      <c r="M935" s="100">
        <v>3</v>
      </c>
      <c r="N935" s="100">
        <v>3</v>
      </c>
      <c r="O935" s="100">
        <v>0</v>
      </c>
      <c r="P935" s="100">
        <v>0</v>
      </c>
      <c r="Q935" s="271"/>
      <c r="R935" s="100">
        <v>35</v>
      </c>
      <c r="S935" s="100">
        <v>5</v>
      </c>
      <c r="T935" s="100">
        <v>11</v>
      </c>
      <c r="U935" s="100">
        <v>0</v>
      </c>
      <c r="V935" s="666">
        <v>24.107142857142854</v>
      </c>
      <c r="W935" s="97"/>
      <c r="X935" s="97">
        <f t="shared" si="14"/>
        <v>0</v>
      </c>
      <c r="Y935" s="97"/>
      <c r="AC935" s="100">
        <v>0</v>
      </c>
    </row>
    <row r="936" spans="1:29" ht="15.95" customHeight="1" x14ac:dyDescent="0.2">
      <c r="A936" s="667"/>
      <c r="B936" s="44"/>
      <c r="C936" s="150" t="s">
        <v>291</v>
      </c>
      <c r="D936" s="304"/>
      <c r="E936" s="103">
        <v>0</v>
      </c>
      <c r="F936" s="104">
        <v>100</v>
      </c>
      <c r="G936" s="103">
        <v>62.519313304721038</v>
      </c>
      <c r="H936" s="103">
        <v>7</v>
      </c>
      <c r="I936" s="104">
        <v>111</v>
      </c>
      <c r="J936" s="103">
        <v>0</v>
      </c>
      <c r="K936" s="103"/>
      <c r="L936" s="103"/>
      <c r="M936" s="103">
        <v>146</v>
      </c>
      <c r="N936" s="103"/>
      <c r="O936" s="103">
        <v>0</v>
      </c>
      <c r="P936" s="103">
        <v>0</v>
      </c>
      <c r="Q936" s="272">
        <v>129.60599999999999</v>
      </c>
      <c r="R936" s="103">
        <v>0</v>
      </c>
      <c r="S936" s="103">
        <v>200</v>
      </c>
      <c r="T936" s="103">
        <v>0</v>
      </c>
      <c r="U936" s="103">
        <v>37</v>
      </c>
      <c r="V936" s="668">
        <v>0</v>
      </c>
      <c r="W936" s="97"/>
      <c r="X936" s="97">
        <f t="shared" si="14"/>
        <v>37</v>
      </c>
      <c r="Y936" s="97"/>
      <c r="AC936" s="103">
        <v>36616.946216955337</v>
      </c>
    </row>
    <row r="937" spans="1:29" ht="15.95" customHeight="1" x14ac:dyDescent="0.2">
      <c r="A937" s="665"/>
      <c r="B937" s="42">
        <v>2009</v>
      </c>
      <c r="C937" s="149" t="s">
        <v>412</v>
      </c>
      <c r="D937" s="303">
        <v>24</v>
      </c>
      <c r="E937" s="100">
        <v>1</v>
      </c>
      <c r="F937" s="101">
        <v>4.6946972000000002</v>
      </c>
      <c r="G937" s="100">
        <v>3.329004329004329</v>
      </c>
      <c r="H937" s="100">
        <v>42</v>
      </c>
      <c r="I937" s="101">
        <v>3</v>
      </c>
      <c r="J937" s="100">
        <v>10</v>
      </c>
      <c r="K937" s="100">
        <v>71</v>
      </c>
      <c r="L937" s="100"/>
      <c r="M937" s="100">
        <v>3</v>
      </c>
      <c r="N937" s="100"/>
      <c r="O937" s="100">
        <v>0</v>
      </c>
      <c r="P937" s="100">
        <v>0</v>
      </c>
      <c r="Q937" s="102">
        <v>1.073</v>
      </c>
      <c r="R937" s="100">
        <v>36</v>
      </c>
      <c r="S937" s="100">
        <v>5</v>
      </c>
      <c r="T937" s="100">
        <v>11</v>
      </c>
      <c r="U937" s="100">
        <v>12</v>
      </c>
      <c r="V937" s="666">
        <v>0</v>
      </c>
      <c r="W937" s="100"/>
      <c r="X937" s="97">
        <f t="shared" si="14"/>
        <v>12</v>
      </c>
      <c r="Y937" s="97"/>
      <c r="AC937" s="100">
        <v>12477.52247752248</v>
      </c>
    </row>
    <row r="938" spans="1:29" ht="15.95" customHeight="1" x14ac:dyDescent="0.2">
      <c r="A938" s="665"/>
      <c r="B938" s="43"/>
      <c r="C938" s="149" t="s">
        <v>413</v>
      </c>
      <c r="D938" s="303">
        <v>24</v>
      </c>
      <c r="E938" s="100">
        <v>1</v>
      </c>
      <c r="F938" s="101">
        <v>4.6946972000000002</v>
      </c>
      <c r="G938" s="100">
        <v>3.329004329004329</v>
      </c>
      <c r="H938" s="100">
        <v>42</v>
      </c>
      <c r="I938" s="101">
        <v>3</v>
      </c>
      <c r="J938" s="100">
        <v>10</v>
      </c>
      <c r="K938" s="100">
        <v>71</v>
      </c>
      <c r="L938" s="100"/>
      <c r="M938" s="100">
        <v>3</v>
      </c>
      <c r="N938" s="100">
        <v>3</v>
      </c>
      <c r="O938" s="100">
        <v>0</v>
      </c>
      <c r="P938" s="100">
        <v>0</v>
      </c>
      <c r="Q938" s="271"/>
      <c r="R938" s="100">
        <v>36</v>
      </c>
      <c r="S938" s="100">
        <v>5</v>
      </c>
      <c r="T938" s="100">
        <v>11</v>
      </c>
      <c r="U938" s="100">
        <v>0</v>
      </c>
      <c r="V938" s="666">
        <v>0</v>
      </c>
      <c r="W938" s="97"/>
      <c r="X938" s="97">
        <f t="shared" si="14"/>
        <v>0</v>
      </c>
      <c r="Y938" s="97"/>
      <c r="AC938" s="100">
        <v>0</v>
      </c>
    </row>
    <row r="939" spans="1:29" ht="15.95" customHeight="1" thickBot="1" x14ac:dyDescent="0.25">
      <c r="A939" s="669"/>
      <c r="B939" s="45"/>
      <c r="C939" s="151" t="s">
        <v>414</v>
      </c>
      <c r="D939" s="305"/>
      <c r="E939" s="105">
        <v>0</v>
      </c>
      <c r="F939" s="106">
        <v>110</v>
      </c>
      <c r="G939" s="105">
        <v>70.126984126984127</v>
      </c>
      <c r="H939" s="105">
        <v>9</v>
      </c>
      <c r="I939" s="106">
        <v>111</v>
      </c>
      <c r="J939" s="105">
        <v>0</v>
      </c>
      <c r="K939" s="105"/>
      <c r="L939" s="105"/>
      <c r="M939" s="105">
        <v>146</v>
      </c>
      <c r="N939" s="105"/>
      <c r="O939" s="105">
        <v>0</v>
      </c>
      <c r="P939" s="105">
        <v>0</v>
      </c>
      <c r="Q939" s="273">
        <v>122.846</v>
      </c>
      <c r="R939" s="105">
        <v>0</v>
      </c>
      <c r="S939" s="105">
        <v>192</v>
      </c>
      <c r="T939" s="105">
        <v>0</v>
      </c>
      <c r="U939" s="105">
        <v>114</v>
      </c>
      <c r="V939" s="670">
        <v>0</v>
      </c>
      <c r="W939" s="97"/>
      <c r="X939" s="97">
        <f t="shared" si="14"/>
        <v>114</v>
      </c>
      <c r="Y939" s="97">
        <f>+IF((AC939-ROUND(AC939,-3)&gt;400)*AND(AC939-ROUND(AC939,-3)&lt;500),1,0)</f>
        <v>0</v>
      </c>
      <c r="AC939" s="105">
        <v>113947.36263736265</v>
      </c>
    </row>
    <row r="940" spans="1:29" ht="15.95" customHeight="1" thickTop="1" x14ac:dyDescent="0.2">
      <c r="A940" s="665" t="s">
        <v>240</v>
      </c>
      <c r="B940" s="42">
        <v>2008</v>
      </c>
      <c r="C940" s="148" t="s">
        <v>289</v>
      </c>
      <c r="D940" s="303">
        <v>1280</v>
      </c>
      <c r="E940" s="100">
        <v>87</v>
      </c>
      <c r="F940" s="101">
        <v>328.62928000000005</v>
      </c>
      <c r="G940" s="100">
        <v>214.17739628040061</v>
      </c>
      <c r="H940" s="100">
        <v>43</v>
      </c>
      <c r="I940" s="101">
        <v>225</v>
      </c>
      <c r="J940" s="100">
        <v>33</v>
      </c>
      <c r="K940" s="100">
        <v>142</v>
      </c>
      <c r="L940" s="100"/>
      <c r="M940" s="100">
        <v>221</v>
      </c>
      <c r="N940" s="100"/>
      <c r="O940" s="100">
        <v>8</v>
      </c>
      <c r="P940" s="100">
        <v>11</v>
      </c>
      <c r="Q940" s="271">
        <v>109.798</v>
      </c>
      <c r="R940" s="100">
        <v>84</v>
      </c>
      <c r="S940" s="100">
        <v>325</v>
      </c>
      <c r="T940" s="100">
        <v>87</v>
      </c>
      <c r="U940" s="100">
        <v>40</v>
      </c>
      <c r="V940" s="666">
        <v>418.31071428571425</v>
      </c>
      <c r="W940" s="97"/>
      <c r="X940" s="97">
        <f t="shared" si="14"/>
        <v>40</v>
      </c>
      <c r="Y940" s="97"/>
      <c r="AC940" s="100">
        <v>39849.589790337282</v>
      </c>
    </row>
    <row r="941" spans="1:29" ht="15.95" customHeight="1" x14ac:dyDescent="0.2">
      <c r="A941" s="665"/>
      <c r="B941" s="43"/>
      <c r="C941" s="149" t="s">
        <v>290</v>
      </c>
      <c r="D941" s="303">
        <v>1280</v>
      </c>
      <c r="E941" s="100">
        <v>87</v>
      </c>
      <c r="F941" s="101">
        <v>328.62928000000005</v>
      </c>
      <c r="G941" s="100">
        <v>211.91559370529328</v>
      </c>
      <c r="H941" s="100">
        <v>43</v>
      </c>
      <c r="I941" s="101">
        <v>225</v>
      </c>
      <c r="J941" s="100">
        <v>33</v>
      </c>
      <c r="K941" s="100">
        <v>142</v>
      </c>
      <c r="L941" s="100"/>
      <c r="M941" s="100">
        <v>221</v>
      </c>
      <c r="N941" s="100">
        <v>50</v>
      </c>
      <c r="O941" s="100">
        <v>8</v>
      </c>
      <c r="P941" s="100">
        <v>11</v>
      </c>
      <c r="Q941" s="271">
        <v>109.97799999999999</v>
      </c>
      <c r="R941" s="100">
        <v>84</v>
      </c>
      <c r="S941" s="100">
        <v>325</v>
      </c>
      <c r="T941" s="100">
        <v>87</v>
      </c>
      <c r="U941" s="100">
        <v>40</v>
      </c>
      <c r="V941" s="666">
        <v>381.25</v>
      </c>
      <c r="W941" s="97"/>
      <c r="X941" s="97">
        <f t="shared" si="14"/>
        <v>40</v>
      </c>
      <c r="Y941" s="97"/>
      <c r="AC941" s="100">
        <v>39849.589790337282</v>
      </c>
    </row>
    <row r="942" spans="1:29" ht="15.95" customHeight="1" x14ac:dyDescent="0.2">
      <c r="A942" s="667"/>
      <c r="B942" s="44"/>
      <c r="C942" s="150" t="s">
        <v>291</v>
      </c>
      <c r="D942" s="304"/>
      <c r="E942" s="103">
        <v>0</v>
      </c>
      <c r="F942" s="104">
        <v>0</v>
      </c>
      <c r="G942" s="103">
        <v>0</v>
      </c>
      <c r="H942" s="103">
        <v>0</v>
      </c>
      <c r="I942" s="104"/>
      <c r="J942" s="103">
        <v>0</v>
      </c>
      <c r="K942" s="103"/>
      <c r="L942" s="103"/>
      <c r="M942" s="103">
        <v>0</v>
      </c>
      <c r="N942" s="103"/>
      <c r="O942" s="103">
        <v>0</v>
      </c>
      <c r="P942" s="103">
        <v>0</v>
      </c>
      <c r="Q942" s="272"/>
      <c r="R942" s="103">
        <v>0</v>
      </c>
      <c r="S942" s="103">
        <v>0</v>
      </c>
      <c r="T942" s="103">
        <v>0</v>
      </c>
      <c r="U942" s="103">
        <v>0</v>
      </c>
      <c r="V942" s="668">
        <v>0</v>
      </c>
      <c r="W942" s="97"/>
      <c r="X942" s="97">
        <f t="shared" si="14"/>
        <v>0</v>
      </c>
      <c r="Y942" s="97"/>
      <c r="AC942" s="103">
        <v>0</v>
      </c>
    </row>
    <row r="943" spans="1:29" ht="15.95" customHeight="1" x14ac:dyDescent="0.2">
      <c r="A943" s="665"/>
      <c r="B943" s="42">
        <v>2009</v>
      </c>
      <c r="C943" s="149" t="s">
        <v>412</v>
      </c>
      <c r="D943" s="303">
        <v>1705</v>
      </c>
      <c r="E943" s="100">
        <v>84</v>
      </c>
      <c r="F943" s="101">
        <v>328.62928000000005</v>
      </c>
      <c r="G943" s="100">
        <v>222.97979797979798</v>
      </c>
      <c r="H943" s="100">
        <v>57</v>
      </c>
      <c r="I943" s="101">
        <v>225</v>
      </c>
      <c r="J943" s="100">
        <v>28</v>
      </c>
      <c r="K943" s="100">
        <v>142</v>
      </c>
      <c r="L943" s="100"/>
      <c r="M943" s="100">
        <v>221</v>
      </c>
      <c r="N943" s="100"/>
      <c r="O943" s="100">
        <v>8</v>
      </c>
      <c r="P943" s="100">
        <v>11</v>
      </c>
      <c r="Q943" s="102">
        <v>104.071</v>
      </c>
      <c r="R943" s="100">
        <v>86</v>
      </c>
      <c r="S943" s="100">
        <v>325</v>
      </c>
      <c r="T943" s="100">
        <v>89</v>
      </c>
      <c r="U943" s="100">
        <v>44</v>
      </c>
      <c r="V943" s="666">
        <v>467.37678571428569</v>
      </c>
      <c r="W943" s="100"/>
      <c r="X943" s="97">
        <f t="shared" si="14"/>
        <v>44</v>
      </c>
      <c r="Y943" s="97"/>
      <c r="AC943" s="100">
        <v>43671.328671328672</v>
      </c>
    </row>
    <row r="944" spans="1:29" ht="15.95" customHeight="1" x14ac:dyDescent="0.2">
      <c r="A944" s="665"/>
      <c r="B944" s="43"/>
      <c r="C944" s="149" t="s">
        <v>413</v>
      </c>
      <c r="D944" s="303">
        <v>1705</v>
      </c>
      <c r="E944" s="100">
        <v>84</v>
      </c>
      <c r="F944" s="101">
        <v>328.62928000000005</v>
      </c>
      <c r="G944" s="100">
        <v>218.72294372294374</v>
      </c>
      <c r="H944" s="100">
        <v>57</v>
      </c>
      <c r="I944" s="101">
        <v>225</v>
      </c>
      <c r="J944" s="100">
        <v>28</v>
      </c>
      <c r="K944" s="100">
        <v>142</v>
      </c>
      <c r="L944" s="100"/>
      <c r="M944" s="100">
        <v>221</v>
      </c>
      <c r="N944" s="100">
        <v>50</v>
      </c>
      <c r="O944" s="100">
        <v>8</v>
      </c>
      <c r="P944" s="100">
        <v>11</v>
      </c>
      <c r="Q944" s="102">
        <v>104.071</v>
      </c>
      <c r="R944" s="100">
        <v>86</v>
      </c>
      <c r="S944" s="100">
        <v>325</v>
      </c>
      <c r="T944" s="100">
        <v>89</v>
      </c>
      <c r="U944" s="100">
        <v>44</v>
      </c>
      <c r="V944" s="666">
        <v>467</v>
      </c>
      <c r="W944" s="97"/>
      <c r="X944" s="97">
        <f t="shared" si="14"/>
        <v>44</v>
      </c>
      <c r="Y944" s="97"/>
      <c r="AC944" s="100">
        <v>43671.328671328672</v>
      </c>
    </row>
    <row r="945" spans="1:29" ht="15.95" customHeight="1" thickBot="1" x14ac:dyDescent="0.25">
      <c r="A945" s="669"/>
      <c r="B945" s="45"/>
      <c r="C945" s="151" t="s">
        <v>414</v>
      </c>
      <c r="D945" s="305"/>
      <c r="E945" s="105">
        <v>0</v>
      </c>
      <c r="F945" s="106">
        <v>0</v>
      </c>
      <c r="G945" s="105">
        <v>0</v>
      </c>
      <c r="H945" s="105">
        <v>0</v>
      </c>
      <c r="I945" s="106"/>
      <c r="J945" s="105">
        <v>0</v>
      </c>
      <c r="K945" s="105"/>
      <c r="L945" s="105"/>
      <c r="M945" s="105">
        <v>0</v>
      </c>
      <c r="N945" s="105"/>
      <c r="O945" s="105">
        <v>0</v>
      </c>
      <c r="P945" s="105">
        <v>0</v>
      </c>
      <c r="Q945" s="273"/>
      <c r="R945" s="105">
        <v>0</v>
      </c>
      <c r="S945" s="105">
        <v>0</v>
      </c>
      <c r="T945" s="105">
        <v>0</v>
      </c>
      <c r="U945" s="105">
        <v>0</v>
      </c>
      <c r="V945" s="670">
        <v>43</v>
      </c>
      <c r="W945" s="97"/>
      <c r="X945" s="97">
        <f t="shared" si="14"/>
        <v>0</v>
      </c>
      <c r="Y945" s="97">
        <f>+IF((AC945-ROUND(AC945,-3)&gt;400)*AND(AC945-ROUND(AC945,-3)&lt;500),1,0)</f>
        <v>0</v>
      </c>
      <c r="AC945" s="105">
        <v>0</v>
      </c>
    </row>
    <row r="946" spans="1:29" ht="15.95" customHeight="1" thickTop="1" x14ac:dyDescent="0.2">
      <c r="A946" s="665" t="s">
        <v>241</v>
      </c>
      <c r="B946" s="42">
        <v>2008</v>
      </c>
      <c r="C946" s="148" t="s">
        <v>289</v>
      </c>
      <c r="D946" s="303">
        <v>21948</v>
      </c>
      <c r="E946" s="100">
        <v>1431</v>
      </c>
      <c r="F946" s="101">
        <v>5661.813024</v>
      </c>
      <c r="G946" s="100">
        <v>4600.9399141630902</v>
      </c>
      <c r="H946" s="100">
        <v>445</v>
      </c>
      <c r="I946" s="101">
        <v>3854</v>
      </c>
      <c r="J946" s="100">
        <v>476</v>
      </c>
      <c r="K946" s="100">
        <v>2839</v>
      </c>
      <c r="L946" s="100"/>
      <c r="M946" s="100">
        <v>3786</v>
      </c>
      <c r="N946" s="100"/>
      <c r="O946" s="100">
        <v>140</v>
      </c>
      <c r="P946" s="100">
        <v>185</v>
      </c>
      <c r="Q946" s="271">
        <v>1888.078</v>
      </c>
      <c r="R946" s="100">
        <v>221</v>
      </c>
      <c r="S946" s="100">
        <v>5573</v>
      </c>
      <c r="T946" s="100">
        <v>436</v>
      </c>
      <c r="U946" s="100">
        <v>672</v>
      </c>
      <c r="V946" s="666"/>
      <c r="W946" s="97"/>
      <c r="X946" s="97">
        <f t="shared" si="14"/>
        <v>672</v>
      </c>
      <c r="Y946" s="97"/>
      <c r="AC946" s="100">
        <v>671750.22789425706</v>
      </c>
    </row>
    <row r="947" spans="1:29" ht="15.95" customHeight="1" x14ac:dyDescent="0.2">
      <c r="A947" s="665"/>
      <c r="B947" s="43"/>
      <c r="C947" s="149" t="s">
        <v>290</v>
      </c>
      <c r="D947" s="303">
        <v>21948</v>
      </c>
      <c r="E947" s="100">
        <v>1431</v>
      </c>
      <c r="F947" s="101">
        <v>5661.813024</v>
      </c>
      <c r="G947" s="100">
        <v>4516.3433476394848</v>
      </c>
      <c r="H947" s="100">
        <v>445</v>
      </c>
      <c r="I947" s="101">
        <v>3854</v>
      </c>
      <c r="J947" s="100">
        <v>476</v>
      </c>
      <c r="K947" s="100">
        <v>2839</v>
      </c>
      <c r="L947" s="100"/>
      <c r="M947" s="100">
        <v>3786</v>
      </c>
      <c r="N947" s="100"/>
      <c r="O947" s="100">
        <v>140</v>
      </c>
      <c r="P947" s="100">
        <v>185</v>
      </c>
      <c r="Q947" s="271">
        <v>1888.078</v>
      </c>
      <c r="R947" s="100">
        <v>221</v>
      </c>
      <c r="S947" s="100">
        <v>5573</v>
      </c>
      <c r="T947" s="100">
        <v>436</v>
      </c>
      <c r="U947" s="100">
        <v>672</v>
      </c>
      <c r="V947" s="666"/>
      <c r="W947" s="97"/>
      <c r="X947" s="97">
        <f t="shared" si="14"/>
        <v>672</v>
      </c>
      <c r="Y947" s="97"/>
      <c r="AC947" s="100">
        <v>671750.22789425706</v>
      </c>
    </row>
    <row r="948" spans="1:29" ht="15.95" customHeight="1" x14ac:dyDescent="0.2">
      <c r="A948" s="667"/>
      <c r="B948" s="44"/>
      <c r="C948" s="150" t="s">
        <v>291</v>
      </c>
      <c r="D948" s="304"/>
      <c r="E948" s="103">
        <v>0</v>
      </c>
      <c r="F948" s="104">
        <v>0</v>
      </c>
      <c r="G948" s="103">
        <v>0</v>
      </c>
      <c r="H948" s="103">
        <v>0</v>
      </c>
      <c r="I948" s="104"/>
      <c r="J948" s="103">
        <v>0</v>
      </c>
      <c r="K948" s="103"/>
      <c r="L948" s="103"/>
      <c r="M948" s="103">
        <v>0</v>
      </c>
      <c r="N948" s="103"/>
      <c r="O948" s="103">
        <v>0</v>
      </c>
      <c r="P948" s="103">
        <v>0</v>
      </c>
      <c r="Q948" s="272"/>
      <c r="R948" s="103">
        <v>0</v>
      </c>
      <c r="S948" s="103">
        <v>0</v>
      </c>
      <c r="T948" s="103">
        <v>0</v>
      </c>
      <c r="U948" s="103">
        <v>0</v>
      </c>
      <c r="V948" s="668"/>
      <c r="W948" s="97"/>
      <c r="X948" s="97">
        <f t="shared" si="14"/>
        <v>0</v>
      </c>
      <c r="Y948" s="97"/>
      <c r="AC948" s="103">
        <v>0</v>
      </c>
    </row>
    <row r="949" spans="1:29" ht="15.95" customHeight="1" x14ac:dyDescent="0.2">
      <c r="A949" s="665"/>
      <c r="B949" s="42">
        <v>2009</v>
      </c>
      <c r="C949" s="149" t="s">
        <v>412</v>
      </c>
      <c r="D949" s="303">
        <v>29236</v>
      </c>
      <c r="E949" s="100">
        <v>1397</v>
      </c>
      <c r="F949" s="101">
        <v>5661.813024</v>
      </c>
      <c r="G949" s="100">
        <v>4811.1948051948057</v>
      </c>
      <c r="H949" s="100">
        <v>564</v>
      </c>
      <c r="I949" s="101">
        <v>3854</v>
      </c>
      <c r="J949" s="100">
        <v>388</v>
      </c>
      <c r="K949" s="100">
        <v>2839</v>
      </c>
      <c r="L949" s="100"/>
      <c r="M949" s="100">
        <v>3786</v>
      </c>
      <c r="N949" s="100"/>
      <c r="O949" s="100">
        <v>139</v>
      </c>
      <c r="P949" s="100">
        <v>185</v>
      </c>
      <c r="Q949" s="102">
        <v>1789.6020000000001</v>
      </c>
      <c r="R949" s="100">
        <v>240</v>
      </c>
      <c r="S949" s="100">
        <v>5573</v>
      </c>
      <c r="T949" s="100">
        <v>443</v>
      </c>
      <c r="U949" s="100">
        <v>737</v>
      </c>
      <c r="V949" s="666"/>
      <c r="W949" s="100"/>
      <c r="X949" s="97">
        <f>+ROUNDUP(AC949/1000,0)</f>
        <v>737</v>
      </c>
      <c r="Y949" s="97"/>
      <c r="AC949" s="100">
        <v>736173.82617382624</v>
      </c>
    </row>
    <row r="950" spans="1:29" ht="15.95" customHeight="1" x14ac:dyDescent="0.2">
      <c r="A950" s="665"/>
      <c r="B950" s="43"/>
      <c r="C950" s="149" t="s">
        <v>413</v>
      </c>
      <c r="D950" s="303">
        <v>29236</v>
      </c>
      <c r="E950" s="100">
        <v>1397</v>
      </c>
      <c r="F950" s="101">
        <v>5661.813024</v>
      </c>
      <c r="G950" s="100">
        <v>4674.2366522366528</v>
      </c>
      <c r="H950" s="100">
        <v>564</v>
      </c>
      <c r="I950" s="101">
        <v>3854</v>
      </c>
      <c r="J950" s="100">
        <v>388</v>
      </c>
      <c r="K950" s="100">
        <v>2839</v>
      </c>
      <c r="L950" s="100"/>
      <c r="M950" s="100">
        <v>3786</v>
      </c>
      <c r="N950" s="100"/>
      <c r="O950" s="100">
        <v>139</v>
      </c>
      <c r="P950" s="100">
        <v>185</v>
      </c>
      <c r="Q950" s="102">
        <v>1789.6020000000001</v>
      </c>
      <c r="R950" s="100">
        <v>240</v>
      </c>
      <c r="S950" s="100">
        <v>5573</v>
      </c>
      <c r="T950" s="100">
        <v>443</v>
      </c>
      <c r="U950" s="100">
        <v>737</v>
      </c>
      <c r="V950" s="666"/>
      <c r="W950" s="97"/>
      <c r="X950" s="97">
        <f>+ROUNDUP(AC950/1000,0)</f>
        <v>737</v>
      </c>
      <c r="Y950" s="97"/>
      <c r="AC950" s="100">
        <v>736173.82617382624</v>
      </c>
    </row>
    <row r="951" spans="1:29" ht="15.95" customHeight="1" thickBot="1" x14ac:dyDescent="0.25">
      <c r="A951" s="669"/>
      <c r="B951" s="45"/>
      <c r="C951" s="151" t="s">
        <v>414</v>
      </c>
      <c r="D951" s="305"/>
      <c r="E951" s="105">
        <v>0</v>
      </c>
      <c r="F951" s="106">
        <v>0</v>
      </c>
      <c r="G951" s="105">
        <v>0</v>
      </c>
      <c r="H951" s="105">
        <v>0</v>
      </c>
      <c r="I951" s="106"/>
      <c r="J951" s="105">
        <v>0</v>
      </c>
      <c r="K951" s="105"/>
      <c r="L951" s="105"/>
      <c r="M951" s="105">
        <v>0</v>
      </c>
      <c r="N951" s="105"/>
      <c r="O951" s="105">
        <v>0</v>
      </c>
      <c r="P951" s="105">
        <v>0</v>
      </c>
      <c r="Q951" s="273"/>
      <c r="R951" s="105">
        <v>0</v>
      </c>
      <c r="S951" s="105">
        <v>0</v>
      </c>
      <c r="T951" s="105">
        <v>0</v>
      </c>
      <c r="U951" s="105">
        <v>0</v>
      </c>
      <c r="V951" s="670"/>
      <c r="W951" s="97"/>
      <c r="X951" s="97">
        <f t="shared" si="14"/>
        <v>0</v>
      </c>
      <c r="Y951" s="97">
        <f>+IF((AC951-ROUND(AC951,-3)&gt;400)*AND(AC951-ROUND(AC951,-3)&lt;500),1,0)</f>
        <v>0</v>
      </c>
      <c r="AC951" s="105">
        <v>0</v>
      </c>
    </row>
    <row r="952" spans="1:29" ht="15.95" customHeight="1" thickTop="1" x14ac:dyDescent="0.2">
      <c r="A952" s="665" t="s">
        <v>242</v>
      </c>
      <c r="B952" s="42">
        <v>2008</v>
      </c>
      <c r="C952" s="148" t="s">
        <v>289</v>
      </c>
      <c r="D952" s="303">
        <v>18</v>
      </c>
      <c r="E952" s="100">
        <v>1</v>
      </c>
      <c r="F952" s="101">
        <v>4.6946972000000002</v>
      </c>
      <c r="G952" s="100"/>
      <c r="H952" s="100">
        <v>37</v>
      </c>
      <c r="I952" s="101">
        <v>3</v>
      </c>
      <c r="J952" s="100"/>
      <c r="K952" s="100">
        <v>18</v>
      </c>
      <c r="L952" s="100"/>
      <c r="M952" s="100">
        <v>3</v>
      </c>
      <c r="N952" s="100"/>
      <c r="O952" s="100">
        <v>0</v>
      </c>
      <c r="P952" s="100">
        <v>0</v>
      </c>
      <c r="Q952" s="271">
        <v>1.1319999999999999</v>
      </c>
      <c r="R952" s="100">
        <v>35</v>
      </c>
      <c r="S952" s="100">
        <v>5</v>
      </c>
      <c r="T952" s="100">
        <v>1</v>
      </c>
      <c r="U952" s="100">
        <v>11</v>
      </c>
      <c r="V952" s="666">
        <v>24</v>
      </c>
      <c r="W952" s="97"/>
      <c r="X952" s="97">
        <f t="shared" si="14"/>
        <v>11</v>
      </c>
      <c r="Y952" s="97"/>
      <c r="AC952" s="100">
        <v>11385.597082953509</v>
      </c>
    </row>
    <row r="953" spans="1:29" ht="15.95" customHeight="1" x14ac:dyDescent="0.2">
      <c r="A953" s="665"/>
      <c r="B953" s="43"/>
      <c r="C953" s="149" t="s">
        <v>290</v>
      </c>
      <c r="D953" s="303">
        <v>18</v>
      </c>
      <c r="E953" s="100">
        <v>1</v>
      </c>
      <c r="F953" s="101">
        <v>4.6946972000000002</v>
      </c>
      <c r="G953" s="100"/>
      <c r="H953" s="100">
        <v>0</v>
      </c>
      <c r="I953" s="101">
        <f>3-3</f>
        <v>0</v>
      </c>
      <c r="J953" s="100"/>
      <c r="K953" s="100">
        <v>18</v>
      </c>
      <c r="L953" s="100"/>
      <c r="M953" s="100">
        <v>3</v>
      </c>
      <c r="N953" s="100"/>
      <c r="O953" s="100">
        <v>0</v>
      </c>
      <c r="P953" s="100">
        <v>0</v>
      </c>
      <c r="Q953" s="271">
        <v>0.39200000000000002</v>
      </c>
      <c r="R953" s="100">
        <v>35</v>
      </c>
      <c r="S953" s="100">
        <v>5</v>
      </c>
      <c r="T953" s="100">
        <v>1</v>
      </c>
      <c r="U953" s="100">
        <v>11</v>
      </c>
      <c r="V953" s="666">
        <v>24.107142857142854</v>
      </c>
      <c r="W953" s="97"/>
      <c r="X953" s="97">
        <f t="shared" si="14"/>
        <v>11</v>
      </c>
      <c r="Y953" s="97"/>
      <c r="AC953" s="100">
        <v>11385.597082953509</v>
      </c>
    </row>
    <row r="954" spans="1:29" ht="15.95" customHeight="1" x14ac:dyDescent="0.2">
      <c r="A954" s="667"/>
      <c r="B954" s="44"/>
      <c r="C954" s="150" t="s">
        <v>291</v>
      </c>
      <c r="D954" s="304">
        <v>8</v>
      </c>
      <c r="E954" s="103">
        <v>0</v>
      </c>
      <c r="F954" s="104">
        <v>0</v>
      </c>
      <c r="G954" s="103"/>
      <c r="H954" s="103">
        <v>0</v>
      </c>
      <c r="I954" s="104"/>
      <c r="J954" s="103"/>
      <c r="K954" s="103"/>
      <c r="L954" s="103"/>
      <c r="M954" s="103">
        <v>0</v>
      </c>
      <c r="N954" s="103"/>
      <c r="O954" s="103">
        <v>0</v>
      </c>
      <c r="P954" s="103">
        <v>0</v>
      </c>
      <c r="Q954" s="272"/>
      <c r="R954" s="103">
        <v>12</v>
      </c>
      <c r="S954" s="103">
        <v>0</v>
      </c>
      <c r="T954" s="103">
        <v>0</v>
      </c>
      <c r="U954" s="103">
        <v>0</v>
      </c>
      <c r="V954" s="668">
        <v>0</v>
      </c>
      <c r="W954" s="97"/>
      <c r="X954" s="97">
        <f t="shared" si="14"/>
        <v>0</v>
      </c>
      <c r="Y954" s="97"/>
      <c r="AC954" s="103">
        <v>0</v>
      </c>
    </row>
    <row r="955" spans="1:29" ht="15.95" customHeight="1" x14ac:dyDescent="0.2">
      <c r="A955" s="665"/>
      <c r="B955" s="42">
        <v>2009</v>
      </c>
      <c r="C955" s="149" t="s">
        <v>412</v>
      </c>
      <c r="D955" s="303">
        <v>24</v>
      </c>
      <c r="E955" s="100">
        <v>1</v>
      </c>
      <c r="F955" s="101">
        <v>4.6946972000000002</v>
      </c>
      <c r="G955" s="100"/>
      <c r="H955" s="100">
        <v>42</v>
      </c>
      <c r="I955" s="101">
        <v>3</v>
      </c>
      <c r="J955" s="100"/>
      <c r="K955" s="100">
        <v>18</v>
      </c>
      <c r="L955" s="100"/>
      <c r="M955" s="100">
        <v>3</v>
      </c>
      <c r="N955" s="100"/>
      <c r="O955" s="100">
        <v>0</v>
      </c>
      <c r="P955" s="100">
        <v>0</v>
      </c>
      <c r="Q955" s="102">
        <v>1.073</v>
      </c>
      <c r="R955" s="100">
        <v>36</v>
      </c>
      <c r="S955" s="100">
        <v>5</v>
      </c>
      <c r="T955" s="100">
        <v>1</v>
      </c>
      <c r="U955" s="100">
        <v>12</v>
      </c>
      <c r="V955" s="666">
        <v>25</v>
      </c>
      <c r="W955" s="100"/>
      <c r="X955" s="97">
        <f t="shared" si="14"/>
        <v>12</v>
      </c>
      <c r="Y955" s="97"/>
      <c r="AC955" s="100">
        <v>12477.52247752248</v>
      </c>
    </row>
    <row r="956" spans="1:29" ht="15.95" customHeight="1" x14ac:dyDescent="0.2">
      <c r="A956" s="665"/>
      <c r="B956" s="43"/>
      <c r="C956" s="149" t="s">
        <v>413</v>
      </c>
      <c r="D956" s="303"/>
      <c r="E956" s="100">
        <v>1</v>
      </c>
      <c r="F956" s="101">
        <v>4.6946972000000002</v>
      </c>
      <c r="G956" s="100"/>
      <c r="H956" s="100">
        <v>42</v>
      </c>
      <c r="I956" s="101">
        <v>3</v>
      </c>
      <c r="J956" s="100"/>
      <c r="K956" s="100">
        <v>0</v>
      </c>
      <c r="L956" s="100"/>
      <c r="M956" s="100">
        <v>3</v>
      </c>
      <c r="N956" s="100">
        <v>7</v>
      </c>
      <c r="O956" s="100">
        <v>0</v>
      </c>
      <c r="P956" s="100">
        <v>0</v>
      </c>
      <c r="Q956" s="271"/>
      <c r="R956" s="100">
        <v>36</v>
      </c>
      <c r="S956" s="100">
        <v>5</v>
      </c>
      <c r="T956" s="100">
        <v>1</v>
      </c>
      <c r="U956" s="100">
        <v>12</v>
      </c>
      <c r="V956" s="666">
        <v>25</v>
      </c>
      <c r="W956" s="97"/>
      <c r="X956" s="97">
        <f t="shared" si="14"/>
        <v>12</v>
      </c>
      <c r="Y956" s="97"/>
      <c r="AC956" s="100">
        <v>12477.52247752248</v>
      </c>
    </row>
    <row r="957" spans="1:29" ht="15.95" customHeight="1" thickBot="1" x14ac:dyDescent="0.25">
      <c r="A957" s="669"/>
      <c r="B957" s="45"/>
      <c r="C957" s="151" t="s">
        <v>414</v>
      </c>
      <c r="D957" s="305"/>
      <c r="E957" s="105">
        <v>0</v>
      </c>
      <c r="F957" s="106">
        <v>0</v>
      </c>
      <c r="G957" s="105"/>
      <c r="H957" s="105">
        <v>73</v>
      </c>
      <c r="I957" s="106">
        <v>3</v>
      </c>
      <c r="J957" s="105"/>
      <c r="K957" s="105"/>
      <c r="L957" s="105"/>
      <c r="M957" s="105">
        <v>0</v>
      </c>
      <c r="N957" s="105"/>
      <c r="O957" s="105">
        <v>0</v>
      </c>
      <c r="P957" s="105">
        <v>0</v>
      </c>
      <c r="Q957" s="273">
        <v>0.17199999999999999</v>
      </c>
      <c r="R957" s="105">
        <v>12</v>
      </c>
      <c r="S957" s="105">
        <v>0</v>
      </c>
      <c r="T957" s="105">
        <v>0</v>
      </c>
      <c r="U957" s="105">
        <v>0</v>
      </c>
      <c r="V957" s="670">
        <v>0</v>
      </c>
      <c r="W957" s="97"/>
      <c r="X957" s="97">
        <f t="shared" si="14"/>
        <v>0</v>
      </c>
      <c r="Y957" s="97">
        <f>+IF((AC957-ROUND(AC957,-3)&gt;400)*AND(AC957-ROUND(AC957,-3)&lt;500),1,0)</f>
        <v>0</v>
      </c>
      <c r="AC957" s="105">
        <v>0</v>
      </c>
    </row>
    <row r="958" spans="1:29" ht="15.95" customHeight="1" thickTop="1" x14ac:dyDescent="0.2">
      <c r="A958" s="665" t="s">
        <v>243</v>
      </c>
      <c r="B958" s="42">
        <v>2008</v>
      </c>
      <c r="C958" s="148" t="s">
        <v>289</v>
      </c>
      <c r="D958" s="303">
        <v>18</v>
      </c>
      <c r="E958" s="100">
        <v>1</v>
      </c>
      <c r="F958" s="101">
        <v>4.6946972000000002</v>
      </c>
      <c r="G958" s="100"/>
      <c r="H958" s="100">
        <v>37</v>
      </c>
      <c r="I958" s="101">
        <v>3</v>
      </c>
      <c r="J958" s="100">
        <v>30</v>
      </c>
      <c r="K958" s="100">
        <v>18</v>
      </c>
      <c r="L958" s="100">
        <v>18</v>
      </c>
      <c r="M958" s="100">
        <v>3</v>
      </c>
      <c r="N958" s="100"/>
      <c r="O958" s="100">
        <v>0</v>
      </c>
      <c r="P958" s="100">
        <v>0</v>
      </c>
      <c r="Q958" s="271">
        <v>1.1319999999999999</v>
      </c>
      <c r="R958" s="100"/>
      <c r="S958" s="100">
        <v>5</v>
      </c>
      <c r="T958" s="100">
        <v>3</v>
      </c>
      <c r="U958" s="100"/>
      <c r="V958" s="666">
        <v>24</v>
      </c>
      <c r="W958" s="97"/>
      <c r="X958" s="97">
        <f t="shared" si="14"/>
        <v>0</v>
      </c>
      <c r="Y958" s="97"/>
      <c r="AC958" s="100"/>
    </row>
    <row r="959" spans="1:29" ht="15.95" customHeight="1" x14ac:dyDescent="0.2">
      <c r="A959" s="665"/>
      <c r="B959" s="43"/>
      <c r="C959" s="149" t="s">
        <v>290</v>
      </c>
      <c r="D959" s="303">
        <v>18</v>
      </c>
      <c r="E959" s="100">
        <v>1</v>
      </c>
      <c r="F959" s="101">
        <v>4.6946972000000002</v>
      </c>
      <c r="G959" s="100"/>
      <c r="H959" s="100">
        <v>0</v>
      </c>
      <c r="I959" s="101">
        <v>3</v>
      </c>
      <c r="J959" s="100">
        <v>30</v>
      </c>
      <c r="K959" s="100"/>
      <c r="L959" s="100">
        <v>18</v>
      </c>
      <c r="M959" s="100">
        <v>3</v>
      </c>
      <c r="N959" s="100"/>
      <c r="O959" s="100">
        <v>0</v>
      </c>
      <c r="P959" s="100">
        <v>0</v>
      </c>
      <c r="Q959" s="271"/>
      <c r="R959" s="100"/>
      <c r="S959" s="100">
        <v>5</v>
      </c>
      <c r="T959" s="100">
        <v>3</v>
      </c>
      <c r="U959" s="100"/>
      <c r="V959" s="666">
        <v>24.107142857142854</v>
      </c>
      <c r="W959" s="97"/>
      <c r="X959" s="97">
        <f t="shared" ref="X959:X1022" si="15">+ROUND(AC959/1000,0)</f>
        <v>0</v>
      </c>
      <c r="Y959" s="97"/>
      <c r="AC959" s="100"/>
    </row>
    <row r="960" spans="1:29" ht="15.95" customHeight="1" x14ac:dyDescent="0.2">
      <c r="A960" s="667"/>
      <c r="B960" s="44"/>
      <c r="C960" s="150" t="s">
        <v>291</v>
      </c>
      <c r="D960" s="304"/>
      <c r="E960" s="103">
        <v>1</v>
      </c>
      <c r="F960" s="104">
        <v>0</v>
      </c>
      <c r="G960" s="103"/>
      <c r="H960" s="103">
        <v>0</v>
      </c>
      <c r="I960" s="104"/>
      <c r="J960" s="103">
        <v>0</v>
      </c>
      <c r="K960" s="103"/>
      <c r="L960" s="103"/>
      <c r="M960" s="103">
        <v>0</v>
      </c>
      <c r="N960" s="103"/>
      <c r="O960" s="103">
        <v>0</v>
      </c>
      <c r="P960" s="103">
        <v>0</v>
      </c>
      <c r="Q960" s="272">
        <v>0.39200000000000002</v>
      </c>
      <c r="R960" s="103"/>
      <c r="S960" s="103">
        <v>0</v>
      </c>
      <c r="T960" s="103">
        <v>0</v>
      </c>
      <c r="U960" s="103"/>
      <c r="V960" s="668">
        <v>0</v>
      </c>
      <c r="W960" s="97"/>
      <c r="X960" s="97">
        <f t="shared" si="15"/>
        <v>0</v>
      </c>
      <c r="Y960" s="97"/>
      <c r="AC960" s="103"/>
    </row>
    <row r="961" spans="1:29" ht="15.95" customHeight="1" x14ac:dyDescent="0.2">
      <c r="A961" s="665"/>
      <c r="B961" s="42">
        <v>2009</v>
      </c>
      <c r="C961" s="149" t="s">
        <v>412</v>
      </c>
      <c r="D961" s="303">
        <v>24</v>
      </c>
      <c r="E961" s="100">
        <v>1</v>
      </c>
      <c r="F961" s="101">
        <v>4.6946972000000002</v>
      </c>
      <c r="G961" s="100"/>
      <c r="H961" s="100">
        <v>42</v>
      </c>
      <c r="I961" s="101">
        <v>3</v>
      </c>
      <c r="J961" s="100">
        <v>37</v>
      </c>
      <c r="K961" s="100">
        <v>18</v>
      </c>
      <c r="L961" s="100">
        <f>36-L958</f>
        <v>18</v>
      </c>
      <c r="M961" s="100">
        <v>3</v>
      </c>
      <c r="N961" s="100"/>
      <c r="O961" s="100">
        <v>0</v>
      </c>
      <c r="P961" s="100">
        <v>0</v>
      </c>
      <c r="Q961" s="102">
        <v>1.073</v>
      </c>
      <c r="R961" s="100"/>
      <c r="S961" s="100">
        <v>5</v>
      </c>
      <c r="T961" s="100">
        <v>3</v>
      </c>
      <c r="U961" s="100"/>
      <c r="V961" s="666">
        <v>25</v>
      </c>
      <c r="W961" s="100"/>
      <c r="X961" s="97">
        <f t="shared" si="15"/>
        <v>0</v>
      </c>
      <c r="Y961" s="97"/>
      <c r="AC961" s="100"/>
    </row>
    <row r="962" spans="1:29" ht="15.95" customHeight="1" x14ac:dyDescent="0.2">
      <c r="A962" s="665"/>
      <c r="B962" s="43"/>
      <c r="C962" s="149" t="s">
        <v>413</v>
      </c>
      <c r="D962" s="303">
        <v>24</v>
      </c>
      <c r="E962" s="100">
        <v>0</v>
      </c>
      <c r="F962" s="101">
        <v>4.6946972000000002</v>
      </c>
      <c r="G962" s="100"/>
      <c r="H962" s="100">
        <v>0</v>
      </c>
      <c r="I962" s="101">
        <v>3</v>
      </c>
      <c r="J962" s="100">
        <v>37</v>
      </c>
      <c r="K962" s="100"/>
      <c r="L962" s="100">
        <v>18</v>
      </c>
      <c r="M962" s="100">
        <v>3</v>
      </c>
      <c r="N962" s="100"/>
      <c r="O962" s="100">
        <v>0</v>
      </c>
      <c r="P962" s="100">
        <v>0</v>
      </c>
      <c r="Q962" s="271"/>
      <c r="R962" s="100"/>
      <c r="S962" s="100">
        <v>5</v>
      </c>
      <c r="T962" s="100">
        <v>3</v>
      </c>
      <c r="U962" s="100"/>
      <c r="V962" s="666">
        <v>0</v>
      </c>
      <c r="W962" s="97"/>
      <c r="X962" s="97">
        <f t="shared" si="15"/>
        <v>0</v>
      </c>
      <c r="Y962" s="97"/>
      <c r="AC962" s="100"/>
    </row>
    <row r="963" spans="1:29" ht="15.95" customHeight="1" thickBot="1" x14ac:dyDescent="0.25">
      <c r="A963" s="669"/>
      <c r="B963" s="45"/>
      <c r="C963" s="151" t="s">
        <v>414</v>
      </c>
      <c r="D963" s="305"/>
      <c r="E963" s="105">
        <v>0</v>
      </c>
      <c r="F963" s="106">
        <v>0</v>
      </c>
      <c r="G963" s="105"/>
      <c r="H963" s="105">
        <v>0</v>
      </c>
      <c r="I963" s="106"/>
      <c r="J963" s="105">
        <v>0</v>
      </c>
      <c r="K963" s="105"/>
      <c r="L963" s="105"/>
      <c r="M963" s="105">
        <v>0</v>
      </c>
      <c r="N963" s="105"/>
      <c r="O963" s="105">
        <v>0</v>
      </c>
      <c r="P963" s="105">
        <v>0</v>
      </c>
      <c r="Q963" s="273">
        <v>0.17199999999999999</v>
      </c>
      <c r="R963" s="105"/>
      <c r="S963" s="105">
        <v>0</v>
      </c>
      <c r="T963" s="105">
        <v>0</v>
      </c>
      <c r="U963" s="105"/>
      <c r="V963" s="670">
        <v>0</v>
      </c>
      <c r="W963" s="97"/>
      <c r="X963" s="97">
        <f t="shared" si="15"/>
        <v>0</v>
      </c>
      <c r="Y963" s="97">
        <f>+IF((AC963-ROUND(AC963,-3)&gt;400)*AND(AC963-ROUND(AC963,-3)&lt;500),1,0)</f>
        <v>0</v>
      </c>
      <c r="AC963" s="105"/>
    </row>
    <row r="964" spans="1:29" ht="15.95" customHeight="1" thickTop="1" x14ac:dyDescent="0.2">
      <c r="A964" s="665" t="s">
        <v>244</v>
      </c>
      <c r="B964" s="42">
        <v>2008</v>
      </c>
      <c r="C964" s="148" t="s">
        <v>289</v>
      </c>
      <c r="D964" s="303">
        <v>18</v>
      </c>
      <c r="E964" s="100">
        <v>1</v>
      </c>
      <c r="F964" s="101">
        <v>4.6946972000000002</v>
      </c>
      <c r="G964" s="100"/>
      <c r="H964" s="100">
        <v>37</v>
      </c>
      <c r="I964" s="101">
        <v>3</v>
      </c>
      <c r="J964" s="100">
        <v>8</v>
      </c>
      <c r="K964" s="100">
        <v>18</v>
      </c>
      <c r="L964" s="100">
        <v>27</v>
      </c>
      <c r="M964" s="100">
        <v>3</v>
      </c>
      <c r="N964" s="100"/>
      <c r="O964" s="100">
        <v>0</v>
      </c>
      <c r="P964" s="100">
        <v>0</v>
      </c>
      <c r="Q964" s="271">
        <v>1.1319999999999999</v>
      </c>
      <c r="R964" s="100"/>
      <c r="S964" s="100">
        <v>5</v>
      </c>
      <c r="T964" s="100">
        <v>3</v>
      </c>
      <c r="U964" s="100">
        <v>11</v>
      </c>
      <c r="V964" s="666">
        <v>24</v>
      </c>
      <c r="W964" s="97"/>
      <c r="X964" s="97">
        <f t="shared" si="15"/>
        <v>11</v>
      </c>
      <c r="Y964" s="97"/>
      <c r="AC964" s="100">
        <v>11385.597082953509</v>
      </c>
    </row>
    <row r="965" spans="1:29" ht="15.95" customHeight="1" x14ac:dyDescent="0.2">
      <c r="A965" s="665"/>
      <c r="B965" s="43"/>
      <c r="C965" s="149" t="s">
        <v>290</v>
      </c>
      <c r="D965" s="303"/>
      <c r="E965" s="100">
        <v>0</v>
      </c>
      <c r="F965" s="101">
        <v>4.6946972000000002</v>
      </c>
      <c r="G965" s="100"/>
      <c r="H965" s="100">
        <v>30</v>
      </c>
      <c r="I965" s="101">
        <v>3</v>
      </c>
      <c r="J965" s="100">
        <v>8</v>
      </c>
      <c r="K965" s="100"/>
      <c r="L965" s="100">
        <v>27</v>
      </c>
      <c r="M965" s="100">
        <v>3</v>
      </c>
      <c r="N965" s="100"/>
      <c r="O965" s="100">
        <v>0</v>
      </c>
      <c r="P965" s="100">
        <v>0</v>
      </c>
      <c r="Q965" s="271">
        <v>0.73899999999999999</v>
      </c>
      <c r="R965" s="100"/>
      <c r="S965" s="100">
        <v>5</v>
      </c>
      <c r="T965" s="100">
        <v>3</v>
      </c>
      <c r="U965" s="100">
        <v>11</v>
      </c>
      <c r="V965" s="666">
        <v>24.107142857142854</v>
      </c>
      <c r="W965" s="97"/>
      <c r="X965" s="97">
        <f t="shared" si="15"/>
        <v>11</v>
      </c>
      <c r="Y965" s="97"/>
      <c r="AC965" s="100">
        <v>11385.597082953509</v>
      </c>
    </row>
    <row r="966" spans="1:29" ht="15.95" customHeight="1" x14ac:dyDescent="0.2">
      <c r="A966" s="667"/>
      <c r="B966" s="44"/>
      <c r="C966" s="150" t="s">
        <v>291</v>
      </c>
      <c r="D966" s="304"/>
      <c r="E966" s="103">
        <v>0</v>
      </c>
      <c r="F966" s="104">
        <v>1.1676688000000002</v>
      </c>
      <c r="G966" s="103"/>
      <c r="H966" s="103">
        <v>0</v>
      </c>
      <c r="I966" s="104"/>
      <c r="J966" s="103">
        <v>0</v>
      </c>
      <c r="K966" s="103"/>
      <c r="L966" s="103"/>
      <c r="M966" s="103">
        <v>0</v>
      </c>
      <c r="N966" s="103"/>
      <c r="O966" s="103">
        <v>0</v>
      </c>
      <c r="P966" s="103">
        <v>0</v>
      </c>
      <c r="Q966" s="272"/>
      <c r="R966" s="103"/>
      <c r="S966" s="103">
        <v>9</v>
      </c>
      <c r="T966" s="103">
        <v>0</v>
      </c>
      <c r="U966" s="103">
        <v>0</v>
      </c>
      <c r="V966" s="668">
        <v>0</v>
      </c>
      <c r="W966" s="97"/>
      <c r="X966" s="97">
        <f t="shared" si="15"/>
        <v>0</v>
      </c>
      <c r="Y966" s="97"/>
      <c r="AC966" s="103">
        <v>0</v>
      </c>
    </row>
    <row r="967" spans="1:29" ht="15.95" customHeight="1" x14ac:dyDescent="0.2">
      <c r="A967" s="665"/>
      <c r="B967" s="42">
        <v>2009</v>
      </c>
      <c r="C967" s="149" t="s">
        <v>412</v>
      </c>
      <c r="D967" s="303">
        <f>24+1</f>
        <v>25</v>
      </c>
      <c r="E967" s="100">
        <v>1</v>
      </c>
      <c r="F967" s="101">
        <v>4.6946972000000002</v>
      </c>
      <c r="G967" s="100"/>
      <c r="H967" s="100">
        <v>42</v>
      </c>
      <c r="I967" s="101">
        <v>3</v>
      </c>
      <c r="J967" s="100">
        <v>7</v>
      </c>
      <c r="K967" s="100">
        <v>18</v>
      </c>
      <c r="L967" s="100">
        <f>54-L964</f>
        <v>27</v>
      </c>
      <c r="M967" s="100">
        <v>3</v>
      </c>
      <c r="N967" s="100"/>
      <c r="O967" s="100">
        <v>0</v>
      </c>
      <c r="P967" s="100">
        <v>0</v>
      </c>
      <c r="Q967" s="102">
        <v>1.073</v>
      </c>
      <c r="R967" s="100"/>
      <c r="S967" s="100">
        <v>5</v>
      </c>
      <c r="T967" s="100">
        <v>3</v>
      </c>
      <c r="U967" s="100">
        <v>12</v>
      </c>
      <c r="V967" s="666">
        <v>25</v>
      </c>
      <c r="W967" s="100"/>
      <c r="X967" s="97">
        <f t="shared" si="15"/>
        <v>12</v>
      </c>
      <c r="Y967" s="97"/>
      <c r="AC967" s="100">
        <v>12477.52247752248</v>
      </c>
    </row>
    <row r="968" spans="1:29" ht="15.95" customHeight="1" x14ac:dyDescent="0.2">
      <c r="A968" s="665"/>
      <c r="B968" s="43"/>
      <c r="C968" s="149" t="s">
        <v>413</v>
      </c>
      <c r="D968" s="303">
        <v>6</v>
      </c>
      <c r="E968" s="100">
        <v>1</v>
      </c>
      <c r="F968" s="101">
        <v>0</v>
      </c>
      <c r="G968" s="100"/>
      <c r="H968" s="100">
        <v>36</v>
      </c>
      <c r="I968" s="101">
        <v>3</v>
      </c>
      <c r="J968" s="100">
        <v>7</v>
      </c>
      <c r="K968" s="100"/>
      <c r="L968" s="100">
        <v>27</v>
      </c>
      <c r="M968" s="100">
        <v>0</v>
      </c>
      <c r="N968" s="100"/>
      <c r="O968" s="100">
        <v>0</v>
      </c>
      <c r="P968" s="100">
        <v>0</v>
      </c>
      <c r="Q968" s="271"/>
      <c r="R968" s="100"/>
      <c r="S968" s="100">
        <v>0</v>
      </c>
      <c r="T968" s="100">
        <v>3</v>
      </c>
      <c r="U968" s="100">
        <v>12</v>
      </c>
      <c r="V968" s="666">
        <v>24</v>
      </c>
      <c r="W968" s="97"/>
      <c r="X968" s="97">
        <f t="shared" si="15"/>
        <v>12</v>
      </c>
      <c r="Y968" s="97"/>
      <c r="AC968" s="100">
        <v>12477.52247752248</v>
      </c>
    </row>
    <row r="969" spans="1:29" ht="15.95" customHeight="1" thickBot="1" x14ac:dyDescent="0.25">
      <c r="A969" s="669"/>
      <c r="B969" s="45"/>
      <c r="C969" s="151" t="s">
        <v>414</v>
      </c>
      <c r="D969" s="305">
        <v>18</v>
      </c>
      <c r="E969" s="105">
        <v>1</v>
      </c>
      <c r="F969" s="106">
        <v>0</v>
      </c>
      <c r="G969" s="105"/>
      <c r="H969" s="105">
        <v>7</v>
      </c>
      <c r="I969" s="106"/>
      <c r="J969" s="105">
        <v>0</v>
      </c>
      <c r="K969" s="105"/>
      <c r="L969" s="105"/>
      <c r="M969" s="105">
        <v>0</v>
      </c>
      <c r="N969" s="105"/>
      <c r="O969" s="105">
        <v>0</v>
      </c>
      <c r="P969" s="105">
        <v>0</v>
      </c>
      <c r="Q969" s="273">
        <v>0.17899999999999999</v>
      </c>
      <c r="R969" s="105"/>
      <c r="S969" s="105">
        <v>0</v>
      </c>
      <c r="T969" s="105">
        <v>0</v>
      </c>
      <c r="U969" s="105">
        <v>0</v>
      </c>
      <c r="V969" s="670">
        <v>0</v>
      </c>
      <c r="W969" s="97"/>
      <c r="X969" s="97">
        <f t="shared" si="15"/>
        <v>0</v>
      </c>
      <c r="Y969" s="97">
        <f>+IF((AC969-ROUND(AC969,-3)&gt;400)*AND(AC969-ROUND(AC969,-3)&lt;500),1,0)</f>
        <v>0</v>
      </c>
      <c r="AC969" s="105">
        <v>0</v>
      </c>
    </row>
    <row r="970" spans="1:29" ht="15.95" customHeight="1" thickTop="1" x14ac:dyDescent="0.2">
      <c r="A970" s="665" t="s">
        <v>349</v>
      </c>
      <c r="B970" s="42">
        <v>2008</v>
      </c>
      <c r="C970" s="148" t="s">
        <v>289</v>
      </c>
      <c r="D970" s="303">
        <v>18</v>
      </c>
      <c r="E970" s="100"/>
      <c r="F970" s="101">
        <v>4.6946972000000002</v>
      </c>
      <c r="G970" s="100"/>
      <c r="H970" s="100">
        <v>37</v>
      </c>
      <c r="I970" s="101">
        <v>3</v>
      </c>
      <c r="J970" s="100">
        <v>317</v>
      </c>
      <c r="K970" s="100">
        <v>18</v>
      </c>
      <c r="L970" s="100">
        <v>18</v>
      </c>
      <c r="M970" s="100">
        <v>3</v>
      </c>
      <c r="N970" s="100"/>
      <c r="O970" s="100">
        <v>0</v>
      </c>
      <c r="P970" s="100">
        <v>0</v>
      </c>
      <c r="Q970" s="271">
        <v>1.1319999999999999</v>
      </c>
      <c r="R970" s="100"/>
      <c r="S970" s="100">
        <v>5</v>
      </c>
      <c r="T970" s="100">
        <v>3</v>
      </c>
      <c r="U970" s="100"/>
      <c r="V970" s="666">
        <v>24</v>
      </c>
      <c r="W970" s="97"/>
      <c r="X970" s="97">
        <f t="shared" si="15"/>
        <v>0</v>
      </c>
      <c r="Y970" s="97"/>
      <c r="AC970" s="100"/>
    </row>
    <row r="971" spans="1:29" ht="15.95" customHeight="1" x14ac:dyDescent="0.2">
      <c r="A971" s="665" t="s">
        <v>348</v>
      </c>
      <c r="B971" s="43"/>
      <c r="C971" s="149" t="s">
        <v>290</v>
      </c>
      <c r="D971" s="303">
        <v>18</v>
      </c>
      <c r="E971" s="100"/>
      <c r="F971" s="101">
        <v>0</v>
      </c>
      <c r="G971" s="100"/>
      <c r="H971" s="100">
        <v>0</v>
      </c>
      <c r="I971" s="101">
        <f>3-3</f>
        <v>0</v>
      </c>
      <c r="J971" s="100">
        <v>317</v>
      </c>
      <c r="K971" s="100"/>
      <c r="L971" s="100">
        <v>18</v>
      </c>
      <c r="M971" s="100">
        <v>3</v>
      </c>
      <c r="N971" s="100"/>
      <c r="O971" s="100">
        <v>0</v>
      </c>
      <c r="P971" s="100">
        <v>0</v>
      </c>
      <c r="Q971" s="271"/>
      <c r="R971" s="100"/>
      <c r="S971" s="100">
        <v>5</v>
      </c>
      <c r="T971" s="100">
        <v>3</v>
      </c>
      <c r="U971" s="100"/>
      <c r="V971" s="666">
        <v>24.107142857142854</v>
      </c>
      <c r="W971" s="97"/>
      <c r="X971" s="97">
        <f t="shared" si="15"/>
        <v>0</v>
      </c>
      <c r="Y971" s="97"/>
      <c r="AC971" s="100"/>
    </row>
    <row r="972" spans="1:29" ht="15.95" customHeight="1" x14ac:dyDescent="0.2">
      <c r="A972" s="667"/>
      <c r="B972" s="44"/>
      <c r="C972" s="150" t="s">
        <v>291</v>
      </c>
      <c r="D972" s="304">
        <v>20</v>
      </c>
      <c r="E972" s="103"/>
      <c r="F972" s="104">
        <v>0</v>
      </c>
      <c r="G972" s="103"/>
      <c r="H972" s="103">
        <v>30</v>
      </c>
      <c r="I972" s="104">
        <v>3</v>
      </c>
      <c r="J972" s="103">
        <v>0</v>
      </c>
      <c r="K972" s="103"/>
      <c r="L972" s="103"/>
      <c r="M972" s="103">
        <v>0</v>
      </c>
      <c r="N972" s="103"/>
      <c r="O972" s="103">
        <v>0</v>
      </c>
      <c r="P972" s="103">
        <v>0</v>
      </c>
      <c r="Q972" s="272"/>
      <c r="R972" s="103"/>
      <c r="S972" s="103">
        <v>4</v>
      </c>
      <c r="T972" s="103">
        <v>0</v>
      </c>
      <c r="U972" s="103"/>
      <c r="V972" s="668">
        <v>0</v>
      </c>
      <c r="W972" s="97"/>
      <c r="X972" s="97">
        <f t="shared" si="15"/>
        <v>0</v>
      </c>
      <c r="Y972" s="97"/>
      <c r="AC972" s="103"/>
    </row>
    <row r="973" spans="1:29" ht="15.95" customHeight="1" x14ac:dyDescent="0.2">
      <c r="A973" s="665"/>
      <c r="B973" s="42">
        <v>2009</v>
      </c>
      <c r="C973" s="149" t="s">
        <v>412</v>
      </c>
      <c r="D973" s="303">
        <v>24</v>
      </c>
      <c r="E973" s="100">
        <v>0</v>
      </c>
      <c r="F973" s="101">
        <v>4.6946972000000002</v>
      </c>
      <c r="G973" s="100"/>
      <c r="H973" s="100">
        <v>42</v>
      </c>
      <c r="I973" s="101">
        <v>3</v>
      </c>
      <c r="J973" s="100">
        <v>254</v>
      </c>
      <c r="K973" s="100">
        <v>18</v>
      </c>
      <c r="L973" s="100">
        <f>36-L970</f>
        <v>18</v>
      </c>
      <c r="M973" s="100">
        <v>3</v>
      </c>
      <c r="N973" s="100"/>
      <c r="O973" s="100">
        <v>0</v>
      </c>
      <c r="P973" s="100">
        <v>0</v>
      </c>
      <c r="Q973" s="102">
        <v>1.073</v>
      </c>
      <c r="R973" s="100"/>
      <c r="S973" s="100">
        <v>5</v>
      </c>
      <c r="T973" s="100">
        <v>3</v>
      </c>
      <c r="U973" s="100"/>
      <c r="V973" s="666">
        <v>25</v>
      </c>
      <c r="W973" s="100"/>
      <c r="X973" s="97">
        <f t="shared" si="15"/>
        <v>0</v>
      </c>
      <c r="Y973" s="97"/>
      <c r="AC973" s="100"/>
    </row>
    <row r="974" spans="1:29" ht="15.95" customHeight="1" x14ac:dyDescent="0.2">
      <c r="A974" s="665"/>
      <c r="B974" s="43"/>
      <c r="C974" s="149" t="s">
        <v>413</v>
      </c>
      <c r="D974" s="303">
        <v>24</v>
      </c>
      <c r="E974" s="100">
        <v>0</v>
      </c>
      <c r="F974" s="101">
        <v>2.5252072000000001</v>
      </c>
      <c r="G974" s="100"/>
      <c r="H974" s="100">
        <v>1</v>
      </c>
      <c r="I974" s="101"/>
      <c r="J974" s="100">
        <v>254</v>
      </c>
      <c r="K974" s="100"/>
      <c r="L974" s="100">
        <v>18</v>
      </c>
      <c r="M974" s="100">
        <v>3</v>
      </c>
      <c r="N974" s="100"/>
      <c r="O974" s="100">
        <v>0</v>
      </c>
      <c r="P974" s="100">
        <v>0</v>
      </c>
      <c r="Q974" s="271"/>
      <c r="R974" s="100"/>
      <c r="S974" s="100">
        <v>5</v>
      </c>
      <c r="T974" s="100">
        <v>0</v>
      </c>
      <c r="U974" s="100"/>
      <c r="V974" s="666">
        <v>0</v>
      </c>
      <c r="W974" s="97"/>
      <c r="X974" s="97">
        <f t="shared" si="15"/>
        <v>0</v>
      </c>
      <c r="Y974" s="97"/>
      <c r="AC974" s="100"/>
    </row>
    <row r="975" spans="1:29" ht="15.95" customHeight="1" thickBot="1" x14ac:dyDescent="0.25">
      <c r="A975" s="669"/>
      <c r="B975" s="45"/>
      <c r="C975" s="151" t="s">
        <v>414</v>
      </c>
      <c r="D975" s="305">
        <v>0</v>
      </c>
      <c r="E975" s="105">
        <v>0</v>
      </c>
      <c r="F975" s="106">
        <v>4.6946972000000002</v>
      </c>
      <c r="G975" s="105"/>
      <c r="H975" s="105">
        <v>43</v>
      </c>
      <c r="I975" s="106">
        <v>3</v>
      </c>
      <c r="J975" s="105">
        <v>0</v>
      </c>
      <c r="K975" s="105">
        <v>18</v>
      </c>
      <c r="L975" s="105"/>
      <c r="M975" s="105">
        <v>0</v>
      </c>
      <c r="N975" s="105"/>
      <c r="O975" s="105">
        <v>0</v>
      </c>
      <c r="P975" s="105">
        <v>0</v>
      </c>
      <c r="Q975" s="273"/>
      <c r="R975" s="105"/>
      <c r="S975" s="105">
        <v>0</v>
      </c>
      <c r="T975" s="105">
        <v>0</v>
      </c>
      <c r="U975" s="105"/>
      <c r="V975" s="670">
        <v>0</v>
      </c>
      <c r="W975" s="97"/>
      <c r="X975" s="97">
        <f t="shared" si="15"/>
        <v>0</v>
      </c>
      <c r="Y975" s="97">
        <f>+IF((AC975-ROUND(AC975,-3)&gt;400)*AND(AC975-ROUND(AC975,-3)&lt;500),1,0)</f>
        <v>0</v>
      </c>
      <c r="AC975" s="105"/>
    </row>
    <row r="976" spans="1:29" ht="15.95" customHeight="1" thickTop="1" x14ac:dyDescent="0.2">
      <c r="A976" s="665" t="s">
        <v>245</v>
      </c>
      <c r="B976" s="42">
        <v>2008</v>
      </c>
      <c r="C976" s="148" t="s">
        <v>289</v>
      </c>
      <c r="D976" s="303">
        <v>18</v>
      </c>
      <c r="E976" s="100">
        <v>1</v>
      </c>
      <c r="F976" s="101">
        <v>4.6946972000000002</v>
      </c>
      <c r="G976" s="100"/>
      <c r="H976" s="100">
        <v>37</v>
      </c>
      <c r="I976" s="101">
        <v>3</v>
      </c>
      <c r="J976" s="100">
        <v>8</v>
      </c>
      <c r="K976" s="100">
        <v>18</v>
      </c>
      <c r="L976" s="100"/>
      <c r="M976" s="100">
        <v>3</v>
      </c>
      <c r="N976" s="100"/>
      <c r="O976" s="100">
        <v>0</v>
      </c>
      <c r="P976" s="100">
        <v>0</v>
      </c>
      <c r="Q976" s="271"/>
      <c r="R976" s="100"/>
      <c r="S976" s="100">
        <v>5</v>
      </c>
      <c r="T976" s="100">
        <v>1</v>
      </c>
      <c r="U976" s="100">
        <v>11</v>
      </c>
      <c r="V976" s="666"/>
      <c r="W976" s="97"/>
      <c r="X976" s="97">
        <f t="shared" si="15"/>
        <v>11</v>
      </c>
      <c r="Y976" s="97"/>
      <c r="AC976" s="100">
        <v>11385.597082953509</v>
      </c>
    </row>
    <row r="977" spans="1:29" ht="15.95" customHeight="1" x14ac:dyDescent="0.2">
      <c r="A977" s="665"/>
      <c r="B977" s="43"/>
      <c r="C977" s="149" t="s">
        <v>290</v>
      </c>
      <c r="D977" s="303">
        <v>18</v>
      </c>
      <c r="E977" s="100">
        <v>1</v>
      </c>
      <c r="F977" s="101">
        <v>4.6946972000000002</v>
      </c>
      <c r="G977" s="100"/>
      <c r="H977" s="100">
        <v>37</v>
      </c>
      <c r="I977" s="101">
        <v>3</v>
      </c>
      <c r="J977" s="100">
        <v>8</v>
      </c>
      <c r="K977" s="100">
        <v>18</v>
      </c>
      <c r="L977" s="100"/>
      <c r="M977" s="100">
        <v>3</v>
      </c>
      <c r="N977" s="100"/>
      <c r="O977" s="100">
        <v>0</v>
      </c>
      <c r="P977" s="100">
        <v>0</v>
      </c>
      <c r="Q977" s="271"/>
      <c r="R977" s="100"/>
      <c r="S977" s="100">
        <v>5</v>
      </c>
      <c r="T977" s="100">
        <v>1</v>
      </c>
      <c r="U977" s="100">
        <v>11</v>
      </c>
      <c r="V977" s="666"/>
      <c r="W977" s="97"/>
      <c r="X977" s="97">
        <f t="shared" si="15"/>
        <v>11</v>
      </c>
      <c r="Y977" s="97"/>
      <c r="AC977" s="100">
        <v>11385.597082953509</v>
      </c>
    </row>
    <row r="978" spans="1:29" ht="15.95" customHeight="1" x14ac:dyDescent="0.2">
      <c r="A978" s="667"/>
      <c r="B978" s="44"/>
      <c r="C978" s="150" t="s">
        <v>291</v>
      </c>
      <c r="D978" s="304"/>
      <c r="E978" s="103">
        <v>0</v>
      </c>
      <c r="F978" s="104">
        <v>0</v>
      </c>
      <c r="G978" s="103"/>
      <c r="H978" s="103">
        <v>0</v>
      </c>
      <c r="I978" s="104"/>
      <c r="J978" s="103">
        <v>0</v>
      </c>
      <c r="K978" s="103"/>
      <c r="L978" s="103"/>
      <c r="M978" s="103">
        <v>0</v>
      </c>
      <c r="N978" s="103"/>
      <c r="O978" s="103">
        <v>0</v>
      </c>
      <c r="P978" s="103">
        <v>0</v>
      </c>
      <c r="Q978" s="272"/>
      <c r="R978" s="103"/>
      <c r="S978" s="103">
        <v>0</v>
      </c>
      <c r="T978" s="103">
        <v>0</v>
      </c>
      <c r="U978" s="103">
        <v>11</v>
      </c>
      <c r="V978" s="668"/>
      <c r="W978" s="97"/>
      <c r="X978" s="97">
        <f t="shared" si="15"/>
        <v>11</v>
      </c>
      <c r="Y978" s="97"/>
      <c r="AC978" s="103">
        <v>11385.597082953509</v>
      </c>
    </row>
    <row r="979" spans="1:29" ht="15.95" customHeight="1" x14ac:dyDescent="0.2">
      <c r="A979" s="665"/>
      <c r="B979" s="42">
        <v>2009</v>
      </c>
      <c r="C979" s="149" t="s">
        <v>412</v>
      </c>
      <c r="D979" s="303">
        <v>24</v>
      </c>
      <c r="E979" s="100">
        <v>1</v>
      </c>
      <c r="F979" s="101">
        <v>4.6946972000000002</v>
      </c>
      <c r="G979" s="100"/>
      <c r="H979" s="100">
        <v>42</v>
      </c>
      <c r="I979" s="101">
        <v>3</v>
      </c>
      <c r="J979" s="100">
        <v>7</v>
      </c>
      <c r="K979" s="100">
        <v>18</v>
      </c>
      <c r="L979" s="100"/>
      <c r="M979" s="100">
        <v>3</v>
      </c>
      <c r="N979" s="100"/>
      <c r="O979" s="100">
        <v>0</v>
      </c>
      <c r="P979" s="100">
        <v>0</v>
      </c>
      <c r="Q979" s="271"/>
      <c r="R979" s="100"/>
      <c r="S979" s="100">
        <v>5</v>
      </c>
      <c r="T979" s="100">
        <v>1</v>
      </c>
      <c r="U979" s="100">
        <v>12</v>
      </c>
      <c r="V979" s="666"/>
      <c r="W979" s="100"/>
      <c r="X979" s="97">
        <f t="shared" si="15"/>
        <v>12</v>
      </c>
      <c r="Y979" s="97"/>
      <c r="AC979" s="100">
        <v>12477.52247752248</v>
      </c>
    </row>
    <row r="980" spans="1:29" ht="15.95" customHeight="1" x14ac:dyDescent="0.2">
      <c r="A980" s="665"/>
      <c r="B980" s="43"/>
      <c r="C980" s="149" t="s">
        <v>413</v>
      </c>
      <c r="D980" s="303">
        <v>24</v>
      </c>
      <c r="E980" s="100">
        <v>0</v>
      </c>
      <c r="F980" s="101">
        <v>4.6946972000000002</v>
      </c>
      <c r="G980" s="100"/>
      <c r="H980" s="100">
        <v>42</v>
      </c>
      <c r="I980" s="101">
        <v>3</v>
      </c>
      <c r="J980" s="100">
        <v>7</v>
      </c>
      <c r="K980" s="100">
        <v>18</v>
      </c>
      <c r="L980" s="100"/>
      <c r="M980" s="100">
        <v>3</v>
      </c>
      <c r="N980" s="100"/>
      <c r="O980" s="100">
        <v>0</v>
      </c>
      <c r="P980" s="100">
        <v>0</v>
      </c>
      <c r="Q980" s="271"/>
      <c r="R980" s="100"/>
      <c r="S980" s="100">
        <v>5</v>
      </c>
      <c r="T980" s="100">
        <v>1</v>
      </c>
      <c r="U980" s="100">
        <v>12</v>
      </c>
      <c r="V980" s="666"/>
      <c r="W980" s="97"/>
      <c r="X980" s="97">
        <f t="shared" si="15"/>
        <v>12</v>
      </c>
      <c r="Y980" s="97"/>
      <c r="AC980" s="100">
        <v>12477.52247752248</v>
      </c>
    </row>
    <row r="981" spans="1:29" ht="15.95" customHeight="1" thickBot="1" x14ac:dyDescent="0.25">
      <c r="A981" s="669"/>
      <c r="B981" s="45"/>
      <c r="C981" s="151" t="s">
        <v>414</v>
      </c>
      <c r="D981" s="305"/>
      <c r="E981" s="105">
        <v>1</v>
      </c>
      <c r="F981" s="106">
        <v>0</v>
      </c>
      <c r="G981" s="105"/>
      <c r="H981" s="105">
        <v>0</v>
      </c>
      <c r="I981" s="106"/>
      <c r="J981" s="105">
        <v>0</v>
      </c>
      <c r="K981" s="105"/>
      <c r="L981" s="105"/>
      <c r="M981" s="105">
        <v>0</v>
      </c>
      <c r="N981" s="105"/>
      <c r="O981" s="105">
        <v>0</v>
      </c>
      <c r="P981" s="105">
        <v>0</v>
      </c>
      <c r="Q981" s="273"/>
      <c r="R981" s="105"/>
      <c r="S981" s="105">
        <v>0</v>
      </c>
      <c r="T981" s="105">
        <v>0</v>
      </c>
      <c r="U981" s="105">
        <v>0</v>
      </c>
      <c r="V981" s="670"/>
      <c r="W981" s="97"/>
      <c r="X981" s="97">
        <f t="shared" si="15"/>
        <v>0</v>
      </c>
      <c r="Y981" s="97">
        <f>+IF((AC981-ROUND(AC981,-3)&gt;400)*AND(AC981-ROUND(AC981,-3)&lt;500),1,0)</f>
        <v>0</v>
      </c>
      <c r="AC981" s="105">
        <v>0</v>
      </c>
    </row>
    <row r="982" spans="1:29" ht="15.95" customHeight="1" thickTop="1" x14ac:dyDescent="0.2">
      <c r="A982" s="665" t="s">
        <v>246</v>
      </c>
      <c r="B982" s="42">
        <v>2008</v>
      </c>
      <c r="C982" s="148" t="s">
        <v>289</v>
      </c>
      <c r="D982" s="303">
        <v>55</v>
      </c>
      <c r="E982" s="100">
        <v>4</v>
      </c>
      <c r="F982" s="101">
        <v>14.084118800000001</v>
      </c>
      <c r="G982" s="100"/>
      <c r="H982" s="100">
        <v>37</v>
      </c>
      <c r="I982" s="101">
        <v>10</v>
      </c>
      <c r="J982" s="100">
        <v>8</v>
      </c>
      <c r="K982" s="100">
        <v>71</v>
      </c>
      <c r="L982" s="100"/>
      <c r="M982" s="100">
        <v>9</v>
      </c>
      <c r="N982" s="100"/>
      <c r="O982" s="100"/>
      <c r="P982" s="100">
        <v>1</v>
      </c>
      <c r="Q982" s="271"/>
      <c r="R982" s="100">
        <v>70</v>
      </c>
      <c r="S982" s="100">
        <v>14</v>
      </c>
      <c r="T982" s="100">
        <v>11</v>
      </c>
      <c r="U982" s="100"/>
      <c r="V982" s="666"/>
      <c r="W982" s="97"/>
      <c r="X982" s="97">
        <f t="shared" si="15"/>
        <v>0</v>
      </c>
      <c r="Y982" s="97"/>
      <c r="AC982" s="100"/>
    </row>
    <row r="983" spans="1:29" ht="15.95" customHeight="1" x14ac:dyDescent="0.2">
      <c r="A983" s="665"/>
      <c r="B983" s="43"/>
      <c r="C983" s="149" t="s">
        <v>290</v>
      </c>
      <c r="D983" s="303">
        <v>55</v>
      </c>
      <c r="E983" s="100">
        <v>4</v>
      </c>
      <c r="F983" s="101">
        <v>14.084118800000001</v>
      </c>
      <c r="G983" s="100"/>
      <c r="H983" s="100">
        <v>37</v>
      </c>
      <c r="I983" s="101">
        <v>10</v>
      </c>
      <c r="J983" s="100">
        <v>8</v>
      </c>
      <c r="K983" s="100">
        <v>71</v>
      </c>
      <c r="L983" s="100"/>
      <c r="M983" s="100">
        <v>9</v>
      </c>
      <c r="N983" s="100"/>
      <c r="O983" s="100"/>
      <c r="P983" s="100">
        <v>1</v>
      </c>
      <c r="Q983" s="271"/>
      <c r="R983" s="100">
        <v>70</v>
      </c>
      <c r="S983" s="100">
        <v>14</v>
      </c>
      <c r="T983" s="100">
        <v>11</v>
      </c>
      <c r="U983" s="100"/>
      <c r="V983" s="666"/>
      <c r="W983" s="97"/>
      <c r="X983" s="97">
        <f t="shared" si="15"/>
        <v>0</v>
      </c>
      <c r="Y983" s="97"/>
      <c r="AC983" s="100"/>
    </row>
    <row r="984" spans="1:29" ht="15.95" customHeight="1" x14ac:dyDescent="0.2">
      <c r="A984" s="667"/>
      <c r="B984" s="44"/>
      <c r="C984" s="150" t="s">
        <v>291</v>
      </c>
      <c r="D984" s="304"/>
      <c r="E984" s="103">
        <v>0</v>
      </c>
      <c r="F984" s="104">
        <v>0</v>
      </c>
      <c r="G984" s="103"/>
      <c r="H984" s="103">
        <v>0</v>
      </c>
      <c r="I984" s="104"/>
      <c r="J984" s="103">
        <v>7</v>
      </c>
      <c r="K984" s="103"/>
      <c r="L984" s="103"/>
      <c r="M984" s="103">
        <v>0</v>
      </c>
      <c r="N984" s="103"/>
      <c r="O984" s="103"/>
      <c r="P984" s="103">
        <v>0</v>
      </c>
      <c r="Q984" s="272"/>
      <c r="R984" s="103">
        <v>0</v>
      </c>
      <c r="S984" s="103">
        <v>0</v>
      </c>
      <c r="T984" s="103">
        <v>0</v>
      </c>
      <c r="U984" s="103"/>
      <c r="V984" s="668"/>
      <c r="W984" s="97"/>
      <c r="X984" s="97">
        <f t="shared" si="15"/>
        <v>0</v>
      </c>
      <c r="Y984" s="97"/>
      <c r="AC984" s="103"/>
    </row>
    <row r="985" spans="1:29" ht="15.95" customHeight="1" x14ac:dyDescent="0.2">
      <c r="A985" s="665"/>
      <c r="B985" s="42">
        <v>2009</v>
      </c>
      <c r="C985" s="149" t="s">
        <v>412</v>
      </c>
      <c r="D985" s="303">
        <v>73</v>
      </c>
      <c r="E985" s="100">
        <v>4</v>
      </c>
      <c r="F985" s="101">
        <v>14.084118800000001</v>
      </c>
      <c r="G985" s="100"/>
      <c r="H985" s="100">
        <v>42</v>
      </c>
      <c r="I985" s="101">
        <v>10</v>
      </c>
      <c r="J985" s="100">
        <v>7</v>
      </c>
      <c r="K985" s="100">
        <v>71</v>
      </c>
      <c r="L985" s="100"/>
      <c r="M985" s="100">
        <v>9</v>
      </c>
      <c r="N985" s="100"/>
      <c r="O985" s="100"/>
      <c r="P985" s="100">
        <v>1</v>
      </c>
      <c r="Q985" s="271"/>
      <c r="R985" s="100">
        <v>72</v>
      </c>
      <c r="S985" s="100">
        <v>14</v>
      </c>
      <c r="T985" s="100">
        <v>11</v>
      </c>
      <c r="U985" s="100"/>
      <c r="V985" s="666"/>
      <c r="W985" s="100"/>
      <c r="X985" s="97">
        <f t="shared" si="15"/>
        <v>0</v>
      </c>
      <c r="Y985" s="97"/>
      <c r="AC985" s="100"/>
    </row>
    <row r="986" spans="1:29" ht="15.95" customHeight="1" x14ac:dyDescent="0.2">
      <c r="A986" s="665"/>
      <c r="B986" s="43"/>
      <c r="C986" s="149" t="s">
        <v>413</v>
      </c>
      <c r="D986" s="303">
        <v>73</v>
      </c>
      <c r="E986" s="100">
        <v>3</v>
      </c>
      <c r="F986" s="101">
        <v>14.084118800000001</v>
      </c>
      <c r="G986" s="100"/>
      <c r="H986" s="100">
        <v>42</v>
      </c>
      <c r="I986" s="101">
        <v>10</v>
      </c>
      <c r="J986" s="100">
        <v>7</v>
      </c>
      <c r="K986" s="100">
        <v>71</v>
      </c>
      <c r="L986" s="100"/>
      <c r="M986" s="100">
        <v>9</v>
      </c>
      <c r="N986" s="100"/>
      <c r="O986" s="100"/>
      <c r="P986" s="100">
        <v>1</v>
      </c>
      <c r="Q986" s="271"/>
      <c r="R986" s="100">
        <v>72</v>
      </c>
      <c r="S986" s="100">
        <v>14</v>
      </c>
      <c r="T986" s="100">
        <v>11</v>
      </c>
      <c r="U986" s="100"/>
      <c r="V986" s="666"/>
      <c r="W986" s="97"/>
      <c r="X986" s="97">
        <f t="shared" si="15"/>
        <v>0</v>
      </c>
      <c r="Y986" s="97"/>
      <c r="AC986" s="100"/>
    </row>
    <row r="987" spans="1:29" ht="15.95" customHeight="1" thickBot="1" x14ac:dyDescent="0.25">
      <c r="A987" s="669"/>
      <c r="B987" s="45"/>
      <c r="C987" s="151" t="s">
        <v>414</v>
      </c>
      <c r="D987" s="305"/>
      <c r="E987" s="105">
        <v>0</v>
      </c>
      <c r="F987" s="106">
        <v>0</v>
      </c>
      <c r="G987" s="105"/>
      <c r="H987" s="105">
        <v>0</v>
      </c>
      <c r="I987" s="106"/>
      <c r="J987" s="105">
        <v>0</v>
      </c>
      <c r="K987" s="105"/>
      <c r="L987" s="105"/>
      <c r="M987" s="105">
        <v>0</v>
      </c>
      <c r="N987" s="105"/>
      <c r="O987" s="105"/>
      <c r="P987" s="105">
        <v>0</v>
      </c>
      <c r="Q987" s="273"/>
      <c r="R987" s="105">
        <v>0</v>
      </c>
      <c r="S987" s="105">
        <v>0</v>
      </c>
      <c r="T987" s="105">
        <v>0</v>
      </c>
      <c r="U987" s="105"/>
      <c r="V987" s="670"/>
      <c r="W987" s="97"/>
      <c r="X987" s="97">
        <f t="shared" si="15"/>
        <v>0</v>
      </c>
      <c r="Y987" s="97">
        <f>+IF((AC987-ROUND(AC987,-3)&gt;400)*AND(AC987-ROUND(AC987,-3)&lt;500),1,0)</f>
        <v>0</v>
      </c>
      <c r="AC987" s="105"/>
    </row>
    <row r="988" spans="1:29" ht="15.95" customHeight="1" thickTop="1" x14ac:dyDescent="0.2">
      <c r="A988" s="665" t="s">
        <v>247</v>
      </c>
      <c r="B988" s="42">
        <v>2008</v>
      </c>
      <c r="C988" s="148" t="s">
        <v>289</v>
      </c>
      <c r="D988" s="303">
        <v>18</v>
      </c>
      <c r="E988" s="100">
        <v>1</v>
      </c>
      <c r="F988" s="101">
        <v>4.6946972000000002</v>
      </c>
      <c r="G988" s="100"/>
      <c r="H988" s="100">
        <v>37</v>
      </c>
      <c r="I988" s="101">
        <v>3</v>
      </c>
      <c r="J988" s="100">
        <v>8</v>
      </c>
      <c r="K988" s="100">
        <v>17</v>
      </c>
      <c r="L988" s="100"/>
      <c r="M988" s="100">
        <v>3</v>
      </c>
      <c r="N988" s="100"/>
      <c r="O988" s="100">
        <v>0</v>
      </c>
      <c r="P988" s="100">
        <v>0</v>
      </c>
      <c r="Q988" s="271">
        <v>1.1319999999999999</v>
      </c>
      <c r="R988" s="100">
        <v>28</v>
      </c>
      <c r="S988" s="100">
        <v>5</v>
      </c>
      <c r="T988" s="100">
        <v>1</v>
      </c>
      <c r="U988" s="100">
        <v>11</v>
      </c>
      <c r="V988" s="666"/>
      <c r="W988" s="97"/>
      <c r="X988" s="97">
        <f t="shared" si="15"/>
        <v>11</v>
      </c>
      <c r="Y988" s="97"/>
      <c r="AC988" s="100">
        <v>11385.597082953509</v>
      </c>
    </row>
    <row r="989" spans="1:29" ht="15.95" customHeight="1" x14ac:dyDescent="0.2">
      <c r="A989" s="665"/>
      <c r="B989" s="43"/>
      <c r="C989" s="149" t="s">
        <v>290</v>
      </c>
      <c r="D989" s="303"/>
      <c r="E989" s="100">
        <v>0</v>
      </c>
      <c r="F989" s="101">
        <v>0</v>
      </c>
      <c r="G989" s="100"/>
      <c r="H989" s="100">
        <v>0</v>
      </c>
      <c r="I989" s="101"/>
      <c r="J989" s="100">
        <v>0</v>
      </c>
      <c r="K989" s="100">
        <v>17</v>
      </c>
      <c r="L989" s="100"/>
      <c r="M989" s="100">
        <v>0</v>
      </c>
      <c r="N989" s="100"/>
      <c r="O989" s="100">
        <v>0</v>
      </c>
      <c r="P989" s="100">
        <v>0</v>
      </c>
      <c r="Q989" s="271"/>
      <c r="R989" s="100">
        <v>0</v>
      </c>
      <c r="S989" s="100">
        <v>5</v>
      </c>
      <c r="T989" s="100">
        <v>0</v>
      </c>
      <c r="U989" s="100">
        <v>0</v>
      </c>
      <c r="V989" s="666"/>
      <c r="W989" s="97"/>
      <c r="X989" s="97">
        <f t="shared" si="15"/>
        <v>0</v>
      </c>
      <c r="Y989" s="97"/>
      <c r="AC989" s="100">
        <v>0</v>
      </c>
    </row>
    <row r="990" spans="1:29" ht="15.95" customHeight="1" x14ac:dyDescent="0.2">
      <c r="A990" s="667"/>
      <c r="B990" s="44"/>
      <c r="C990" s="150" t="s">
        <v>291</v>
      </c>
      <c r="D990" s="304"/>
      <c r="E990" s="103">
        <v>0</v>
      </c>
      <c r="F990" s="104">
        <v>0</v>
      </c>
      <c r="G990" s="103"/>
      <c r="H990" s="103">
        <v>0</v>
      </c>
      <c r="I990" s="104">
        <v>12</v>
      </c>
      <c r="J990" s="103">
        <v>0</v>
      </c>
      <c r="K990" s="103"/>
      <c r="L990" s="103"/>
      <c r="M990" s="103">
        <v>0</v>
      </c>
      <c r="N990" s="103"/>
      <c r="O990" s="103">
        <v>0</v>
      </c>
      <c r="P990" s="103">
        <v>0</v>
      </c>
      <c r="Q990" s="272"/>
      <c r="R990" s="103">
        <v>0</v>
      </c>
      <c r="S990" s="103">
        <v>0</v>
      </c>
      <c r="T990" s="103">
        <v>0</v>
      </c>
      <c r="U990" s="103">
        <v>0</v>
      </c>
      <c r="V990" s="668"/>
      <c r="W990" s="97"/>
      <c r="X990" s="97">
        <f t="shared" si="15"/>
        <v>0</v>
      </c>
      <c r="Y990" s="97"/>
      <c r="AC990" s="103">
        <v>0</v>
      </c>
    </row>
    <row r="991" spans="1:29" ht="15.95" customHeight="1" x14ac:dyDescent="0.2">
      <c r="A991" s="665"/>
      <c r="B991" s="42">
        <v>2009</v>
      </c>
      <c r="C991" s="149" t="s">
        <v>412</v>
      </c>
      <c r="D991" s="303">
        <v>24</v>
      </c>
      <c r="E991" s="100">
        <v>1</v>
      </c>
      <c r="F991" s="101">
        <v>4.6946972000000002</v>
      </c>
      <c r="G991" s="100"/>
      <c r="H991" s="100">
        <v>42</v>
      </c>
      <c r="I991" s="101">
        <v>3</v>
      </c>
      <c r="J991" s="100">
        <v>7</v>
      </c>
      <c r="K991" s="100">
        <v>17</v>
      </c>
      <c r="L991" s="100"/>
      <c r="M991" s="100">
        <v>3</v>
      </c>
      <c r="N991" s="100"/>
      <c r="O991" s="100">
        <v>0</v>
      </c>
      <c r="P991" s="100">
        <v>0</v>
      </c>
      <c r="Q991" s="102">
        <v>1.073</v>
      </c>
      <c r="R991" s="100">
        <v>29</v>
      </c>
      <c r="S991" s="100">
        <v>5</v>
      </c>
      <c r="T991" s="100">
        <v>1</v>
      </c>
      <c r="U991" s="100">
        <v>12</v>
      </c>
      <c r="V991" s="666"/>
      <c r="W991" s="100"/>
      <c r="X991" s="97">
        <f t="shared" si="15"/>
        <v>12</v>
      </c>
      <c r="Y991" s="97"/>
      <c r="AC991" s="100">
        <v>12477.52247752248</v>
      </c>
    </row>
    <row r="992" spans="1:29" ht="15.95" customHeight="1" x14ac:dyDescent="0.2">
      <c r="A992" s="665"/>
      <c r="B992" s="43"/>
      <c r="C992" s="149" t="s">
        <v>413</v>
      </c>
      <c r="D992" s="303"/>
      <c r="E992" s="100">
        <v>0</v>
      </c>
      <c r="F992" s="101">
        <v>0</v>
      </c>
      <c r="G992" s="100"/>
      <c r="H992" s="100">
        <v>0</v>
      </c>
      <c r="I992" s="101"/>
      <c r="J992" s="100">
        <v>0</v>
      </c>
      <c r="K992" s="100">
        <v>17</v>
      </c>
      <c r="L992" s="100"/>
      <c r="M992" s="100">
        <v>0</v>
      </c>
      <c r="N992" s="100"/>
      <c r="O992" s="100">
        <v>0</v>
      </c>
      <c r="P992" s="100">
        <v>0</v>
      </c>
      <c r="Q992" s="271"/>
      <c r="R992" s="100">
        <v>0</v>
      </c>
      <c r="S992" s="100">
        <v>5</v>
      </c>
      <c r="T992" s="100">
        <v>0</v>
      </c>
      <c r="U992" s="100">
        <v>0</v>
      </c>
      <c r="V992" s="666"/>
      <c r="W992" s="97"/>
      <c r="X992" s="97">
        <f t="shared" si="15"/>
        <v>0</v>
      </c>
      <c r="Y992" s="97"/>
      <c r="AC992" s="100">
        <v>0</v>
      </c>
    </row>
    <row r="993" spans="1:29" ht="15.95" customHeight="1" thickBot="1" x14ac:dyDescent="0.25">
      <c r="A993" s="669"/>
      <c r="B993" s="45"/>
      <c r="C993" s="151" t="s">
        <v>414</v>
      </c>
      <c r="D993" s="305"/>
      <c r="E993" s="105">
        <v>0</v>
      </c>
      <c r="F993" s="106">
        <v>0</v>
      </c>
      <c r="G993" s="105"/>
      <c r="H993" s="105">
        <v>0</v>
      </c>
      <c r="I993" s="106"/>
      <c r="J993" s="105">
        <v>0</v>
      </c>
      <c r="K993" s="105"/>
      <c r="L993" s="105"/>
      <c r="M993" s="105">
        <v>0</v>
      </c>
      <c r="N993" s="105"/>
      <c r="O993" s="105">
        <v>0</v>
      </c>
      <c r="P993" s="105">
        <v>0</v>
      </c>
      <c r="Q993" s="273"/>
      <c r="R993" s="105">
        <v>0</v>
      </c>
      <c r="S993" s="105">
        <v>0</v>
      </c>
      <c r="T993" s="105">
        <v>0</v>
      </c>
      <c r="U993" s="105">
        <v>0</v>
      </c>
      <c r="V993" s="670"/>
      <c r="W993" s="97"/>
      <c r="X993" s="97">
        <f t="shared" si="15"/>
        <v>0</v>
      </c>
      <c r="Y993" s="97">
        <f>+IF((AC993-ROUND(AC993,-3)&gt;400)*AND(AC993-ROUND(AC993,-3)&lt;500),1,0)</f>
        <v>0</v>
      </c>
      <c r="AC993" s="105">
        <v>0</v>
      </c>
    </row>
    <row r="994" spans="1:29" ht="15.95" customHeight="1" thickTop="1" x14ac:dyDescent="0.2">
      <c r="A994" s="665" t="s">
        <v>248</v>
      </c>
      <c r="B994" s="42">
        <v>2008</v>
      </c>
      <c r="C994" s="148" t="s">
        <v>289</v>
      </c>
      <c r="D994" s="303">
        <v>13681</v>
      </c>
      <c r="E994" s="100"/>
      <c r="F994" s="101">
        <v>3530.4174080000003</v>
      </c>
      <c r="G994" s="100">
        <v>2268.4592274678112</v>
      </c>
      <c r="H994" s="100">
        <v>432</v>
      </c>
      <c r="I994" s="101">
        <v>2400</v>
      </c>
      <c r="J994" s="100">
        <v>91</v>
      </c>
      <c r="K994" s="100">
        <v>2839</v>
      </c>
      <c r="L994" s="100"/>
      <c r="M994" s="100">
        <v>2360</v>
      </c>
      <c r="N994" s="100"/>
      <c r="O994" s="100">
        <v>87</v>
      </c>
      <c r="P994" s="100">
        <v>115</v>
      </c>
      <c r="Q994" s="271">
        <v>1177.2180000000001</v>
      </c>
      <c r="R994" s="100">
        <v>209</v>
      </c>
      <c r="S994" s="100">
        <v>3474</v>
      </c>
      <c r="T994" s="100">
        <v>44</v>
      </c>
      <c r="U994" s="100">
        <v>416</v>
      </c>
      <c r="V994" s="666">
        <v>1342.0008928571426</v>
      </c>
      <c r="W994" s="97"/>
      <c r="X994" s="97">
        <f t="shared" si="15"/>
        <v>416</v>
      </c>
      <c r="Y994" s="97"/>
      <c r="AC994" s="100">
        <v>415574.29352780309</v>
      </c>
    </row>
    <row r="995" spans="1:29" ht="15.95" customHeight="1" x14ac:dyDescent="0.2">
      <c r="A995" s="665"/>
      <c r="B995" s="43"/>
      <c r="C995" s="149" t="s">
        <v>290</v>
      </c>
      <c r="D995" s="303">
        <v>13681</v>
      </c>
      <c r="E995" s="100"/>
      <c r="F995" s="101">
        <v>3530.4174080000007</v>
      </c>
      <c r="G995" s="100">
        <v>2228.3876967095853</v>
      </c>
      <c r="H995" s="100">
        <v>431</v>
      </c>
      <c r="I995" s="101">
        <v>2400</v>
      </c>
      <c r="J995" s="100">
        <v>91</v>
      </c>
      <c r="K995" s="100">
        <v>2839</v>
      </c>
      <c r="L995" s="100"/>
      <c r="M995" s="100">
        <v>2360</v>
      </c>
      <c r="N995" s="100"/>
      <c r="O995" s="100">
        <v>81</v>
      </c>
      <c r="P995" s="100">
        <v>115</v>
      </c>
      <c r="Q995" s="271">
        <v>1177.2180000000001</v>
      </c>
      <c r="R995" s="100">
        <v>209</v>
      </c>
      <c r="S995" s="100">
        <v>3474</v>
      </c>
      <c r="T995" s="100">
        <v>44</v>
      </c>
      <c r="U995" s="100">
        <v>407</v>
      </c>
      <c r="V995" s="666">
        <v>1341.9642857142856</v>
      </c>
      <c r="W995" s="97"/>
      <c r="X995" s="97">
        <f t="shared" si="15"/>
        <v>407</v>
      </c>
      <c r="Y995" s="97"/>
      <c r="AC995" s="100">
        <v>407463.83773928898</v>
      </c>
    </row>
    <row r="996" spans="1:29" ht="15.95" customHeight="1" x14ac:dyDescent="0.2">
      <c r="A996" s="667"/>
      <c r="B996" s="44"/>
      <c r="C996" s="150" t="s">
        <v>291</v>
      </c>
      <c r="D996" s="304"/>
      <c r="E996" s="103"/>
      <c r="F996" s="104">
        <v>57.425456000000004</v>
      </c>
      <c r="G996" s="103">
        <v>0</v>
      </c>
      <c r="H996" s="103">
        <v>0</v>
      </c>
      <c r="I996" s="104"/>
      <c r="J996" s="103">
        <v>0</v>
      </c>
      <c r="K996" s="103"/>
      <c r="L996" s="103"/>
      <c r="M996" s="103">
        <v>0</v>
      </c>
      <c r="N996" s="103"/>
      <c r="O996" s="103">
        <v>0</v>
      </c>
      <c r="P996" s="103">
        <v>0</v>
      </c>
      <c r="Q996" s="272">
        <v>0.14599999999999999</v>
      </c>
      <c r="R996" s="103">
        <v>0</v>
      </c>
      <c r="S996" s="103">
        <v>0</v>
      </c>
      <c r="T996" s="103">
        <v>0</v>
      </c>
      <c r="U996" s="103">
        <v>8</v>
      </c>
      <c r="V996" s="668">
        <v>0</v>
      </c>
      <c r="W996" s="97"/>
      <c r="X996" s="97">
        <f t="shared" si="15"/>
        <v>8</v>
      </c>
      <c r="Y996" s="97"/>
      <c r="AC996" s="103">
        <v>8112.1330902461259</v>
      </c>
    </row>
    <row r="997" spans="1:29" ht="15.95" customHeight="1" x14ac:dyDescent="0.2">
      <c r="A997" s="665"/>
      <c r="B997" s="42">
        <v>2009</v>
      </c>
      <c r="C997" s="149" t="s">
        <v>412</v>
      </c>
      <c r="D997" s="303">
        <v>18224</v>
      </c>
      <c r="E997" s="100"/>
      <c r="F997" s="101">
        <v>3530.4174080000003</v>
      </c>
      <c r="G997" s="100">
        <v>2431.9134199134201</v>
      </c>
      <c r="H997" s="100">
        <v>492</v>
      </c>
      <c r="I997" s="101">
        <v>2400</v>
      </c>
      <c r="J997" s="100">
        <v>77</v>
      </c>
      <c r="K997" s="100">
        <v>2839</v>
      </c>
      <c r="L997" s="100"/>
      <c r="M997" s="100">
        <v>2360</v>
      </c>
      <c r="N997" s="100"/>
      <c r="O997" s="100">
        <v>87</v>
      </c>
      <c r="P997" s="100">
        <v>115</v>
      </c>
      <c r="Q997" s="102">
        <v>1115.819</v>
      </c>
      <c r="R997" s="100">
        <v>226</v>
      </c>
      <c r="S997" s="100">
        <v>3474</v>
      </c>
      <c r="T997" s="100">
        <v>44</v>
      </c>
      <c r="U997" s="100">
        <v>456</v>
      </c>
      <c r="V997" s="666">
        <v>1512.0133928571427</v>
      </c>
      <c r="W997" s="100"/>
      <c r="X997" s="97">
        <f>+ROUNDUP(AC997/1000,0)</f>
        <v>456</v>
      </c>
      <c r="Y997" s="97"/>
      <c r="AC997" s="100">
        <v>455429.57042957051</v>
      </c>
    </row>
    <row r="998" spans="1:29" ht="15.95" customHeight="1" x14ac:dyDescent="0.2">
      <c r="A998" s="665"/>
      <c r="B998" s="43"/>
      <c r="C998" s="149" t="s">
        <v>413</v>
      </c>
      <c r="D998" s="303">
        <v>18224</v>
      </c>
      <c r="E998" s="100"/>
      <c r="F998" s="101">
        <v>3530.4174080000003</v>
      </c>
      <c r="G998" s="100">
        <v>2431.9134199134201</v>
      </c>
      <c r="H998" s="100">
        <v>492</v>
      </c>
      <c r="I998" s="101">
        <v>2400</v>
      </c>
      <c r="J998" s="100">
        <v>77</v>
      </c>
      <c r="K998" s="100">
        <v>2839</v>
      </c>
      <c r="L998" s="100"/>
      <c r="M998" s="100">
        <v>2360</v>
      </c>
      <c r="N998" s="100">
        <v>50000</v>
      </c>
      <c r="O998" s="100">
        <v>87</v>
      </c>
      <c r="P998" s="100">
        <v>115</v>
      </c>
      <c r="Q998" s="102">
        <v>1115.819</v>
      </c>
      <c r="R998" s="100">
        <v>226</v>
      </c>
      <c r="S998" s="100">
        <v>3271</v>
      </c>
      <c r="T998" s="100">
        <v>44</v>
      </c>
      <c r="U998" s="100">
        <v>411</v>
      </c>
      <c r="V998" s="666">
        <v>1512</v>
      </c>
      <c r="W998" s="97"/>
      <c r="X998" s="97">
        <f>+ROUNDDOWN(AC998/1000,0)</f>
        <v>411</v>
      </c>
      <c r="Y998" s="97"/>
      <c r="AC998" s="100">
        <v>411540.29970029974</v>
      </c>
    </row>
    <row r="999" spans="1:29" ht="15.95" customHeight="1" thickBot="1" x14ac:dyDescent="0.25">
      <c r="A999" s="669"/>
      <c r="B999" s="45"/>
      <c r="C999" s="151" t="s">
        <v>414</v>
      </c>
      <c r="D999" s="305"/>
      <c r="E999" s="105"/>
      <c r="F999" s="106">
        <v>0</v>
      </c>
      <c r="G999" s="105">
        <v>0</v>
      </c>
      <c r="H999" s="105">
        <v>2</v>
      </c>
      <c r="I999" s="106"/>
      <c r="J999" s="105">
        <v>0</v>
      </c>
      <c r="K999" s="245"/>
      <c r="L999" s="105"/>
      <c r="M999" s="105">
        <v>0</v>
      </c>
      <c r="N999" s="105"/>
      <c r="O999" s="105">
        <v>6</v>
      </c>
      <c r="P999" s="105">
        <v>0</v>
      </c>
      <c r="Q999" s="273"/>
      <c r="R999" s="105">
        <v>0</v>
      </c>
      <c r="S999" s="105">
        <v>0</v>
      </c>
      <c r="T999" s="105">
        <v>0</v>
      </c>
      <c r="U999" s="105">
        <v>9</v>
      </c>
      <c r="V999" s="670">
        <v>0</v>
      </c>
      <c r="W999" s="97"/>
      <c r="X999" s="97">
        <f t="shared" si="15"/>
        <v>9</v>
      </c>
      <c r="Y999" s="97">
        <f>+IF((AC999-ROUND(AC999,-3)&gt;400)*AND(AC999-ROUND(AC999,-3)&lt;500),1,0)</f>
        <v>0</v>
      </c>
      <c r="AC999" s="105">
        <v>8888.2817182817198</v>
      </c>
    </row>
    <row r="1000" spans="1:29" ht="15.95" customHeight="1" thickTop="1" x14ac:dyDescent="0.2">
      <c r="A1000" s="665" t="s">
        <v>249</v>
      </c>
      <c r="B1000" s="42">
        <v>2008</v>
      </c>
      <c r="C1000" s="148" t="s">
        <v>289</v>
      </c>
      <c r="D1000" s="303">
        <v>73</v>
      </c>
      <c r="E1000" s="100">
        <v>5</v>
      </c>
      <c r="F1000" s="101">
        <v>18.778815999999999</v>
      </c>
      <c r="G1000" s="100">
        <v>12.582260371959944</v>
      </c>
      <c r="H1000" s="100">
        <v>37</v>
      </c>
      <c r="I1000" s="101">
        <v>13</v>
      </c>
      <c r="J1000" s="100">
        <v>8</v>
      </c>
      <c r="K1000" s="100">
        <v>284</v>
      </c>
      <c r="L1000" s="100"/>
      <c r="M1000" s="100">
        <v>13</v>
      </c>
      <c r="N1000" s="100"/>
      <c r="O1000" s="100">
        <v>1</v>
      </c>
      <c r="P1000" s="100">
        <v>1</v>
      </c>
      <c r="Q1000" s="271">
        <v>6.7919999999999998</v>
      </c>
      <c r="R1000" s="100">
        <v>39</v>
      </c>
      <c r="S1000" s="100">
        <v>18</v>
      </c>
      <c r="T1000" s="100">
        <v>1</v>
      </c>
      <c r="U1000" s="100">
        <v>11</v>
      </c>
      <c r="V1000" s="666">
        <v>33.356249999999996</v>
      </c>
      <c r="W1000" s="97"/>
      <c r="X1000" s="97">
        <f t="shared" si="15"/>
        <v>11</v>
      </c>
      <c r="Y1000" s="97"/>
      <c r="AC1000" s="100">
        <v>11385.597082953509</v>
      </c>
    </row>
    <row r="1001" spans="1:29" ht="15.95" customHeight="1" x14ac:dyDescent="0.2">
      <c r="A1001" s="665"/>
      <c r="B1001" s="43"/>
      <c r="C1001" s="149" t="s">
        <v>290</v>
      </c>
      <c r="D1001" s="303"/>
      <c r="E1001" s="100">
        <v>0</v>
      </c>
      <c r="F1001" s="101">
        <v>18.778816000000003</v>
      </c>
      <c r="G1001" s="100">
        <v>0</v>
      </c>
      <c r="H1001" s="100">
        <v>37</v>
      </c>
      <c r="I1001" s="101">
        <v>1</v>
      </c>
      <c r="J1001" s="100">
        <v>8</v>
      </c>
      <c r="K1001" s="100">
        <v>284</v>
      </c>
      <c r="L1001" s="100"/>
      <c r="M1001" s="100">
        <v>0</v>
      </c>
      <c r="N1001" s="100"/>
      <c r="O1001" s="100">
        <v>0</v>
      </c>
      <c r="P1001" s="100">
        <v>0</v>
      </c>
      <c r="Q1001" s="271"/>
      <c r="R1001" s="100">
        <v>0</v>
      </c>
      <c r="S1001" s="100">
        <v>7</v>
      </c>
      <c r="T1001" s="100">
        <v>1</v>
      </c>
      <c r="U1001" s="100">
        <v>0</v>
      </c>
      <c r="V1001" s="666">
        <v>0</v>
      </c>
      <c r="W1001" s="97"/>
      <c r="X1001" s="97">
        <f t="shared" si="15"/>
        <v>0</v>
      </c>
      <c r="Y1001" s="97"/>
      <c r="AC1001" s="100">
        <v>0</v>
      </c>
    </row>
    <row r="1002" spans="1:29" ht="15.95" customHeight="1" x14ac:dyDescent="0.2">
      <c r="A1002" s="667"/>
      <c r="B1002" s="44"/>
      <c r="C1002" s="150" t="s">
        <v>291</v>
      </c>
      <c r="D1002" s="304"/>
      <c r="E1002" s="103">
        <v>0</v>
      </c>
      <c r="F1002" s="104">
        <v>20.830018799999998</v>
      </c>
      <c r="G1002" s="103">
        <v>26.894134477825467</v>
      </c>
      <c r="H1002" s="103">
        <v>0</v>
      </c>
      <c r="I1002" s="104"/>
      <c r="J1002" s="103">
        <v>0</v>
      </c>
      <c r="K1002" s="103"/>
      <c r="L1002" s="103"/>
      <c r="M1002" s="103">
        <v>0</v>
      </c>
      <c r="N1002" s="103"/>
      <c r="O1002" s="103">
        <v>0</v>
      </c>
      <c r="P1002" s="103">
        <v>0</v>
      </c>
      <c r="Q1002" s="272">
        <v>0.97199999999999998</v>
      </c>
      <c r="R1002" s="103">
        <v>0</v>
      </c>
      <c r="S1002" s="103">
        <v>0</v>
      </c>
      <c r="T1002" s="103">
        <v>0</v>
      </c>
      <c r="U1002" s="103">
        <v>0</v>
      </c>
      <c r="V1002" s="668">
        <v>0</v>
      </c>
      <c r="W1002" s="97"/>
      <c r="X1002" s="97">
        <f t="shared" si="15"/>
        <v>0</v>
      </c>
      <c r="Y1002" s="97"/>
      <c r="AC1002" s="103">
        <v>0</v>
      </c>
    </row>
    <row r="1003" spans="1:29" ht="15.95" customHeight="1" x14ac:dyDescent="0.2">
      <c r="A1003" s="665"/>
      <c r="B1003" s="42">
        <v>2009</v>
      </c>
      <c r="C1003" s="149" t="s">
        <v>412</v>
      </c>
      <c r="D1003" s="303">
        <v>97</v>
      </c>
      <c r="E1003" s="100">
        <v>5</v>
      </c>
      <c r="F1003" s="101">
        <v>18.778815999999999</v>
      </c>
      <c r="G1003" s="100">
        <v>13.064935064935066</v>
      </c>
      <c r="H1003" s="100">
        <v>42</v>
      </c>
      <c r="I1003" s="101">
        <v>13</v>
      </c>
      <c r="J1003" s="100">
        <v>7</v>
      </c>
      <c r="K1003" s="100">
        <v>284</v>
      </c>
      <c r="L1003" s="100"/>
      <c r="M1003" s="100">
        <v>13</v>
      </c>
      <c r="N1003" s="100"/>
      <c r="O1003" s="100">
        <v>0</v>
      </c>
      <c r="P1003" s="100">
        <v>1</v>
      </c>
      <c r="Q1003" s="102">
        <v>6.4379999999999997</v>
      </c>
      <c r="R1003" s="100">
        <v>36</v>
      </c>
      <c r="S1003" s="100">
        <v>18</v>
      </c>
      <c r="T1003" s="100">
        <v>1</v>
      </c>
      <c r="U1003" s="100">
        <v>12</v>
      </c>
      <c r="V1003" s="666">
        <v>30</v>
      </c>
      <c r="W1003" s="100"/>
      <c r="X1003" s="97">
        <f t="shared" si="15"/>
        <v>12</v>
      </c>
      <c r="Y1003" s="97"/>
      <c r="AC1003" s="100">
        <v>12477.52247752248</v>
      </c>
    </row>
    <row r="1004" spans="1:29" ht="15.95" customHeight="1" x14ac:dyDescent="0.2">
      <c r="A1004" s="665"/>
      <c r="B1004" s="43"/>
      <c r="C1004" s="149" t="s">
        <v>413</v>
      </c>
      <c r="D1004" s="303">
        <v>34</v>
      </c>
      <c r="E1004" s="100">
        <v>0</v>
      </c>
      <c r="F1004" s="101">
        <v>18.778816000000003</v>
      </c>
      <c r="G1004" s="100">
        <v>4.0721500721500723</v>
      </c>
      <c r="H1004" s="100">
        <v>42</v>
      </c>
      <c r="I1004" s="101"/>
      <c r="J1004" s="100">
        <v>7</v>
      </c>
      <c r="K1004" s="100">
        <v>284</v>
      </c>
      <c r="L1004" s="100"/>
      <c r="M1004" s="100">
        <v>0</v>
      </c>
      <c r="N1004" s="100"/>
      <c r="O1004" s="100">
        <v>0</v>
      </c>
      <c r="P1004" s="100">
        <v>0</v>
      </c>
      <c r="Q1004" s="271"/>
      <c r="R1004" s="100">
        <v>36</v>
      </c>
      <c r="S1004" s="100">
        <v>0</v>
      </c>
      <c r="T1004" s="100">
        <v>1</v>
      </c>
      <c r="U1004" s="100">
        <v>0</v>
      </c>
      <c r="V1004" s="666">
        <v>0</v>
      </c>
      <c r="W1004" s="97"/>
      <c r="X1004" s="97">
        <f t="shared" si="15"/>
        <v>0</v>
      </c>
      <c r="Y1004" s="97"/>
      <c r="AC1004" s="100">
        <v>0</v>
      </c>
    </row>
    <row r="1005" spans="1:29" ht="15.95" customHeight="1" thickBot="1" x14ac:dyDescent="0.25">
      <c r="A1005" s="669"/>
      <c r="B1005" s="45"/>
      <c r="C1005" s="151" t="s">
        <v>414</v>
      </c>
      <c r="D1005" s="305">
        <v>73</v>
      </c>
      <c r="E1005" s="105">
        <v>0</v>
      </c>
      <c r="F1005" s="106">
        <v>0</v>
      </c>
      <c r="G1005" s="105">
        <v>15.503607503607505</v>
      </c>
      <c r="H1005" s="105">
        <v>0</v>
      </c>
      <c r="I1005" s="106"/>
      <c r="J1005" s="105">
        <v>0</v>
      </c>
      <c r="K1005" s="105"/>
      <c r="L1005" s="105"/>
      <c r="M1005" s="105">
        <v>21</v>
      </c>
      <c r="N1005" s="105"/>
      <c r="O1005" s="105">
        <v>0</v>
      </c>
      <c r="P1005" s="105">
        <v>1</v>
      </c>
      <c r="Q1005" s="273">
        <v>0.19700000000000001</v>
      </c>
      <c r="R1005" s="105">
        <v>81</v>
      </c>
      <c r="S1005" s="105">
        <v>0</v>
      </c>
      <c r="T1005" s="105">
        <v>0</v>
      </c>
      <c r="U1005" s="105">
        <v>25</v>
      </c>
      <c r="V1005" s="670">
        <v>30</v>
      </c>
      <c r="W1005" s="97"/>
      <c r="X1005" s="97">
        <f t="shared" si="15"/>
        <v>25</v>
      </c>
      <c r="Y1005" s="97">
        <f>+IF((AC1005-ROUND(AC1005,-3)&gt;400)*AND(AC1005-ROUND(AC1005,-3)&lt;500),1,0)</f>
        <v>0</v>
      </c>
      <c r="AC1005" s="105">
        <v>25304.755244755248</v>
      </c>
    </row>
    <row r="1006" spans="1:29" ht="16.5" thickTop="1" x14ac:dyDescent="0.2">
      <c r="A1006" s="671" t="s">
        <v>681</v>
      </c>
      <c r="B1006" s="42">
        <v>2008</v>
      </c>
      <c r="C1006" s="148" t="s">
        <v>289</v>
      </c>
      <c r="D1006" s="303">
        <v>384</v>
      </c>
      <c r="E1006" s="100">
        <v>25</v>
      </c>
      <c r="F1006" s="101">
        <v>98.588790799999998</v>
      </c>
      <c r="G1006" s="100">
        <v>62.725321888412019</v>
      </c>
      <c r="H1006" s="100">
        <v>37</v>
      </c>
      <c r="I1006" s="101">
        <v>67</v>
      </c>
      <c r="J1006" s="100">
        <v>8</v>
      </c>
      <c r="K1006" s="100">
        <v>18</v>
      </c>
      <c r="L1006" s="100"/>
      <c r="M1006" s="107">
        <v>66</v>
      </c>
      <c r="N1006" s="100"/>
      <c r="O1006" s="100">
        <v>2</v>
      </c>
      <c r="P1006" s="100">
        <v>3</v>
      </c>
      <c r="Q1006" s="271">
        <v>32.826000000000001</v>
      </c>
      <c r="R1006" s="100">
        <v>44</v>
      </c>
      <c r="S1006" s="100">
        <v>97</v>
      </c>
      <c r="T1006" s="100">
        <v>22</v>
      </c>
      <c r="U1006" s="100">
        <v>11</v>
      </c>
      <c r="V1006" s="666"/>
      <c r="W1006" s="97"/>
      <c r="X1006" s="97">
        <f t="shared" si="15"/>
        <v>11</v>
      </c>
      <c r="Y1006" s="97"/>
      <c r="AC1006" s="100">
        <v>11385.597082953509</v>
      </c>
    </row>
    <row r="1007" spans="1:29" ht="15.95" customHeight="1" x14ac:dyDescent="0.2">
      <c r="A1007" s="665"/>
      <c r="B1007" s="43"/>
      <c r="C1007" s="149" t="s">
        <v>290</v>
      </c>
      <c r="D1007" s="303">
        <v>384</v>
      </c>
      <c r="E1007" s="100">
        <v>25</v>
      </c>
      <c r="F1007" s="101">
        <v>98.588790799999998</v>
      </c>
      <c r="G1007" s="100">
        <v>61.816881258941351</v>
      </c>
      <c r="H1007" s="100">
        <v>37</v>
      </c>
      <c r="I1007" s="101">
        <f>67-67</f>
        <v>0</v>
      </c>
      <c r="J1007" s="100">
        <v>8</v>
      </c>
      <c r="K1007" s="100">
        <v>18</v>
      </c>
      <c r="L1007" s="100"/>
      <c r="M1007" s="107">
        <v>66</v>
      </c>
      <c r="N1007" s="100"/>
      <c r="O1007" s="100">
        <v>2</v>
      </c>
      <c r="P1007" s="100">
        <v>3</v>
      </c>
      <c r="Q1007" s="271">
        <v>32.826000000000001</v>
      </c>
      <c r="R1007" s="100">
        <v>0</v>
      </c>
      <c r="S1007" s="100">
        <v>97</v>
      </c>
      <c r="T1007" s="100">
        <v>22</v>
      </c>
      <c r="U1007" s="100">
        <v>11</v>
      </c>
      <c r="V1007" s="666"/>
      <c r="W1007" s="97"/>
      <c r="X1007" s="97">
        <f t="shared" si="15"/>
        <v>11</v>
      </c>
      <c r="Y1007" s="97"/>
      <c r="AC1007" s="100">
        <v>11385.597082953509</v>
      </c>
    </row>
    <row r="1008" spans="1:29" ht="15.95" customHeight="1" x14ac:dyDescent="0.2">
      <c r="A1008" s="667"/>
      <c r="B1008" s="44"/>
      <c r="C1008" s="150" t="s">
        <v>291</v>
      </c>
      <c r="D1008" s="304"/>
      <c r="E1008" s="103">
        <v>0</v>
      </c>
      <c r="F1008" s="104">
        <v>0</v>
      </c>
      <c r="G1008" s="103">
        <v>0</v>
      </c>
      <c r="H1008" s="103">
        <v>0</v>
      </c>
      <c r="I1008" s="104"/>
      <c r="J1008" s="103">
        <v>0</v>
      </c>
      <c r="K1008" s="103"/>
      <c r="L1008" s="103"/>
      <c r="M1008" s="108">
        <v>0</v>
      </c>
      <c r="N1008" s="103"/>
      <c r="O1008" s="103">
        <v>0</v>
      </c>
      <c r="P1008" s="103">
        <v>11</v>
      </c>
      <c r="Q1008" s="272"/>
      <c r="R1008" s="103">
        <v>0</v>
      </c>
      <c r="S1008" s="103">
        <v>0</v>
      </c>
      <c r="T1008" s="103">
        <v>0</v>
      </c>
      <c r="U1008" s="103">
        <v>0</v>
      </c>
      <c r="V1008" s="668"/>
      <c r="W1008" s="97"/>
      <c r="X1008" s="97">
        <f t="shared" si="15"/>
        <v>0</v>
      </c>
      <c r="Y1008" s="97"/>
      <c r="AC1008" s="103">
        <v>0</v>
      </c>
    </row>
    <row r="1009" spans="1:29" ht="15.75" x14ac:dyDescent="0.2">
      <c r="A1009" s="665"/>
      <c r="B1009" s="42">
        <v>2009</v>
      </c>
      <c r="C1009" s="149" t="s">
        <v>412</v>
      </c>
      <c r="D1009" s="303">
        <v>512</v>
      </c>
      <c r="E1009" s="100">
        <v>25</v>
      </c>
      <c r="F1009" s="101">
        <v>98.588790799999998</v>
      </c>
      <c r="G1009" s="100">
        <v>66.724386724386733</v>
      </c>
      <c r="H1009" s="100">
        <v>42</v>
      </c>
      <c r="I1009" s="101">
        <v>67</v>
      </c>
      <c r="J1009" s="100">
        <v>7</v>
      </c>
      <c r="K1009" s="100">
        <v>18</v>
      </c>
      <c r="L1009" s="100"/>
      <c r="M1009" s="100">
        <v>66</v>
      </c>
      <c r="N1009" s="100"/>
      <c r="O1009" s="100">
        <v>2</v>
      </c>
      <c r="P1009" s="100">
        <v>3</v>
      </c>
      <c r="Q1009" s="102">
        <v>31.114000000000001</v>
      </c>
      <c r="R1009" s="100">
        <v>48</v>
      </c>
      <c r="S1009" s="100">
        <v>97</v>
      </c>
      <c r="T1009" s="100">
        <v>22</v>
      </c>
      <c r="U1009" s="100">
        <v>12</v>
      </c>
      <c r="V1009" s="666"/>
      <c r="W1009" s="100"/>
      <c r="X1009" s="97">
        <f t="shared" si="15"/>
        <v>12</v>
      </c>
      <c r="Y1009" s="97"/>
      <c r="AC1009" s="100">
        <v>12477.52247752248</v>
      </c>
    </row>
    <row r="1010" spans="1:29" ht="15.75" x14ac:dyDescent="0.2">
      <c r="A1010" s="665"/>
      <c r="B1010" s="43"/>
      <c r="C1010" s="149" t="s">
        <v>413</v>
      </c>
      <c r="D1010" s="303">
        <v>512</v>
      </c>
      <c r="E1010" s="100">
        <v>25</v>
      </c>
      <c r="F1010" s="101">
        <v>98.588790799999998</v>
      </c>
      <c r="G1010" s="100">
        <v>66.062049062049056</v>
      </c>
      <c r="H1010" s="100">
        <v>42</v>
      </c>
      <c r="I1010" s="101">
        <v>67</v>
      </c>
      <c r="J1010" s="100">
        <v>7</v>
      </c>
      <c r="K1010" s="100">
        <v>18</v>
      </c>
      <c r="L1010" s="100"/>
      <c r="M1010" s="100">
        <v>66</v>
      </c>
      <c r="N1010" s="100"/>
      <c r="O1010" s="100">
        <v>0</v>
      </c>
      <c r="P1010" s="100">
        <v>0</v>
      </c>
      <c r="Q1010" s="102">
        <v>31.114000000000001</v>
      </c>
      <c r="R1010" s="100">
        <v>48</v>
      </c>
      <c r="S1010" s="100">
        <v>0</v>
      </c>
      <c r="T1010" s="100">
        <v>22</v>
      </c>
      <c r="U1010" s="100">
        <v>12</v>
      </c>
      <c r="V1010" s="666"/>
      <c r="W1010" s="97"/>
      <c r="X1010" s="97">
        <f t="shared" si="15"/>
        <v>12</v>
      </c>
      <c r="Y1010" s="97"/>
      <c r="AC1010" s="100">
        <v>12477.52247752248</v>
      </c>
    </row>
    <row r="1011" spans="1:29" ht="16.5" thickBot="1" x14ac:dyDescent="0.25">
      <c r="A1011" s="669"/>
      <c r="B1011" s="45"/>
      <c r="C1011" s="151" t="s">
        <v>414</v>
      </c>
      <c r="D1011" s="305"/>
      <c r="E1011" s="105">
        <v>0</v>
      </c>
      <c r="F1011" s="106">
        <v>0</v>
      </c>
      <c r="G1011" s="105">
        <v>0</v>
      </c>
      <c r="H1011" s="105">
        <v>0</v>
      </c>
      <c r="I1011" s="106">
        <f>53+67</f>
        <v>120</v>
      </c>
      <c r="J1011" s="105">
        <v>0</v>
      </c>
      <c r="K1011" s="105"/>
      <c r="L1011" s="105"/>
      <c r="M1011" s="105">
        <v>0</v>
      </c>
      <c r="N1011" s="105"/>
      <c r="O1011" s="105">
        <v>0</v>
      </c>
      <c r="P1011" s="105">
        <v>0</v>
      </c>
      <c r="Q1011" s="273"/>
      <c r="R1011" s="105">
        <v>0</v>
      </c>
      <c r="S1011" s="105">
        <v>84</v>
      </c>
      <c r="T1011" s="105">
        <v>0</v>
      </c>
      <c r="U1011" s="105">
        <v>0</v>
      </c>
      <c r="V1011" s="670"/>
      <c r="W1011" s="97"/>
      <c r="X1011" s="97">
        <f t="shared" si="15"/>
        <v>0</v>
      </c>
      <c r="Y1011" s="97">
        <f>+IF((AC1011-ROUND(AC1011,-3)&gt;400)*AND(AC1011-ROUND(AC1011,-3)&lt;500),1,0)</f>
        <v>0</v>
      </c>
      <c r="AC1011" s="105">
        <v>0</v>
      </c>
    </row>
    <row r="1012" spans="1:29" ht="15.95" customHeight="1" thickTop="1" x14ac:dyDescent="0.2">
      <c r="A1012" s="665" t="s">
        <v>250</v>
      </c>
      <c r="B1012" s="42">
        <v>2008</v>
      </c>
      <c r="C1012" s="148" t="s">
        <v>289</v>
      </c>
      <c r="D1012" s="303">
        <v>37</v>
      </c>
      <c r="E1012" s="100">
        <v>2</v>
      </c>
      <c r="F1012" s="101">
        <v>9.3894079999999995</v>
      </c>
      <c r="G1012" s="100">
        <v>6.2846924177396284</v>
      </c>
      <c r="H1012" s="100">
        <v>37</v>
      </c>
      <c r="I1012" s="101">
        <v>6</v>
      </c>
      <c r="J1012" s="100">
        <v>14</v>
      </c>
      <c r="K1012" s="100">
        <v>18</v>
      </c>
      <c r="L1012" s="100"/>
      <c r="M1012" s="100">
        <v>6</v>
      </c>
      <c r="N1012" s="100"/>
      <c r="O1012" s="100">
        <v>0</v>
      </c>
      <c r="P1012" s="100">
        <v>0</v>
      </c>
      <c r="Q1012" s="271">
        <v>3.395</v>
      </c>
      <c r="R1012" s="100">
        <v>35</v>
      </c>
      <c r="S1012" s="100">
        <v>9</v>
      </c>
      <c r="T1012" s="100">
        <v>3</v>
      </c>
      <c r="U1012" s="100">
        <v>11</v>
      </c>
      <c r="V1012" s="666"/>
      <c r="W1012" s="97"/>
      <c r="X1012" s="97">
        <f t="shared" si="15"/>
        <v>11</v>
      </c>
      <c r="Y1012" s="97"/>
      <c r="AC1012" s="100">
        <v>11385.597082953509</v>
      </c>
    </row>
    <row r="1013" spans="1:29" ht="15.95" customHeight="1" x14ac:dyDescent="0.2">
      <c r="A1013" s="665"/>
      <c r="B1013" s="43"/>
      <c r="C1013" s="149" t="s">
        <v>290</v>
      </c>
      <c r="D1013" s="303">
        <v>37</v>
      </c>
      <c r="E1013" s="100">
        <v>0</v>
      </c>
      <c r="F1013" s="101">
        <v>9.3894079999999995</v>
      </c>
      <c r="G1013" s="100">
        <v>0.97138769670958514</v>
      </c>
      <c r="H1013" s="100">
        <v>0</v>
      </c>
      <c r="I1013" s="101">
        <f>6-6</f>
        <v>0</v>
      </c>
      <c r="J1013" s="100">
        <v>0</v>
      </c>
      <c r="K1013" s="100">
        <v>18</v>
      </c>
      <c r="L1013" s="100"/>
      <c r="M1013" s="100">
        <v>6</v>
      </c>
      <c r="N1013" s="100"/>
      <c r="O1013" s="100">
        <v>0</v>
      </c>
      <c r="P1013" s="100">
        <v>0</v>
      </c>
      <c r="Q1013" s="271"/>
      <c r="R1013" s="100">
        <v>0</v>
      </c>
      <c r="S1013" s="100">
        <v>9</v>
      </c>
      <c r="T1013" s="100">
        <v>3</v>
      </c>
      <c r="U1013" s="100">
        <v>0</v>
      </c>
      <c r="V1013" s="666"/>
      <c r="W1013" s="97"/>
      <c r="X1013" s="97">
        <f t="shared" si="15"/>
        <v>0</v>
      </c>
      <c r="Y1013" s="97"/>
      <c r="AC1013" s="100">
        <v>127.65724703737466</v>
      </c>
    </row>
    <row r="1014" spans="1:29" ht="15.95" customHeight="1" x14ac:dyDescent="0.2">
      <c r="A1014" s="667"/>
      <c r="B1014" s="44"/>
      <c r="C1014" s="150" t="s">
        <v>291</v>
      </c>
      <c r="D1014" s="304">
        <v>5</v>
      </c>
      <c r="E1014" s="103">
        <v>0</v>
      </c>
      <c r="F1014" s="104">
        <v>39.361164799999997</v>
      </c>
      <c r="G1014" s="103">
        <v>16.288984263233193</v>
      </c>
      <c r="H1014" s="103">
        <v>17</v>
      </c>
      <c r="I1014" s="104"/>
      <c r="J1014" s="103">
        <v>0</v>
      </c>
      <c r="K1014" s="103"/>
      <c r="L1014" s="103"/>
      <c r="M1014" s="103">
        <v>0</v>
      </c>
      <c r="N1014" s="103"/>
      <c r="O1014" s="103">
        <v>0</v>
      </c>
      <c r="P1014" s="103">
        <v>0</v>
      </c>
      <c r="Q1014" s="272">
        <v>4.8000000000000001E-2</v>
      </c>
      <c r="R1014" s="103">
        <v>0</v>
      </c>
      <c r="S1014" s="103">
        <v>0</v>
      </c>
      <c r="T1014" s="103">
        <v>0</v>
      </c>
      <c r="U1014" s="103">
        <v>0</v>
      </c>
      <c r="V1014" s="668"/>
      <c r="W1014" s="97"/>
      <c r="X1014" s="97">
        <f t="shared" si="15"/>
        <v>0</v>
      </c>
      <c r="Y1014" s="97"/>
      <c r="AC1014" s="103">
        <v>0</v>
      </c>
    </row>
    <row r="1015" spans="1:29" ht="15.95" customHeight="1" x14ac:dyDescent="0.2">
      <c r="A1015" s="665"/>
      <c r="B1015" s="42">
        <v>2009</v>
      </c>
      <c r="C1015" s="149" t="s">
        <v>412</v>
      </c>
      <c r="D1015" s="303">
        <v>49</v>
      </c>
      <c r="E1015" s="100">
        <v>2</v>
      </c>
      <c r="F1015" s="101">
        <v>9.3894079999999995</v>
      </c>
      <c r="G1015" s="100">
        <v>6.7330447330447329</v>
      </c>
      <c r="H1015" s="100">
        <v>42</v>
      </c>
      <c r="I1015" s="101">
        <v>6</v>
      </c>
      <c r="J1015" s="100">
        <v>15</v>
      </c>
      <c r="K1015" s="100">
        <v>18</v>
      </c>
      <c r="L1015" s="100"/>
      <c r="M1015" s="100">
        <v>6</v>
      </c>
      <c r="N1015" s="100"/>
      <c r="O1015" s="100">
        <v>0</v>
      </c>
      <c r="P1015" s="100">
        <v>0</v>
      </c>
      <c r="Q1015" s="102">
        <v>3.218</v>
      </c>
      <c r="R1015" s="100">
        <v>36</v>
      </c>
      <c r="S1015" s="100">
        <v>9</v>
      </c>
      <c r="T1015" s="100">
        <v>3</v>
      </c>
      <c r="U1015" s="100">
        <v>12</v>
      </c>
      <c r="V1015" s="666"/>
      <c r="W1015" s="100"/>
      <c r="X1015" s="97">
        <f t="shared" si="15"/>
        <v>12</v>
      </c>
      <c r="Y1015" s="97"/>
      <c r="AC1015" s="100">
        <v>12477.52247752248</v>
      </c>
    </row>
    <row r="1016" spans="1:29" ht="15.95" customHeight="1" x14ac:dyDescent="0.2">
      <c r="A1016" s="665"/>
      <c r="B1016" s="43"/>
      <c r="C1016" s="149" t="s">
        <v>413</v>
      </c>
      <c r="D1016" s="303">
        <v>49</v>
      </c>
      <c r="E1016" s="100">
        <v>0</v>
      </c>
      <c r="F1016" s="101">
        <v>9.3894079999999995</v>
      </c>
      <c r="G1016" s="100">
        <v>6.7330447330447329</v>
      </c>
      <c r="H1016" s="100">
        <v>40</v>
      </c>
      <c r="I1016" s="101">
        <v>6</v>
      </c>
      <c r="J1016" s="100">
        <v>15</v>
      </c>
      <c r="K1016" s="100">
        <v>3</v>
      </c>
      <c r="L1016" s="100"/>
      <c r="M1016" s="100">
        <v>6</v>
      </c>
      <c r="N1016" s="100"/>
      <c r="O1016" s="100">
        <v>0</v>
      </c>
      <c r="P1016" s="100">
        <v>0</v>
      </c>
      <c r="Q1016" s="102">
        <v>3.218</v>
      </c>
      <c r="R1016" s="100">
        <v>36</v>
      </c>
      <c r="S1016" s="100">
        <v>9</v>
      </c>
      <c r="T1016" s="100">
        <v>3</v>
      </c>
      <c r="U1016" s="100">
        <v>12</v>
      </c>
      <c r="V1016" s="666"/>
      <c r="W1016" s="97"/>
      <c r="X1016" s="97">
        <f t="shared" si="15"/>
        <v>12</v>
      </c>
      <c r="Y1016" s="97"/>
      <c r="AC1016" s="100">
        <v>12477.52247752248</v>
      </c>
    </row>
    <row r="1017" spans="1:29" ht="15.95" customHeight="1" thickBot="1" x14ac:dyDescent="0.25">
      <c r="A1017" s="669"/>
      <c r="B1017" s="45"/>
      <c r="C1017" s="151" t="s">
        <v>414</v>
      </c>
      <c r="D1017" s="305"/>
      <c r="E1017" s="105">
        <v>0</v>
      </c>
      <c r="F1017" s="106">
        <v>15.5622316</v>
      </c>
      <c r="G1017" s="105">
        <v>5.3593073593073592</v>
      </c>
      <c r="H1017" s="105">
        <v>51</v>
      </c>
      <c r="I1017" s="106">
        <f>1+6</f>
        <v>7</v>
      </c>
      <c r="J1017" s="105">
        <v>13</v>
      </c>
      <c r="K1017" s="105"/>
      <c r="L1017" s="105"/>
      <c r="M1017" s="105">
        <v>0</v>
      </c>
      <c r="N1017" s="105"/>
      <c r="O1017" s="105">
        <v>0</v>
      </c>
      <c r="P1017" s="105">
        <v>0</v>
      </c>
      <c r="Q1017" s="273">
        <v>78.596999999999994</v>
      </c>
      <c r="R1017" s="105">
        <v>35</v>
      </c>
      <c r="S1017" s="105">
        <v>0</v>
      </c>
      <c r="T1017" s="105">
        <v>0</v>
      </c>
      <c r="U1017" s="105">
        <v>12</v>
      </c>
      <c r="V1017" s="670"/>
      <c r="W1017" s="97"/>
      <c r="X1017" s="97">
        <f t="shared" si="15"/>
        <v>12</v>
      </c>
      <c r="Y1017" s="97">
        <f>+IF((AC1017-ROUND(AC1017,-3)&gt;400)*AND(AC1017-ROUND(AC1017,-3)&lt;500),1,0)</f>
        <v>0</v>
      </c>
      <c r="AC1017" s="105">
        <v>12337.622377622378</v>
      </c>
    </row>
    <row r="1018" spans="1:29" ht="15.95" customHeight="1" thickTop="1" x14ac:dyDescent="0.2">
      <c r="A1018" s="665" t="s">
        <v>251</v>
      </c>
      <c r="B1018" s="42">
        <v>2008</v>
      </c>
      <c r="C1018" s="148" t="s">
        <v>289</v>
      </c>
      <c r="D1018" s="303">
        <v>18</v>
      </c>
      <c r="E1018" s="100">
        <v>1</v>
      </c>
      <c r="F1018" s="101">
        <v>4.6946972000000002</v>
      </c>
      <c r="G1018" s="100">
        <v>3.1459227467811162</v>
      </c>
      <c r="H1018" s="100">
        <v>37</v>
      </c>
      <c r="I1018" s="101">
        <v>3</v>
      </c>
      <c r="J1018" s="100">
        <v>26</v>
      </c>
      <c r="K1018" s="100">
        <v>35</v>
      </c>
      <c r="L1018" s="100"/>
      <c r="M1018" s="100">
        <v>3</v>
      </c>
      <c r="N1018" s="100"/>
      <c r="O1018" s="100">
        <v>0</v>
      </c>
      <c r="P1018" s="100">
        <v>0</v>
      </c>
      <c r="Q1018" s="271">
        <v>1.1319999999999999</v>
      </c>
      <c r="R1018" s="100">
        <v>35</v>
      </c>
      <c r="S1018" s="100">
        <v>5</v>
      </c>
      <c r="T1018" s="100">
        <v>1</v>
      </c>
      <c r="U1018" s="100">
        <v>11</v>
      </c>
      <c r="V1018" s="666">
        <v>24</v>
      </c>
      <c r="W1018" s="97"/>
      <c r="X1018" s="97">
        <f t="shared" si="15"/>
        <v>11</v>
      </c>
      <c r="Y1018" s="97"/>
      <c r="AC1018" s="100">
        <v>11385.597082953509</v>
      </c>
    </row>
    <row r="1019" spans="1:29" ht="15.95" customHeight="1" x14ac:dyDescent="0.2">
      <c r="A1019" s="665"/>
      <c r="B1019" s="43"/>
      <c r="C1019" s="149" t="s">
        <v>290</v>
      </c>
      <c r="D1019" s="303">
        <v>18</v>
      </c>
      <c r="E1019" s="100">
        <v>0</v>
      </c>
      <c r="F1019" s="101">
        <v>0</v>
      </c>
      <c r="G1019" s="100">
        <v>0</v>
      </c>
      <c r="H1019" s="100">
        <v>32</v>
      </c>
      <c r="I1019" s="101"/>
      <c r="J1019" s="100">
        <v>0</v>
      </c>
      <c r="K1019" s="100">
        <v>35</v>
      </c>
      <c r="L1019" s="100"/>
      <c r="M1019" s="100">
        <v>0</v>
      </c>
      <c r="N1019" s="100"/>
      <c r="O1019" s="100">
        <v>0</v>
      </c>
      <c r="P1019" s="100">
        <v>0</v>
      </c>
      <c r="Q1019" s="271"/>
      <c r="R1019" s="100">
        <v>0</v>
      </c>
      <c r="S1019" s="100">
        <v>5</v>
      </c>
      <c r="T1019" s="100">
        <v>1</v>
      </c>
      <c r="U1019" s="100">
        <v>0</v>
      </c>
      <c r="V1019" s="666">
        <v>0</v>
      </c>
      <c r="W1019" s="97"/>
      <c r="X1019" s="97">
        <f t="shared" si="15"/>
        <v>0</v>
      </c>
      <c r="Y1019" s="97"/>
      <c r="AC1019" s="100">
        <v>0</v>
      </c>
    </row>
    <row r="1020" spans="1:29" ht="15.95" customHeight="1" x14ac:dyDescent="0.2">
      <c r="A1020" s="667"/>
      <c r="B1020" s="44"/>
      <c r="C1020" s="150" t="s">
        <v>291</v>
      </c>
      <c r="D1020" s="304">
        <v>37</v>
      </c>
      <c r="E1020" s="103">
        <v>0</v>
      </c>
      <c r="F1020" s="104">
        <v>0</v>
      </c>
      <c r="G1020" s="103">
        <v>0</v>
      </c>
      <c r="H1020" s="103">
        <v>11</v>
      </c>
      <c r="I1020" s="104"/>
      <c r="J1020" s="103">
        <v>0</v>
      </c>
      <c r="K1020" s="103"/>
      <c r="L1020" s="103"/>
      <c r="M1020" s="103">
        <v>0</v>
      </c>
      <c r="N1020" s="103"/>
      <c r="O1020" s="103">
        <v>0</v>
      </c>
      <c r="P1020" s="103">
        <v>0</v>
      </c>
      <c r="Q1020" s="272">
        <v>0.39200000000000002</v>
      </c>
      <c r="R1020" s="103">
        <v>0</v>
      </c>
      <c r="S1020" s="103">
        <v>4</v>
      </c>
      <c r="T1020" s="103">
        <v>0</v>
      </c>
      <c r="U1020" s="103">
        <v>0</v>
      </c>
      <c r="V1020" s="668">
        <v>0</v>
      </c>
      <c r="W1020" s="97"/>
      <c r="X1020" s="97">
        <f t="shared" si="15"/>
        <v>0</v>
      </c>
      <c r="Y1020" s="97"/>
      <c r="AC1020" s="103">
        <v>0</v>
      </c>
    </row>
    <row r="1021" spans="1:29" ht="15.95" customHeight="1" x14ac:dyDescent="0.2">
      <c r="A1021" s="665"/>
      <c r="B1021" s="42">
        <v>2009</v>
      </c>
      <c r="C1021" s="149" t="s">
        <v>412</v>
      </c>
      <c r="D1021" s="303">
        <v>24</v>
      </c>
      <c r="E1021" s="100">
        <v>1</v>
      </c>
      <c r="F1021" s="101">
        <v>4.6946972000000002</v>
      </c>
      <c r="G1021" s="100">
        <v>3.2525252525252526</v>
      </c>
      <c r="H1021" s="100">
        <v>42</v>
      </c>
      <c r="I1021" s="101">
        <v>3</v>
      </c>
      <c r="J1021" s="100">
        <v>31</v>
      </c>
      <c r="K1021" s="100">
        <v>35</v>
      </c>
      <c r="L1021" s="100"/>
      <c r="M1021" s="100">
        <v>3</v>
      </c>
      <c r="N1021" s="100"/>
      <c r="O1021" s="100">
        <v>0</v>
      </c>
      <c r="P1021" s="100">
        <v>0</v>
      </c>
      <c r="Q1021" s="102">
        <v>1.073</v>
      </c>
      <c r="R1021" s="100">
        <v>36</v>
      </c>
      <c r="S1021" s="100">
        <v>5</v>
      </c>
      <c r="T1021" s="100">
        <v>1</v>
      </c>
      <c r="U1021" s="100">
        <v>12</v>
      </c>
      <c r="V1021" s="666">
        <v>25</v>
      </c>
      <c r="W1021" s="100"/>
      <c r="X1021" s="97">
        <f t="shared" si="15"/>
        <v>12</v>
      </c>
      <c r="Y1021" s="97"/>
      <c r="AC1021" s="100">
        <v>12477.52247752248</v>
      </c>
    </row>
    <row r="1022" spans="1:29" ht="15.95" customHeight="1" x14ac:dyDescent="0.2">
      <c r="A1022" s="665"/>
      <c r="B1022" s="43"/>
      <c r="C1022" s="149" t="s">
        <v>413</v>
      </c>
      <c r="D1022" s="303">
        <v>24</v>
      </c>
      <c r="E1022" s="100">
        <v>0</v>
      </c>
      <c r="F1022" s="101">
        <v>1.81681</v>
      </c>
      <c r="G1022" s="100">
        <v>0</v>
      </c>
      <c r="H1022" s="100">
        <v>42</v>
      </c>
      <c r="I1022" s="101"/>
      <c r="J1022" s="100">
        <v>6</v>
      </c>
      <c r="K1022" s="100">
        <v>35</v>
      </c>
      <c r="L1022" s="100"/>
      <c r="M1022" s="100">
        <v>0</v>
      </c>
      <c r="N1022" s="100"/>
      <c r="O1022" s="100">
        <v>0</v>
      </c>
      <c r="P1022" s="100">
        <v>0</v>
      </c>
      <c r="Q1022" s="271"/>
      <c r="R1022" s="100">
        <v>0</v>
      </c>
      <c r="S1022" s="100">
        <v>0</v>
      </c>
      <c r="T1022" s="100">
        <v>1</v>
      </c>
      <c r="U1022" s="100">
        <v>0</v>
      </c>
      <c r="V1022" s="666">
        <v>0</v>
      </c>
      <c r="W1022" s="97"/>
      <c r="X1022" s="97">
        <f t="shared" si="15"/>
        <v>0</v>
      </c>
      <c r="Y1022" s="97"/>
      <c r="AC1022" s="100">
        <v>0</v>
      </c>
    </row>
    <row r="1023" spans="1:29" ht="15.95" customHeight="1" thickBot="1" x14ac:dyDescent="0.25">
      <c r="A1023" s="669"/>
      <c r="B1023" s="45"/>
      <c r="C1023" s="151" t="s">
        <v>414</v>
      </c>
      <c r="D1023" s="305"/>
      <c r="E1023" s="105">
        <v>0</v>
      </c>
      <c r="F1023" s="106">
        <v>97.042580000000001</v>
      </c>
      <c r="G1023" s="105">
        <v>0</v>
      </c>
      <c r="H1023" s="105">
        <v>19</v>
      </c>
      <c r="I1023" s="106">
        <v>3</v>
      </c>
      <c r="J1023" s="105">
        <v>38</v>
      </c>
      <c r="K1023" s="105"/>
      <c r="L1023" s="105"/>
      <c r="M1023" s="105">
        <v>0</v>
      </c>
      <c r="N1023" s="105"/>
      <c r="O1023" s="105">
        <v>0</v>
      </c>
      <c r="P1023" s="105">
        <v>0</v>
      </c>
      <c r="Q1023" s="273">
        <v>0.17199999999999999</v>
      </c>
      <c r="R1023" s="105">
        <v>0</v>
      </c>
      <c r="S1023" s="105">
        <v>0</v>
      </c>
      <c r="T1023" s="105">
        <v>0</v>
      </c>
      <c r="U1023" s="105">
        <v>0</v>
      </c>
      <c r="V1023" s="670">
        <v>0</v>
      </c>
      <c r="W1023" s="97"/>
      <c r="X1023" s="97">
        <f t="shared" ref="X1023:X1086" si="16">+ROUND(AC1023/1000,0)</f>
        <v>0</v>
      </c>
      <c r="Y1023" s="97">
        <f>+IF((AC1023-ROUND(AC1023,-3)&gt;400)*AND(AC1023-ROUND(AC1023,-3)&lt;500),1,0)</f>
        <v>0</v>
      </c>
      <c r="AC1023" s="105">
        <v>0</v>
      </c>
    </row>
    <row r="1024" spans="1:29" ht="15.95" customHeight="1" thickTop="1" x14ac:dyDescent="0.2">
      <c r="A1024" s="665" t="s">
        <v>252</v>
      </c>
      <c r="B1024" s="42">
        <v>2008</v>
      </c>
      <c r="C1024" s="148" t="s">
        <v>289</v>
      </c>
      <c r="D1024" s="303">
        <v>6347</v>
      </c>
      <c r="E1024" s="100">
        <v>414</v>
      </c>
      <c r="F1024" s="101"/>
      <c r="G1024" s="100">
        <v>1331.1673819742489</v>
      </c>
      <c r="H1024" s="100">
        <v>755</v>
      </c>
      <c r="I1024" s="101">
        <v>1113</v>
      </c>
      <c r="J1024" s="100">
        <v>1791</v>
      </c>
      <c r="K1024" s="100">
        <v>284</v>
      </c>
      <c r="L1024" s="100"/>
      <c r="M1024" s="100">
        <v>1095</v>
      </c>
      <c r="N1024" s="100"/>
      <c r="O1024" s="100">
        <v>40</v>
      </c>
      <c r="P1024" s="100">
        <v>54</v>
      </c>
      <c r="Q1024" s="271"/>
      <c r="R1024" s="100"/>
      <c r="S1024" s="100">
        <v>1611</v>
      </c>
      <c r="T1024" s="100">
        <v>11</v>
      </c>
      <c r="U1024" s="100">
        <v>194</v>
      </c>
      <c r="V1024" s="666">
        <v>3387.0214285714283</v>
      </c>
      <c r="W1024" s="97"/>
      <c r="X1024" s="97">
        <f t="shared" si="16"/>
        <v>194</v>
      </c>
      <c r="Y1024" s="97"/>
      <c r="AC1024" s="100">
        <v>193555.15041020967</v>
      </c>
    </row>
    <row r="1025" spans="1:29" ht="15.95" customHeight="1" x14ac:dyDescent="0.2">
      <c r="A1025" s="665"/>
      <c r="B1025" s="43"/>
      <c r="C1025" s="149" t="s">
        <v>290</v>
      </c>
      <c r="D1025" s="303">
        <v>6347</v>
      </c>
      <c r="E1025" s="100">
        <v>414</v>
      </c>
      <c r="F1025" s="101"/>
      <c r="G1025" s="100">
        <v>1285.3676680972819</v>
      </c>
      <c r="H1025" s="100">
        <v>755</v>
      </c>
      <c r="I1025" s="101">
        <v>1113</v>
      </c>
      <c r="J1025" s="100">
        <v>1791</v>
      </c>
      <c r="K1025" s="100">
        <v>284</v>
      </c>
      <c r="L1025" s="100"/>
      <c r="M1025" s="100">
        <v>1095</v>
      </c>
      <c r="N1025" s="100"/>
      <c r="O1025" s="100">
        <v>40</v>
      </c>
      <c r="P1025" s="100">
        <v>54</v>
      </c>
      <c r="Q1025" s="271"/>
      <c r="R1025" s="100"/>
      <c r="S1025" s="100">
        <v>1611</v>
      </c>
      <c r="T1025" s="100">
        <v>11</v>
      </c>
      <c r="U1025" s="100">
        <v>194</v>
      </c>
      <c r="V1025" s="666">
        <v>3386.6071428571427</v>
      </c>
      <c r="W1025" s="97"/>
      <c r="X1025" s="97">
        <f t="shared" si="16"/>
        <v>194</v>
      </c>
      <c r="Y1025" s="97"/>
      <c r="AC1025" s="100">
        <v>193555.15041020967</v>
      </c>
    </row>
    <row r="1026" spans="1:29" ht="15.95" customHeight="1" x14ac:dyDescent="0.2">
      <c r="A1026" s="667"/>
      <c r="B1026" s="44"/>
      <c r="C1026" s="150" t="s">
        <v>291</v>
      </c>
      <c r="D1026" s="304"/>
      <c r="E1026" s="103">
        <v>0</v>
      </c>
      <c r="F1026" s="104"/>
      <c r="G1026" s="103">
        <v>0</v>
      </c>
      <c r="H1026" s="103">
        <v>0</v>
      </c>
      <c r="I1026" s="104"/>
      <c r="J1026" s="103">
        <v>0</v>
      </c>
      <c r="K1026" s="103"/>
      <c r="L1026" s="103"/>
      <c r="M1026" s="103">
        <v>285</v>
      </c>
      <c r="N1026" s="103"/>
      <c r="O1026" s="103">
        <v>0</v>
      </c>
      <c r="P1026" s="103">
        <v>0</v>
      </c>
      <c r="Q1026" s="272"/>
      <c r="R1026" s="103"/>
      <c r="S1026" s="103">
        <v>0</v>
      </c>
      <c r="T1026" s="103">
        <v>0</v>
      </c>
      <c r="U1026" s="103">
        <v>0</v>
      </c>
      <c r="V1026" s="668">
        <v>0</v>
      </c>
      <c r="W1026" s="97"/>
      <c r="X1026" s="97">
        <f t="shared" si="16"/>
        <v>0</v>
      </c>
      <c r="Y1026" s="97"/>
      <c r="AC1026" s="103">
        <v>0</v>
      </c>
    </row>
    <row r="1027" spans="1:29" ht="15.95" customHeight="1" x14ac:dyDescent="0.2">
      <c r="A1027" s="665"/>
      <c r="B1027" s="42">
        <v>2009</v>
      </c>
      <c r="C1027" s="149" t="s">
        <v>412</v>
      </c>
      <c r="D1027" s="303">
        <v>8454</v>
      </c>
      <c r="E1027" s="100">
        <v>423</v>
      </c>
      <c r="F1027" s="101"/>
      <c r="G1027" s="100">
        <v>1397.0822510822511</v>
      </c>
      <c r="H1027" s="100">
        <v>856</v>
      </c>
      <c r="I1027" s="101">
        <v>1113</v>
      </c>
      <c r="J1027" s="100">
        <v>1698</v>
      </c>
      <c r="K1027" s="100">
        <v>284</v>
      </c>
      <c r="L1027" s="100"/>
      <c r="M1027" s="107">
        <v>1095</v>
      </c>
      <c r="N1027" s="100"/>
      <c r="O1027" s="100">
        <v>40</v>
      </c>
      <c r="P1027" s="100">
        <v>53</v>
      </c>
      <c r="Q1027" s="271"/>
      <c r="R1027" s="100"/>
      <c r="S1027" s="100">
        <v>1611</v>
      </c>
      <c r="T1027" s="100">
        <v>11</v>
      </c>
      <c r="U1027" s="100">
        <v>213</v>
      </c>
      <c r="V1027" s="666">
        <v>3511.5321428571428</v>
      </c>
      <c r="W1027" s="100"/>
      <c r="X1027" s="97">
        <f>+ROUNDUP(AC1027/1000,0)</f>
        <v>213</v>
      </c>
      <c r="Y1027" s="97"/>
      <c r="AC1027" s="100">
        <v>212117.88211788214</v>
      </c>
    </row>
    <row r="1028" spans="1:29" ht="15.95" customHeight="1" x14ac:dyDescent="0.2">
      <c r="A1028" s="665"/>
      <c r="B1028" s="43"/>
      <c r="C1028" s="149" t="s">
        <v>413</v>
      </c>
      <c r="D1028" s="303">
        <v>8454</v>
      </c>
      <c r="E1028" s="100">
        <v>423</v>
      </c>
      <c r="F1028" s="101"/>
      <c r="G1028" s="100">
        <v>0</v>
      </c>
      <c r="H1028" s="100">
        <v>856</v>
      </c>
      <c r="I1028" s="101">
        <v>1113</v>
      </c>
      <c r="J1028" s="100">
        <v>1698</v>
      </c>
      <c r="K1028" s="100">
        <v>284</v>
      </c>
      <c r="L1028" s="100"/>
      <c r="M1028" s="100">
        <v>1095</v>
      </c>
      <c r="N1028" s="100"/>
      <c r="O1028" s="100">
        <v>40</v>
      </c>
      <c r="P1028" s="100">
        <v>53</v>
      </c>
      <c r="Q1028" s="271"/>
      <c r="R1028" s="100"/>
      <c r="S1028" s="100">
        <v>1611</v>
      </c>
      <c r="T1028" s="100">
        <v>11</v>
      </c>
      <c r="U1028" s="100">
        <v>213</v>
      </c>
      <c r="V1028" s="666">
        <v>3512</v>
      </c>
      <c r="W1028" s="97"/>
      <c r="X1028" s="97">
        <f>+ROUNDUP(AC1028/1000,0)</f>
        <v>213</v>
      </c>
      <c r="Y1028" s="97"/>
      <c r="AC1028" s="100">
        <v>212117.88211788214</v>
      </c>
    </row>
    <row r="1029" spans="1:29" ht="15.95" customHeight="1" thickBot="1" x14ac:dyDescent="0.25">
      <c r="A1029" s="669"/>
      <c r="B1029" s="45"/>
      <c r="C1029" s="151" t="s">
        <v>414</v>
      </c>
      <c r="D1029" s="305"/>
      <c r="E1029" s="105">
        <v>0</v>
      </c>
      <c r="F1029" s="106"/>
      <c r="G1029" s="105">
        <v>0</v>
      </c>
      <c r="H1029" s="105">
        <v>0</v>
      </c>
      <c r="I1029" s="106"/>
      <c r="J1029" s="105">
        <v>0</v>
      </c>
      <c r="K1029" s="105"/>
      <c r="L1029" s="105"/>
      <c r="M1029" s="105">
        <v>0</v>
      </c>
      <c r="N1029" s="105"/>
      <c r="O1029" s="105">
        <v>0</v>
      </c>
      <c r="P1029" s="105">
        <v>0</v>
      </c>
      <c r="Q1029" s="273"/>
      <c r="R1029" s="105"/>
      <c r="S1029" s="105">
        <v>0</v>
      </c>
      <c r="T1029" s="105">
        <v>0</v>
      </c>
      <c r="U1029" s="105">
        <v>0</v>
      </c>
      <c r="V1029" s="670">
        <v>0</v>
      </c>
      <c r="W1029" s="97"/>
      <c r="X1029" s="97">
        <f t="shared" si="16"/>
        <v>0</v>
      </c>
      <c r="Y1029" s="97">
        <f>+IF((AC1029-ROUND(AC1029,-3)&gt;400)*AND(AC1029-ROUND(AC1029,-3)&lt;500),1,0)</f>
        <v>0</v>
      </c>
      <c r="AC1029" s="105">
        <v>0</v>
      </c>
    </row>
    <row r="1030" spans="1:29" ht="15.95" customHeight="1" thickTop="1" x14ac:dyDescent="0.2">
      <c r="A1030" s="665" t="s">
        <v>306</v>
      </c>
      <c r="B1030" s="42">
        <v>2008</v>
      </c>
      <c r="C1030" s="148" t="s">
        <v>289</v>
      </c>
      <c r="D1030" s="303">
        <v>1152</v>
      </c>
      <c r="E1030" s="100">
        <v>75</v>
      </c>
      <c r="F1030" s="101">
        <v>295.76635880000003</v>
      </c>
      <c r="G1030" s="100">
        <v>192.45493562231761</v>
      </c>
      <c r="H1030" s="100">
        <v>37</v>
      </c>
      <c r="I1030" s="101">
        <v>202</v>
      </c>
      <c r="J1030" s="100">
        <v>32</v>
      </c>
      <c r="K1030" s="100">
        <v>142</v>
      </c>
      <c r="L1030" s="100"/>
      <c r="M1030" s="100">
        <v>199</v>
      </c>
      <c r="N1030" s="100"/>
      <c r="O1030" s="100">
        <v>7</v>
      </c>
      <c r="P1030" s="100">
        <v>10</v>
      </c>
      <c r="Q1030" s="271">
        <v>99.611000000000004</v>
      </c>
      <c r="R1030" s="100">
        <v>89</v>
      </c>
      <c r="S1030" s="100">
        <v>292</v>
      </c>
      <c r="T1030" s="100">
        <v>131</v>
      </c>
      <c r="U1030" s="100">
        <v>35</v>
      </c>
      <c r="V1030" s="666">
        <v>297.36874999999998</v>
      </c>
      <c r="W1030" s="97"/>
      <c r="X1030" s="97">
        <f>+ROUNDUP(AC1030/1000,0)</f>
        <v>35</v>
      </c>
      <c r="Y1030" s="97"/>
      <c r="AC1030" s="100">
        <v>34156.791248860529</v>
      </c>
    </row>
    <row r="1031" spans="1:29" ht="15.95" customHeight="1" x14ac:dyDescent="0.2">
      <c r="A1031" s="665"/>
      <c r="B1031" s="43"/>
      <c r="C1031" s="149" t="s">
        <v>290</v>
      </c>
      <c r="D1031" s="303">
        <v>1152</v>
      </c>
      <c r="E1031" s="100">
        <v>75</v>
      </c>
      <c r="F1031" s="101">
        <v>295.76635880000003</v>
      </c>
      <c r="G1031" s="100">
        <v>174.42918454935622</v>
      </c>
      <c r="H1031" s="100">
        <v>37</v>
      </c>
      <c r="I1031" s="101">
        <v>202</v>
      </c>
      <c r="J1031" s="100">
        <v>32</v>
      </c>
      <c r="K1031" s="100">
        <v>142</v>
      </c>
      <c r="L1031" s="100"/>
      <c r="M1031" s="100">
        <v>199</v>
      </c>
      <c r="N1031" s="100"/>
      <c r="O1031" s="100">
        <v>7</v>
      </c>
      <c r="P1031" s="100">
        <v>10</v>
      </c>
      <c r="Q1031" s="271">
        <v>99.611000000000004</v>
      </c>
      <c r="R1031" s="100">
        <v>89</v>
      </c>
      <c r="S1031" s="100">
        <v>292</v>
      </c>
      <c r="T1031" s="100">
        <v>131</v>
      </c>
      <c r="U1031" s="100">
        <v>35</v>
      </c>
      <c r="V1031" s="666">
        <v>297.32142857142856</v>
      </c>
      <c r="W1031" s="97"/>
      <c r="X1031" s="97">
        <f>+ROUNDUP(AC1031/1000,0)</f>
        <v>35</v>
      </c>
      <c r="Y1031" s="97"/>
      <c r="AC1031" s="100">
        <v>34156.791248860529</v>
      </c>
    </row>
    <row r="1032" spans="1:29" ht="15.95" customHeight="1" x14ac:dyDescent="0.2">
      <c r="A1032" s="667"/>
      <c r="B1032" s="44"/>
      <c r="C1032" s="150" t="s">
        <v>291</v>
      </c>
      <c r="D1032" s="304"/>
      <c r="E1032" s="103">
        <v>0</v>
      </c>
      <c r="F1032" s="104">
        <v>0</v>
      </c>
      <c r="G1032" s="103">
        <v>0</v>
      </c>
      <c r="H1032" s="103">
        <v>0</v>
      </c>
      <c r="I1032" s="104"/>
      <c r="J1032" s="103">
        <v>0</v>
      </c>
      <c r="K1032" s="103"/>
      <c r="L1032" s="103"/>
      <c r="M1032" s="103">
        <v>0</v>
      </c>
      <c r="N1032" s="103"/>
      <c r="O1032" s="103">
        <v>0</v>
      </c>
      <c r="P1032" s="103">
        <v>0</v>
      </c>
      <c r="Q1032" s="272"/>
      <c r="R1032" s="103">
        <v>0</v>
      </c>
      <c r="S1032" s="103">
        <v>0</v>
      </c>
      <c r="T1032" s="103">
        <v>0</v>
      </c>
      <c r="U1032" s="103">
        <v>0</v>
      </c>
      <c r="V1032" s="668">
        <v>0</v>
      </c>
      <c r="W1032" s="97"/>
      <c r="X1032" s="97">
        <f t="shared" si="16"/>
        <v>0</v>
      </c>
      <c r="Y1032" s="97"/>
      <c r="AC1032" s="103">
        <v>0</v>
      </c>
    </row>
    <row r="1033" spans="1:29" ht="15.95" customHeight="1" x14ac:dyDescent="0.2">
      <c r="A1033" s="665"/>
      <c r="B1033" s="42">
        <v>2009</v>
      </c>
      <c r="C1033" s="149" t="s">
        <v>412</v>
      </c>
      <c r="D1033" s="303">
        <v>1535</v>
      </c>
      <c r="E1033" s="100">
        <v>74</v>
      </c>
      <c r="F1033" s="101">
        <v>295.76635880000003</v>
      </c>
      <c r="G1033" s="100">
        <v>203.13564213564214</v>
      </c>
      <c r="H1033" s="100">
        <v>42</v>
      </c>
      <c r="I1033" s="101">
        <v>202</v>
      </c>
      <c r="J1033" s="100">
        <v>27</v>
      </c>
      <c r="K1033" s="100">
        <v>142</v>
      </c>
      <c r="L1033" s="100"/>
      <c r="M1033" s="100">
        <v>199</v>
      </c>
      <c r="N1033" s="100"/>
      <c r="O1033" s="100">
        <v>7</v>
      </c>
      <c r="P1033" s="100">
        <v>10</v>
      </c>
      <c r="Q1033" s="102">
        <v>94.415000000000006</v>
      </c>
      <c r="R1033" s="100">
        <v>96</v>
      </c>
      <c r="S1033" s="100">
        <v>292</v>
      </c>
      <c r="T1033" s="100">
        <v>133</v>
      </c>
      <c r="U1033" s="100">
        <v>38</v>
      </c>
      <c r="V1033" s="666">
        <v>492</v>
      </c>
      <c r="W1033" s="100"/>
      <c r="X1033" s="97">
        <f>+ROUNDUP(AC1033/1000,0)</f>
        <v>38</v>
      </c>
      <c r="Y1033" s="97"/>
      <c r="AC1033" s="100">
        <v>37432.567432567434</v>
      </c>
    </row>
    <row r="1034" spans="1:29" ht="15.95" customHeight="1" x14ac:dyDescent="0.2">
      <c r="A1034" s="665"/>
      <c r="B1034" s="43"/>
      <c r="C1034" s="149" t="s">
        <v>413</v>
      </c>
      <c r="D1034" s="303">
        <v>1535</v>
      </c>
      <c r="E1034" s="100">
        <v>74</v>
      </c>
      <c r="F1034" s="101">
        <v>295.76635880000003</v>
      </c>
      <c r="G1034" s="100">
        <v>203.13564213564214</v>
      </c>
      <c r="H1034" s="100">
        <v>42</v>
      </c>
      <c r="I1034" s="101">
        <v>202</v>
      </c>
      <c r="J1034" s="100">
        <v>27</v>
      </c>
      <c r="K1034" s="100">
        <v>142</v>
      </c>
      <c r="L1034" s="100"/>
      <c r="M1034" s="100">
        <v>199</v>
      </c>
      <c r="N1034" s="100"/>
      <c r="O1034" s="100">
        <v>7</v>
      </c>
      <c r="P1034" s="100">
        <v>10</v>
      </c>
      <c r="Q1034" s="102">
        <v>94.415000000000006</v>
      </c>
      <c r="R1034" s="100">
        <v>96</v>
      </c>
      <c r="S1034" s="100">
        <v>292</v>
      </c>
      <c r="T1034" s="100">
        <v>133</v>
      </c>
      <c r="U1034" s="100">
        <v>38</v>
      </c>
      <c r="V1034" s="666">
        <v>487.5</v>
      </c>
      <c r="W1034" s="97"/>
      <c r="X1034" s="97">
        <f>+ROUNDUP(AC1034/1000,0)</f>
        <v>38</v>
      </c>
      <c r="Y1034" s="97"/>
      <c r="AC1034" s="100">
        <v>37432.567432567434</v>
      </c>
    </row>
    <row r="1035" spans="1:29" ht="15.95" customHeight="1" thickBot="1" x14ac:dyDescent="0.25">
      <c r="A1035" s="669"/>
      <c r="B1035" s="45"/>
      <c r="C1035" s="151" t="s">
        <v>414</v>
      </c>
      <c r="D1035" s="305"/>
      <c r="E1035" s="105">
        <v>0</v>
      </c>
      <c r="F1035" s="106">
        <v>0</v>
      </c>
      <c r="G1035" s="105">
        <v>0</v>
      </c>
      <c r="H1035" s="105">
        <v>0</v>
      </c>
      <c r="I1035" s="106"/>
      <c r="J1035" s="105">
        <v>0</v>
      </c>
      <c r="K1035" s="105"/>
      <c r="L1035" s="105"/>
      <c r="M1035" s="105">
        <v>0</v>
      </c>
      <c r="N1035" s="105"/>
      <c r="O1035" s="105">
        <v>0</v>
      </c>
      <c r="P1035" s="105">
        <v>0</v>
      </c>
      <c r="Q1035" s="273"/>
      <c r="R1035" s="105">
        <v>0</v>
      </c>
      <c r="S1035" s="105">
        <v>0</v>
      </c>
      <c r="T1035" s="105">
        <v>0</v>
      </c>
      <c r="U1035" s="105">
        <v>0</v>
      </c>
      <c r="V1035" s="670">
        <v>0</v>
      </c>
      <c r="W1035" s="97"/>
      <c r="X1035" s="97">
        <f t="shared" si="16"/>
        <v>0</v>
      </c>
      <c r="Y1035" s="97">
        <f>+IF((AC1035-ROUND(AC1035,-3)&gt;400)*AND(AC1035-ROUND(AC1035,-3)&lt;500),1,0)</f>
        <v>0</v>
      </c>
      <c r="AC1035" s="105">
        <v>0</v>
      </c>
    </row>
    <row r="1036" spans="1:29" ht="15.95" customHeight="1" thickTop="1" x14ac:dyDescent="0.2">
      <c r="A1036" s="665" t="s">
        <v>253</v>
      </c>
      <c r="B1036" s="42">
        <v>2008</v>
      </c>
      <c r="C1036" s="148" t="s">
        <v>289</v>
      </c>
      <c r="D1036" s="303">
        <v>1756</v>
      </c>
      <c r="E1036" s="100">
        <v>115</v>
      </c>
      <c r="F1036" s="101">
        <v>455.38629480000003</v>
      </c>
      <c r="G1036" s="100">
        <v>366.25035765379113</v>
      </c>
      <c r="H1036" s="100">
        <v>43</v>
      </c>
      <c r="I1036" s="101">
        <v>308</v>
      </c>
      <c r="J1036" s="100">
        <v>21</v>
      </c>
      <c r="K1036" s="100">
        <v>71</v>
      </c>
      <c r="L1036" s="100"/>
      <c r="M1036" s="100">
        <v>303</v>
      </c>
      <c r="N1036" s="100"/>
      <c r="O1036" s="100">
        <v>11</v>
      </c>
      <c r="P1036" s="100">
        <v>15</v>
      </c>
      <c r="Q1036" s="271">
        <v>150.548</v>
      </c>
      <c r="R1036" s="100">
        <v>140</v>
      </c>
      <c r="S1036" s="100">
        <v>446</v>
      </c>
      <c r="T1036" s="100">
        <v>44</v>
      </c>
      <c r="U1036" s="100">
        <v>52</v>
      </c>
      <c r="V1036" s="666">
        <v>275.41428571428571</v>
      </c>
      <c r="W1036" s="97"/>
      <c r="X1036" s="97">
        <f>+ROUNDUP(AC1036/1000,0)</f>
        <v>52</v>
      </c>
      <c r="Y1036" s="97"/>
      <c r="AC1036" s="100">
        <v>51235.186873290797</v>
      </c>
    </row>
    <row r="1037" spans="1:29" ht="15.95" customHeight="1" x14ac:dyDescent="0.2">
      <c r="A1037" s="665"/>
      <c r="B1037" s="43"/>
      <c r="C1037" s="149" t="s">
        <v>290</v>
      </c>
      <c r="D1037" s="303">
        <v>1756</v>
      </c>
      <c r="E1037" s="100">
        <v>115</v>
      </c>
      <c r="F1037" s="101">
        <v>455.38629480000003</v>
      </c>
      <c r="G1037" s="100">
        <v>332.80686695278973</v>
      </c>
      <c r="H1037" s="100">
        <v>43</v>
      </c>
      <c r="I1037" s="101">
        <v>308</v>
      </c>
      <c r="J1037" s="100">
        <v>21</v>
      </c>
      <c r="K1037" s="100">
        <v>71</v>
      </c>
      <c r="L1037" s="100"/>
      <c r="M1037" s="100">
        <v>303</v>
      </c>
      <c r="N1037" s="100"/>
      <c r="O1037" s="100">
        <v>11</v>
      </c>
      <c r="P1037" s="100">
        <v>15</v>
      </c>
      <c r="Q1037" s="271">
        <v>150.548</v>
      </c>
      <c r="R1037" s="100">
        <v>140</v>
      </c>
      <c r="S1037" s="100">
        <v>446</v>
      </c>
      <c r="T1037" s="100">
        <v>44</v>
      </c>
      <c r="U1037" s="100">
        <v>52</v>
      </c>
      <c r="V1037" s="666">
        <v>275</v>
      </c>
      <c r="W1037" s="97"/>
      <c r="X1037" s="97">
        <f>+ROUNDUP(AC1037/1000,0)</f>
        <v>52</v>
      </c>
      <c r="Y1037" s="97"/>
      <c r="AC1037" s="100">
        <v>51235.186873290797</v>
      </c>
    </row>
    <row r="1038" spans="1:29" ht="15.95" customHeight="1" x14ac:dyDescent="0.2">
      <c r="A1038" s="667"/>
      <c r="B1038" s="44"/>
      <c r="C1038" s="150" t="s">
        <v>291</v>
      </c>
      <c r="D1038" s="304"/>
      <c r="E1038" s="103">
        <v>0</v>
      </c>
      <c r="F1038" s="104">
        <v>0</v>
      </c>
      <c r="G1038" s="103">
        <v>0</v>
      </c>
      <c r="H1038" s="103">
        <v>0</v>
      </c>
      <c r="I1038" s="104"/>
      <c r="J1038" s="103">
        <v>0</v>
      </c>
      <c r="K1038" s="103"/>
      <c r="L1038" s="103"/>
      <c r="M1038" s="103">
        <v>0</v>
      </c>
      <c r="N1038" s="103"/>
      <c r="O1038" s="103">
        <v>1</v>
      </c>
      <c r="P1038" s="103">
        <v>2</v>
      </c>
      <c r="Q1038" s="272"/>
      <c r="R1038" s="103">
        <v>0</v>
      </c>
      <c r="S1038" s="103">
        <v>0</v>
      </c>
      <c r="T1038" s="103">
        <v>0</v>
      </c>
      <c r="U1038" s="103">
        <v>0</v>
      </c>
      <c r="V1038" s="668">
        <v>0</v>
      </c>
      <c r="W1038" s="97"/>
      <c r="X1038" s="97">
        <f t="shared" si="16"/>
        <v>0</v>
      </c>
      <c r="Y1038" s="97"/>
      <c r="AC1038" s="103">
        <v>0</v>
      </c>
    </row>
    <row r="1039" spans="1:29" ht="15.95" customHeight="1" x14ac:dyDescent="0.2">
      <c r="A1039" s="665"/>
      <c r="B1039" s="42">
        <v>2009</v>
      </c>
      <c r="C1039" s="149" t="s">
        <v>412</v>
      </c>
      <c r="D1039" s="303">
        <v>2339</v>
      </c>
      <c r="E1039" s="100">
        <v>111</v>
      </c>
      <c r="F1039" s="101">
        <v>455.38629480000003</v>
      </c>
      <c r="G1039" s="100">
        <v>384.8730158730159</v>
      </c>
      <c r="H1039" s="100">
        <v>50</v>
      </c>
      <c r="I1039" s="101">
        <v>308</v>
      </c>
      <c r="J1039" s="100">
        <v>19</v>
      </c>
      <c r="K1039" s="100">
        <v>71</v>
      </c>
      <c r="L1039" s="100"/>
      <c r="M1039" s="100">
        <v>303</v>
      </c>
      <c r="N1039" s="100"/>
      <c r="O1039" s="100">
        <v>11</v>
      </c>
      <c r="P1039" s="100">
        <v>15</v>
      </c>
      <c r="Q1039" s="102">
        <v>142.696</v>
      </c>
      <c r="R1039" s="100">
        <v>143</v>
      </c>
      <c r="S1039" s="100">
        <v>446</v>
      </c>
      <c r="T1039" s="100">
        <v>44</v>
      </c>
      <c r="U1039" s="100">
        <v>57</v>
      </c>
      <c r="V1039" s="666">
        <v>294</v>
      </c>
      <c r="W1039" s="100"/>
      <c r="X1039" s="97">
        <f>+ROUNDUP(AC1039/1000,0)</f>
        <v>57</v>
      </c>
      <c r="Y1039" s="97"/>
      <c r="AC1039" s="100">
        <v>56148.851148851158</v>
      </c>
    </row>
    <row r="1040" spans="1:29" ht="15.95" customHeight="1" x14ac:dyDescent="0.2">
      <c r="A1040" s="665"/>
      <c r="B1040" s="43"/>
      <c r="C1040" s="149" t="s">
        <v>413</v>
      </c>
      <c r="D1040" s="303">
        <v>2339</v>
      </c>
      <c r="E1040" s="100">
        <v>111</v>
      </c>
      <c r="F1040" s="101">
        <v>455.38629479999997</v>
      </c>
      <c r="G1040" s="100">
        <v>356.01298701298703</v>
      </c>
      <c r="H1040" s="100">
        <v>50</v>
      </c>
      <c r="I1040" s="101">
        <v>308</v>
      </c>
      <c r="J1040" s="100">
        <v>19</v>
      </c>
      <c r="K1040" s="100"/>
      <c r="L1040" s="100"/>
      <c r="M1040" s="100">
        <v>303</v>
      </c>
      <c r="N1040" s="100"/>
      <c r="O1040" s="100">
        <v>11</v>
      </c>
      <c r="P1040" s="100">
        <v>15</v>
      </c>
      <c r="Q1040" s="102">
        <v>142.696</v>
      </c>
      <c r="R1040" s="100">
        <v>143</v>
      </c>
      <c r="S1040" s="100">
        <v>446</v>
      </c>
      <c r="T1040" s="100">
        <v>44</v>
      </c>
      <c r="U1040" s="100">
        <v>57</v>
      </c>
      <c r="V1040" s="666">
        <v>292</v>
      </c>
      <c r="W1040" s="97"/>
      <c r="X1040" s="97">
        <f>+ROUNDUP(AC1040/1000,0)</f>
        <v>57</v>
      </c>
      <c r="Y1040" s="97"/>
      <c r="AC1040" s="100">
        <v>56148.851148851158</v>
      </c>
    </row>
    <row r="1041" spans="1:29" ht="15.95" customHeight="1" thickBot="1" x14ac:dyDescent="0.25">
      <c r="A1041" s="669"/>
      <c r="B1041" s="45"/>
      <c r="C1041" s="151" t="s">
        <v>414</v>
      </c>
      <c r="D1041" s="305"/>
      <c r="E1041" s="105">
        <v>0</v>
      </c>
      <c r="F1041" s="106">
        <v>0</v>
      </c>
      <c r="G1041" s="105">
        <v>0</v>
      </c>
      <c r="H1041" s="105">
        <v>0</v>
      </c>
      <c r="I1041" s="106"/>
      <c r="J1041" s="105">
        <v>0</v>
      </c>
      <c r="K1041" s="105"/>
      <c r="L1041" s="105"/>
      <c r="M1041" s="105">
        <v>0</v>
      </c>
      <c r="N1041" s="105"/>
      <c r="O1041" s="105">
        <v>0</v>
      </c>
      <c r="P1041" s="105">
        <v>0</v>
      </c>
      <c r="Q1041" s="273"/>
      <c r="R1041" s="105">
        <v>0</v>
      </c>
      <c r="S1041" s="105">
        <v>0</v>
      </c>
      <c r="T1041" s="105">
        <v>0</v>
      </c>
      <c r="U1041" s="105">
        <v>0</v>
      </c>
      <c r="V1041" s="670">
        <v>0</v>
      </c>
      <c r="W1041" s="97"/>
      <c r="X1041" s="97">
        <f t="shared" si="16"/>
        <v>0</v>
      </c>
      <c r="Y1041" s="97">
        <f>+IF((AC1041-ROUND(AC1041,-3)&gt;400)*AND(AC1041-ROUND(AC1041,-3)&lt;500),1,0)</f>
        <v>0</v>
      </c>
      <c r="AC1041" s="105">
        <v>0</v>
      </c>
    </row>
    <row r="1042" spans="1:29" ht="15.95" customHeight="1" thickTop="1" x14ac:dyDescent="0.2">
      <c r="A1042" s="665" t="s">
        <v>254</v>
      </c>
      <c r="B1042" s="42">
        <v>2008</v>
      </c>
      <c r="C1042" s="148" t="s">
        <v>289</v>
      </c>
      <c r="D1042" s="303">
        <v>18</v>
      </c>
      <c r="E1042" s="100">
        <v>1</v>
      </c>
      <c r="F1042" s="101">
        <v>4.6946972000000002</v>
      </c>
      <c r="G1042" s="100"/>
      <c r="H1042" s="100">
        <v>37</v>
      </c>
      <c r="I1042" s="101">
        <v>3</v>
      </c>
      <c r="J1042" s="100">
        <v>8</v>
      </c>
      <c r="K1042" s="100">
        <v>18</v>
      </c>
      <c r="L1042" s="100"/>
      <c r="M1042" s="100">
        <v>3</v>
      </c>
      <c r="N1042" s="100"/>
      <c r="O1042" s="100">
        <v>0</v>
      </c>
      <c r="P1042" s="100">
        <v>0</v>
      </c>
      <c r="Q1042" s="271"/>
      <c r="R1042" s="100"/>
      <c r="S1042" s="100">
        <v>5</v>
      </c>
      <c r="T1042" s="100"/>
      <c r="U1042" s="100">
        <v>11</v>
      </c>
      <c r="V1042" s="666">
        <v>23.737499999999997</v>
      </c>
      <c r="W1042" s="97"/>
      <c r="X1042" s="97">
        <f t="shared" si="16"/>
        <v>11</v>
      </c>
      <c r="Y1042" s="97"/>
      <c r="AC1042" s="100">
        <v>11385.597082953509</v>
      </c>
    </row>
    <row r="1043" spans="1:29" ht="15.95" customHeight="1" x14ac:dyDescent="0.2">
      <c r="A1043" s="665"/>
      <c r="B1043" s="43"/>
      <c r="C1043" s="149" t="s">
        <v>290</v>
      </c>
      <c r="D1043" s="303">
        <v>18</v>
      </c>
      <c r="E1043" s="100">
        <v>0</v>
      </c>
      <c r="F1043" s="101">
        <v>4.6946972000000002</v>
      </c>
      <c r="G1043" s="100"/>
      <c r="H1043" s="100">
        <v>37</v>
      </c>
      <c r="I1043" s="101">
        <v>3</v>
      </c>
      <c r="J1043" s="100">
        <v>0</v>
      </c>
      <c r="K1043" s="100"/>
      <c r="L1043" s="100"/>
      <c r="M1043" s="100">
        <v>0</v>
      </c>
      <c r="N1043" s="100"/>
      <c r="O1043" s="100">
        <v>0</v>
      </c>
      <c r="P1043" s="100">
        <v>0</v>
      </c>
      <c r="Q1043" s="271"/>
      <c r="R1043" s="100"/>
      <c r="S1043" s="100">
        <v>5</v>
      </c>
      <c r="T1043" s="100"/>
      <c r="U1043" s="100">
        <v>11</v>
      </c>
      <c r="V1043" s="666">
        <v>0</v>
      </c>
      <c r="W1043" s="97"/>
      <c r="X1043" s="97">
        <f t="shared" si="16"/>
        <v>11</v>
      </c>
      <c r="Y1043" s="97"/>
      <c r="AC1043" s="100">
        <v>11385.597082953509</v>
      </c>
    </row>
    <row r="1044" spans="1:29" ht="15.95" customHeight="1" x14ac:dyDescent="0.2">
      <c r="A1044" s="667"/>
      <c r="B1044" s="44"/>
      <c r="C1044" s="150" t="s">
        <v>291</v>
      </c>
      <c r="D1044" s="304"/>
      <c r="E1044" s="103">
        <v>0</v>
      </c>
      <c r="F1044" s="104">
        <v>8.3390632000000018</v>
      </c>
      <c r="G1044" s="103"/>
      <c r="H1044" s="103">
        <v>0</v>
      </c>
      <c r="I1044" s="104">
        <v>3</v>
      </c>
      <c r="J1044" s="103">
        <v>8</v>
      </c>
      <c r="K1044" s="103"/>
      <c r="L1044" s="103"/>
      <c r="M1044" s="103">
        <v>0</v>
      </c>
      <c r="N1044" s="103"/>
      <c r="O1044" s="103">
        <v>0</v>
      </c>
      <c r="P1044" s="103">
        <v>0</v>
      </c>
      <c r="Q1044" s="272"/>
      <c r="R1044" s="103"/>
      <c r="S1044" s="103">
        <v>0</v>
      </c>
      <c r="T1044" s="103"/>
      <c r="U1044" s="103">
        <v>46</v>
      </c>
      <c r="V1044" s="668">
        <v>0</v>
      </c>
      <c r="W1044" s="97"/>
      <c r="X1044" s="97">
        <f t="shared" si="16"/>
        <v>46</v>
      </c>
      <c r="Y1044" s="97"/>
      <c r="AC1044" s="103">
        <v>45542.388331814036</v>
      </c>
    </row>
    <row r="1045" spans="1:29" ht="15.95" customHeight="1" x14ac:dyDescent="0.2">
      <c r="A1045" s="665"/>
      <c r="B1045" s="42">
        <v>2009</v>
      </c>
      <c r="C1045" s="149" t="s">
        <v>412</v>
      </c>
      <c r="D1045" s="303">
        <v>24</v>
      </c>
      <c r="E1045" s="100">
        <v>1</v>
      </c>
      <c r="F1045" s="101">
        <v>4.6946972000000002</v>
      </c>
      <c r="G1045" s="100"/>
      <c r="H1045" s="100">
        <v>42</v>
      </c>
      <c r="I1045" s="101">
        <v>3</v>
      </c>
      <c r="J1045" s="100">
        <v>7</v>
      </c>
      <c r="K1045" s="100">
        <v>18</v>
      </c>
      <c r="L1045" s="100"/>
      <c r="M1045" s="100">
        <v>3</v>
      </c>
      <c r="N1045" s="100"/>
      <c r="O1045" s="100">
        <v>0</v>
      </c>
      <c r="P1045" s="100">
        <v>0</v>
      </c>
      <c r="Q1045" s="271"/>
      <c r="R1045" s="100"/>
      <c r="S1045" s="100">
        <v>5</v>
      </c>
      <c r="T1045" s="100"/>
      <c r="U1045" s="100">
        <v>12</v>
      </c>
      <c r="V1045" s="666">
        <v>25</v>
      </c>
      <c r="W1045" s="100"/>
      <c r="X1045" s="97">
        <f t="shared" si="16"/>
        <v>12</v>
      </c>
      <c r="Y1045" s="97"/>
      <c r="AC1045" s="100">
        <v>12477.52247752248</v>
      </c>
    </row>
    <row r="1046" spans="1:29" ht="15.95" customHeight="1" x14ac:dyDescent="0.2">
      <c r="A1046" s="665"/>
      <c r="B1046" s="43"/>
      <c r="C1046" s="149" t="s">
        <v>413</v>
      </c>
      <c r="D1046" s="303">
        <v>24</v>
      </c>
      <c r="E1046" s="100">
        <v>0</v>
      </c>
      <c r="F1046" s="101">
        <v>4.6946972000000002</v>
      </c>
      <c r="G1046" s="100"/>
      <c r="H1046" s="100">
        <v>10</v>
      </c>
      <c r="I1046" s="101">
        <v>3</v>
      </c>
      <c r="J1046" s="100">
        <v>0</v>
      </c>
      <c r="K1046" s="100"/>
      <c r="L1046" s="100"/>
      <c r="M1046" s="100">
        <v>2</v>
      </c>
      <c r="N1046" s="100"/>
      <c r="O1046" s="100">
        <v>0</v>
      </c>
      <c r="P1046" s="100">
        <v>0</v>
      </c>
      <c r="Q1046" s="271"/>
      <c r="R1046" s="100"/>
      <c r="S1046" s="100">
        <v>5</v>
      </c>
      <c r="T1046" s="100"/>
      <c r="U1046" s="100">
        <v>0</v>
      </c>
      <c r="V1046" s="666">
        <v>24</v>
      </c>
      <c r="W1046" s="97"/>
      <c r="X1046" s="97">
        <f t="shared" si="16"/>
        <v>0</v>
      </c>
      <c r="Y1046" s="97"/>
      <c r="AC1046" s="100">
        <v>0</v>
      </c>
    </row>
    <row r="1047" spans="1:29" ht="15.95" customHeight="1" thickBot="1" x14ac:dyDescent="0.25">
      <c r="A1047" s="669"/>
      <c r="B1047" s="45"/>
      <c r="C1047" s="151" t="s">
        <v>414</v>
      </c>
      <c r="D1047" s="305"/>
      <c r="E1047" s="105">
        <v>0</v>
      </c>
      <c r="F1047" s="106">
        <v>-15.620430000000001</v>
      </c>
      <c r="G1047" s="105"/>
      <c r="H1047" s="105">
        <v>30</v>
      </c>
      <c r="I1047" s="106">
        <v>3</v>
      </c>
      <c r="J1047" s="105">
        <v>7</v>
      </c>
      <c r="K1047" s="105"/>
      <c r="L1047" s="105"/>
      <c r="M1047" s="105">
        <v>3</v>
      </c>
      <c r="N1047" s="105"/>
      <c r="O1047" s="105">
        <v>0</v>
      </c>
      <c r="P1047" s="105">
        <v>0</v>
      </c>
      <c r="Q1047" s="273"/>
      <c r="R1047" s="105"/>
      <c r="S1047" s="105">
        <v>13</v>
      </c>
      <c r="T1047" s="105"/>
      <c r="U1047" s="105">
        <v>0</v>
      </c>
      <c r="V1047" s="670">
        <v>13</v>
      </c>
      <c r="W1047" s="97"/>
      <c r="X1047" s="97">
        <f t="shared" si="16"/>
        <v>0</v>
      </c>
      <c r="Y1047" s="97">
        <f>+IF((AC1047-ROUND(AC1047,-3)&gt;400)*AND(AC1047-ROUND(AC1047,-3)&lt;500),1,0)</f>
        <v>0</v>
      </c>
      <c r="AC1047" s="105">
        <v>0</v>
      </c>
    </row>
    <row r="1048" spans="1:29" ht="15.95" customHeight="1" thickTop="1" x14ac:dyDescent="0.2">
      <c r="A1048" s="665" t="s">
        <v>255</v>
      </c>
      <c r="B1048" s="42">
        <v>2008</v>
      </c>
      <c r="C1048" s="148" t="s">
        <v>289</v>
      </c>
      <c r="D1048" s="303">
        <v>18</v>
      </c>
      <c r="E1048" s="100"/>
      <c r="F1048" s="101">
        <v>4.6946972000000002</v>
      </c>
      <c r="G1048" s="100"/>
      <c r="H1048" s="100">
        <v>37</v>
      </c>
      <c r="I1048" s="101">
        <v>3</v>
      </c>
      <c r="J1048" s="100">
        <v>8</v>
      </c>
      <c r="K1048" s="100">
        <v>35</v>
      </c>
      <c r="L1048" s="100"/>
      <c r="M1048" s="100">
        <v>3</v>
      </c>
      <c r="N1048" s="100"/>
      <c r="O1048" s="100"/>
      <c r="P1048" s="100"/>
      <c r="Q1048" s="271">
        <v>1.1319999999999999</v>
      </c>
      <c r="R1048" s="100"/>
      <c r="S1048" s="100">
        <v>5</v>
      </c>
      <c r="T1048" s="100">
        <v>1</v>
      </c>
      <c r="U1048" s="100">
        <v>11</v>
      </c>
      <c r="V1048" s="666"/>
      <c r="W1048" s="97"/>
      <c r="X1048" s="97">
        <f t="shared" si="16"/>
        <v>11</v>
      </c>
      <c r="Y1048" s="97"/>
      <c r="AC1048" s="100">
        <v>11385.597082953509</v>
      </c>
    </row>
    <row r="1049" spans="1:29" ht="15.95" customHeight="1" x14ac:dyDescent="0.2">
      <c r="A1049" s="665"/>
      <c r="B1049" s="43"/>
      <c r="C1049" s="149" t="s">
        <v>290</v>
      </c>
      <c r="D1049" s="303"/>
      <c r="E1049" s="100"/>
      <c r="F1049" s="101">
        <v>0</v>
      </c>
      <c r="G1049" s="100"/>
      <c r="H1049" s="100">
        <v>0</v>
      </c>
      <c r="I1049" s="101"/>
      <c r="J1049" s="100">
        <v>0</v>
      </c>
      <c r="K1049" s="100"/>
      <c r="L1049" s="100"/>
      <c r="M1049" s="100">
        <v>0</v>
      </c>
      <c r="N1049" s="100"/>
      <c r="O1049" s="100"/>
      <c r="P1049" s="100"/>
      <c r="Q1049" s="271"/>
      <c r="R1049" s="100"/>
      <c r="S1049" s="100">
        <v>0</v>
      </c>
      <c r="T1049" s="100">
        <v>0</v>
      </c>
      <c r="U1049" s="100">
        <v>0</v>
      </c>
      <c r="V1049" s="666"/>
      <c r="W1049" s="97"/>
      <c r="X1049" s="97">
        <f t="shared" si="16"/>
        <v>0</v>
      </c>
      <c r="Y1049" s="97"/>
      <c r="AC1049" s="100">
        <v>0</v>
      </c>
    </row>
    <row r="1050" spans="1:29" ht="15.95" customHeight="1" x14ac:dyDescent="0.2">
      <c r="A1050" s="667"/>
      <c r="B1050" s="44"/>
      <c r="C1050" s="150" t="s">
        <v>291</v>
      </c>
      <c r="D1050" s="304"/>
      <c r="E1050" s="103"/>
      <c r="F1050" s="104">
        <v>0</v>
      </c>
      <c r="G1050" s="103"/>
      <c r="H1050" s="103">
        <v>0</v>
      </c>
      <c r="I1050" s="104"/>
      <c r="J1050" s="103">
        <v>0</v>
      </c>
      <c r="K1050" s="103"/>
      <c r="L1050" s="103"/>
      <c r="M1050" s="103">
        <v>0</v>
      </c>
      <c r="N1050" s="103"/>
      <c r="O1050" s="103"/>
      <c r="P1050" s="103"/>
      <c r="Q1050" s="272"/>
      <c r="R1050" s="103"/>
      <c r="S1050" s="103">
        <v>0</v>
      </c>
      <c r="T1050" s="103">
        <v>0</v>
      </c>
      <c r="U1050" s="103">
        <v>0</v>
      </c>
      <c r="V1050" s="668"/>
      <c r="W1050" s="97"/>
      <c r="X1050" s="97">
        <f t="shared" si="16"/>
        <v>0</v>
      </c>
      <c r="Y1050" s="97"/>
      <c r="AC1050" s="103">
        <v>0</v>
      </c>
    </row>
    <row r="1051" spans="1:29" ht="15.95" customHeight="1" x14ac:dyDescent="0.2">
      <c r="A1051" s="665"/>
      <c r="B1051" s="42">
        <v>2009</v>
      </c>
      <c r="C1051" s="149" t="s">
        <v>412</v>
      </c>
      <c r="D1051" s="303">
        <v>24</v>
      </c>
      <c r="E1051" s="100"/>
      <c r="F1051" s="101">
        <v>4.6946972000000002</v>
      </c>
      <c r="G1051" s="100"/>
      <c r="H1051" s="100">
        <v>42</v>
      </c>
      <c r="I1051" s="101">
        <v>3</v>
      </c>
      <c r="J1051" s="100">
        <v>7</v>
      </c>
      <c r="K1051" s="100">
        <v>35</v>
      </c>
      <c r="L1051" s="100"/>
      <c r="M1051" s="100">
        <v>3</v>
      </c>
      <c r="N1051" s="100"/>
      <c r="O1051" s="100"/>
      <c r="P1051" s="100"/>
      <c r="Q1051" s="102">
        <v>1.073</v>
      </c>
      <c r="R1051" s="100"/>
      <c r="S1051" s="100">
        <v>5</v>
      </c>
      <c r="T1051" s="100">
        <v>1</v>
      </c>
      <c r="U1051" s="100">
        <v>12</v>
      </c>
      <c r="V1051" s="666"/>
      <c r="W1051" s="100"/>
      <c r="X1051" s="97">
        <f t="shared" si="16"/>
        <v>12</v>
      </c>
      <c r="Y1051" s="97"/>
      <c r="AC1051" s="100">
        <v>12477.52247752248</v>
      </c>
    </row>
    <row r="1052" spans="1:29" ht="15.95" customHeight="1" x14ac:dyDescent="0.2">
      <c r="A1052" s="665"/>
      <c r="B1052" s="43"/>
      <c r="C1052" s="149" t="s">
        <v>413</v>
      </c>
      <c r="D1052" s="303"/>
      <c r="E1052" s="100"/>
      <c r="F1052" s="101">
        <v>0</v>
      </c>
      <c r="G1052" s="100"/>
      <c r="H1052" s="100">
        <v>0</v>
      </c>
      <c r="I1052" s="101"/>
      <c r="J1052" s="100">
        <v>0</v>
      </c>
      <c r="K1052" s="100"/>
      <c r="L1052" s="100"/>
      <c r="M1052" s="100">
        <v>0</v>
      </c>
      <c r="N1052" s="100"/>
      <c r="O1052" s="100"/>
      <c r="P1052" s="100"/>
      <c r="Q1052" s="271"/>
      <c r="R1052" s="100"/>
      <c r="S1052" s="100">
        <v>0</v>
      </c>
      <c r="T1052" s="100">
        <v>0</v>
      </c>
      <c r="U1052" s="100">
        <v>0</v>
      </c>
      <c r="V1052" s="666"/>
      <c r="W1052" s="97"/>
      <c r="X1052" s="97">
        <f t="shared" si="16"/>
        <v>0</v>
      </c>
      <c r="Y1052" s="97"/>
      <c r="AC1052" s="100">
        <v>0</v>
      </c>
    </row>
    <row r="1053" spans="1:29" ht="15.95" customHeight="1" thickBot="1" x14ac:dyDescent="0.25">
      <c r="A1053" s="669"/>
      <c r="B1053" s="45"/>
      <c r="C1053" s="151" t="s">
        <v>414</v>
      </c>
      <c r="D1053" s="305"/>
      <c r="E1053" s="105"/>
      <c r="F1053" s="106">
        <v>0</v>
      </c>
      <c r="G1053" s="105"/>
      <c r="H1053" s="105">
        <v>0</v>
      </c>
      <c r="I1053" s="106"/>
      <c r="J1053" s="105">
        <v>0</v>
      </c>
      <c r="K1053" s="105"/>
      <c r="L1053" s="105"/>
      <c r="M1053" s="105">
        <v>0</v>
      </c>
      <c r="N1053" s="105"/>
      <c r="O1053" s="105"/>
      <c r="P1053" s="105"/>
      <c r="Q1053" s="273"/>
      <c r="R1053" s="105"/>
      <c r="S1053" s="105">
        <v>0</v>
      </c>
      <c r="T1053" s="105">
        <v>0</v>
      </c>
      <c r="U1053" s="105">
        <v>0</v>
      </c>
      <c r="V1053" s="670"/>
      <c r="W1053" s="97"/>
      <c r="X1053" s="97">
        <f t="shared" si="16"/>
        <v>0</v>
      </c>
      <c r="Y1053" s="97">
        <f>+IF((AC1053-ROUND(AC1053,-3)&gt;400)*AND(AC1053-ROUND(AC1053,-3)&lt;500),1,0)</f>
        <v>0</v>
      </c>
      <c r="AC1053" s="105">
        <v>0</v>
      </c>
    </row>
    <row r="1054" spans="1:29" ht="15.95" customHeight="1" thickTop="1" x14ac:dyDescent="0.2">
      <c r="A1054" s="665" t="s">
        <v>256</v>
      </c>
      <c r="B1054" s="42">
        <v>2008</v>
      </c>
      <c r="C1054" s="148" t="s">
        <v>289</v>
      </c>
      <c r="D1054" s="303">
        <v>5304</v>
      </c>
      <c r="E1054" s="100">
        <v>353</v>
      </c>
      <c r="F1054" s="101">
        <v>1370.853568</v>
      </c>
      <c r="G1054" s="100">
        <v>882.65379113018605</v>
      </c>
      <c r="H1054" s="100">
        <v>280</v>
      </c>
      <c r="I1054" s="101">
        <v>931</v>
      </c>
      <c r="J1054" s="100">
        <v>48</v>
      </c>
      <c r="K1054" s="100">
        <v>1136</v>
      </c>
      <c r="L1054" s="100"/>
      <c r="M1054" s="100">
        <v>915</v>
      </c>
      <c r="N1054" s="100"/>
      <c r="O1054" s="100">
        <v>34</v>
      </c>
      <c r="P1054" s="100">
        <v>45</v>
      </c>
      <c r="Q1054" s="271">
        <v>456.17099999999999</v>
      </c>
      <c r="R1054" s="100">
        <v>177</v>
      </c>
      <c r="S1054" s="100">
        <v>1366</v>
      </c>
      <c r="T1054" s="100">
        <v>327</v>
      </c>
      <c r="U1054" s="100">
        <v>160</v>
      </c>
      <c r="V1054" s="666">
        <v>804.64732142857144</v>
      </c>
      <c r="W1054" s="97"/>
      <c r="X1054" s="97">
        <f>+ROUNDUP(AC1054/1000,0)</f>
        <v>160</v>
      </c>
      <c r="Y1054" s="97"/>
      <c r="AC1054" s="100">
        <v>159398.35916134913</v>
      </c>
    </row>
    <row r="1055" spans="1:29" ht="15.95" customHeight="1" x14ac:dyDescent="0.2">
      <c r="A1055" s="665"/>
      <c r="B1055" s="43"/>
      <c r="C1055" s="149" t="s">
        <v>290</v>
      </c>
      <c r="D1055" s="303">
        <v>5304</v>
      </c>
      <c r="E1055" s="100">
        <v>353</v>
      </c>
      <c r="F1055" s="101">
        <v>1370.853568</v>
      </c>
      <c r="G1055" s="100">
        <v>861.59656652360525</v>
      </c>
      <c r="H1055" s="100">
        <v>278</v>
      </c>
      <c r="I1055" s="101">
        <v>931</v>
      </c>
      <c r="J1055" s="100">
        <v>48</v>
      </c>
      <c r="K1055" s="100">
        <v>1136</v>
      </c>
      <c r="L1055" s="100"/>
      <c r="M1055" s="100">
        <v>915</v>
      </c>
      <c r="N1055" s="100"/>
      <c r="O1055" s="100">
        <v>34</v>
      </c>
      <c r="P1055" s="100">
        <v>45</v>
      </c>
      <c r="Q1055" s="271">
        <v>456.17099999999999</v>
      </c>
      <c r="R1055" s="100">
        <v>177</v>
      </c>
      <c r="S1055" s="100">
        <v>1366</v>
      </c>
      <c r="T1055" s="100">
        <v>327</v>
      </c>
      <c r="U1055" s="100">
        <v>160</v>
      </c>
      <c r="V1055" s="666">
        <v>804.46428571428567</v>
      </c>
      <c r="W1055" s="97"/>
      <c r="X1055" s="97">
        <f>+ROUNDUP(AC1055/1000,0)</f>
        <v>160</v>
      </c>
      <c r="Y1055" s="97"/>
      <c r="AC1055" s="100">
        <v>159398.35916134913</v>
      </c>
    </row>
    <row r="1056" spans="1:29" ht="15.95" customHeight="1" x14ac:dyDescent="0.2">
      <c r="A1056" s="667"/>
      <c r="B1056" s="44"/>
      <c r="C1056" s="150" t="s">
        <v>291</v>
      </c>
      <c r="D1056" s="304"/>
      <c r="E1056" s="103">
        <v>0</v>
      </c>
      <c r="F1056" s="104">
        <v>0</v>
      </c>
      <c r="G1056" s="103">
        <v>0</v>
      </c>
      <c r="H1056" s="103">
        <v>0</v>
      </c>
      <c r="I1056" s="104"/>
      <c r="J1056" s="103">
        <v>0</v>
      </c>
      <c r="K1056" s="103"/>
      <c r="L1056" s="103"/>
      <c r="M1056" s="103">
        <v>0</v>
      </c>
      <c r="N1056" s="103"/>
      <c r="O1056" s="103">
        <v>41</v>
      </c>
      <c r="P1056" s="103">
        <v>0</v>
      </c>
      <c r="Q1056" s="272"/>
      <c r="R1056" s="103">
        <v>0</v>
      </c>
      <c r="S1056" s="103">
        <v>0</v>
      </c>
      <c r="T1056" s="103">
        <v>0</v>
      </c>
      <c r="U1056" s="103">
        <v>0</v>
      </c>
      <c r="V1056" s="668">
        <v>0</v>
      </c>
      <c r="W1056" s="97"/>
      <c r="X1056" s="97">
        <f t="shared" si="16"/>
        <v>0</v>
      </c>
      <c r="Y1056" s="97"/>
      <c r="AC1056" s="103">
        <v>0</v>
      </c>
    </row>
    <row r="1057" spans="1:29" ht="15.95" customHeight="1" x14ac:dyDescent="0.2">
      <c r="A1057" s="665"/>
      <c r="B1057" s="42">
        <v>2009</v>
      </c>
      <c r="C1057" s="149" t="s">
        <v>412</v>
      </c>
      <c r="D1057" s="303">
        <v>7065</v>
      </c>
      <c r="E1057" s="100">
        <v>338</v>
      </c>
      <c r="F1057" s="101">
        <v>1370.853568</v>
      </c>
      <c r="G1057" s="100">
        <v>932.41991341991354</v>
      </c>
      <c r="H1057" s="100">
        <v>321</v>
      </c>
      <c r="I1057" s="101">
        <v>931</v>
      </c>
      <c r="J1057" s="100">
        <v>44</v>
      </c>
      <c r="K1057" s="100">
        <v>1136</v>
      </c>
      <c r="L1057" s="100"/>
      <c r="M1057" s="100">
        <v>915</v>
      </c>
      <c r="N1057" s="100"/>
      <c r="O1057" s="100">
        <v>34</v>
      </c>
      <c r="P1057" s="100">
        <v>45</v>
      </c>
      <c r="Q1057" s="102">
        <v>432.37900000000002</v>
      </c>
      <c r="R1057" s="100">
        <v>192</v>
      </c>
      <c r="S1057" s="100">
        <v>1366</v>
      </c>
      <c r="T1057" s="100">
        <v>331</v>
      </c>
      <c r="U1057" s="100">
        <v>175</v>
      </c>
      <c r="V1057" s="666">
        <v>868</v>
      </c>
      <c r="W1057" s="100"/>
      <c r="X1057" s="97">
        <f t="shared" si="16"/>
        <v>175</v>
      </c>
      <c r="Y1057" s="97"/>
      <c r="AC1057" s="100">
        <v>174685.31468531469</v>
      </c>
    </row>
    <row r="1058" spans="1:29" ht="15.95" customHeight="1" x14ac:dyDescent="0.2">
      <c r="A1058" s="665"/>
      <c r="B1058" s="43"/>
      <c r="C1058" s="149" t="s">
        <v>413</v>
      </c>
      <c r="D1058" s="303">
        <v>7065</v>
      </c>
      <c r="E1058" s="100">
        <v>338</v>
      </c>
      <c r="F1058" s="101">
        <v>1370.853568</v>
      </c>
      <c r="G1058" s="100">
        <v>932.41991341991354</v>
      </c>
      <c r="H1058" s="100">
        <v>321</v>
      </c>
      <c r="I1058" s="101">
        <v>931</v>
      </c>
      <c r="J1058" s="100">
        <v>44</v>
      </c>
      <c r="K1058" s="100">
        <v>1136</v>
      </c>
      <c r="L1058" s="100"/>
      <c r="M1058" s="100">
        <v>915</v>
      </c>
      <c r="N1058" s="100">
        <v>500</v>
      </c>
      <c r="O1058" s="100">
        <v>34</v>
      </c>
      <c r="P1058" s="100">
        <v>45</v>
      </c>
      <c r="Q1058" s="102">
        <v>432.37900000000002</v>
      </c>
      <c r="R1058" s="100">
        <v>192</v>
      </c>
      <c r="S1058" s="100">
        <v>1366</v>
      </c>
      <c r="T1058" s="100">
        <v>331</v>
      </c>
      <c r="U1058" s="100">
        <v>175</v>
      </c>
      <c r="V1058" s="666">
        <v>863</v>
      </c>
      <c r="W1058" s="97"/>
      <c r="X1058" s="97">
        <f t="shared" si="16"/>
        <v>175</v>
      </c>
      <c r="Y1058" s="97"/>
      <c r="AC1058" s="100">
        <v>174685.31468531469</v>
      </c>
    </row>
    <row r="1059" spans="1:29" ht="15.95" customHeight="1" thickBot="1" x14ac:dyDescent="0.25">
      <c r="A1059" s="669"/>
      <c r="B1059" s="45"/>
      <c r="C1059" s="151" t="s">
        <v>414</v>
      </c>
      <c r="D1059" s="305"/>
      <c r="E1059" s="105">
        <v>0</v>
      </c>
      <c r="F1059" s="106">
        <v>0</v>
      </c>
      <c r="G1059" s="105">
        <v>0</v>
      </c>
      <c r="H1059" s="105">
        <v>2</v>
      </c>
      <c r="I1059" s="106"/>
      <c r="J1059" s="105">
        <v>0</v>
      </c>
      <c r="K1059" s="105"/>
      <c r="L1059" s="105"/>
      <c r="M1059" s="105">
        <v>0</v>
      </c>
      <c r="N1059" s="105"/>
      <c r="O1059" s="105">
        <v>0</v>
      </c>
      <c r="P1059" s="105">
        <v>0</v>
      </c>
      <c r="Q1059" s="273"/>
      <c r="R1059" s="105">
        <v>0</v>
      </c>
      <c r="S1059" s="105">
        <v>0</v>
      </c>
      <c r="T1059" s="105">
        <v>0</v>
      </c>
      <c r="U1059" s="105">
        <v>0</v>
      </c>
      <c r="V1059" s="670">
        <v>0</v>
      </c>
      <c r="W1059" s="97"/>
      <c r="X1059" s="97">
        <f t="shared" si="16"/>
        <v>0</v>
      </c>
      <c r="Y1059" s="97">
        <f>+IF((AC1059-ROUND(AC1059,-3)&gt;400)*AND(AC1059-ROUND(AC1059,-3)&lt;500),1,0)</f>
        <v>0</v>
      </c>
      <c r="AC1059" s="105">
        <v>0</v>
      </c>
    </row>
    <row r="1060" spans="1:29" ht="15.95" customHeight="1" thickTop="1" x14ac:dyDescent="0.2">
      <c r="A1060" s="665" t="s">
        <v>257</v>
      </c>
      <c r="B1060" s="42">
        <v>2008</v>
      </c>
      <c r="C1060" s="148" t="s">
        <v>289</v>
      </c>
      <c r="D1060" s="303">
        <v>54285</v>
      </c>
      <c r="E1060" s="100">
        <v>3692</v>
      </c>
      <c r="F1060" s="101">
        <v>14004.3020388</v>
      </c>
      <c r="G1060" s="100">
        <v>11274.96852646638</v>
      </c>
      <c r="H1060" s="100">
        <v>1449</v>
      </c>
      <c r="I1060" s="101">
        <v>9530</v>
      </c>
      <c r="J1060" s="100">
        <v>351</v>
      </c>
      <c r="K1060" s="100">
        <v>2839</v>
      </c>
      <c r="L1060" s="100"/>
      <c r="M1060" s="100">
        <v>9367</v>
      </c>
      <c r="N1060" s="100"/>
      <c r="O1060" s="100">
        <v>346</v>
      </c>
      <c r="P1060" s="100">
        <v>458</v>
      </c>
      <c r="Q1060" s="271">
        <v>4669.2529999999997</v>
      </c>
      <c r="R1060" s="100">
        <v>448</v>
      </c>
      <c r="S1060" s="100">
        <v>13785</v>
      </c>
      <c r="T1060" s="100">
        <v>436</v>
      </c>
      <c r="U1060" s="100">
        <v>1663</v>
      </c>
      <c r="V1060" s="666">
        <v>4136.4589285714283</v>
      </c>
      <c r="W1060" s="97"/>
      <c r="X1060" s="97">
        <f>+ROUNDUP(AC1060/1000,0)</f>
        <v>1663</v>
      </c>
      <c r="Y1060" s="97"/>
      <c r="AC1060" s="100">
        <v>1662297.1741112124</v>
      </c>
    </row>
    <row r="1061" spans="1:29" ht="15.95" customHeight="1" x14ac:dyDescent="0.2">
      <c r="A1061" s="665"/>
      <c r="B1061" s="43"/>
      <c r="C1061" s="149" t="s">
        <v>290</v>
      </c>
      <c r="D1061" s="303">
        <v>54285</v>
      </c>
      <c r="E1061" s="100">
        <v>3692</v>
      </c>
      <c r="F1061" s="101">
        <v>14004.3020388</v>
      </c>
      <c r="G1061" s="100">
        <v>11126.673819742489</v>
      </c>
      <c r="H1061" s="100">
        <v>1449</v>
      </c>
      <c r="I1061" s="101">
        <v>9530</v>
      </c>
      <c r="J1061" s="100">
        <v>351</v>
      </c>
      <c r="K1061" s="100">
        <v>2839</v>
      </c>
      <c r="L1061" s="100"/>
      <c r="M1061" s="100">
        <v>9367</v>
      </c>
      <c r="N1061" s="100"/>
      <c r="O1061" s="100">
        <v>346</v>
      </c>
      <c r="P1061" s="100">
        <v>458</v>
      </c>
      <c r="Q1061" s="271">
        <v>4669.2529999999997</v>
      </c>
      <c r="R1061" s="100">
        <v>448</v>
      </c>
      <c r="S1061" s="100">
        <v>13785</v>
      </c>
      <c r="T1061" s="100">
        <v>436</v>
      </c>
      <c r="U1061" s="100">
        <v>1663</v>
      </c>
      <c r="V1061" s="666">
        <v>4136.6071428571422</v>
      </c>
      <c r="W1061" s="97"/>
      <c r="X1061" s="97">
        <f>+ROUNDUP(AC1061/1000,0)</f>
        <v>1663</v>
      </c>
      <c r="Y1061" s="97"/>
      <c r="AC1061" s="100">
        <v>1662297.1741112124</v>
      </c>
    </row>
    <row r="1062" spans="1:29" ht="15.95" customHeight="1" x14ac:dyDescent="0.2">
      <c r="A1062" s="667"/>
      <c r="B1062" s="44"/>
      <c r="C1062" s="150" t="s">
        <v>291</v>
      </c>
      <c r="D1062" s="304"/>
      <c r="E1062" s="103">
        <v>0</v>
      </c>
      <c r="F1062" s="104">
        <v>0</v>
      </c>
      <c r="G1062" s="103">
        <v>0</v>
      </c>
      <c r="H1062" s="103">
        <v>0</v>
      </c>
      <c r="I1062" s="104"/>
      <c r="J1062" s="103">
        <v>0</v>
      </c>
      <c r="K1062" s="103"/>
      <c r="L1062" s="103"/>
      <c r="M1062" s="103">
        <v>10300</v>
      </c>
      <c r="N1062" s="103"/>
      <c r="O1062" s="103">
        <v>0</v>
      </c>
      <c r="P1062" s="103">
        <v>68</v>
      </c>
      <c r="Q1062" s="272"/>
      <c r="R1062" s="103">
        <v>0</v>
      </c>
      <c r="S1062" s="103">
        <v>0</v>
      </c>
      <c r="T1062" s="103">
        <v>0</v>
      </c>
      <c r="U1062" s="103">
        <v>0</v>
      </c>
      <c r="V1062" s="668">
        <v>0</v>
      </c>
      <c r="W1062" s="97"/>
      <c r="X1062" s="97">
        <f t="shared" si="16"/>
        <v>0</v>
      </c>
      <c r="Y1062" s="97"/>
      <c r="AC1062" s="103">
        <v>0</v>
      </c>
    </row>
    <row r="1063" spans="1:29" ht="15.95" customHeight="1" x14ac:dyDescent="0.2">
      <c r="A1063" s="665"/>
      <c r="B1063" s="42">
        <v>2009</v>
      </c>
      <c r="C1063" s="149" t="s">
        <v>412</v>
      </c>
      <c r="D1063" s="303">
        <v>72310</v>
      </c>
      <c r="E1063" s="100">
        <v>3579</v>
      </c>
      <c r="F1063" s="101">
        <v>14004.3020388</v>
      </c>
      <c r="G1063" s="100">
        <v>11844.871572871572</v>
      </c>
      <c r="H1063" s="100">
        <v>1641</v>
      </c>
      <c r="I1063" s="101">
        <v>9530</v>
      </c>
      <c r="J1063" s="100">
        <v>308</v>
      </c>
      <c r="K1063" s="100">
        <v>2839</v>
      </c>
      <c r="L1063" s="100"/>
      <c r="M1063" s="100">
        <v>9367</v>
      </c>
      <c r="N1063" s="100"/>
      <c r="O1063" s="100">
        <v>343</v>
      </c>
      <c r="P1063" s="100">
        <v>457</v>
      </c>
      <c r="Q1063" s="102">
        <v>4425.7219999999998</v>
      </c>
      <c r="R1063" s="100">
        <v>459</v>
      </c>
      <c r="S1063" s="100">
        <v>13785</v>
      </c>
      <c r="T1063" s="100">
        <v>443</v>
      </c>
      <c r="U1063" s="100">
        <v>1822</v>
      </c>
      <c r="V1063" s="666">
        <v>4272.7223214285705</v>
      </c>
      <c r="W1063" s="100"/>
      <c r="X1063" s="97">
        <f t="shared" si="16"/>
        <v>1822</v>
      </c>
      <c r="Y1063" s="97"/>
      <c r="AC1063" s="100">
        <v>1821718.281718282</v>
      </c>
    </row>
    <row r="1064" spans="1:29" ht="15.95" customHeight="1" x14ac:dyDescent="0.2">
      <c r="A1064" s="665"/>
      <c r="B1064" s="43"/>
      <c r="C1064" s="149" t="s">
        <v>413</v>
      </c>
      <c r="D1064" s="303">
        <v>72310</v>
      </c>
      <c r="E1064" s="100">
        <v>3579</v>
      </c>
      <c r="F1064" s="101">
        <v>7532.7133688000004</v>
      </c>
      <c r="G1064" s="100">
        <v>11531.186147186148</v>
      </c>
      <c r="H1064" s="100">
        <v>1641</v>
      </c>
      <c r="I1064" s="101">
        <v>9530</v>
      </c>
      <c r="J1064" s="100">
        <v>308</v>
      </c>
      <c r="K1064" s="100">
        <v>2839</v>
      </c>
      <c r="L1064" s="100"/>
      <c r="M1064" s="100">
        <v>9367</v>
      </c>
      <c r="N1064" s="100">
        <v>53874</v>
      </c>
      <c r="O1064" s="100">
        <v>343</v>
      </c>
      <c r="P1064" s="100">
        <v>457</v>
      </c>
      <c r="Q1064" s="102">
        <v>4425.7219999999998</v>
      </c>
      <c r="R1064" s="100">
        <v>459</v>
      </c>
      <c r="S1064" s="100">
        <v>13785</v>
      </c>
      <c r="T1064" s="100">
        <v>443</v>
      </c>
      <c r="U1064" s="100">
        <v>1822</v>
      </c>
      <c r="V1064" s="666">
        <v>4273</v>
      </c>
      <c r="W1064" s="97"/>
      <c r="X1064" s="97">
        <f t="shared" si="16"/>
        <v>1822</v>
      </c>
      <c r="Y1064" s="97"/>
      <c r="AC1064" s="100">
        <v>1821718.281718282</v>
      </c>
    </row>
    <row r="1065" spans="1:29" ht="15.95" customHeight="1" thickBot="1" x14ac:dyDescent="0.25">
      <c r="A1065" s="669"/>
      <c r="B1065" s="45"/>
      <c r="C1065" s="151" t="s">
        <v>414</v>
      </c>
      <c r="D1065" s="305"/>
      <c r="E1065" s="105">
        <v>0</v>
      </c>
      <c r="F1065" s="106">
        <v>0</v>
      </c>
      <c r="G1065" s="105">
        <v>0</v>
      </c>
      <c r="H1065" s="105">
        <v>0</v>
      </c>
      <c r="I1065" s="106"/>
      <c r="J1065" s="105">
        <v>0</v>
      </c>
      <c r="K1065" s="105"/>
      <c r="L1065" s="105"/>
      <c r="M1065" s="105">
        <v>0</v>
      </c>
      <c r="N1065" s="105"/>
      <c r="O1065" s="105">
        <v>0</v>
      </c>
      <c r="P1065" s="105">
        <v>0</v>
      </c>
      <c r="Q1065" s="273"/>
      <c r="R1065" s="105">
        <v>0</v>
      </c>
      <c r="S1065" s="105">
        <v>0</v>
      </c>
      <c r="T1065" s="105">
        <v>0</v>
      </c>
      <c r="U1065" s="105">
        <v>0</v>
      </c>
      <c r="V1065" s="670">
        <v>0</v>
      </c>
      <c r="W1065" s="97"/>
      <c r="X1065" s="97">
        <f t="shared" si="16"/>
        <v>0</v>
      </c>
      <c r="Y1065" s="97">
        <f>+IF((AC1065-ROUND(AC1065,-3)&gt;400)*AND(AC1065-ROUND(AC1065,-3)&lt;500),1,0)</f>
        <v>0</v>
      </c>
      <c r="AC1065" s="105">
        <v>0</v>
      </c>
    </row>
    <row r="1066" spans="1:29" ht="15.95" customHeight="1" thickTop="1" x14ac:dyDescent="0.2">
      <c r="A1066" s="665" t="s">
        <v>258</v>
      </c>
      <c r="B1066" s="42">
        <v>2008</v>
      </c>
      <c r="C1066" s="148" t="s">
        <v>289</v>
      </c>
      <c r="D1066" s="303">
        <v>293</v>
      </c>
      <c r="E1066" s="100">
        <v>20</v>
      </c>
      <c r="F1066" s="101">
        <v>75.115263999999996</v>
      </c>
      <c r="G1066" s="100">
        <v>47.048640915593708</v>
      </c>
      <c r="H1066" s="100">
        <v>48</v>
      </c>
      <c r="I1066" s="101">
        <v>51</v>
      </c>
      <c r="J1066" s="100">
        <v>16</v>
      </c>
      <c r="K1066" s="100">
        <v>142</v>
      </c>
      <c r="L1066" s="100"/>
      <c r="M1066" s="100">
        <v>50</v>
      </c>
      <c r="N1066" s="100"/>
      <c r="O1066" s="100">
        <v>2</v>
      </c>
      <c r="P1066" s="100">
        <v>3</v>
      </c>
      <c r="Q1066" s="271">
        <v>24.902999999999999</v>
      </c>
      <c r="R1066" s="100">
        <v>42</v>
      </c>
      <c r="S1066" s="100">
        <v>74</v>
      </c>
      <c r="T1066" s="100">
        <v>3</v>
      </c>
      <c r="U1066" s="100">
        <v>11</v>
      </c>
      <c r="V1066" s="666">
        <v>126.92678571428569</v>
      </c>
      <c r="W1066" s="97"/>
      <c r="X1066" s="97">
        <f t="shared" si="16"/>
        <v>11</v>
      </c>
      <c r="Y1066" s="97"/>
      <c r="AC1066" s="100">
        <v>11385.597082953509</v>
      </c>
    </row>
    <row r="1067" spans="1:29" ht="15.95" customHeight="1" x14ac:dyDescent="0.2">
      <c r="A1067" s="665"/>
      <c r="B1067" s="43"/>
      <c r="C1067" s="149" t="s">
        <v>290</v>
      </c>
      <c r="D1067" s="303">
        <v>293</v>
      </c>
      <c r="E1067" s="100">
        <v>20</v>
      </c>
      <c r="F1067" s="101">
        <v>75.115263999999996</v>
      </c>
      <c r="G1067" s="100">
        <v>45.679542203147356</v>
      </c>
      <c r="H1067" s="100">
        <v>48</v>
      </c>
      <c r="I1067" s="101">
        <v>51</v>
      </c>
      <c r="J1067" s="100">
        <v>16</v>
      </c>
      <c r="K1067" s="100">
        <v>142</v>
      </c>
      <c r="L1067" s="100"/>
      <c r="M1067" s="100">
        <v>50</v>
      </c>
      <c r="N1067" s="100"/>
      <c r="O1067" s="100">
        <v>2</v>
      </c>
      <c r="P1067" s="100">
        <v>3</v>
      </c>
      <c r="Q1067" s="271">
        <v>24.902999999999999</v>
      </c>
      <c r="R1067" s="100">
        <v>42</v>
      </c>
      <c r="S1067" s="100">
        <v>74</v>
      </c>
      <c r="T1067" s="100">
        <v>3</v>
      </c>
      <c r="U1067" s="100">
        <v>11</v>
      </c>
      <c r="V1067" s="666">
        <v>126.78571428571428</v>
      </c>
      <c r="W1067" s="97"/>
      <c r="X1067" s="97">
        <f t="shared" si="16"/>
        <v>11</v>
      </c>
      <c r="Y1067" s="97"/>
      <c r="AC1067" s="100">
        <v>11385.597082953509</v>
      </c>
    </row>
    <row r="1068" spans="1:29" ht="15.95" customHeight="1" x14ac:dyDescent="0.2">
      <c r="A1068" s="667"/>
      <c r="B1068" s="44"/>
      <c r="C1068" s="150" t="s">
        <v>291</v>
      </c>
      <c r="D1068" s="304"/>
      <c r="E1068" s="103">
        <v>0</v>
      </c>
      <c r="F1068" s="104">
        <v>0</v>
      </c>
      <c r="G1068" s="103">
        <v>0</v>
      </c>
      <c r="H1068" s="103">
        <v>0</v>
      </c>
      <c r="I1068" s="104"/>
      <c r="J1068" s="103">
        <v>0</v>
      </c>
      <c r="K1068" s="103"/>
      <c r="L1068" s="103"/>
      <c r="M1068" s="103">
        <v>0</v>
      </c>
      <c r="N1068" s="103"/>
      <c r="O1068" s="103">
        <v>0</v>
      </c>
      <c r="P1068" s="103">
        <v>0</v>
      </c>
      <c r="Q1068" s="272"/>
      <c r="R1068" s="103">
        <v>0</v>
      </c>
      <c r="S1068" s="103">
        <v>0</v>
      </c>
      <c r="T1068" s="103">
        <v>0</v>
      </c>
      <c r="U1068" s="103">
        <v>0</v>
      </c>
      <c r="V1068" s="668">
        <v>0</v>
      </c>
      <c r="W1068" s="97"/>
      <c r="X1068" s="97">
        <f t="shared" si="16"/>
        <v>0</v>
      </c>
      <c r="Y1068" s="97"/>
      <c r="AC1068" s="103">
        <v>0</v>
      </c>
    </row>
    <row r="1069" spans="1:29" ht="15.95" customHeight="1" x14ac:dyDescent="0.2">
      <c r="A1069" s="665"/>
      <c r="B1069" s="42">
        <v>2009</v>
      </c>
      <c r="C1069" s="149" t="s">
        <v>412</v>
      </c>
      <c r="D1069" s="303">
        <v>390</v>
      </c>
      <c r="E1069" s="100">
        <v>19</v>
      </c>
      <c r="F1069" s="101">
        <v>75.115263999999996</v>
      </c>
      <c r="G1069" s="100">
        <v>49.209235209235217</v>
      </c>
      <c r="H1069" s="100">
        <v>57</v>
      </c>
      <c r="I1069" s="101">
        <v>51</v>
      </c>
      <c r="J1069" s="100">
        <v>14</v>
      </c>
      <c r="K1069" s="100">
        <v>142</v>
      </c>
      <c r="L1069" s="100"/>
      <c r="M1069" s="100">
        <v>50</v>
      </c>
      <c r="N1069" s="100"/>
      <c r="O1069" s="100">
        <v>2</v>
      </c>
      <c r="P1069" s="100">
        <v>3</v>
      </c>
      <c r="Q1069" s="102">
        <v>23.603999999999999</v>
      </c>
      <c r="R1069" s="100">
        <v>43</v>
      </c>
      <c r="S1069" s="100">
        <v>74</v>
      </c>
      <c r="T1069" s="100">
        <v>3</v>
      </c>
      <c r="U1069" s="100">
        <v>12</v>
      </c>
      <c r="V1069" s="666">
        <v>125</v>
      </c>
      <c r="W1069" s="100"/>
      <c r="X1069" s="97">
        <f t="shared" si="16"/>
        <v>12</v>
      </c>
      <c r="Y1069" s="97"/>
      <c r="AC1069" s="100">
        <v>12477.52247752248</v>
      </c>
    </row>
    <row r="1070" spans="1:29" ht="15.95" customHeight="1" x14ac:dyDescent="0.2">
      <c r="A1070" s="665"/>
      <c r="B1070" s="43"/>
      <c r="C1070" s="149" t="s">
        <v>413</v>
      </c>
      <c r="D1070" s="303">
        <v>390</v>
      </c>
      <c r="E1070" s="100">
        <v>19</v>
      </c>
      <c r="F1070" s="101">
        <v>75.115263999999996</v>
      </c>
      <c r="G1070" s="100">
        <v>48.42568542568543</v>
      </c>
      <c r="H1070" s="100">
        <v>57</v>
      </c>
      <c r="I1070" s="101">
        <v>51</v>
      </c>
      <c r="J1070" s="100">
        <v>14</v>
      </c>
      <c r="K1070" s="100">
        <v>142</v>
      </c>
      <c r="L1070" s="100"/>
      <c r="M1070" s="100">
        <v>50</v>
      </c>
      <c r="N1070" s="100">
        <v>668</v>
      </c>
      <c r="O1070" s="100">
        <v>2</v>
      </c>
      <c r="P1070" s="100">
        <v>3</v>
      </c>
      <c r="Q1070" s="102">
        <v>23.603999999999999</v>
      </c>
      <c r="R1070" s="100">
        <v>43</v>
      </c>
      <c r="S1070" s="100">
        <v>0</v>
      </c>
      <c r="T1070" s="100">
        <v>3</v>
      </c>
      <c r="U1070" s="100">
        <v>12</v>
      </c>
      <c r="V1070" s="666">
        <v>124</v>
      </c>
      <c r="W1070" s="97"/>
      <c r="X1070" s="97">
        <f t="shared" si="16"/>
        <v>12</v>
      </c>
      <c r="Y1070" s="97"/>
      <c r="AC1070" s="100">
        <v>12477.52247752248</v>
      </c>
    </row>
    <row r="1071" spans="1:29" ht="15.95" customHeight="1" thickBot="1" x14ac:dyDescent="0.25">
      <c r="A1071" s="669"/>
      <c r="B1071" s="45"/>
      <c r="C1071" s="151" t="s">
        <v>414</v>
      </c>
      <c r="D1071" s="305"/>
      <c r="E1071" s="105">
        <v>0</v>
      </c>
      <c r="F1071" s="106">
        <v>0</v>
      </c>
      <c r="G1071" s="105">
        <v>0</v>
      </c>
      <c r="H1071" s="105">
        <v>1</v>
      </c>
      <c r="I1071" s="106"/>
      <c r="J1071" s="105">
        <v>0</v>
      </c>
      <c r="K1071" s="105"/>
      <c r="L1071" s="105"/>
      <c r="M1071" s="105">
        <v>0</v>
      </c>
      <c r="N1071" s="105"/>
      <c r="O1071" s="105">
        <v>0</v>
      </c>
      <c r="P1071" s="105">
        <v>0</v>
      </c>
      <c r="Q1071" s="273"/>
      <c r="R1071" s="105">
        <v>0</v>
      </c>
      <c r="S1071" s="105">
        <v>0</v>
      </c>
      <c r="T1071" s="105">
        <v>0</v>
      </c>
      <c r="U1071" s="105">
        <v>0</v>
      </c>
      <c r="V1071" s="670">
        <v>0</v>
      </c>
      <c r="W1071" s="97"/>
      <c r="X1071" s="97">
        <f t="shared" si="16"/>
        <v>0</v>
      </c>
      <c r="Y1071" s="97">
        <f>+IF((AC1071-ROUND(AC1071,-3)&gt;400)*AND(AC1071-ROUND(AC1071,-3)&lt;500),1,0)</f>
        <v>0</v>
      </c>
      <c r="AC1071" s="105">
        <v>0</v>
      </c>
    </row>
    <row r="1072" spans="1:29" ht="15.95" customHeight="1" thickTop="1" x14ac:dyDescent="0.2">
      <c r="A1072" s="665" t="s">
        <v>259</v>
      </c>
      <c r="B1072" s="42">
        <v>2008</v>
      </c>
      <c r="C1072" s="148" t="s">
        <v>289</v>
      </c>
      <c r="D1072" s="303">
        <v>183</v>
      </c>
      <c r="E1072" s="100">
        <v>12</v>
      </c>
      <c r="F1072" s="101">
        <v>46.947040000000008</v>
      </c>
      <c r="G1072" s="100">
        <v>31.454935622317599</v>
      </c>
      <c r="H1072" s="100">
        <v>37</v>
      </c>
      <c r="I1072" s="101">
        <v>32</v>
      </c>
      <c r="J1072" s="100">
        <v>8</v>
      </c>
      <c r="K1072" s="100">
        <v>18</v>
      </c>
      <c r="L1072" s="100"/>
      <c r="M1072" s="100">
        <v>32</v>
      </c>
      <c r="N1072" s="100"/>
      <c r="O1072" s="100">
        <v>1</v>
      </c>
      <c r="P1072" s="100">
        <v>2</v>
      </c>
      <c r="Q1072" s="271">
        <v>11.319000000000001</v>
      </c>
      <c r="R1072" s="100">
        <v>35</v>
      </c>
      <c r="S1072" s="100">
        <v>46</v>
      </c>
      <c r="T1072" s="100">
        <v>1</v>
      </c>
      <c r="U1072" s="100">
        <v>11</v>
      </c>
      <c r="V1072" s="666">
        <v>24</v>
      </c>
      <c r="W1072" s="97"/>
      <c r="X1072" s="97">
        <f t="shared" si="16"/>
        <v>11</v>
      </c>
      <c r="Y1072" s="97"/>
      <c r="AC1072" s="100">
        <v>11385.597082953509</v>
      </c>
    </row>
    <row r="1073" spans="1:29" ht="15.95" customHeight="1" x14ac:dyDescent="0.2">
      <c r="A1073" s="665"/>
      <c r="B1073" s="43"/>
      <c r="C1073" s="149" t="s">
        <v>290</v>
      </c>
      <c r="D1073" s="303"/>
      <c r="E1073" s="100">
        <v>0</v>
      </c>
      <c r="F1073" s="101">
        <v>46.947040000000001</v>
      </c>
      <c r="G1073" s="100">
        <v>0</v>
      </c>
      <c r="H1073" s="100">
        <v>0</v>
      </c>
      <c r="I1073" s="101">
        <f>14-14</f>
        <v>0</v>
      </c>
      <c r="J1073" s="100">
        <v>0</v>
      </c>
      <c r="K1073" s="100">
        <v>18</v>
      </c>
      <c r="L1073" s="100"/>
      <c r="M1073" s="100">
        <v>0</v>
      </c>
      <c r="N1073" s="100"/>
      <c r="O1073" s="100">
        <v>0</v>
      </c>
      <c r="P1073" s="100">
        <v>0</v>
      </c>
      <c r="Q1073" s="271">
        <v>11.319000000000001</v>
      </c>
      <c r="R1073" s="100">
        <v>14</v>
      </c>
      <c r="S1073" s="100">
        <v>46</v>
      </c>
      <c r="T1073" s="100">
        <v>1</v>
      </c>
      <c r="U1073" s="100">
        <v>0</v>
      </c>
      <c r="V1073" s="666">
        <v>0</v>
      </c>
      <c r="W1073" s="97"/>
      <c r="X1073" s="97">
        <f t="shared" si="16"/>
        <v>0</v>
      </c>
      <c r="Y1073" s="97"/>
      <c r="AC1073" s="100">
        <v>0</v>
      </c>
    </row>
    <row r="1074" spans="1:29" ht="15.95" customHeight="1" x14ac:dyDescent="0.2">
      <c r="A1074" s="667"/>
      <c r="B1074" s="44"/>
      <c r="C1074" s="150" t="s">
        <v>291</v>
      </c>
      <c r="D1074" s="304">
        <v>150</v>
      </c>
      <c r="E1074" s="103">
        <v>0</v>
      </c>
      <c r="F1074" s="104">
        <v>90.325899200000009</v>
      </c>
      <c r="G1074" s="103">
        <v>44.846924177396289</v>
      </c>
      <c r="H1074" s="103">
        <v>0</v>
      </c>
      <c r="I1074" s="104"/>
      <c r="J1074" s="103">
        <v>0</v>
      </c>
      <c r="K1074" s="103"/>
      <c r="L1074" s="103"/>
      <c r="M1074" s="103">
        <v>0</v>
      </c>
      <c r="N1074" s="103"/>
      <c r="O1074" s="103">
        <v>0</v>
      </c>
      <c r="P1074" s="103">
        <v>0</v>
      </c>
      <c r="Q1074" s="272">
        <v>30.611000000000001</v>
      </c>
      <c r="R1074" s="103">
        <v>0</v>
      </c>
      <c r="S1074" s="103">
        <v>35</v>
      </c>
      <c r="T1074" s="103">
        <v>0</v>
      </c>
      <c r="U1074" s="103">
        <v>12</v>
      </c>
      <c r="V1074" s="668">
        <v>0</v>
      </c>
      <c r="W1074" s="97"/>
      <c r="X1074" s="97">
        <f t="shared" si="16"/>
        <v>12</v>
      </c>
      <c r="Y1074" s="97"/>
      <c r="AC1074" s="103">
        <v>11536.836827711943</v>
      </c>
    </row>
    <row r="1075" spans="1:29" ht="15.95" customHeight="1" x14ac:dyDescent="0.2">
      <c r="A1075" s="665"/>
      <c r="B1075" s="42">
        <v>2009</v>
      </c>
      <c r="C1075" s="149" t="s">
        <v>412</v>
      </c>
      <c r="D1075" s="303">
        <v>244</v>
      </c>
      <c r="E1075" s="100">
        <v>12</v>
      </c>
      <c r="F1075" s="101">
        <v>46.947040000000008</v>
      </c>
      <c r="G1075" s="100">
        <v>32.533910533910536</v>
      </c>
      <c r="H1075" s="100">
        <v>42</v>
      </c>
      <c r="I1075" s="101">
        <v>32</v>
      </c>
      <c r="J1075" s="100">
        <v>7</v>
      </c>
      <c r="K1075" s="100">
        <v>18</v>
      </c>
      <c r="L1075" s="100"/>
      <c r="M1075" s="100">
        <v>32</v>
      </c>
      <c r="N1075" s="100"/>
      <c r="O1075" s="100">
        <v>1</v>
      </c>
      <c r="P1075" s="100">
        <v>2</v>
      </c>
      <c r="Q1075" s="102">
        <v>10.728999999999999</v>
      </c>
      <c r="R1075" s="100">
        <v>36</v>
      </c>
      <c r="S1075" s="100">
        <v>46</v>
      </c>
      <c r="T1075" s="100">
        <v>1</v>
      </c>
      <c r="U1075" s="100">
        <v>12</v>
      </c>
      <c r="V1075" s="666">
        <v>25</v>
      </c>
      <c r="W1075" s="100"/>
      <c r="X1075" s="97">
        <f t="shared" si="16"/>
        <v>12</v>
      </c>
      <c r="Y1075" s="97"/>
      <c r="AC1075" s="100">
        <v>12477.52247752248</v>
      </c>
    </row>
    <row r="1076" spans="1:29" ht="15.95" customHeight="1" x14ac:dyDescent="0.2">
      <c r="A1076" s="665"/>
      <c r="B1076" s="43"/>
      <c r="C1076" s="149" t="s">
        <v>413</v>
      </c>
      <c r="D1076" s="303"/>
      <c r="E1076" s="100">
        <v>0</v>
      </c>
      <c r="F1076" s="101">
        <v>29.363120000000002</v>
      </c>
      <c r="G1076" s="100">
        <v>0</v>
      </c>
      <c r="H1076" s="100">
        <v>0</v>
      </c>
      <c r="I1076" s="101"/>
      <c r="J1076" s="100">
        <v>7</v>
      </c>
      <c r="K1076" s="100">
        <v>18</v>
      </c>
      <c r="L1076" s="100"/>
      <c r="M1076" s="100">
        <v>0</v>
      </c>
      <c r="N1076" s="100">
        <v>250</v>
      </c>
      <c r="O1076" s="100">
        <v>1</v>
      </c>
      <c r="P1076" s="100">
        <v>2</v>
      </c>
      <c r="Q1076" s="102">
        <v>1.0940000000000001</v>
      </c>
      <c r="R1076" s="100">
        <v>36</v>
      </c>
      <c r="S1076" s="100">
        <v>43</v>
      </c>
      <c r="T1076" s="100">
        <v>1</v>
      </c>
      <c r="U1076" s="100">
        <v>0</v>
      </c>
      <c r="V1076" s="666">
        <v>24</v>
      </c>
      <c r="W1076" s="97"/>
      <c r="X1076" s="97">
        <f t="shared" si="16"/>
        <v>0</v>
      </c>
      <c r="Y1076" s="97"/>
      <c r="AC1076" s="100">
        <v>0</v>
      </c>
    </row>
    <row r="1077" spans="1:29" ht="15.95" customHeight="1" thickBot="1" x14ac:dyDescent="0.25">
      <c r="A1077" s="669"/>
      <c r="B1077" s="45"/>
      <c r="C1077" s="151" t="s">
        <v>414</v>
      </c>
      <c r="D1077" s="305"/>
      <c r="E1077" s="105">
        <v>0</v>
      </c>
      <c r="F1077" s="106">
        <v>0</v>
      </c>
      <c r="G1077" s="105">
        <v>0</v>
      </c>
      <c r="H1077" s="105">
        <v>0</v>
      </c>
      <c r="I1077" s="106">
        <f>24+14</f>
        <v>38</v>
      </c>
      <c r="J1077" s="105">
        <v>7</v>
      </c>
      <c r="K1077" s="105"/>
      <c r="L1077" s="105"/>
      <c r="M1077" s="105">
        <v>91</v>
      </c>
      <c r="N1077" s="105"/>
      <c r="O1077" s="105">
        <v>3</v>
      </c>
      <c r="P1077" s="105">
        <v>13</v>
      </c>
      <c r="Q1077" s="273"/>
      <c r="R1077" s="105">
        <v>16</v>
      </c>
      <c r="S1077" s="105">
        <v>67</v>
      </c>
      <c r="T1077" s="105">
        <v>0</v>
      </c>
      <c r="U1077" s="105">
        <v>12</v>
      </c>
      <c r="V1077" s="670">
        <v>24</v>
      </c>
      <c r="W1077" s="97"/>
      <c r="X1077" s="97">
        <f t="shared" si="16"/>
        <v>12</v>
      </c>
      <c r="Y1077" s="97">
        <f>+IF((AC1077-ROUND(AC1077,-3)&gt;400)*AND(AC1077-ROUND(AC1077,-3)&lt;500),1,0)</f>
        <v>1</v>
      </c>
      <c r="AC1077" s="105">
        <v>12423.326673326676</v>
      </c>
    </row>
    <row r="1078" spans="1:29" ht="15.95" customHeight="1" thickTop="1" x14ac:dyDescent="0.2">
      <c r="A1078" s="665" t="s">
        <v>260</v>
      </c>
      <c r="B1078" s="42">
        <v>2008</v>
      </c>
      <c r="C1078" s="148" t="s">
        <v>289</v>
      </c>
      <c r="D1078" s="303">
        <v>18</v>
      </c>
      <c r="E1078" s="100">
        <v>1</v>
      </c>
      <c r="F1078" s="101">
        <v>4.6946972000000002</v>
      </c>
      <c r="G1078" s="100"/>
      <c r="H1078" s="100">
        <v>37</v>
      </c>
      <c r="I1078" s="101">
        <v>3</v>
      </c>
      <c r="J1078" s="100">
        <v>8</v>
      </c>
      <c r="K1078" s="100">
        <v>71</v>
      </c>
      <c r="L1078" s="100">
        <v>63</v>
      </c>
      <c r="M1078" s="100">
        <v>3</v>
      </c>
      <c r="N1078" s="100"/>
      <c r="O1078" s="100">
        <v>0</v>
      </c>
      <c r="P1078" s="100">
        <v>0</v>
      </c>
      <c r="Q1078" s="271">
        <v>1.1319999999999999</v>
      </c>
      <c r="R1078" s="100"/>
      <c r="S1078" s="100">
        <v>5</v>
      </c>
      <c r="T1078" s="100">
        <v>3</v>
      </c>
      <c r="U1078" s="100">
        <v>11</v>
      </c>
      <c r="V1078" s="666">
        <v>28.494642857142857</v>
      </c>
      <c r="W1078" s="97"/>
      <c r="X1078" s="97">
        <f t="shared" si="16"/>
        <v>11</v>
      </c>
      <c r="Y1078" s="97"/>
      <c r="AC1078" s="100">
        <v>11385.597082953509</v>
      </c>
    </row>
    <row r="1079" spans="1:29" ht="15.95" customHeight="1" x14ac:dyDescent="0.2">
      <c r="A1079" s="665"/>
      <c r="B1079" s="43"/>
      <c r="C1079" s="149" t="s">
        <v>290</v>
      </c>
      <c r="D1079" s="303">
        <v>18</v>
      </c>
      <c r="E1079" s="100">
        <v>1</v>
      </c>
      <c r="F1079" s="101">
        <v>0</v>
      </c>
      <c r="G1079" s="100"/>
      <c r="H1079" s="100">
        <v>0</v>
      </c>
      <c r="I1079" s="101">
        <v>3</v>
      </c>
      <c r="J1079" s="100">
        <v>8</v>
      </c>
      <c r="K1079" s="100">
        <v>71</v>
      </c>
      <c r="L1079" s="100">
        <v>63</v>
      </c>
      <c r="M1079" s="100">
        <v>1</v>
      </c>
      <c r="N1079" s="100"/>
      <c r="O1079" s="100">
        <v>0</v>
      </c>
      <c r="P1079" s="100">
        <v>0</v>
      </c>
      <c r="Q1079" s="271"/>
      <c r="R1079" s="100"/>
      <c r="S1079" s="100">
        <v>5</v>
      </c>
      <c r="T1079" s="100">
        <v>3</v>
      </c>
      <c r="U1079" s="100">
        <v>4</v>
      </c>
      <c r="V1079" s="666">
        <v>28.571428571428569</v>
      </c>
      <c r="W1079" s="97"/>
      <c r="X1079" s="97">
        <f>+ROUNDDOWN(AC1079/1000,0)</f>
        <v>4</v>
      </c>
      <c r="Y1079" s="97"/>
      <c r="AC1079" s="100">
        <v>4510.4557885141294</v>
      </c>
    </row>
    <row r="1080" spans="1:29" ht="15.95" customHeight="1" x14ac:dyDescent="0.2">
      <c r="A1080" s="667"/>
      <c r="B1080" s="44"/>
      <c r="C1080" s="150" t="s">
        <v>291</v>
      </c>
      <c r="D1080" s="304"/>
      <c r="E1080" s="103">
        <v>17</v>
      </c>
      <c r="F1080" s="104">
        <v>0</v>
      </c>
      <c r="G1080" s="103"/>
      <c r="H1080" s="103">
        <v>0</v>
      </c>
      <c r="I1080" s="104"/>
      <c r="J1080" s="103">
        <v>0</v>
      </c>
      <c r="K1080" s="103"/>
      <c r="L1080" s="103">
        <v>51</v>
      </c>
      <c r="M1080" s="103">
        <v>4</v>
      </c>
      <c r="N1080" s="103"/>
      <c r="O1080" s="103">
        <v>0</v>
      </c>
      <c r="P1080" s="103">
        <v>0</v>
      </c>
      <c r="Q1080" s="272">
        <v>68.209000000000003</v>
      </c>
      <c r="R1080" s="103"/>
      <c r="S1080" s="103">
        <v>0</v>
      </c>
      <c r="T1080" s="103">
        <v>174</v>
      </c>
      <c r="U1080" s="103">
        <v>129</v>
      </c>
      <c r="V1080" s="668">
        <v>0</v>
      </c>
      <c r="W1080" s="97"/>
      <c r="X1080" s="97">
        <f t="shared" si="16"/>
        <v>129</v>
      </c>
      <c r="Y1080" s="97"/>
      <c r="AC1080" s="103">
        <v>129192.49772105744</v>
      </c>
    </row>
    <row r="1081" spans="1:29" ht="15.95" customHeight="1" x14ac:dyDescent="0.2">
      <c r="A1081" s="665"/>
      <c r="B1081" s="42">
        <v>2009</v>
      </c>
      <c r="C1081" s="149" t="s">
        <v>412</v>
      </c>
      <c r="D1081" s="303">
        <v>24</v>
      </c>
      <c r="E1081" s="100">
        <v>1</v>
      </c>
      <c r="F1081" s="101">
        <v>4.6946972000000002</v>
      </c>
      <c r="G1081" s="100"/>
      <c r="H1081" s="100">
        <v>42</v>
      </c>
      <c r="I1081" s="101">
        <v>3</v>
      </c>
      <c r="J1081" s="100">
        <v>7</v>
      </c>
      <c r="K1081" s="100">
        <v>71</v>
      </c>
      <c r="L1081" s="100">
        <f>126-L1078</f>
        <v>63</v>
      </c>
      <c r="M1081" s="100">
        <v>3</v>
      </c>
      <c r="N1081" s="100"/>
      <c r="O1081" s="100">
        <v>0</v>
      </c>
      <c r="P1081" s="100">
        <v>0</v>
      </c>
      <c r="Q1081" s="102">
        <v>1.073</v>
      </c>
      <c r="R1081" s="100"/>
      <c r="S1081" s="100">
        <v>5</v>
      </c>
      <c r="T1081" s="100">
        <v>3</v>
      </c>
      <c r="U1081" s="100">
        <v>12</v>
      </c>
      <c r="V1081" s="666">
        <v>30</v>
      </c>
      <c r="W1081" s="100"/>
      <c r="X1081" s="97">
        <f t="shared" si="16"/>
        <v>12</v>
      </c>
      <c r="Y1081" s="97"/>
      <c r="AC1081" s="100">
        <v>12477.52247752248</v>
      </c>
    </row>
    <row r="1082" spans="1:29" ht="15.95" customHeight="1" x14ac:dyDescent="0.2">
      <c r="A1082" s="665"/>
      <c r="B1082" s="43"/>
      <c r="C1082" s="149" t="s">
        <v>413</v>
      </c>
      <c r="D1082" s="303">
        <v>7</v>
      </c>
      <c r="E1082" s="100">
        <v>1</v>
      </c>
      <c r="F1082" s="101">
        <v>4.6946972000000002</v>
      </c>
      <c r="G1082" s="100"/>
      <c r="H1082" s="100">
        <v>0</v>
      </c>
      <c r="I1082" s="101">
        <v>3</v>
      </c>
      <c r="J1082" s="100">
        <v>7</v>
      </c>
      <c r="K1082" s="100">
        <v>71</v>
      </c>
      <c r="L1082" s="100">
        <v>63</v>
      </c>
      <c r="M1082" s="100">
        <v>3</v>
      </c>
      <c r="N1082" s="100"/>
      <c r="O1082" s="100">
        <v>0</v>
      </c>
      <c r="P1082" s="100">
        <v>0</v>
      </c>
      <c r="Q1082" s="102">
        <v>1.073</v>
      </c>
      <c r="R1082" s="100"/>
      <c r="S1082" s="100">
        <v>5</v>
      </c>
      <c r="T1082" s="100">
        <v>3</v>
      </c>
      <c r="U1082" s="100">
        <v>12</v>
      </c>
      <c r="V1082" s="666">
        <v>29</v>
      </c>
      <c r="W1082" s="97"/>
      <c r="X1082" s="97">
        <f t="shared" si="16"/>
        <v>12</v>
      </c>
      <c r="Y1082" s="97"/>
      <c r="AC1082" s="100">
        <v>12477.52247752248</v>
      </c>
    </row>
    <row r="1083" spans="1:29" ht="15.95" customHeight="1" thickBot="1" x14ac:dyDescent="0.25">
      <c r="A1083" s="669"/>
      <c r="B1083" s="45"/>
      <c r="C1083" s="151" t="s">
        <v>414</v>
      </c>
      <c r="D1083" s="305"/>
      <c r="E1083" s="105">
        <v>0</v>
      </c>
      <c r="F1083" s="106">
        <v>4.6946972000000002</v>
      </c>
      <c r="G1083" s="105"/>
      <c r="H1083" s="105">
        <v>0</v>
      </c>
      <c r="I1083" s="106"/>
      <c r="J1083" s="105">
        <v>0</v>
      </c>
      <c r="K1083" s="105"/>
      <c r="L1083" s="105"/>
      <c r="M1083" s="105">
        <v>2</v>
      </c>
      <c r="N1083" s="105"/>
      <c r="O1083" s="105">
        <v>0</v>
      </c>
      <c r="P1083" s="105">
        <v>0</v>
      </c>
      <c r="Q1083" s="273">
        <v>1.478</v>
      </c>
      <c r="R1083" s="105"/>
      <c r="S1083" s="105">
        <v>0</v>
      </c>
      <c r="T1083" s="105">
        <v>0</v>
      </c>
      <c r="U1083" s="105">
        <v>8</v>
      </c>
      <c r="V1083" s="670">
        <v>0</v>
      </c>
      <c r="W1083" s="97"/>
      <c r="X1083" s="97">
        <f t="shared" si="16"/>
        <v>8</v>
      </c>
      <c r="Y1083" s="97">
        <f>+IF((AC1083-ROUND(AC1083,-3)&gt;400)*AND(AC1083-ROUND(AC1083,-3)&lt;500),1,0)</f>
        <v>0</v>
      </c>
      <c r="AC1083" s="105">
        <v>7534.495504495505</v>
      </c>
    </row>
    <row r="1084" spans="1:29" ht="15.95" customHeight="1" thickTop="1" x14ac:dyDescent="0.2">
      <c r="A1084" s="665" t="s">
        <v>261</v>
      </c>
      <c r="B1084" s="42">
        <v>2008</v>
      </c>
      <c r="C1084" s="148" t="s">
        <v>289</v>
      </c>
      <c r="D1084" s="303">
        <v>37</v>
      </c>
      <c r="E1084" s="100">
        <v>2</v>
      </c>
      <c r="F1084" s="101">
        <v>9.3894079999999995</v>
      </c>
      <c r="G1084" s="100"/>
      <c r="H1084" s="100">
        <v>37</v>
      </c>
      <c r="I1084" s="101">
        <v>6</v>
      </c>
      <c r="J1084" s="100"/>
      <c r="K1084" s="100">
        <v>35</v>
      </c>
      <c r="L1084" s="100"/>
      <c r="M1084" s="100">
        <v>6</v>
      </c>
      <c r="N1084" s="100"/>
      <c r="O1084" s="100">
        <v>0</v>
      </c>
      <c r="P1084" s="100">
        <v>0</v>
      </c>
      <c r="Q1084" s="271">
        <v>3.395</v>
      </c>
      <c r="R1084" s="100">
        <v>42</v>
      </c>
      <c r="S1084" s="100">
        <v>9</v>
      </c>
      <c r="T1084" s="100">
        <v>3</v>
      </c>
      <c r="U1084" s="100">
        <v>11</v>
      </c>
      <c r="V1084" s="666">
        <v>2113.8535714285713</v>
      </c>
      <c r="W1084" s="97"/>
      <c r="X1084" s="97">
        <f t="shared" si="16"/>
        <v>11</v>
      </c>
      <c r="Y1084" s="97"/>
      <c r="AC1084" s="100">
        <v>11385.597082953509</v>
      </c>
    </row>
    <row r="1085" spans="1:29" ht="15.95" customHeight="1" x14ac:dyDescent="0.2">
      <c r="A1085" s="665"/>
      <c r="B1085" s="43"/>
      <c r="C1085" s="149" t="s">
        <v>290</v>
      </c>
      <c r="D1085" s="303"/>
      <c r="E1085" s="100">
        <v>0</v>
      </c>
      <c r="F1085" s="101">
        <v>5.050428000000001</v>
      </c>
      <c r="G1085" s="100"/>
      <c r="H1085" s="100">
        <v>0</v>
      </c>
      <c r="I1085" s="101">
        <v>6</v>
      </c>
      <c r="J1085" s="100"/>
      <c r="K1085" s="100">
        <v>35</v>
      </c>
      <c r="L1085" s="100"/>
      <c r="M1085" s="100">
        <v>6</v>
      </c>
      <c r="N1085" s="100">
        <v>15</v>
      </c>
      <c r="O1085" s="100">
        <v>0</v>
      </c>
      <c r="P1085" s="100">
        <v>0</v>
      </c>
      <c r="Q1085" s="271">
        <v>3.395</v>
      </c>
      <c r="R1085" s="100">
        <v>42</v>
      </c>
      <c r="S1085" s="100">
        <v>9</v>
      </c>
      <c r="T1085" s="100">
        <v>3</v>
      </c>
      <c r="U1085" s="100">
        <v>11</v>
      </c>
      <c r="V1085" s="666">
        <v>2114.2857142857142</v>
      </c>
      <c r="W1085" s="97"/>
      <c r="X1085" s="97">
        <f t="shared" si="16"/>
        <v>11</v>
      </c>
      <c r="Y1085" s="97"/>
      <c r="AC1085" s="100">
        <v>11385.597082953509</v>
      </c>
    </row>
    <row r="1086" spans="1:29" ht="15.95" customHeight="1" x14ac:dyDescent="0.2">
      <c r="A1086" s="667"/>
      <c r="B1086" s="44"/>
      <c r="C1086" s="150" t="s">
        <v>291</v>
      </c>
      <c r="D1086" s="304"/>
      <c r="E1086" s="103">
        <v>10</v>
      </c>
      <c r="F1086" s="104">
        <v>0</v>
      </c>
      <c r="G1086" s="103"/>
      <c r="H1086" s="103">
        <v>30</v>
      </c>
      <c r="I1086" s="104"/>
      <c r="J1086" s="103"/>
      <c r="K1086" s="103"/>
      <c r="L1086" s="103"/>
      <c r="M1086" s="103">
        <v>0</v>
      </c>
      <c r="N1086" s="103"/>
      <c r="O1086" s="103">
        <v>0</v>
      </c>
      <c r="P1086" s="103">
        <v>0</v>
      </c>
      <c r="Q1086" s="272"/>
      <c r="R1086" s="103">
        <v>0</v>
      </c>
      <c r="S1086" s="103">
        <v>0</v>
      </c>
      <c r="T1086" s="103">
        <v>0</v>
      </c>
      <c r="U1086" s="103">
        <v>0</v>
      </c>
      <c r="V1086" s="668">
        <v>0</v>
      </c>
      <c r="W1086" s="97"/>
      <c r="X1086" s="97">
        <f t="shared" si="16"/>
        <v>0</v>
      </c>
      <c r="Y1086" s="97"/>
      <c r="AC1086" s="103">
        <v>0</v>
      </c>
    </row>
    <row r="1087" spans="1:29" ht="15.95" customHeight="1" x14ac:dyDescent="0.2">
      <c r="A1087" s="665"/>
      <c r="B1087" s="42">
        <v>2009</v>
      </c>
      <c r="C1087" s="149" t="s">
        <v>412</v>
      </c>
      <c r="D1087" s="303">
        <v>49</v>
      </c>
      <c r="E1087" s="100">
        <v>2</v>
      </c>
      <c r="F1087" s="101">
        <v>9.3894079999999995</v>
      </c>
      <c r="G1087" s="100"/>
      <c r="H1087" s="100">
        <v>42</v>
      </c>
      <c r="I1087" s="101">
        <v>6</v>
      </c>
      <c r="J1087" s="100"/>
      <c r="K1087" s="100">
        <v>35</v>
      </c>
      <c r="L1087" s="100"/>
      <c r="M1087" s="100">
        <v>6</v>
      </c>
      <c r="N1087" s="100"/>
      <c r="O1087" s="100">
        <v>0</v>
      </c>
      <c r="P1087" s="100">
        <v>0</v>
      </c>
      <c r="Q1087" s="102">
        <v>3.218</v>
      </c>
      <c r="R1087" s="100">
        <v>43</v>
      </c>
      <c r="S1087" s="100">
        <v>9</v>
      </c>
      <c r="T1087" s="100">
        <v>3</v>
      </c>
      <c r="U1087" s="100">
        <v>12</v>
      </c>
      <c r="V1087" s="666">
        <v>2155.8017857142854</v>
      </c>
      <c r="W1087" s="100"/>
      <c r="X1087" s="97">
        <f t="shared" ref="X1087:X1155" si="17">+ROUND(AC1087/1000,0)</f>
        <v>12</v>
      </c>
      <c r="Y1087" s="97"/>
      <c r="AC1087" s="100">
        <v>12477.52247752248</v>
      </c>
    </row>
    <row r="1088" spans="1:29" ht="15.95" customHeight="1" x14ac:dyDescent="0.2">
      <c r="A1088" s="665"/>
      <c r="B1088" s="43"/>
      <c r="C1088" s="149" t="s">
        <v>413</v>
      </c>
      <c r="D1088" s="303"/>
      <c r="E1088" s="100">
        <v>0</v>
      </c>
      <c r="F1088" s="101">
        <v>9.3894079999999995</v>
      </c>
      <c r="G1088" s="100"/>
      <c r="H1088" s="100">
        <v>42</v>
      </c>
      <c r="I1088" s="101">
        <v>6</v>
      </c>
      <c r="J1088" s="100"/>
      <c r="K1088" s="100"/>
      <c r="L1088" s="100"/>
      <c r="M1088" s="100">
        <v>6</v>
      </c>
      <c r="N1088" s="100"/>
      <c r="O1088" s="100">
        <v>0</v>
      </c>
      <c r="P1088" s="100">
        <v>0</v>
      </c>
      <c r="Q1088" s="102">
        <v>3.218</v>
      </c>
      <c r="R1088" s="100">
        <v>43</v>
      </c>
      <c r="S1088" s="100">
        <v>9</v>
      </c>
      <c r="T1088" s="100">
        <v>3</v>
      </c>
      <c r="U1088" s="100">
        <v>12</v>
      </c>
      <c r="V1088" s="666">
        <v>2156</v>
      </c>
      <c r="W1088" s="97"/>
      <c r="X1088" s="97">
        <f t="shared" si="17"/>
        <v>12</v>
      </c>
      <c r="Y1088" s="97"/>
      <c r="AC1088" s="100">
        <v>12477.52247752248</v>
      </c>
    </row>
    <row r="1089" spans="1:29" ht="15.95" customHeight="1" thickBot="1" x14ac:dyDescent="0.25">
      <c r="A1089" s="669"/>
      <c r="B1089" s="45"/>
      <c r="C1089" s="151" t="s">
        <v>414</v>
      </c>
      <c r="D1089" s="305">
        <v>1</v>
      </c>
      <c r="E1089" s="105">
        <v>8</v>
      </c>
      <c r="F1089" s="106">
        <v>4.3389799999999994</v>
      </c>
      <c r="G1089" s="105"/>
      <c r="H1089" s="105">
        <v>43</v>
      </c>
      <c r="I1089" s="106"/>
      <c r="J1089" s="105"/>
      <c r="K1089" s="105"/>
      <c r="L1089" s="105"/>
      <c r="M1089" s="105">
        <v>0</v>
      </c>
      <c r="N1089" s="105"/>
      <c r="O1089" s="105">
        <v>0</v>
      </c>
      <c r="P1089" s="105">
        <v>0</v>
      </c>
      <c r="Q1089" s="273"/>
      <c r="R1089" s="105">
        <v>0</v>
      </c>
      <c r="S1089" s="105">
        <v>0</v>
      </c>
      <c r="T1089" s="105">
        <v>0</v>
      </c>
      <c r="U1089" s="105">
        <v>0</v>
      </c>
      <c r="V1089" s="670">
        <v>0</v>
      </c>
      <c r="W1089" s="97"/>
      <c r="X1089" s="97">
        <f t="shared" si="17"/>
        <v>0</v>
      </c>
      <c r="Y1089" s="97">
        <f>+IF((AC1089-ROUND(AC1089,-3)&gt;400)*AND(AC1089-ROUND(AC1089,-3)&lt;500),1,0)</f>
        <v>0</v>
      </c>
      <c r="AC1089" s="105">
        <v>0</v>
      </c>
    </row>
    <row r="1090" spans="1:29" ht="15.95" customHeight="1" thickTop="1" x14ac:dyDescent="0.2">
      <c r="A1090" s="665" t="s">
        <v>262</v>
      </c>
      <c r="B1090" s="42">
        <v>2008</v>
      </c>
      <c r="C1090" s="148" t="s">
        <v>289</v>
      </c>
      <c r="D1090" s="303">
        <v>19589</v>
      </c>
      <c r="E1090" s="100">
        <v>1277</v>
      </c>
      <c r="F1090" s="101">
        <v>5051.5015040000008</v>
      </c>
      <c r="G1090" s="100">
        <v>4104.3576537911304</v>
      </c>
      <c r="H1090" s="100">
        <v>468</v>
      </c>
      <c r="I1090" s="101">
        <v>3440</v>
      </c>
      <c r="J1090" s="100">
        <v>281</v>
      </c>
      <c r="K1090" s="100">
        <v>1420</v>
      </c>
      <c r="L1090" s="100"/>
      <c r="M1090" s="100">
        <v>3379</v>
      </c>
      <c r="N1090" s="100"/>
      <c r="O1090" s="100">
        <v>125</v>
      </c>
      <c r="P1090" s="100">
        <v>165</v>
      </c>
      <c r="Q1090" s="271">
        <v>1685.46</v>
      </c>
      <c r="R1090" s="100"/>
      <c r="S1090" s="100">
        <v>4974</v>
      </c>
      <c r="T1090" s="100">
        <v>654</v>
      </c>
      <c r="U1090" s="100">
        <v>598</v>
      </c>
      <c r="V1090" s="666">
        <v>2243.2330357142855</v>
      </c>
      <c r="W1090" s="97"/>
      <c r="X1090" s="97">
        <f t="shared" si="17"/>
        <v>598</v>
      </c>
      <c r="Y1090" s="97"/>
      <c r="AC1090" s="100">
        <v>597743.84685505927</v>
      </c>
    </row>
    <row r="1091" spans="1:29" ht="15.95" customHeight="1" x14ac:dyDescent="0.2">
      <c r="A1091" s="665"/>
      <c r="B1091" s="43"/>
      <c r="C1091" s="149" t="s">
        <v>290</v>
      </c>
      <c r="D1091" s="303">
        <v>19589</v>
      </c>
      <c r="E1091" s="100">
        <v>1277</v>
      </c>
      <c r="F1091" s="101">
        <v>5051.5015040000008</v>
      </c>
      <c r="G1091" s="100">
        <v>4023.5722460658085</v>
      </c>
      <c r="H1091" s="100">
        <v>468</v>
      </c>
      <c r="I1091" s="101">
        <v>3440</v>
      </c>
      <c r="J1091" s="100">
        <v>281</v>
      </c>
      <c r="K1091" s="100">
        <v>1420</v>
      </c>
      <c r="L1091" s="100"/>
      <c r="M1091" s="100">
        <v>3379</v>
      </c>
      <c r="N1091" s="100"/>
      <c r="O1091" s="100">
        <v>125</v>
      </c>
      <c r="P1091" s="100">
        <v>165</v>
      </c>
      <c r="Q1091" s="271">
        <v>1685.46</v>
      </c>
      <c r="R1091" s="100"/>
      <c r="S1091" s="100">
        <v>4974</v>
      </c>
      <c r="T1091" s="100">
        <v>654</v>
      </c>
      <c r="U1091" s="100">
        <v>598</v>
      </c>
      <c r="V1091" s="666">
        <v>2242.8571428571427</v>
      </c>
      <c r="W1091" s="97"/>
      <c r="X1091" s="97">
        <f t="shared" si="17"/>
        <v>598</v>
      </c>
      <c r="Y1091" s="97"/>
      <c r="AC1091" s="100">
        <v>597743.84685505927</v>
      </c>
    </row>
    <row r="1092" spans="1:29" ht="15.95" customHeight="1" x14ac:dyDescent="0.2">
      <c r="A1092" s="667"/>
      <c r="B1092" s="44"/>
      <c r="C1092" s="150" t="s">
        <v>291</v>
      </c>
      <c r="D1092" s="304"/>
      <c r="E1092" s="103">
        <v>0</v>
      </c>
      <c r="F1092" s="104">
        <v>0</v>
      </c>
      <c r="G1092" s="103">
        <v>0</v>
      </c>
      <c r="H1092" s="103">
        <v>0</v>
      </c>
      <c r="I1092" s="104"/>
      <c r="J1092" s="103">
        <v>0</v>
      </c>
      <c r="K1092" s="103"/>
      <c r="L1092" s="103"/>
      <c r="M1092" s="103">
        <v>0</v>
      </c>
      <c r="N1092" s="103"/>
      <c r="O1092" s="103">
        <v>4</v>
      </c>
      <c r="P1092" s="103">
        <v>11</v>
      </c>
      <c r="Q1092" s="272"/>
      <c r="R1092" s="103"/>
      <c r="S1092" s="103">
        <v>0</v>
      </c>
      <c r="T1092" s="103">
        <v>0</v>
      </c>
      <c r="U1092" s="103">
        <v>0</v>
      </c>
      <c r="V1092" s="668">
        <v>0</v>
      </c>
      <c r="W1092" s="97"/>
      <c r="X1092" s="97">
        <f t="shared" si="17"/>
        <v>0</v>
      </c>
      <c r="Y1092" s="97"/>
      <c r="AC1092" s="103">
        <v>0</v>
      </c>
    </row>
    <row r="1093" spans="1:29" ht="15.95" customHeight="1" x14ac:dyDescent="0.2">
      <c r="A1093" s="665"/>
      <c r="B1093" s="42">
        <v>2009</v>
      </c>
      <c r="C1093" s="149" t="s">
        <v>412</v>
      </c>
      <c r="D1093" s="303">
        <v>26093</v>
      </c>
      <c r="E1093" s="100">
        <v>1242</v>
      </c>
      <c r="F1093" s="101">
        <v>5051.5015040000008</v>
      </c>
      <c r="G1093" s="100">
        <v>4254.4617604617606</v>
      </c>
      <c r="H1093" s="100">
        <v>535</v>
      </c>
      <c r="I1093" s="101">
        <v>3440</v>
      </c>
      <c r="J1093" s="100">
        <v>246</v>
      </c>
      <c r="K1093" s="100">
        <v>1420</v>
      </c>
      <c r="L1093" s="100"/>
      <c r="M1093" s="100">
        <v>3379</v>
      </c>
      <c r="N1093" s="100"/>
      <c r="O1093" s="100">
        <v>124</v>
      </c>
      <c r="P1093" s="100">
        <v>165</v>
      </c>
      <c r="Q1093" s="102">
        <v>1597.5519999999999</v>
      </c>
      <c r="R1093" s="100"/>
      <c r="S1093" s="100">
        <v>4974</v>
      </c>
      <c r="T1093" s="100">
        <v>664</v>
      </c>
      <c r="U1093" s="100">
        <v>656</v>
      </c>
      <c r="V1093" s="666">
        <v>2245.2624999999998</v>
      </c>
      <c r="W1093" s="100"/>
      <c r="X1093" s="97">
        <f>+ROUNDUP(AC1093/1000,0)</f>
        <v>656</v>
      </c>
      <c r="Y1093" s="97"/>
      <c r="AC1093" s="100">
        <v>655069.93006993015</v>
      </c>
    </row>
    <row r="1094" spans="1:29" ht="15.95" customHeight="1" x14ac:dyDescent="0.2">
      <c r="A1094" s="665"/>
      <c r="B1094" s="43"/>
      <c r="C1094" s="149" t="s">
        <v>413</v>
      </c>
      <c r="D1094" s="303">
        <v>26093</v>
      </c>
      <c r="E1094" s="100">
        <v>1242</v>
      </c>
      <c r="F1094" s="101">
        <v>5051.5015040000008</v>
      </c>
      <c r="G1094" s="100">
        <v>4254.4617604617606</v>
      </c>
      <c r="H1094" s="100">
        <v>535</v>
      </c>
      <c r="I1094" s="101">
        <v>3440</v>
      </c>
      <c r="J1094" s="100">
        <v>246</v>
      </c>
      <c r="K1094" s="100">
        <v>1420</v>
      </c>
      <c r="L1094" s="100"/>
      <c r="M1094" s="100">
        <v>3379</v>
      </c>
      <c r="N1094" s="100"/>
      <c r="O1094" s="100">
        <v>124</v>
      </c>
      <c r="P1094" s="100">
        <v>165</v>
      </c>
      <c r="Q1094" s="102">
        <v>1597.5519999999999</v>
      </c>
      <c r="R1094" s="100"/>
      <c r="S1094" s="100">
        <v>4974</v>
      </c>
      <c r="T1094" s="100">
        <v>664</v>
      </c>
      <c r="U1094" s="100">
        <v>656</v>
      </c>
      <c r="V1094" s="666">
        <v>2245</v>
      </c>
      <c r="W1094" s="97"/>
      <c r="X1094" s="97">
        <f>+ROUNDUP(AC1094/1000,0)</f>
        <v>656</v>
      </c>
      <c r="Y1094" s="97"/>
      <c r="AC1094" s="100">
        <v>655069.93006993015</v>
      </c>
    </row>
    <row r="1095" spans="1:29" ht="15.95" customHeight="1" thickBot="1" x14ac:dyDescent="0.25">
      <c r="A1095" s="669"/>
      <c r="B1095" s="45"/>
      <c r="C1095" s="151" t="s">
        <v>414</v>
      </c>
      <c r="D1095" s="305"/>
      <c r="E1095" s="105">
        <v>0</v>
      </c>
      <c r="F1095" s="106">
        <v>0</v>
      </c>
      <c r="G1095" s="105">
        <v>0</v>
      </c>
      <c r="H1095" s="105">
        <v>0</v>
      </c>
      <c r="I1095" s="106"/>
      <c r="J1095" s="105">
        <v>0</v>
      </c>
      <c r="K1095" s="105"/>
      <c r="L1095" s="105"/>
      <c r="M1095" s="105">
        <v>0</v>
      </c>
      <c r="N1095" s="105"/>
      <c r="O1095" s="105">
        <v>0</v>
      </c>
      <c r="P1095" s="105">
        <v>0</v>
      </c>
      <c r="Q1095" s="273"/>
      <c r="R1095" s="105"/>
      <c r="S1095" s="105">
        <v>0</v>
      </c>
      <c r="T1095" s="105">
        <v>0</v>
      </c>
      <c r="U1095" s="105">
        <v>0</v>
      </c>
      <c r="V1095" s="670">
        <v>0</v>
      </c>
      <c r="W1095" s="97"/>
      <c r="X1095" s="97">
        <f t="shared" si="17"/>
        <v>0</v>
      </c>
      <c r="Y1095" s="97">
        <f>+IF((AC1095-ROUND(AC1095,-3)&gt;400)*AND(AC1095-ROUND(AC1095,-3)&lt;500),1,0)</f>
        <v>0</v>
      </c>
      <c r="AC1095" s="105">
        <v>0</v>
      </c>
    </row>
    <row r="1096" spans="1:29" ht="15.95" customHeight="1" thickTop="1" x14ac:dyDescent="0.2">
      <c r="A1096" s="665" t="s">
        <v>263</v>
      </c>
      <c r="B1096" s="42">
        <v>2008</v>
      </c>
      <c r="C1096" s="148" t="s">
        <v>289</v>
      </c>
      <c r="D1096" s="303">
        <v>22241</v>
      </c>
      <c r="E1096" s="100">
        <v>1450</v>
      </c>
      <c r="F1096" s="101">
        <v>5736.9282880000001</v>
      </c>
      <c r="G1096" s="100">
        <v>4670.5092989985696</v>
      </c>
      <c r="H1096" s="100">
        <v>609</v>
      </c>
      <c r="I1096" s="101">
        <v>3905</v>
      </c>
      <c r="J1096" s="100">
        <v>99</v>
      </c>
      <c r="K1096" s="100">
        <v>2839</v>
      </c>
      <c r="L1096" s="100"/>
      <c r="M1096" s="100">
        <v>3836</v>
      </c>
      <c r="N1096" s="100"/>
      <c r="O1096" s="100">
        <v>142</v>
      </c>
      <c r="P1096" s="100">
        <v>188</v>
      </c>
      <c r="Q1096" s="271">
        <v>1912.98</v>
      </c>
      <c r="R1096" s="100">
        <v>420</v>
      </c>
      <c r="S1096" s="100">
        <v>5648</v>
      </c>
      <c r="T1096" s="100">
        <v>654</v>
      </c>
      <c r="U1096" s="100">
        <v>684</v>
      </c>
      <c r="V1096" s="666"/>
      <c r="W1096" s="97"/>
      <c r="X1096" s="97">
        <f>+ROUNDUP(AC1096/1000,0)</f>
        <v>684</v>
      </c>
      <c r="Y1096" s="97"/>
      <c r="AC1096" s="100">
        <v>683135.82497721061</v>
      </c>
    </row>
    <row r="1097" spans="1:29" ht="15.95" customHeight="1" x14ac:dyDescent="0.2">
      <c r="A1097" s="665"/>
      <c r="B1097" s="43"/>
      <c r="C1097" s="149" t="s">
        <v>290</v>
      </c>
      <c r="D1097" s="303">
        <v>22241</v>
      </c>
      <c r="E1097" s="100">
        <v>1450</v>
      </c>
      <c r="F1097" s="101">
        <v>5736.928288000001</v>
      </c>
      <c r="G1097" s="100">
        <v>4562.6380543633768</v>
      </c>
      <c r="H1097" s="100">
        <v>609</v>
      </c>
      <c r="I1097" s="101">
        <v>3905</v>
      </c>
      <c r="J1097" s="100">
        <v>99</v>
      </c>
      <c r="K1097" s="100">
        <v>2839</v>
      </c>
      <c r="L1097" s="100"/>
      <c r="M1097" s="100">
        <v>3836</v>
      </c>
      <c r="N1097" s="100">
        <v>6411</v>
      </c>
      <c r="O1097" s="100">
        <v>142</v>
      </c>
      <c r="P1097" s="100">
        <v>188</v>
      </c>
      <c r="Q1097" s="271">
        <v>1912.98</v>
      </c>
      <c r="R1097" s="100">
        <v>420</v>
      </c>
      <c r="S1097" s="100">
        <v>5648</v>
      </c>
      <c r="T1097" s="100">
        <v>654</v>
      </c>
      <c r="U1097" s="100">
        <v>684</v>
      </c>
      <c r="V1097" s="666"/>
      <c r="W1097" s="97"/>
      <c r="X1097" s="97">
        <f>+ROUNDUP(AC1097/1000,0)</f>
        <v>684</v>
      </c>
      <c r="Y1097" s="97"/>
      <c r="AC1097" s="100">
        <v>683135.82497721061</v>
      </c>
    </row>
    <row r="1098" spans="1:29" ht="15.95" customHeight="1" x14ac:dyDescent="0.2">
      <c r="A1098" s="667"/>
      <c r="B1098" s="44"/>
      <c r="C1098" s="150" t="s">
        <v>291</v>
      </c>
      <c r="D1098" s="304"/>
      <c r="E1098" s="103">
        <v>0</v>
      </c>
      <c r="F1098" s="104">
        <v>0</v>
      </c>
      <c r="G1098" s="103">
        <v>0</v>
      </c>
      <c r="H1098" s="103">
        <v>0</v>
      </c>
      <c r="I1098" s="104"/>
      <c r="J1098" s="103">
        <v>0</v>
      </c>
      <c r="K1098" s="103"/>
      <c r="L1098" s="103"/>
      <c r="M1098" s="103">
        <v>0</v>
      </c>
      <c r="N1098" s="103"/>
      <c r="O1098" s="103">
        <v>0</v>
      </c>
      <c r="P1098" s="103">
        <v>0</v>
      </c>
      <c r="Q1098" s="272"/>
      <c r="R1098" s="103">
        <v>0</v>
      </c>
      <c r="S1098" s="103">
        <v>0</v>
      </c>
      <c r="T1098" s="103">
        <v>0</v>
      </c>
      <c r="U1098" s="103">
        <v>0</v>
      </c>
      <c r="V1098" s="668"/>
      <c r="W1098" s="97"/>
      <c r="X1098" s="97">
        <f t="shared" si="17"/>
        <v>0</v>
      </c>
      <c r="Y1098" s="97"/>
      <c r="AC1098" s="103">
        <v>0</v>
      </c>
    </row>
    <row r="1099" spans="1:29" ht="15.95" customHeight="1" x14ac:dyDescent="0.2">
      <c r="A1099" s="665"/>
      <c r="B1099" s="42">
        <v>2009</v>
      </c>
      <c r="C1099" s="149" t="s">
        <v>412</v>
      </c>
      <c r="D1099" s="303">
        <v>29626</v>
      </c>
      <c r="E1099" s="100">
        <v>1410</v>
      </c>
      <c r="F1099" s="101">
        <v>5736.9282880000001</v>
      </c>
      <c r="G1099" s="100">
        <v>4879.2554112554117</v>
      </c>
      <c r="H1099" s="100">
        <v>692</v>
      </c>
      <c r="I1099" s="101">
        <v>3905</v>
      </c>
      <c r="J1099" s="100">
        <v>89</v>
      </c>
      <c r="K1099" s="100">
        <v>2839</v>
      </c>
      <c r="L1099" s="100"/>
      <c r="M1099" s="100">
        <v>3836</v>
      </c>
      <c r="N1099" s="100"/>
      <c r="O1099" s="100">
        <v>141</v>
      </c>
      <c r="P1099" s="100">
        <v>187</v>
      </c>
      <c r="Q1099" s="102">
        <v>1813.2049999999999</v>
      </c>
      <c r="R1099" s="100">
        <v>430</v>
      </c>
      <c r="S1099" s="100">
        <v>5648</v>
      </c>
      <c r="T1099" s="100">
        <v>664</v>
      </c>
      <c r="U1099" s="100">
        <v>749</v>
      </c>
      <c r="V1099" s="666"/>
      <c r="W1099" s="100"/>
      <c r="X1099" s="97">
        <f t="shared" si="17"/>
        <v>749</v>
      </c>
      <c r="Y1099" s="97"/>
      <c r="AC1099" s="100">
        <v>748651.34865134873</v>
      </c>
    </row>
    <row r="1100" spans="1:29" ht="15.95" customHeight="1" x14ac:dyDescent="0.2">
      <c r="A1100" s="665"/>
      <c r="B1100" s="43"/>
      <c r="C1100" s="149" t="s">
        <v>413</v>
      </c>
      <c r="D1100" s="303">
        <v>29626</v>
      </c>
      <c r="E1100" s="100">
        <v>1410</v>
      </c>
      <c r="F1100" s="101">
        <v>5736.9282880000001</v>
      </c>
      <c r="G1100" s="100">
        <v>4730.2424242424249</v>
      </c>
      <c r="H1100" s="100">
        <v>692</v>
      </c>
      <c r="I1100" s="101">
        <v>3905</v>
      </c>
      <c r="J1100" s="100">
        <v>89</v>
      </c>
      <c r="K1100" s="100">
        <v>2839</v>
      </c>
      <c r="L1100" s="100"/>
      <c r="M1100" s="100">
        <v>3836</v>
      </c>
      <c r="N1100" s="100">
        <v>6400</v>
      </c>
      <c r="O1100" s="100">
        <v>140</v>
      </c>
      <c r="P1100" s="100">
        <v>187</v>
      </c>
      <c r="Q1100" s="102">
        <v>1813.2049999999999</v>
      </c>
      <c r="R1100" s="100">
        <v>430</v>
      </c>
      <c r="S1100" s="100">
        <v>5648</v>
      </c>
      <c r="T1100" s="100">
        <v>664</v>
      </c>
      <c r="U1100" s="100">
        <v>749</v>
      </c>
      <c r="V1100" s="666"/>
      <c r="W1100" s="97"/>
      <c r="X1100" s="97">
        <f t="shared" si="17"/>
        <v>749</v>
      </c>
      <c r="Y1100" s="97"/>
      <c r="AC1100" s="100">
        <v>748651.34865134873</v>
      </c>
    </row>
    <row r="1101" spans="1:29" ht="15.95" customHeight="1" thickBot="1" x14ac:dyDescent="0.25">
      <c r="A1101" s="669"/>
      <c r="B1101" s="45"/>
      <c r="C1101" s="151" t="s">
        <v>414</v>
      </c>
      <c r="D1101" s="305"/>
      <c r="E1101" s="105">
        <v>0</v>
      </c>
      <c r="F1101" s="106">
        <v>0</v>
      </c>
      <c r="G1101" s="105">
        <v>0</v>
      </c>
      <c r="H1101" s="105">
        <v>0</v>
      </c>
      <c r="I1101" s="106"/>
      <c r="J1101" s="105">
        <v>0</v>
      </c>
      <c r="K1101" s="105"/>
      <c r="L1101" s="105"/>
      <c r="M1101" s="105">
        <v>0</v>
      </c>
      <c r="N1101" s="105"/>
      <c r="O1101" s="105">
        <v>0</v>
      </c>
      <c r="P1101" s="105">
        <v>0</v>
      </c>
      <c r="Q1101" s="273"/>
      <c r="R1101" s="105">
        <v>0</v>
      </c>
      <c r="S1101" s="105">
        <v>0</v>
      </c>
      <c r="T1101" s="105">
        <v>0</v>
      </c>
      <c r="U1101" s="105">
        <v>0</v>
      </c>
      <c r="V1101" s="670"/>
      <c r="W1101" s="97"/>
      <c r="X1101" s="97">
        <f t="shared" si="17"/>
        <v>0</v>
      </c>
      <c r="Y1101" s="97">
        <f>+IF((AC1101-ROUND(AC1101,-3)&gt;400)*AND(AC1101-ROUND(AC1101,-3)&lt;500),1,0)</f>
        <v>0</v>
      </c>
      <c r="AC1101" s="105">
        <v>0</v>
      </c>
    </row>
    <row r="1102" spans="1:29" ht="15.95" customHeight="1" thickTop="1" x14ac:dyDescent="0.2">
      <c r="A1102" s="665" t="s">
        <v>264</v>
      </c>
      <c r="B1102" s="42">
        <v>2008</v>
      </c>
      <c r="C1102" s="148" t="s">
        <v>289</v>
      </c>
      <c r="D1102" s="303">
        <v>293</v>
      </c>
      <c r="E1102" s="100"/>
      <c r="F1102" s="101">
        <v>75.115263999999996</v>
      </c>
      <c r="G1102" s="100">
        <v>46.898426323319029</v>
      </c>
      <c r="H1102" s="100">
        <v>37</v>
      </c>
      <c r="I1102" s="101">
        <v>51</v>
      </c>
      <c r="J1102" s="100">
        <v>26</v>
      </c>
      <c r="K1102" s="100">
        <v>142</v>
      </c>
      <c r="L1102" s="100"/>
      <c r="M1102" s="100">
        <v>50</v>
      </c>
      <c r="N1102" s="100"/>
      <c r="O1102" s="100">
        <v>2</v>
      </c>
      <c r="P1102" s="100">
        <v>3</v>
      </c>
      <c r="Q1102" s="271">
        <v>24.902999999999999</v>
      </c>
      <c r="R1102" s="100">
        <v>84</v>
      </c>
      <c r="S1102" s="100">
        <v>74</v>
      </c>
      <c r="T1102" s="100">
        <v>3</v>
      </c>
      <c r="U1102" s="100">
        <v>11</v>
      </c>
      <c r="V1102" s="666"/>
      <c r="W1102" s="97"/>
      <c r="X1102" s="97">
        <f t="shared" si="17"/>
        <v>11</v>
      </c>
      <c r="Y1102" s="97"/>
      <c r="AC1102" s="100">
        <v>11385.597082953509</v>
      </c>
    </row>
    <row r="1103" spans="1:29" ht="15.95" customHeight="1" x14ac:dyDescent="0.2">
      <c r="A1103" s="665"/>
      <c r="B1103" s="43"/>
      <c r="C1103" s="149" t="s">
        <v>290</v>
      </c>
      <c r="D1103" s="303">
        <v>293</v>
      </c>
      <c r="E1103" s="100"/>
      <c r="F1103" s="101">
        <v>75.115263999999996</v>
      </c>
      <c r="G1103" s="100">
        <v>39.426323319027183</v>
      </c>
      <c r="H1103" s="100">
        <v>0</v>
      </c>
      <c r="I1103" s="101">
        <f>51-4</f>
        <v>47</v>
      </c>
      <c r="J1103" s="100">
        <v>26</v>
      </c>
      <c r="K1103" s="100">
        <v>142</v>
      </c>
      <c r="L1103" s="100"/>
      <c r="M1103" s="100">
        <v>50</v>
      </c>
      <c r="N1103" s="100"/>
      <c r="O1103" s="100">
        <v>0</v>
      </c>
      <c r="P1103" s="100">
        <v>0</v>
      </c>
      <c r="Q1103" s="271">
        <v>24.902999999999999</v>
      </c>
      <c r="R1103" s="100">
        <v>84</v>
      </c>
      <c r="S1103" s="100">
        <v>74</v>
      </c>
      <c r="T1103" s="100">
        <v>3</v>
      </c>
      <c r="U1103" s="100">
        <v>11</v>
      </c>
      <c r="V1103" s="666"/>
      <c r="W1103" s="97"/>
      <c r="X1103" s="97">
        <f t="shared" si="17"/>
        <v>11</v>
      </c>
      <c r="Y1103" s="97"/>
      <c r="AC1103" s="100">
        <v>11378.040109389243</v>
      </c>
    </row>
    <row r="1104" spans="1:29" ht="15.95" customHeight="1" x14ac:dyDescent="0.2">
      <c r="A1104" s="667"/>
      <c r="B1104" s="44"/>
      <c r="C1104" s="150" t="s">
        <v>291</v>
      </c>
      <c r="D1104" s="304">
        <v>949</v>
      </c>
      <c r="E1104" s="103"/>
      <c r="F1104" s="104">
        <v>0</v>
      </c>
      <c r="G1104" s="103">
        <v>0</v>
      </c>
      <c r="H1104" s="103">
        <v>0</v>
      </c>
      <c r="I1104" s="104">
        <v>4</v>
      </c>
      <c r="J1104" s="103">
        <v>0</v>
      </c>
      <c r="K1104" s="103"/>
      <c r="L1104" s="103"/>
      <c r="M1104" s="103">
        <v>0</v>
      </c>
      <c r="N1104" s="103"/>
      <c r="O1104" s="103">
        <v>2</v>
      </c>
      <c r="P1104" s="103">
        <v>3</v>
      </c>
      <c r="Q1104" s="272"/>
      <c r="R1104" s="103">
        <v>103</v>
      </c>
      <c r="S1104" s="103">
        <v>0</v>
      </c>
      <c r="T1104" s="103">
        <v>0</v>
      </c>
      <c r="U1104" s="103">
        <v>1</v>
      </c>
      <c r="V1104" s="668"/>
      <c r="W1104" s="97"/>
      <c r="X1104" s="97">
        <f t="shared" si="17"/>
        <v>1</v>
      </c>
      <c r="Y1104" s="97"/>
      <c r="AC1104" s="103">
        <v>598.51412944393803</v>
      </c>
    </row>
    <row r="1105" spans="1:29" ht="15.95" customHeight="1" x14ac:dyDescent="0.2">
      <c r="A1105" s="665"/>
      <c r="B1105" s="42">
        <v>2009</v>
      </c>
      <c r="C1105" s="149" t="s">
        <v>412</v>
      </c>
      <c r="D1105" s="303">
        <v>390</v>
      </c>
      <c r="E1105" s="100"/>
      <c r="F1105" s="101">
        <v>75.115263999999996</v>
      </c>
      <c r="G1105" s="100">
        <v>49.499278499278503</v>
      </c>
      <c r="H1105" s="100">
        <v>42</v>
      </c>
      <c r="I1105" s="101">
        <v>51</v>
      </c>
      <c r="J1105" s="100">
        <v>21</v>
      </c>
      <c r="K1105" s="100">
        <v>142</v>
      </c>
      <c r="L1105" s="100"/>
      <c r="M1105" s="100">
        <v>50</v>
      </c>
      <c r="N1105" s="100"/>
      <c r="O1105" s="100">
        <v>2</v>
      </c>
      <c r="P1105" s="100">
        <v>3</v>
      </c>
      <c r="Q1105" s="102">
        <v>23.603999999999999</v>
      </c>
      <c r="R1105" s="100">
        <v>86</v>
      </c>
      <c r="S1105" s="100">
        <v>74</v>
      </c>
      <c r="T1105" s="100">
        <v>3</v>
      </c>
      <c r="U1105" s="100">
        <v>12</v>
      </c>
      <c r="V1105" s="666"/>
      <c r="W1105" s="100"/>
      <c r="X1105" s="97">
        <f t="shared" si="17"/>
        <v>12</v>
      </c>
      <c r="Y1105" s="97"/>
      <c r="AC1105" s="100">
        <v>12477.52247752248</v>
      </c>
    </row>
    <row r="1106" spans="1:29" ht="15.95" customHeight="1" x14ac:dyDescent="0.2">
      <c r="A1106" s="665"/>
      <c r="B1106" s="43"/>
      <c r="C1106" s="149" t="s">
        <v>413</v>
      </c>
      <c r="D1106" s="303">
        <v>390</v>
      </c>
      <c r="E1106" s="100"/>
      <c r="F1106" s="101">
        <v>75.115263999999996</v>
      </c>
      <c r="G1106" s="100">
        <v>49.499278499278503</v>
      </c>
      <c r="H1106" s="100">
        <v>0</v>
      </c>
      <c r="I1106" s="101">
        <v>47</v>
      </c>
      <c r="J1106" s="100">
        <v>0</v>
      </c>
      <c r="K1106" s="100">
        <v>142</v>
      </c>
      <c r="L1106" s="100"/>
      <c r="M1106" s="100">
        <v>50</v>
      </c>
      <c r="N1106" s="100">
        <v>500</v>
      </c>
      <c r="O1106" s="100">
        <v>0</v>
      </c>
      <c r="P1106" s="100">
        <v>0</v>
      </c>
      <c r="Q1106" s="102">
        <v>23.603999999999999</v>
      </c>
      <c r="R1106" s="100">
        <v>81</v>
      </c>
      <c r="S1106" s="100">
        <v>74</v>
      </c>
      <c r="T1106" s="100">
        <v>3</v>
      </c>
      <c r="U1106" s="100">
        <v>12</v>
      </c>
      <c r="V1106" s="666"/>
      <c r="W1106" s="97"/>
      <c r="X1106" s="97">
        <f t="shared" si="17"/>
        <v>12</v>
      </c>
      <c r="Y1106" s="97"/>
      <c r="AC1106" s="100">
        <v>12477.52247752248</v>
      </c>
    </row>
    <row r="1107" spans="1:29" ht="15.95" customHeight="1" thickBot="1" x14ac:dyDescent="0.25">
      <c r="A1107" s="669"/>
      <c r="B1107" s="45"/>
      <c r="C1107" s="151" t="s">
        <v>414</v>
      </c>
      <c r="D1107" s="305"/>
      <c r="E1107" s="105"/>
      <c r="F1107" s="106">
        <v>0</v>
      </c>
      <c r="G1107" s="105">
        <v>0</v>
      </c>
      <c r="H1107" s="105">
        <v>73</v>
      </c>
      <c r="I1107" s="106">
        <v>4</v>
      </c>
      <c r="J1107" s="105">
        <v>0</v>
      </c>
      <c r="K1107" s="105"/>
      <c r="L1107" s="105"/>
      <c r="M1107" s="105">
        <v>0</v>
      </c>
      <c r="N1107" s="105"/>
      <c r="O1107" s="105">
        <v>0</v>
      </c>
      <c r="P1107" s="105">
        <v>6</v>
      </c>
      <c r="Q1107" s="273"/>
      <c r="R1107" s="105">
        <v>0</v>
      </c>
      <c r="S1107" s="105">
        <v>0</v>
      </c>
      <c r="T1107" s="105">
        <v>0</v>
      </c>
      <c r="U1107" s="105">
        <v>0</v>
      </c>
      <c r="V1107" s="670"/>
      <c r="W1107" s="97"/>
      <c r="X1107" s="97">
        <f t="shared" si="17"/>
        <v>0</v>
      </c>
      <c r="Y1107" s="97">
        <f>+IF((AC1107-ROUND(AC1107,-3)&gt;400)*AND(AC1107-ROUND(AC1107,-3)&lt;500),1,0)</f>
        <v>0</v>
      </c>
      <c r="AC1107" s="105">
        <v>8.2817182817182822</v>
      </c>
    </row>
    <row r="1108" spans="1:29" ht="15.95" customHeight="1" thickTop="1" x14ac:dyDescent="0.2">
      <c r="A1108" s="665" t="s">
        <v>265</v>
      </c>
      <c r="B1108" s="42">
        <v>2008</v>
      </c>
      <c r="C1108" s="148" t="s">
        <v>289</v>
      </c>
      <c r="D1108" s="303">
        <v>18</v>
      </c>
      <c r="E1108" s="100">
        <v>1</v>
      </c>
      <c r="F1108" s="101">
        <v>4.6946972000000002</v>
      </c>
      <c r="G1108" s="100">
        <v>3.1459227467811162</v>
      </c>
      <c r="H1108" s="100">
        <v>37</v>
      </c>
      <c r="I1108" s="101">
        <v>3</v>
      </c>
      <c r="J1108" s="100"/>
      <c r="K1108" s="100">
        <v>18</v>
      </c>
      <c r="L1108" s="100"/>
      <c r="M1108" s="100">
        <v>3</v>
      </c>
      <c r="N1108" s="100"/>
      <c r="O1108" s="100"/>
      <c r="P1108" s="100">
        <v>0</v>
      </c>
      <c r="Q1108" s="271">
        <v>1.1319999999999999</v>
      </c>
      <c r="R1108" s="100">
        <v>35</v>
      </c>
      <c r="S1108" s="100">
        <v>5</v>
      </c>
      <c r="T1108" s="100">
        <v>11</v>
      </c>
      <c r="U1108" s="100">
        <v>11</v>
      </c>
      <c r="V1108" s="666"/>
      <c r="W1108" s="97"/>
      <c r="X1108" s="97">
        <f t="shared" si="17"/>
        <v>11</v>
      </c>
      <c r="Y1108" s="97"/>
      <c r="AC1108" s="100">
        <v>11385.597082953509</v>
      </c>
    </row>
    <row r="1109" spans="1:29" ht="15.95" customHeight="1" x14ac:dyDescent="0.2">
      <c r="A1109" s="665"/>
      <c r="B1109" s="43"/>
      <c r="C1109" s="149" t="s">
        <v>290</v>
      </c>
      <c r="D1109" s="303">
        <v>18</v>
      </c>
      <c r="E1109" s="100">
        <v>1</v>
      </c>
      <c r="F1109" s="101">
        <v>0</v>
      </c>
      <c r="G1109" s="100">
        <v>3.1459227467811162</v>
      </c>
      <c r="H1109" s="100">
        <v>23</v>
      </c>
      <c r="I1109" s="101"/>
      <c r="J1109" s="100"/>
      <c r="K1109" s="100">
        <v>18</v>
      </c>
      <c r="L1109" s="100"/>
      <c r="M1109" s="100">
        <v>0</v>
      </c>
      <c r="N1109" s="100"/>
      <c r="O1109" s="100"/>
      <c r="P1109" s="100">
        <v>0</v>
      </c>
      <c r="Q1109" s="271"/>
      <c r="R1109" s="100">
        <v>35</v>
      </c>
      <c r="S1109" s="100">
        <v>5</v>
      </c>
      <c r="T1109" s="100">
        <v>11</v>
      </c>
      <c r="U1109" s="100">
        <v>11</v>
      </c>
      <c r="V1109" s="666"/>
      <c r="W1109" s="97"/>
      <c r="X1109" s="97">
        <f t="shared" si="17"/>
        <v>11</v>
      </c>
      <c r="Y1109" s="97"/>
      <c r="AC1109" s="100">
        <v>11385.597082953509</v>
      </c>
    </row>
    <row r="1110" spans="1:29" ht="15.95" customHeight="1" x14ac:dyDescent="0.2">
      <c r="A1110" s="667"/>
      <c r="B1110" s="44"/>
      <c r="C1110" s="150" t="s">
        <v>291</v>
      </c>
      <c r="D1110" s="304"/>
      <c r="E1110" s="103">
        <v>1</v>
      </c>
      <c r="F1110" s="104">
        <v>3.1626799999999999</v>
      </c>
      <c r="G1110" s="103">
        <v>1.30758226037196</v>
      </c>
      <c r="H1110" s="103">
        <v>48</v>
      </c>
      <c r="I1110" s="104">
        <v>3</v>
      </c>
      <c r="J1110" s="103"/>
      <c r="K1110" s="103"/>
      <c r="L1110" s="103"/>
      <c r="M1110" s="103">
        <v>5</v>
      </c>
      <c r="N1110" s="103"/>
      <c r="O1110" s="103"/>
      <c r="P1110" s="103">
        <v>0</v>
      </c>
      <c r="Q1110" s="272">
        <v>1.266</v>
      </c>
      <c r="R1110" s="103">
        <v>0</v>
      </c>
      <c r="S1110" s="103">
        <v>2</v>
      </c>
      <c r="T1110" s="103">
        <v>0</v>
      </c>
      <c r="U1110" s="103">
        <v>0</v>
      </c>
      <c r="V1110" s="668"/>
      <c r="W1110" s="97"/>
      <c r="X1110" s="97">
        <f t="shared" si="17"/>
        <v>0</v>
      </c>
      <c r="Y1110" s="97"/>
      <c r="AC1110" s="103">
        <v>0</v>
      </c>
    </row>
    <row r="1111" spans="1:29" ht="15.95" customHeight="1" x14ac:dyDescent="0.2">
      <c r="A1111" s="665"/>
      <c r="B1111" s="42">
        <v>2009</v>
      </c>
      <c r="C1111" s="149" t="s">
        <v>412</v>
      </c>
      <c r="D1111" s="303">
        <v>24</v>
      </c>
      <c r="E1111" s="100">
        <v>1</v>
      </c>
      <c r="F1111" s="101">
        <v>4.6946972000000002</v>
      </c>
      <c r="G1111" s="100">
        <v>3.2987012987012991</v>
      </c>
      <c r="H1111" s="100">
        <v>42</v>
      </c>
      <c r="I1111" s="101">
        <v>3</v>
      </c>
      <c r="J1111" s="100"/>
      <c r="K1111" s="100">
        <v>18</v>
      </c>
      <c r="L1111" s="100"/>
      <c r="M1111" s="100">
        <v>3</v>
      </c>
      <c r="N1111" s="100"/>
      <c r="O1111" s="100">
        <v>0</v>
      </c>
      <c r="P1111" s="100">
        <v>0</v>
      </c>
      <c r="Q1111" s="102">
        <v>1.073</v>
      </c>
      <c r="R1111" s="100">
        <v>36</v>
      </c>
      <c r="S1111" s="100">
        <v>5</v>
      </c>
      <c r="T1111" s="100">
        <v>11</v>
      </c>
      <c r="U1111" s="100">
        <v>12</v>
      </c>
      <c r="V1111" s="666"/>
      <c r="W1111" s="100"/>
      <c r="X1111" s="97">
        <f t="shared" si="17"/>
        <v>12</v>
      </c>
      <c r="Y1111" s="97"/>
      <c r="AC1111" s="100">
        <v>12477.52247752248</v>
      </c>
    </row>
    <row r="1112" spans="1:29" ht="15.95" customHeight="1" x14ac:dyDescent="0.2">
      <c r="A1112" s="665"/>
      <c r="B1112" s="43"/>
      <c r="C1112" s="149" t="s">
        <v>413</v>
      </c>
      <c r="D1112" s="303">
        <v>24</v>
      </c>
      <c r="E1112" s="100">
        <v>1</v>
      </c>
      <c r="F1112" s="101">
        <v>0</v>
      </c>
      <c r="G1112" s="100">
        <v>2.8196248196248197</v>
      </c>
      <c r="H1112" s="100">
        <v>37</v>
      </c>
      <c r="I1112" s="101"/>
      <c r="J1112" s="100"/>
      <c r="K1112" s="100">
        <v>18</v>
      </c>
      <c r="L1112" s="100"/>
      <c r="M1112" s="100">
        <v>3</v>
      </c>
      <c r="N1112" s="100"/>
      <c r="O1112" s="100">
        <v>0</v>
      </c>
      <c r="P1112" s="100">
        <v>0</v>
      </c>
      <c r="Q1112" s="271"/>
      <c r="R1112" s="100">
        <v>35</v>
      </c>
      <c r="S1112" s="100">
        <v>5</v>
      </c>
      <c r="T1112" s="100">
        <v>11</v>
      </c>
      <c r="U1112" s="100">
        <v>12</v>
      </c>
      <c r="V1112" s="666"/>
      <c r="W1112" s="97"/>
      <c r="X1112" s="97">
        <f t="shared" si="17"/>
        <v>12</v>
      </c>
      <c r="Y1112" s="97"/>
      <c r="AC1112" s="100">
        <v>12477.52247752248</v>
      </c>
    </row>
    <row r="1113" spans="1:29" ht="15.95" customHeight="1" thickBot="1" x14ac:dyDescent="0.25">
      <c r="A1113" s="669"/>
      <c r="B1113" s="45"/>
      <c r="C1113" s="151" t="s">
        <v>414</v>
      </c>
      <c r="D1113" s="305"/>
      <c r="E1113" s="105">
        <v>0</v>
      </c>
      <c r="F1113" s="106">
        <v>22.176000000000002</v>
      </c>
      <c r="G1113" s="105">
        <v>0</v>
      </c>
      <c r="H1113" s="105">
        <v>15</v>
      </c>
      <c r="I1113" s="106">
        <v>2</v>
      </c>
      <c r="J1113" s="105"/>
      <c r="K1113" s="105"/>
      <c r="L1113" s="105"/>
      <c r="M1113" s="105">
        <v>10</v>
      </c>
      <c r="N1113" s="105"/>
      <c r="O1113" s="105">
        <v>0</v>
      </c>
      <c r="P1113" s="105">
        <v>0</v>
      </c>
      <c r="Q1113" s="273">
        <v>1.0840000000000001</v>
      </c>
      <c r="R1113" s="105">
        <v>0</v>
      </c>
      <c r="S1113" s="105">
        <v>29</v>
      </c>
      <c r="T1113" s="105">
        <v>0</v>
      </c>
      <c r="U1113" s="105">
        <v>0</v>
      </c>
      <c r="V1113" s="670"/>
      <c r="W1113" s="97"/>
      <c r="X1113" s="97">
        <f t="shared" si="17"/>
        <v>0</v>
      </c>
      <c r="Y1113" s="97">
        <f>+IF((AC1113-ROUND(AC1113,-3)&gt;400)*AND(AC1113-ROUND(AC1113,-3)&lt;500),1,0)</f>
        <v>0</v>
      </c>
      <c r="AC1113" s="105">
        <v>0</v>
      </c>
    </row>
    <row r="1114" spans="1:29" ht="15.95" customHeight="1" thickTop="1" x14ac:dyDescent="0.2">
      <c r="A1114" s="665" t="s">
        <v>739</v>
      </c>
      <c r="B1114" s="42">
        <v>2008</v>
      </c>
      <c r="C1114" s="148" t="s">
        <v>289</v>
      </c>
      <c r="D1114" s="303"/>
      <c r="E1114" s="100"/>
      <c r="F1114" s="101"/>
      <c r="G1114" s="100"/>
      <c r="H1114" s="100"/>
      <c r="I1114" s="101"/>
      <c r="J1114" s="100"/>
      <c r="K1114" s="100"/>
      <c r="L1114" s="100"/>
      <c r="M1114" s="100"/>
      <c r="N1114" s="100"/>
      <c r="O1114" s="100"/>
      <c r="P1114" s="100"/>
      <c r="Q1114" s="271"/>
      <c r="R1114" s="100"/>
      <c r="S1114" s="100"/>
      <c r="T1114" s="100"/>
      <c r="U1114" s="100"/>
      <c r="V1114" s="666">
        <v>2931.3374999999996</v>
      </c>
      <c r="W1114" s="97"/>
      <c r="X1114" s="97">
        <f t="shared" ref="X1114:X1119" si="18">+ROUND(AC1114/1000,0)</f>
        <v>0</v>
      </c>
      <c r="Y1114" s="97"/>
      <c r="AC1114" s="100"/>
    </row>
    <row r="1115" spans="1:29" ht="15.95" customHeight="1" x14ac:dyDescent="0.2">
      <c r="A1115" s="665"/>
      <c r="B1115" s="43"/>
      <c r="C1115" s="149" t="s">
        <v>290</v>
      </c>
      <c r="D1115" s="303"/>
      <c r="E1115" s="100"/>
      <c r="F1115" s="101"/>
      <c r="G1115" s="100"/>
      <c r="H1115" s="100"/>
      <c r="I1115" s="101"/>
      <c r="J1115" s="100"/>
      <c r="K1115" s="100"/>
      <c r="L1115" s="100"/>
      <c r="M1115" s="100"/>
      <c r="N1115" s="100"/>
      <c r="O1115" s="100"/>
      <c r="P1115" s="100"/>
      <c r="Q1115" s="271"/>
      <c r="R1115" s="100"/>
      <c r="S1115" s="100"/>
      <c r="T1115" s="100"/>
      <c r="U1115" s="100"/>
      <c r="V1115" s="666">
        <v>1989.285714285714</v>
      </c>
      <c r="W1115" s="97"/>
      <c r="X1115" s="97">
        <f t="shared" si="18"/>
        <v>0</v>
      </c>
      <c r="Y1115" s="97"/>
      <c r="AC1115" s="100"/>
    </row>
    <row r="1116" spans="1:29" ht="15.95" customHeight="1" x14ac:dyDescent="0.2">
      <c r="A1116" s="667"/>
      <c r="B1116" s="44"/>
      <c r="C1116" s="150" t="s">
        <v>291</v>
      </c>
      <c r="D1116" s="304"/>
      <c r="E1116" s="103"/>
      <c r="F1116" s="104"/>
      <c r="G1116" s="103"/>
      <c r="H1116" s="103"/>
      <c r="I1116" s="104"/>
      <c r="J1116" s="103"/>
      <c r="K1116" s="103"/>
      <c r="L1116" s="103"/>
      <c r="M1116" s="103"/>
      <c r="N1116" s="103"/>
      <c r="O1116" s="103"/>
      <c r="P1116" s="103"/>
      <c r="Q1116" s="272"/>
      <c r="R1116" s="103"/>
      <c r="S1116" s="103"/>
      <c r="T1116" s="103"/>
      <c r="U1116" s="103"/>
      <c r="V1116" s="668">
        <v>574.5454545454545</v>
      </c>
      <c r="W1116" s="97"/>
      <c r="X1116" s="97">
        <f t="shared" si="18"/>
        <v>0</v>
      </c>
      <c r="Y1116" s="97"/>
      <c r="AC1116" s="100"/>
    </row>
    <row r="1117" spans="1:29" ht="15.95" customHeight="1" x14ac:dyDescent="0.2">
      <c r="A1117" s="665"/>
      <c r="B1117" s="42">
        <v>2009</v>
      </c>
      <c r="C1117" s="149" t="s">
        <v>412</v>
      </c>
      <c r="D1117" s="303"/>
      <c r="E1117" s="100"/>
      <c r="F1117" s="101"/>
      <c r="G1117" s="100"/>
      <c r="H1117" s="100"/>
      <c r="I1117" s="101"/>
      <c r="J1117" s="100"/>
      <c r="K1117" s="100"/>
      <c r="L1117" s="100"/>
      <c r="M1117" s="100"/>
      <c r="N1117" s="100"/>
      <c r="O1117" s="100"/>
      <c r="P1117" s="100"/>
      <c r="Q1117" s="102"/>
      <c r="R1117" s="100"/>
      <c r="S1117" s="100"/>
      <c r="T1117" s="100"/>
      <c r="U1117" s="100"/>
      <c r="V1117" s="666">
        <v>2958.4946428571425</v>
      </c>
      <c r="W1117" s="100"/>
      <c r="X1117" s="97">
        <f t="shared" si="18"/>
        <v>0</v>
      </c>
      <c r="Y1117" s="97"/>
      <c r="AC1117" s="100"/>
    </row>
    <row r="1118" spans="1:29" ht="15.95" customHeight="1" x14ac:dyDescent="0.2">
      <c r="A1118" s="665"/>
      <c r="B1118" s="43"/>
      <c r="C1118" s="149" t="s">
        <v>413</v>
      </c>
      <c r="D1118" s="303"/>
      <c r="E1118" s="100"/>
      <c r="F1118" s="101"/>
      <c r="G1118" s="100"/>
      <c r="H1118" s="100"/>
      <c r="I1118" s="101"/>
      <c r="J1118" s="100"/>
      <c r="K1118" s="100"/>
      <c r="L1118" s="100"/>
      <c r="M1118" s="100"/>
      <c r="N1118" s="100"/>
      <c r="O1118" s="100"/>
      <c r="P1118" s="100"/>
      <c r="Q1118" s="102"/>
      <c r="R1118" s="100"/>
      <c r="S1118" s="100"/>
      <c r="T1118" s="100"/>
      <c r="U1118" s="100"/>
      <c r="V1118" s="666">
        <v>2958</v>
      </c>
      <c r="W1118" s="97"/>
      <c r="X1118" s="97">
        <f t="shared" si="18"/>
        <v>0</v>
      </c>
      <c r="Y1118" s="97"/>
      <c r="AC1118" s="100"/>
    </row>
    <row r="1119" spans="1:29" ht="15.95" customHeight="1" thickBot="1" x14ac:dyDescent="0.25">
      <c r="A1119" s="669"/>
      <c r="B1119" s="45"/>
      <c r="C1119" s="151" t="s">
        <v>414</v>
      </c>
      <c r="D1119" s="305"/>
      <c r="E1119" s="105"/>
      <c r="F1119" s="106"/>
      <c r="G1119" s="105"/>
      <c r="H1119" s="105"/>
      <c r="I1119" s="106"/>
      <c r="J1119" s="105"/>
      <c r="K1119" s="105"/>
      <c r="L1119" s="105"/>
      <c r="M1119" s="105"/>
      <c r="N1119" s="105"/>
      <c r="O1119" s="105"/>
      <c r="P1119" s="105"/>
      <c r="Q1119" s="273"/>
      <c r="R1119" s="105"/>
      <c r="S1119" s="105"/>
      <c r="T1119" s="105"/>
      <c r="U1119" s="105"/>
      <c r="V1119" s="670">
        <v>942</v>
      </c>
      <c r="W1119" s="97"/>
      <c r="X1119" s="97">
        <f t="shared" si="18"/>
        <v>0</v>
      </c>
      <c r="Y1119" s="97">
        <f>+IF((AC1119-ROUND(AC1119,-3)&gt;400)*AND(AC1119-ROUND(AC1119,-3)&lt;500),1,0)</f>
        <v>0</v>
      </c>
      <c r="AC1119" s="100"/>
    </row>
    <row r="1120" spans="1:29" ht="15.95" customHeight="1" thickTop="1" x14ac:dyDescent="0.2">
      <c r="A1120" s="665" t="s">
        <v>266</v>
      </c>
      <c r="B1120" s="42">
        <v>2008</v>
      </c>
      <c r="C1120" s="148" t="s">
        <v>289</v>
      </c>
      <c r="D1120" s="303">
        <v>3402</v>
      </c>
      <c r="E1120" s="100">
        <v>224</v>
      </c>
      <c r="F1120" s="101">
        <v>877.9096548</v>
      </c>
      <c r="G1120" s="100">
        <v>558.68955650929911</v>
      </c>
      <c r="H1120" s="100">
        <v>340</v>
      </c>
      <c r="I1120" s="101">
        <v>597</v>
      </c>
      <c r="J1120" s="100">
        <v>168</v>
      </c>
      <c r="K1120" s="100">
        <v>426</v>
      </c>
      <c r="L1120" s="100"/>
      <c r="M1120" s="100">
        <v>587</v>
      </c>
      <c r="N1120" s="100"/>
      <c r="O1120" s="100">
        <v>22</v>
      </c>
      <c r="P1120" s="100">
        <v>29</v>
      </c>
      <c r="Q1120" s="271">
        <v>293.173</v>
      </c>
      <c r="R1120" s="100">
        <v>210</v>
      </c>
      <c r="S1120" s="100">
        <v>864</v>
      </c>
      <c r="T1120" s="100">
        <v>11</v>
      </c>
      <c r="U1120" s="100">
        <v>103</v>
      </c>
      <c r="V1120" s="666">
        <v>1623.173214285714</v>
      </c>
      <c r="W1120" s="97"/>
      <c r="X1120" s="97">
        <f>+ROUNDUP(AC1120/1000,0)</f>
        <v>103</v>
      </c>
      <c r="Y1120" s="97"/>
      <c r="AC1120" s="100">
        <v>102470.37374658159</v>
      </c>
    </row>
    <row r="1121" spans="1:29" ht="15.95" customHeight="1" x14ac:dyDescent="0.2">
      <c r="A1121" s="665"/>
      <c r="B1121" s="43"/>
      <c r="C1121" s="149" t="s">
        <v>290</v>
      </c>
      <c r="D1121" s="303">
        <v>3402</v>
      </c>
      <c r="E1121" s="100">
        <v>224</v>
      </c>
      <c r="F1121" s="101">
        <v>877.9096548</v>
      </c>
      <c r="G1121" s="100">
        <v>539.13018597997143</v>
      </c>
      <c r="H1121" s="100">
        <v>340</v>
      </c>
      <c r="I1121" s="101">
        <v>597</v>
      </c>
      <c r="J1121" s="100">
        <v>168</v>
      </c>
      <c r="K1121" s="100">
        <v>426</v>
      </c>
      <c r="L1121" s="100"/>
      <c r="M1121" s="100">
        <v>587</v>
      </c>
      <c r="N1121" s="100">
        <v>150</v>
      </c>
      <c r="O1121" s="100">
        <v>22</v>
      </c>
      <c r="P1121" s="100">
        <v>29</v>
      </c>
      <c r="Q1121" s="271">
        <v>293.173</v>
      </c>
      <c r="R1121" s="100">
        <v>210</v>
      </c>
      <c r="S1121" s="100">
        <v>864</v>
      </c>
      <c r="T1121" s="100">
        <v>11</v>
      </c>
      <c r="U1121" s="100">
        <v>103</v>
      </c>
      <c r="V1121" s="666">
        <v>1623.2142857142856</v>
      </c>
      <c r="W1121" s="97"/>
      <c r="X1121" s="97">
        <f>+ROUNDUP(AC1121/1000,0)</f>
        <v>103</v>
      </c>
      <c r="Y1121" s="97"/>
      <c r="AC1121" s="100">
        <v>102470.37374658159</v>
      </c>
    </row>
    <row r="1122" spans="1:29" ht="15.95" customHeight="1" x14ac:dyDescent="0.2">
      <c r="A1122" s="667"/>
      <c r="B1122" s="44"/>
      <c r="C1122" s="150" t="s">
        <v>291</v>
      </c>
      <c r="D1122" s="304"/>
      <c r="E1122" s="103">
        <v>0</v>
      </c>
      <c r="F1122" s="104">
        <v>0</v>
      </c>
      <c r="G1122" s="103">
        <v>0</v>
      </c>
      <c r="H1122" s="103">
        <v>0</v>
      </c>
      <c r="I1122" s="104"/>
      <c r="J1122" s="103">
        <v>0</v>
      </c>
      <c r="K1122" s="103"/>
      <c r="L1122" s="103"/>
      <c r="M1122" s="103">
        <v>0</v>
      </c>
      <c r="N1122" s="103"/>
      <c r="O1122" s="103">
        <v>0</v>
      </c>
      <c r="P1122" s="103">
        <v>0</v>
      </c>
      <c r="Q1122" s="272"/>
      <c r="R1122" s="103">
        <v>0</v>
      </c>
      <c r="S1122" s="103">
        <v>0</v>
      </c>
      <c r="T1122" s="103">
        <v>0</v>
      </c>
      <c r="U1122" s="103">
        <v>0</v>
      </c>
      <c r="V1122" s="668">
        <v>0</v>
      </c>
      <c r="W1122" s="97"/>
      <c r="X1122" s="97">
        <f t="shared" si="17"/>
        <v>0</v>
      </c>
      <c r="Y1122" s="97"/>
      <c r="AC1122" s="103">
        <v>0</v>
      </c>
    </row>
    <row r="1123" spans="1:29" ht="15.95" customHeight="1" x14ac:dyDescent="0.2">
      <c r="A1123" s="665"/>
      <c r="B1123" s="42">
        <v>2009</v>
      </c>
      <c r="C1123" s="149" t="s">
        <v>412</v>
      </c>
      <c r="D1123" s="303">
        <v>4532</v>
      </c>
      <c r="E1123" s="100">
        <v>216</v>
      </c>
      <c r="F1123" s="101">
        <v>877.9096548</v>
      </c>
      <c r="G1123" s="100">
        <v>588.53968253968264</v>
      </c>
      <c r="H1123" s="100">
        <v>385</v>
      </c>
      <c r="I1123" s="101">
        <v>597</v>
      </c>
      <c r="J1123" s="100">
        <v>140</v>
      </c>
      <c r="K1123" s="100">
        <v>426</v>
      </c>
      <c r="L1123" s="100"/>
      <c r="M1123" s="100">
        <v>587</v>
      </c>
      <c r="N1123" s="100"/>
      <c r="O1123" s="100">
        <v>22</v>
      </c>
      <c r="P1123" s="100">
        <v>29</v>
      </c>
      <c r="Q1123" s="102">
        <v>277.88200000000001</v>
      </c>
      <c r="R1123" s="100">
        <v>215</v>
      </c>
      <c r="S1123" s="100">
        <v>864</v>
      </c>
      <c r="T1123" s="100">
        <v>11</v>
      </c>
      <c r="U1123" s="100">
        <v>113</v>
      </c>
      <c r="V1123" s="666">
        <v>1699</v>
      </c>
      <c r="W1123" s="100"/>
      <c r="X1123" s="97">
        <f>+ROUNDUP(AC1123/1000,0)</f>
        <v>113</v>
      </c>
      <c r="Y1123" s="97"/>
      <c r="AC1123" s="100">
        <v>112297.70229770232</v>
      </c>
    </row>
    <row r="1124" spans="1:29" ht="15.95" customHeight="1" x14ac:dyDescent="0.2">
      <c r="A1124" s="665"/>
      <c r="B1124" s="43"/>
      <c r="C1124" s="149" t="s">
        <v>413</v>
      </c>
      <c r="D1124" s="303">
        <v>4532</v>
      </c>
      <c r="E1124" s="100">
        <v>216</v>
      </c>
      <c r="F1124" s="101">
        <v>877.9096548</v>
      </c>
      <c r="G1124" s="100">
        <v>588.53968253968264</v>
      </c>
      <c r="H1124" s="100">
        <v>385</v>
      </c>
      <c r="I1124" s="101">
        <v>597</v>
      </c>
      <c r="J1124" s="100">
        <v>140</v>
      </c>
      <c r="K1124" s="100">
        <v>426</v>
      </c>
      <c r="L1124" s="100"/>
      <c r="M1124" s="100">
        <v>587</v>
      </c>
      <c r="N1124" s="100"/>
      <c r="O1124" s="100">
        <v>22</v>
      </c>
      <c r="P1124" s="100">
        <v>29</v>
      </c>
      <c r="Q1124" s="102">
        <v>277.88200000000001</v>
      </c>
      <c r="R1124" s="100">
        <v>215</v>
      </c>
      <c r="S1124" s="100">
        <v>864</v>
      </c>
      <c r="T1124" s="100">
        <v>11</v>
      </c>
      <c r="U1124" s="100">
        <v>113</v>
      </c>
      <c r="V1124" s="666">
        <v>1687</v>
      </c>
      <c r="W1124" s="97"/>
      <c r="X1124" s="97">
        <f>+ROUNDUP(AC1124/1000,0)</f>
        <v>113</v>
      </c>
      <c r="Y1124" s="97"/>
      <c r="AC1124" s="100">
        <v>112297.70229770232</v>
      </c>
    </row>
    <row r="1125" spans="1:29" ht="15.95" customHeight="1" thickBot="1" x14ac:dyDescent="0.25">
      <c r="A1125" s="669"/>
      <c r="B1125" s="45"/>
      <c r="C1125" s="151" t="s">
        <v>414</v>
      </c>
      <c r="D1125" s="305"/>
      <c r="E1125" s="105">
        <v>0</v>
      </c>
      <c r="F1125" s="106">
        <v>0</v>
      </c>
      <c r="G1125" s="105">
        <v>0</v>
      </c>
      <c r="H1125" s="105">
        <v>0</v>
      </c>
      <c r="I1125" s="106"/>
      <c r="J1125" s="105">
        <v>0</v>
      </c>
      <c r="K1125" s="105"/>
      <c r="L1125" s="105"/>
      <c r="M1125" s="105">
        <v>0</v>
      </c>
      <c r="N1125" s="105"/>
      <c r="O1125" s="105">
        <v>0</v>
      </c>
      <c r="P1125" s="105">
        <v>0</v>
      </c>
      <c r="Q1125" s="273"/>
      <c r="R1125" s="105">
        <v>0</v>
      </c>
      <c r="S1125" s="105">
        <v>0</v>
      </c>
      <c r="T1125" s="105">
        <v>0</v>
      </c>
      <c r="U1125" s="105">
        <v>0</v>
      </c>
      <c r="V1125" s="670">
        <v>0</v>
      </c>
      <c r="W1125" s="97"/>
      <c r="X1125" s="97">
        <f t="shared" si="17"/>
        <v>0</v>
      </c>
      <c r="Y1125" s="97">
        <f>+IF((AC1125-ROUND(AC1125,-3)&gt;400)*AND(AC1125-ROUND(AC1125,-3)&lt;500),1,0)</f>
        <v>0</v>
      </c>
      <c r="AC1125" s="105">
        <v>0</v>
      </c>
    </row>
    <row r="1126" spans="1:29" ht="15.95" customHeight="1" thickTop="1" x14ac:dyDescent="0.2">
      <c r="A1126" s="665" t="s">
        <v>344</v>
      </c>
      <c r="B1126" s="42">
        <v>2008</v>
      </c>
      <c r="C1126" s="148" t="s">
        <v>289</v>
      </c>
      <c r="D1126" s="303">
        <v>91</v>
      </c>
      <c r="E1126" s="100">
        <v>6</v>
      </c>
      <c r="F1126" s="101">
        <v>23.473526799999998</v>
      </c>
      <c r="G1126" s="100">
        <v>15.732474964234621</v>
      </c>
      <c r="H1126" s="100">
        <v>37</v>
      </c>
      <c r="I1126" s="101">
        <v>16</v>
      </c>
      <c r="J1126" s="100">
        <v>8</v>
      </c>
      <c r="K1126" s="100">
        <v>35</v>
      </c>
      <c r="L1126" s="100"/>
      <c r="M1126" s="100">
        <v>16</v>
      </c>
      <c r="N1126" s="100"/>
      <c r="O1126" s="100">
        <v>1</v>
      </c>
      <c r="P1126" s="100">
        <v>1</v>
      </c>
      <c r="Q1126" s="271">
        <v>7.9240000000000004</v>
      </c>
      <c r="R1126" s="100">
        <v>42</v>
      </c>
      <c r="S1126" s="100">
        <v>23</v>
      </c>
      <c r="T1126" s="100">
        <v>22</v>
      </c>
      <c r="U1126" s="100">
        <v>11</v>
      </c>
      <c r="V1126" s="666">
        <v>38.121428571428567</v>
      </c>
      <c r="W1126" s="97"/>
      <c r="X1126" s="97">
        <f t="shared" si="17"/>
        <v>11</v>
      </c>
      <c r="Y1126" s="97"/>
      <c r="AC1126" s="100">
        <v>11385.597082953509</v>
      </c>
    </row>
    <row r="1127" spans="1:29" ht="15.95" customHeight="1" x14ac:dyDescent="0.2">
      <c r="A1127" s="665" t="s">
        <v>68</v>
      </c>
      <c r="B1127" s="43"/>
      <c r="C1127" s="149" t="s">
        <v>290</v>
      </c>
      <c r="D1127" s="303">
        <v>91</v>
      </c>
      <c r="E1127" s="100">
        <v>6</v>
      </c>
      <c r="F1127" s="101">
        <v>23.473526799999998</v>
      </c>
      <c r="G1127" s="100">
        <v>0</v>
      </c>
      <c r="H1127" s="100">
        <v>37</v>
      </c>
      <c r="I1127" s="101">
        <v>16</v>
      </c>
      <c r="J1127" s="100">
        <v>8</v>
      </c>
      <c r="K1127" s="100">
        <v>35</v>
      </c>
      <c r="L1127" s="100"/>
      <c r="M1127" s="100">
        <v>16</v>
      </c>
      <c r="N1127" s="100"/>
      <c r="O1127" s="100">
        <v>1</v>
      </c>
      <c r="P1127" s="100">
        <v>1</v>
      </c>
      <c r="Q1127" s="271">
        <v>7.9240000000000004</v>
      </c>
      <c r="R1127" s="100">
        <v>42</v>
      </c>
      <c r="S1127" s="100">
        <v>23</v>
      </c>
      <c r="T1127" s="100">
        <v>22</v>
      </c>
      <c r="U1127" s="100">
        <v>11</v>
      </c>
      <c r="V1127" s="666">
        <v>0.89285714285714279</v>
      </c>
      <c r="W1127" s="97"/>
      <c r="X1127" s="97">
        <f t="shared" si="17"/>
        <v>11</v>
      </c>
      <c r="Y1127" s="97"/>
      <c r="AC1127" s="100">
        <v>11385.597082953509</v>
      </c>
    </row>
    <row r="1128" spans="1:29" ht="15.95" customHeight="1" x14ac:dyDescent="0.2">
      <c r="A1128" s="667" t="s">
        <v>69</v>
      </c>
      <c r="B1128" s="44"/>
      <c r="C1128" s="150" t="s">
        <v>291</v>
      </c>
      <c r="D1128" s="304"/>
      <c r="E1128" s="103">
        <v>0</v>
      </c>
      <c r="F1128" s="104">
        <v>0</v>
      </c>
      <c r="G1128" s="103">
        <v>0</v>
      </c>
      <c r="H1128" s="103">
        <v>0</v>
      </c>
      <c r="I1128" s="104"/>
      <c r="J1128" s="103">
        <v>0</v>
      </c>
      <c r="K1128" s="103"/>
      <c r="L1128" s="103"/>
      <c r="M1128" s="103">
        <v>1</v>
      </c>
      <c r="N1128" s="103"/>
      <c r="O1128" s="103">
        <v>0</v>
      </c>
      <c r="P1128" s="103">
        <v>0</v>
      </c>
      <c r="Q1128" s="272"/>
      <c r="R1128" s="103">
        <v>41</v>
      </c>
      <c r="S1128" s="103">
        <v>0</v>
      </c>
      <c r="T1128" s="103">
        <v>0</v>
      </c>
      <c r="U1128" s="103">
        <v>0</v>
      </c>
      <c r="V1128" s="668">
        <v>0</v>
      </c>
      <c r="W1128" s="97"/>
      <c r="X1128" s="97">
        <f t="shared" si="17"/>
        <v>0</v>
      </c>
      <c r="Y1128" s="97"/>
      <c r="AC1128" s="103">
        <v>0</v>
      </c>
    </row>
    <row r="1129" spans="1:29" ht="15.95" customHeight="1" x14ac:dyDescent="0.2">
      <c r="A1129" s="665"/>
      <c r="B1129" s="42">
        <v>2009</v>
      </c>
      <c r="C1129" s="149" t="s">
        <v>412</v>
      </c>
      <c r="D1129" s="303">
        <v>122</v>
      </c>
      <c r="E1129" s="100">
        <v>6</v>
      </c>
      <c r="F1129" s="101">
        <v>23.473526799999998</v>
      </c>
      <c r="G1129" s="100">
        <v>16.640692640692642</v>
      </c>
      <c r="H1129" s="100">
        <v>42</v>
      </c>
      <c r="I1129" s="101">
        <v>16</v>
      </c>
      <c r="J1129" s="100">
        <v>7</v>
      </c>
      <c r="K1129" s="100">
        <v>35</v>
      </c>
      <c r="L1129" s="100"/>
      <c r="M1129" s="100">
        <v>16</v>
      </c>
      <c r="N1129" s="100"/>
      <c r="O1129" s="100">
        <v>1</v>
      </c>
      <c r="P1129" s="100">
        <v>1</v>
      </c>
      <c r="Q1129" s="102">
        <v>7.5110000000000001</v>
      </c>
      <c r="R1129" s="100">
        <v>43</v>
      </c>
      <c r="S1129" s="100">
        <v>23</v>
      </c>
      <c r="T1129" s="100">
        <v>22</v>
      </c>
      <c r="U1129" s="100">
        <v>12</v>
      </c>
      <c r="V1129" s="666">
        <v>39.34553571428571</v>
      </c>
      <c r="W1129" s="100"/>
      <c r="X1129" s="97">
        <f t="shared" si="17"/>
        <v>12</v>
      </c>
      <c r="Y1129" s="97"/>
      <c r="AC1129" s="100">
        <v>12477.52247752248</v>
      </c>
    </row>
    <row r="1130" spans="1:29" ht="15.95" customHeight="1" x14ac:dyDescent="0.2">
      <c r="A1130" s="665"/>
      <c r="B1130" s="43"/>
      <c r="C1130" s="149" t="s">
        <v>413</v>
      </c>
      <c r="D1130" s="303"/>
      <c r="E1130" s="100">
        <v>1</v>
      </c>
      <c r="F1130" s="101">
        <v>23.473526799999998</v>
      </c>
      <c r="G1130" s="100">
        <v>15.880230880230881</v>
      </c>
      <c r="H1130" s="100">
        <v>0</v>
      </c>
      <c r="I1130" s="101">
        <v>16</v>
      </c>
      <c r="J1130" s="100">
        <v>7</v>
      </c>
      <c r="K1130" s="100">
        <v>35</v>
      </c>
      <c r="L1130" s="100"/>
      <c r="M1130" s="100">
        <v>16</v>
      </c>
      <c r="N1130" s="100"/>
      <c r="O1130" s="100">
        <v>1</v>
      </c>
      <c r="P1130" s="100">
        <v>1</v>
      </c>
      <c r="Q1130" s="102">
        <v>1.123</v>
      </c>
      <c r="R1130" s="100">
        <v>43</v>
      </c>
      <c r="S1130" s="100">
        <v>23</v>
      </c>
      <c r="T1130" s="100">
        <v>22</v>
      </c>
      <c r="U1130" s="100">
        <v>12</v>
      </c>
      <c r="V1130" s="666">
        <v>39</v>
      </c>
      <c r="W1130" s="97"/>
      <c r="X1130" s="97">
        <f t="shared" si="17"/>
        <v>12</v>
      </c>
      <c r="Y1130" s="97"/>
      <c r="AC1130" s="100">
        <v>12477.52247752248</v>
      </c>
    </row>
    <row r="1131" spans="1:29" ht="15.95" customHeight="1" thickBot="1" x14ac:dyDescent="0.25">
      <c r="A1131" s="669"/>
      <c r="B1131" s="45"/>
      <c r="C1131" s="151" t="s">
        <v>414</v>
      </c>
      <c r="D1131" s="305"/>
      <c r="E1131" s="105">
        <v>0</v>
      </c>
      <c r="F1131" s="106">
        <v>0</v>
      </c>
      <c r="G1131" s="105">
        <v>0</v>
      </c>
      <c r="H1131" s="105">
        <v>0</v>
      </c>
      <c r="I1131" s="106"/>
      <c r="J1131" s="105">
        <v>0</v>
      </c>
      <c r="K1131" s="105"/>
      <c r="L1131" s="105"/>
      <c r="M1131" s="105">
        <v>0</v>
      </c>
      <c r="N1131" s="105"/>
      <c r="O1131" s="105">
        <v>0</v>
      </c>
      <c r="P1131" s="105">
        <v>0</v>
      </c>
      <c r="Q1131" s="273"/>
      <c r="R1131" s="105">
        <v>0</v>
      </c>
      <c r="S1131" s="105">
        <v>0</v>
      </c>
      <c r="T1131" s="105">
        <v>0</v>
      </c>
      <c r="U1131" s="105">
        <v>0</v>
      </c>
      <c r="V1131" s="670">
        <v>0</v>
      </c>
      <c r="W1131" s="97"/>
      <c r="X1131" s="97">
        <f t="shared" si="17"/>
        <v>0</v>
      </c>
      <c r="Y1131" s="97">
        <f>+IF((AC1131-ROUND(AC1131,-3)&gt;400)*AND(AC1131-ROUND(AC1131,-3)&lt;500),1,0)</f>
        <v>0</v>
      </c>
      <c r="AC1131" s="105">
        <v>0</v>
      </c>
    </row>
    <row r="1132" spans="1:29" ht="15.95" customHeight="1" thickTop="1" x14ac:dyDescent="0.2">
      <c r="A1132" s="665" t="s">
        <v>267</v>
      </c>
      <c r="B1132" s="42">
        <v>2008</v>
      </c>
      <c r="C1132" s="148" t="s">
        <v>289</v>
      </c>
      <c r="D1132" s="303">
        <v>18</v>
      </c>
      <c r="E1132" s="100">
        <v>1</v>
      </c>
      <c r="F1132" s="101">
        <v>4.6946972000000002</v>
      </c>
      <c r="G1132" s="100"/>
      <c r="H1132" s="100">
        <v>37</v>
      </c>
      <c r="I1132" s="101">
        <v>3</v>
      </c>
      <c r="J1132" s="100">
        <v>8</v>
      </c>
      <c r="K1132" s="100">
        <v>18</v>
      </c>
      <c r="L1132" s="100"/>
      <c r="M1132" s="100">
        <v>3</v>
      </c>
      <c r="N1132" s="100"/>
      <c r="O1132" s="100">
        <v>0</v>
      </c>
      <c r="P1132" s="100">
        <v>0</v>
      </c>
      <c r="Q1132" s="271">
        <v>1.1319999999999999</v>
      </c>
      <c r="R1132" s="100">
        <v>35</v>
      </c>
      <c r="S1132" s="100">
        <v>5</v>
      </c>
      <c r="T1132" s="100">
        <v>1</v>
      </c>
      <c r="U1132" s="100">
        <v>11</v>
      </c>
      <c r="V1132" s="666">
        <v>24</v>
      </c>
      <c r="W1132" s="97"/>
      <c r="X1132" s="97">
        <f t="shared" si="17"/>
        <v>11</v>
      </c>
      <c r="Y1132" s="97"/>
      <c r="AC1132" s="100">
        <v>11385.597082953509</v>
      </c>
    </row>
    <row r="1133" spans="1:29" ht="15.95" customHeight="1" x14ac:dyDescent="0.2">
      <c r="A1133" s="665"/>
      <c r="B1133" s="43"/>
      <c r="C1133" s="149" t="s">
        <v>290</v>
      </c>
      <c r="D1133" s="303">
        <v>18</v>
      </c>
      <c r="E1133" s="100">
        <v>0</v>
      </c>
      <c r="F1133" s="101">
        <v>4.6946972000000002</v>
      </c>
      <c r="G1133" s="100"/>
      <c r="H1133" s="100">
        <v>37</v>
      </c>
      <c r="I1133" s="101">
        <v>3</v>
      </c>
      <c r="J1133" s="100">
        <v>0</v>
      </c>
      <c r="K1133" s="100">
        <v>18</v>
      </c>
      <c r="L1133" s="100"/>
      <c r="M1133" s="100">
        <v>2</v>
      </c>
      <c r="N1133" s="100"/>
      <c r="O1133" s="100">
        <v>0</v>
      </c>
      <c r="P1133" s="100">
        <v>0</v>
      </c>
      <c r="Q1133" s="271"/>
      <c r="R1133" s="100">
        <v>35</v>
      </c>
      <c r="S1133" s="100">
        <v>5</v>
      </c>
      <c r="T1133" s="100">
        <v>0</v>
      </c>
      <c r="U1133" s="100">
        <v>0</v>
      </c>
      <c r="V1133" s="666">
        <v>0</v>
      </c>
      <c r="W1133" s="97"/>
      <c r="X1133" s="97">
        <f t="shared" si="17"/>
        <v>0</v>
      </c>
      <c r="Y1133" s="97"/>
      <c r="AC1133" s="100">
        <v>0</v>
      </c>
    </row>
    <row r="1134" spans="1:29" ht="15.95" customHeight="1" x14ac:dyDescent="0.2">
      <c r="A1134" s="667"/>
      <c r="B1134" s="44"/>
      <c r="C1134" s="150" t="s">
        <v>291</v>
      </c>
      <c r="D1134" s="304"/>
      <c r="E1134" s="103">
        <v>0</v>
      </c>
      <c r="F1134" s="104">
        <v>0.95977000000000001</v>
      </c>
      <c r="G1134" s="103"/>
      <c r="H1134" s="103">
        <v>0</v>
      </c>
      <c r="I1134" s="104">
        <v>28</v>
      </c>
      <c r="J1134" s="103">
        <v>0</v>
      </c>
      <c r="K1134" s="103"/>
      <c r="L1134" s="103"/>
      <c r="M1134" s="103">
        <v>0</v>
      </c>
      <c r="N1134" s="103"/>
      <c r="O1134" s="103">
        <v>0</v>
      </c>
      <c r="P1134" s="103">
        <v>0</v>
      </c>
      <c r="Q1134" s="272">
        <v>1.18</v>
      </c>
      <c r="R1134" s="103">
        <v>28</v>
      </c>
      <c r="S1134" s="103">
        <v>10</v>
      </c>
      <c r="T1134" s="103">
        <v>0</v>
      </c>
      <c r="U1134" s="103">
        <v>0</v>
      </c>
      <c r="V1134" s="668">
        <v>0</v>
      </c>
      <c r="W1134" s="97"/>
      <c r="X1134" s="97">
        <f t="shared" si="17"/>
        <v>0</v>
      </c>
      <c r="Y1134" s="97"/>
      <c r="AC1134" s="103">
        <v>0</v>
      </c>
    </row>
    <row r="1135" spans="1:29" ht="15.95" customHeight="1" x14ac:dyDescent="0.2">
      <c r="A1135" s="665"/>
      <c r="B1135" s="42">
        <v>2009</v>
      </c>
      <c r="C1135" s="149" t="s">
        <v>412</v>
      </c>
      <c r="D1135" s="303">
        <v>24</v>
      </c>
      <c r="E1135" s="100">
        <v>1</v>
      </c>
      <c r="F1135" s="101">
        <v>4.6946972000000002</v>
      </c>
      <c r="G1135" s="100"/>
      <c r="H1135" s="100">
        <v>42</v>
      </c>
      <c r="I1135" s="101">
        <v>3</v>
      </c>
      <c r="J1135" s="100">
        <v>7</v>
      </c>
      <c r="K1135" s="100">
        <v>18</v>
      </c>
      <c r="L1135" s="100"/>
      <c r="M1135" s="100">
        <v>3</v>
      </c>
      <c r="N1135" s="100"/>
      <c r="O1135" s="100">
        <v>0</v>
      </c>
      <c r="P1135" s="100">
        <v>0</v>
      </c>
      <c r="Q1135" s="102">
        <v>1.073</v>
      </c>
      <c r="R1135" s="100">
        <v>36</v>
      </c>
      <c r="S1135" s="100">
        <v>5</v>
      </c>
      <c r="T1135" s="100">
        <v>1</v>
      </c>
      <c r="U1135" s="100">
        <v>12</v>
      </c>
      <c r="V1135" s="666">
        <v>25</v>
      </c>
      <c r="W1135" s="100"/>
      <c r="X1135" s="97">
        <f t="shared" si="17"/>
        <v>12</v>
      </c>
      <c r="Y1135" s="97"/>
      <c r="AC1135" s="100">
        <v>12477.52247752248</v>
      </c>
    </row>
    <row r="1136" spans="1:29" ht="15.95" customHeight="1" x14ac:dyDescent="0.2">
      <c r="A1136" s="665"/>
      <c r="B1136" s="43"/>
      <c r="C1136" s="149" t="s">
        <v>413</v>
      </c>
      <c r="D1136" s="303">
        <v>24</v>
      </c>
      <c r="E1136" s="100">
        <v>0</v>
      </c>
      <c r="F1136" s="101">
        <v>4.6946972000000002</v>
      </c>
      <c r="G1136" s="100"/>
      <c r="H1136" s="100">
        <v>42</v>
      </c>
      <c r="I1136" s="101">
        <v>3</v>
      </c>
      <c r="J1136" s="100">
        <v>7</v>
      </c>
      <c r="K1136" s="100">
        <v>18</v>
      </c>
      <c r="L1136" s="100"/>
      <c r="M1136" s="100">
        <v>3</v>
      </c>
      <c r="N1136" s="100"/>
      <c r="O1136" s="100">
        <v>0</v>
      </c>
      <c r="P1136" s="100">
        <v>0</v>
      </c>
      <c r="Q1136" s="271"/>
      <c r="R1136" s="100">
        <v>36</v>
      </c>
      <c r="S1136" s="100">
        <v>5</v>
      </c>
      <c r="T1136" s="100">
        <v>0</v>
      </c>
      <c r="U1136" s="100">
        <v>0</v>
      </c>
      <c r="V1136" s="666">
        <v>0</v>
      </c>
      <c r="W1136" s="97"/>
      <c r="X1136" s="97">
        <f t="shared" si="17"/>
        <v>0</v>
      </c>
      <c r="Y1136" s="97"/>
      <c r="AC1136" s="100">
        <v>0</v>
      </c>
    </row>
    <row r="1137" spans="1:29" ht="15.95" customHeight="1" thickBot="1" x14ac:dyDescent="0.25">
      <c r="A1137" s="669"/>
      <c r="B1137" s="45"/>
      <c r="C1137" s="151" t="s">
        <v>414</v>
      </c>
      <c r="D1137" s="305">
        <v>0</v>
      </c>
      <c r="E1137" s="105">
        <v>2</v>
      </c>
      <c r="F1137" s="106">
        <v>0</v>
      </c>
      <c r="G1137" s="105"/>
      <c r="H1137" s="105">
        <v>0</v>
      </c>
      <c r="I1137" s="106">
        <v>23</v>
      </c>
      <c r="J1137" s="105">
        <v>65</v>
      </c>
      <c r="K1137" s="105"/>
      <c r="L1137" s="105"/>
      <c r="M1137" s="105">
        <v>1</v>
      </c>
      <c r="N1137" s="105"/>
      <c r="O1137" s="105">
        <v>0</v>
      </c>
      <c r="P1137" s="105">
        <v>0</v>
      </c>
      <c r="Q1137" s="273">
        <v>1.0760000000000001</v>
      </c>
      <c r="R1137" s="105">
        <v>36</v>
      </c>
      <c r="S1137" s="105">
        <v>0</v>
      </c>
      <c r="T1137" s="105">
        <v>20</v>
      </c>
      <c r="U1137" s="105">
        <v>67</v>
      </c>
      <c r="V1137" s="670">
        <v>0</v>
      </c>
      <c r="W1137" s="97"/>
      <c r="X1137" s="97">
        <f t="shared" si="17"/>
        <v>67</v>
      </c>
      <c r="Y1137" s="97">
        <f>+IF((AC1137-ROUND(AC1137,-3)&gt;400)*AND(AC1137-ROUND(AC1137,-3)&lt;500),1,0)</f>
        <v>0</v>
      </c>
      <c r="AC1137" s="105">
        <v>66600.189810189811</v>
      </c>
    </row>
    <row r="1138" spans="1:29" ht="15.95" customHeight="1" thickTop="1" x14ac:dyDescent="0.2">
      <c r="A1138" s="665" t="s">
        <v>674</v>
      </c>
      <c r="B1138" s="42">
        <v>2008</v>
      </c>
      <c r="C1138" s="148" t="s">
        <v>289</v>
      </c>
      <c r="D1138" s="303"/>
      <c r="E1138" s="100"/>
      <c r="F1138" s="101"/>
      <c r="G1138" s="100"/>
      <c r="H1138" s="100"/>
      <c r="I1138" s="101"/>
      <c r="J1138" s="100"/>
      <c r="K1138" s="100"/>
      <c r="L1138" s="100"/>
      <c r="M1138" s="100">
        <v>2</v>
      </c>
      <c r="N1138" s="100"/>
      <c r="O1138" s="100"/>
      <c r="P1138" s="100"/>
      <c r="Q1138" s="271"/>
      <c r="R1138" s="100"/>
      <c r="S1138" s="100">
        <v>5</v>
      </c>
      <c r="T1138" s="100"/>
      <c r="U1138" s="100"/>
      <c r="V1138" s="666"/>
      <c r="W1138" s="97"/>
      <c r="X1138" s="97">
        <f t="shared" si="17"/>
        <v>0</v>
      </c>
      <c r="Y1138" s="97"/>
      <c r="AC1138" s="100"/>
    </row>
    <row r="1139" spans="1:29" ht="15.95" customHeight="1" x14ac:dyDescent="0.2">
      <c r="A1139" s="665"/>
      <c r="B1139" s="43"/>
      <c r="C1139" s="149" t="s">
        <v>290</v>
      </c>
      <c r="D1139" s="303"/>
      <c r="E1139" s="100"/>
      <c r="F1139" s="101"/>
      <c r="G1139" s="100"/>
      <c r="H1139" s="100"/>
      <c r="I1139" s="101"/>
      <c r="J1139" s="100"/>
      <c r="K1139" s="100"/>
      <c r="L1139" s="100"/>
      <c r="M1139" s="100">
        <v>2</v>
      </c>
      <c r="N1139" s="100"/>
      <c r="O1139" s="100"/>
      <c r="P1139" s="100"/>
      <c r="Q1139" s="271"/>
      <c r="R1139" s="100"/>
      <c r="S1139" s="100">
        <v>0</v>
      </c>
      <c r="T1139" s="100"/>
      <c r="U1139" s="100"/>
      <c r="V1139" s="666"/>
      <c r="W1139" s="97"/>
      <c r="X1139" s="97">
        <f t="shared" si="17"/>
        <v>0</v>
      </c>
      <c r="Y1139" s="97"/>
      <c r="AC1139" s="100"/>
    </row>
    <row r="1140" spans="1:29" ht="15.95" customHeight="1" x14ac:dyDescent="0.2">
      <c r="A1140" s="667"/>
      <c r="B1140" s="44"/>
      <c r="C1140" s="150" t="s">
        <v>291</v>
      </c>
      <c r="D1140" s="304"/>
      <c r="E1140" s="103"/>
      <c r="F1140" s="104"/>
      <c r="G1140" s="103"/>
      <c r="H1140" s="103"/>
      <c r="I1140" s="104"/>
      <c r="J1140" s="103"/>
      <c r="K1140" s="103"/>
      <c r="L1140" s="103"/>
      <c r="M1140" s="103">
        <v>0</v>
      </c>
      <c r="N1140" s="103"/>
      <c r="O1140" s="103"/>
      <c r="P1140" s="103"/>
      <c r="Q1140" s="272"/>
      <c r="R1140" s="103"/>
      <c r="S1140" s="103">
        <v>0</v>
      </c>
      <c r="T1140" s="103"/>
      <c r="U1140" s="103"/>
      <c r="V1140" s="668"/>
      <c r="W1140" s="97"/>
      <c r="X1140" s="97">
        <f t="shared" si="17"/>
        <v>0</v>
      </c>
      <c r="Y1140" s="97"/>
      <c r="AC1140" s="103"/>
    </row>
    <row r="1141" spans="1:29" ht="15.95" customHeight="1" x14ac:dyDescent="0.2">
      <c r="A1141" s="665"/>
      <c r="B1141" s="42">
        <v>2009</v>
      </c>
      <c r="C1141" s="149" t="s">
        <v>412</v>
      </c>
      <c r="D1141" s="303"/>
      <c r="E1141" s="100"/>
      <c r="F1141" s="101"/>
      <c r="G1141" s="100"/>
      <c r="H1141" s="100"/>
      <c r="I1141" s="101"/>
      <c r="J1141" s="100"/>
      <c r="K1141" s="100"/>
      <c r="L1141" s="100"/>
      <c r="M1141" s="100">
        <v>2</v>
      </c>
      <c r="N1141" s="100"/>
      <c r="O1141" s="100"/>
      <c r="P1141" s="100"/>
      <c r="Q1141" s="271"/>
      <c r="R1141" s="100"/>
      <c r="S1141" s="100">
        <v>5</v>
      </c>
      <c r="T1141" s="100"/>
      <c r="U1141" s="100"/>
      <c r="V1141" s="666"/>
      <c r="W1141" s="100"/>
      <c r="X1141" s="97">
        <f t="shared" si="17"/>
        <v>0</v>
      </c>
      <c r="Y1141" s="97"/>
      <c r="AC1141" s="100"/>
    </row>
    <row r="1142" spans="1:29" ht="15.95" customHeight="1" x14ac:dyDescent="0.2">
      <c r="A1142" s="665"/>
      <c r="B1142" s="43"/>
      <c r="C1142" s="149" t="s">
        <v>413</v>
      </c>
      <c r="D1142" s="303"/>
      <c r="E1142" s="100"/>
      <c r="F1142" s="101"/>
      <c r="G1142" s="100"/>
      <c r="H1142" s="100"/>
      <c r="I1142" s="101"/>
      <c r="J1142" s="100"/>
      <c r="K1142" s="100"/>
      <c r="L1142" s="100"/>
      <c r="M1142" s="100">
        <v>2</v>
      </c>
      <c r="N1142" s="100"/>
      <c r="O1142" s="100"/>
      <c r="P1142" s="100"/>
      <c r="Q1142" s="271"/>
      <c r="R1142" s="100"/>
      <c r="S1142" s="100">
        <v>0</v>
      </c>
      <c r="T1142" s="100"/>
      <c r="U1142" s="100"/>
      <c r="V1142" s="666"/>
      <c r="W1142" s="97"/>
      <c r="X1142" s="97">
        <f t="shared" si="17"/>
        <v>0</v>
      </c>
      <c r="Y1142" s="97"/>
      <c r="AC1142" s="100"/>
    </row>
    <row r="1143" spans="1:29" ht="15.95" customHeight="1" thickBot="1" x14ac:dyDescent="0.25">
      <c r="A1143" s="669"/>
      <c r="B1143" s="45"/>
      <c r="C1143" s="151" t="s">
        <v>414</v>
      </c>
      <c r="D1143" s="305"/>
      <c r="E1143" s="105"/>
      <c r="F1143" s="106"/>
      <c r="G1143" s="105"/>
      <c r="H1143" s="105"/>
      <c r="I1143" s="106"/>
      <c r="J1143" s="105"/>
      <c r="K1143" s="105"/>
      <c r="L1143" s="105"/>
      <c r="M1143" s="105">
        <v>0</v>
      </c>
      <c r="N1143" s="105"/>
      <c r="O1143" s="105"/>
      <c r="P1143" s="105"/>
      <c r="Q1143" s="273"/>
      <c r="R1143" s="105"/>
      <c r="S1143" s="105">
        <v>0</v>
      </c>
      <c r="T1143" s="105"/>
      <c r="U1143" s="105"/>
      <c r="V1143" s="670"/>
      <c r="W1143" s="97"/>
      <c r="X1143" s="97">
        <f t="shared" si="17"/>
        <v>0</v>
      </c>
      <c r="Y1143" s="97">
        <f>+IF((AC1143-ROUND(AC1143,-3)&gt;400)*AND(AC1143-ROUND(AC1143,-3)&lt;500),1,0)</f>
        <v>0</v>
      </c>
      <c r="AC1143" s="105"/>
    </row>
    <row r="1144" spans="1:29" ht="15.95" customHeight="1" thickTop="1" x14ac:dyDescent="0.2">
      <c r="A1144" s="665" t="s">
        <v>269</v>
      </c>
      <c r="B1144" s="42">
        <v>2008</v>
      </c>
      <c r="C1144" s="148" t="s">
        <v>289</v>
      </c>
      <c r="D1144" s="303">
        <v>18</v>
      </c>
      <c r="E1144" s="100"/>
      <c r="F1144" s="101">
        <v>4.6946972000000002</v>
      </c>
      <c r="G1144" s="100"/>
      <c r="H1144" s="100">
        <v>37</v>
      </c>
      <c r="I1144" s="101"/>
      <c r="J1144" s="100">
        <v>10</v>
      </c>
      <c r="K1144" s="100">
        <v>18</v>
      </c>
      <c r="L1144" s="100"/>
      <c r="M1144" s="100">
        <v>3</v>
      </c>
      <c r="N1144" s="100"/>
      <c r="O1144" s="100">
        <v>0</v>
      </c>
      <c r="P1144" s="100">
        <v>0</v>
      </c>
      <c r="Q1144" s="271">
        <v>1.1319999999999999</v>
      </c>
      <c r="R1144" s="100"/>
      <c r="S1144" s="100">
        <v>5</v>
      </c>
      <c r="T1144" s="100">
        <v>3</v>
      </c>
      <c r="U1144" s="100">
        <v>11</v>
      </c>
      <c r="V1144" s="666">
        <v>24</v>
      </c>
      <c r="W1144" s="97"/>
      <c r="X1144" s="97">
        <f t="shared" si="17"/>
        <v>11</v>
      </c>
      <c r="Y1144" s="97"/>
      <c r="AC1144" s="100">
        <v>11385.597082953509</v>
      </c>
    </row>
    <row r="1145" spans="1:29" ht="15.95" customHeight="1" x14ac:dyDescent="0.2">
      <c r="A1145" s="665"/>
      <c r="B1145" s="43"/>
      <c r="C1145" s="149" t="s">
        <v>290</v>
      </c>
      <c r="D1145" s="303">
        <v>18</v>
      </c>
      <c r="E1145" s="100"/>
      <c r="F1145" s="101">
        <v>4.6946972000000002</v>
      </c>
      <c r="G1145" s="100"/>
      <c r="H1145" s="100">
        <v>0</v>
      </c>
      <c r="I1145" s="101"/>
      <c r="J1145" s="100">
        <v>10</v>
      </c>
      <c r="K1145" s="100">
        <v>18</v>
      </c>
      <c r="L1145" s="100"/>
      <c r="M1145" s="100">
        <v>3</v>
      </c>
      <c r="N1145" s="100"/>
      <c r="O1145" s="100">
        <v>0</v>
      </c>
      <c r="P1145" s="100">
        <v>0</v>
      </c>
      <c r="Q1145" s="271">
        <v>1.1319999999999999</v>
      </c>
      <c r="R1145" s="100"/>
      <c r="S1145" s="100">
        <v>5</v>
      </c>
      <c r="T1145" s="100">
        <v>3</v>
      </c>
      <c r="U1145" s="100">
        <v>11</v>
      </c>
      <c r="V1145" s="666">
        <v>24.107142857142854</v>
      </c>
      <c r="W1145" s="97"/>
      <c r="X1145" s="97">
        <f t="shared" si="17"/>
        <v>11</v>
      </c>
      <c r="Y1145" s="97"/>
      <c r="AC1145" s="100">
        <v>11385.597082953509</v>
      </c>
    </row>
    <row r="1146" spans="1:29" ht="15.95" customHeight="1" x14ac:dyDescent="0.2">
      <c r="A1146" s="667"/>
      <c r="B1146" s="44"/>
      <c r="C1146" s="150" t="s">
        <v>291</v>
      </c>
      <c r="D1146" s="304">
        <v>20</v>
      </c>
      <c r="E1146" s="103"/>
      <c r="F1146" s="104">
        <v>0</v>
      </c>
      <c r="G1146" s="103"/>
      <c r="H1146" s="103">
        <v>0</v>
      </c>
      <c r="I1146" s="104"/>
      <c r="J1146" s="103">
        <v>0</v>
      </c>
      <c r="K1146" s="103"/>
      <c r="L1146" s="103"/>
      <c r="M1146" s="103">
        <v>0</v>
      </c>
      <c r="N1146" s="103"/>
      <c r="O1146" s="103">
        <v>0</v>
      </c>
      <c r="P1146" s="103">
        <v>0</v>
      </c>
      <c r="Q1146" s="272">
        <v>1.1020000000000001</v>
      </c>
      <c r="R1146" s="103"/>
      <c r="S1146" s="103">
        <v>0</v>
      </c>
      <c r="T1146" s="103">
        <v>0</v>
      </c>
      <c r="U1146" s="103">
        <v>0</v>
      </c>
      <c r="V1146" s="668">
        <v>53.636363636363633</v>
      </c>
      <c r="W1146" s="97"/>
      <c r="X1146" s="97">
        <f t="shared" si="17"/>
        <v>0</v>
      </c>
      <c r="Y1146" s="97"/>
      <c r="AC1146" s="103">
        <v>0</v>
      </c>
    </row>
    <row r="1147" spans="1:29" ht="15.95" customHeight="1" x14ac:dyDescent="0.2">
      <c r="A1147" s="665"/>
      <c r="B1147" s="42">
        <v>2009</v>
      </c>
      <c r="C1147" s="149" t="s">
        <v>412</v>
      </c>
      <c r="D1147" s="303">
        <f>24+1</f>
        <v>25</v>
      </c>
      <c r="E1147" s="100"/>
      <c r="F1147" s="101">
        <v>4.6946972000000002</v>
      </c>
      <c r="G1147" s="100"/>
      <c r="H1147" s="100">
        <v>42</v>
      </c>
      <c r="I1147" s="101"/>
      <c r="J1147" s="100">
        <v>9</v>
      </c>
      <c r="K1147" s="100">
        <v>18</v>
      </c>
      <c r="L1147" s="100"/>
      <c r="M1147" s="100">
        <v>3</v>
      </c>
      <c r="N1147" s="100"/>
      <c r="O1147" s="100">
        <v>0</v>
      </c>
      <c r="P1147" s="100">
        <v>0</v>
      </c>
      <c r="Q1147" s="102">
        <v>1.073</v>
      </c>
      <c r="R1147" s="100"/>
      <c r="S1147" s="100">
        <v>5</v>
      </c>
      <c r="T1147" s="100">
        <v>3</v>
      </c>
      <c r="U1147" s="100">
        <v>12</v>
      </c>
      <c r="V1147" s="666">
        <v>25</v>
      </c>
      <c r="W1147" s="100"/>
      <c r="X1147" s="97">
        <f t="shared" si="17"/>
        <v>12</v>
      </c>
      <c r="Y1147" s="97"/>
      <c r="AC1147" s="100">
        <v>12477.52247752248</v>
      </c>
    </row>
    <row r="1148" spans="1:29" ht="15.95" customHeight="1" x14ac:dyDescent="0.2">
      <c r="A1148" s="665"/>
      <c r="B1148" s="43"/>
      <c r="C1148" s="149" t="s">
        <v>413</v>
      </c>
      <c r="D1148" s="303">
        <v>4</v>
      </c>
      <c r="E1148" s="100"/>
      <c r="F1148" s="101">
        <v>4.6946972000000002</v>
      </c>
      <c r="G1148" s="100"/>
      <c r="H1148" s="100">
        <v>0</v>
      </c>
      <c r="I1148" s="101"/>
      <c r="J1148" s="100">
        <v>9</v>
      </c>
      <c r="K1148" s="100">
        <v>18</v>
      </c>
      <c r="L1148" s="100"/>
      <c r="M1148" s="100">
        <v>3</v>
      </c>
      <c r="N1148" s="100"/>
      <c r="O1148" s="100">
        <v>0</v>
      </c>
      <c r="P1148" s="100">
        <v>0</v>
      </c>
      <c r="Q1148" s="102">
        <v>0.51900000000000002</v>
      </c>
      <c r="R1148" s="100"/>
      <c r="S1148" s="100">
        <v>5</v>
      </c>
      <c r="T1148" s="100">
        <v>3</v>
      </c>
      <c r="U1148" s="100">
        <v>12</v>
      </c>
      <c r="V1148" s="666">
        <v>25</v>
      </c>
      <c r="W1148" s="97"/>
      <c r="X1148" s="97">
        <f t="shared" si="17"/>
        <v>12</v>
      </c>
      <c r="Y1148" s="97"/>
      <c r="AC1148" s="100">
        <v>12477.52247752248</v>
      </c>
    </row>
    <row r="1149" spans="1:29" ht="15.95" customHeight="1" thickBot="1" x14ac:dyDescent="0.25">
      <c r="A1149" s="669"/>
      <c r="B1149" s="45"/>
      <c r="C1149" s="151" t="s">
        <v>414</v>
      </c>
      <c r="D1149" s="305"/>
      <c r="E1149" s="105"/>
      <c r="F1149" s="106">
        <v>0</v>
      </c>
      <c r="G1149" s="105"/>
      <c r="H1149" s="105">
        <v>43</v>
      </c>
      <c r="I1149" s="106"/>
      <c r="J1149" s="105">
        <v>0</v>
      </c>
      <c r="K1149" s="105"/>
      <c r="L1149" s="105"/>
      <c r="M1149" s="105">
        <v>0</v>
      </c>
      <c r="N1149" s="105"/>
      <c r="O1149" s="105">
        <v>0</v>
      </c>
      <c r="P1149" s="105">
        <v>0</v>
      </c>
      <c r="Q1149" s="273"/>
      <c r="R1149" s="105"/>
      <c r="S1149" s="105">
        <v>0</v>
      </c>
      <c r="T1149" s="105">
        <v>0</v>
      </c>
      <c r="U1149" s="105">
        <v>0</v>
      </c>
      <c r="V1149" s="670">
        <v>78</v>
      </c>
      <c r="W1149" s="97"/>
      <c r="X1149" s="97">
        <f t="shared" si="17"/>
        <v>0</v>
      </c>
      <c r="Y1149" s="97">
        <f>+IF((AC1149-ROUND(AC1149,-3)&gt;400)*AND(AC1149-ROUND(AC1149,-3)&lt;500),1,0)</f>
        <v>0</v>
      </c>
      <c r="AC1149" s="105">
        <v>0</v>
      </c>
    </row>
    <row r="1150" spans="1:29" ht="15.95" customHeight="1" thickTop="1" x14ac:dyDescent="0.2">
      <c r="A1150" s="665" t="s">
        <v>270</v>
      </c>
      <c r="B1150" s="42">
        <v>2008</v>
      </c>
      <c r="C1150" s="148" t="s">
        <v>289</v>
      </c>
      <c r="D1150" s="303">
        <v>494</v>
      </c>
      <c r="E1150" s="100"/>
      <c r="F1150" s="101">
        <v>126.75701480000001</v>
      </c>
      <c r="G1150" s="100"/>
      <c r="H1150" s="100">
        <v>37</v>
      </c>
      <c r="I1150" s="101">
        <v>87</v>
      </c>
      <c r="J1150" s="100">
        <v>9</v>
      </c>
      <c r="K1150" s="100">
        <v>142</v>
      </c>
      <c r="L1150" s="100">
        <v>162</v>
      </c>
      <c r="M1150" s="100">
        <v>85</v>
      </c>
      <c r="N1150" s="100"/>
      <c r="O1150" s="100">
        <v>3</v>
      </c>
      <c r="P1150" s="100">
        <v>4</v>
      </c>
      <c r="Q1150" s="271">
        <v>43.012999999999998</v>
      </c>
      <c r="R1150" s="100"/>
      <c r="S1150" s="100">
        <v>125</v>
      </c>
      <c r="T1150" s="100">
        <v>5</v>
      </c>
      <c r="U1150" s="100">
        <v>18</v>
      </c>
      <c r="V1150" s="666">
        <v>82.327678571428564</v>
      </c>
      <c r="W1150" s="97"/>
      <c r="X1150" s="97">
        <f>+ROUNDUP(AC1150/1000,0)</f>
        <v>18</v>
      </c>
      <c r="Y1150" s="97"/>
      <c r="AC1150" s="100">
        <v>17078.395624430264</v>
      </c>
    </row>
    <row r="1151" spans="1:29" ht="15.95" customHeight="1" x14ac:dyDescent="0.2">
      <c r="A1151" s="665"/>
      <c r="B1151" s="43"/>
      <c r="C1151" s="149" t="s">
        <v>290</v>
      </c>
      <c r="D1151" s="303">
        <v>494</v>
      </c>
      <c r="E1151" s="100"/>
      <c r="F1151" s="101">
        <v>124.75701480000001</v>
      </c>
      <c r="G1151" s="100"/>
      <c r="H1151" s="100">
        <v>37</v>
      </c>
      <c r="I1151" s="101">
        <v>87</v>
      </c>
      <c r="J1151" s="100">
        <v>9</v>
      </c>
      <c r="K1151" s="100">
        <v>142</v>
      </c>
      <c r="L1151" s="100">
        <v>162</v>
      </c>
      <c r="M1151" s="100">
        <v>85</v>
      </c>
      <c r="N1151" s="100"/>
      <c r="O1151" s="100">
        <v>0</v>
      </c>
      <c r="P1151" s="100">
        <v>0</v>
      </c>
      <c r="Q1151" s="271">
        <v>43.012999999999998</v>
      </c>
      <c r="R1151" s="100"/>
      <c r="S1151" s="100">
        <v>125</v>
      </c>
      <c r="T1151" s="100">
        <v>5</v>
      </c>
      <c r="U1151" s="100">
        <v>18</v>
      </c>
      <c r="V1151" s="666">
        <v>82.142857142857139</v>
      </c>
      <c r="W1151" s="97"/>
      <c r="X1151" s="97">
        <f>+ROUNDUP(AC1151/1000,0)</f>
        <v>18</v>
      </c>
      <c r="Y1151" s="97"/>
      <c r="AC1151" s="100">
        <v>17078.395624430264</v>
      </c>
    </row>
    <row r="1152" spans="1:29" ht="15.95" customHeight="1" x14ac:dyDescent="0.2">
      <c r="A1152" s="667"/>
      <c r="B1152" s="44"/>
      <c r="C1152" s="150" t="s">
        <v>291</v>
      </c>
      <c r="D1152" s="304"/>
      <c r="E1152" s="103"/>
      <c r="F1152" s="104">
        <v>0</v>
      </c>
      <c r="G1152" s="103"/>
      <c r="H1152" s="103">
        <v>0</v>
      </c>
      <c r="I1152" s="104"/>
      <c r="J1152" s="103">
        <v>0</v>
      </c>
      <c r="K1152" s="103"/>
      <c r="L1152" s="103"/>
      <c r="M1152" s="103">
        <v>0</v>
      </c>
      <c r="N1152" s="103"/>
      <c r="O1152" s="103">
        <v>0</v>
      </c>
      <c r="P1152" s="103">
        <v>0</v>
      </c>
      <c r="Q1152" s="272"/>
      <c r="R1152" s="103"/>
      <c r="S1152" s="103">
        <v>0</v>
      </c>
      <c r="T1152" s="103">
        <v>0</v>
      </c>
      <c r="U1152" s="103">
        <v>0</v>
      </c>
      <c r="V1152" s="668">
        <v>0</v>
      </c>
      <c r="W1152" s="97"/>
      <c r="X1152" s="97">
        <f t="shared" si="17"/>
        <v>0</v>
      </c>
      <c r="Y1152" s="97"/>
      <c r="AC1152" s="103">
        <v>0</v>
      </c>
    </row>
    <row r="1153" spans="1:29" ht="15.95" customHeight="1" x14ac:dyDescent="0.2">
      <c r="A1153" s="665"/>
      <c r="B1153" s="42">
        <v>2009</v>
      </c>
      <c r="C1153" s="149" t="s">
        <v>412</v>
      </c>
      <c r="D1153" s="303">
        <v>658</v>
      </c>
      <c r="E1153" s="100">
        <v>3</v>
      </c>
      <c r="F1153" s="101">
        <v>126.75701480000001</v>
      </c>
      <c r="G1153" s="100"/>
      <c r="H1153" s="100">
        <v>42</v>
      </c>
      <c r="I1153" s="101">
        <v>87</v>
      </c>
      <c r="J1153" s="100">
        <v>8</v>
      </c>
      <c r="K1153" s="100">
        <v>142</v>
      </c>
      <c r="L1153" s="100">
        <f>324-L1150</f>
        <v>162</v>
      </c>
      <c r="M1153" s="100">
        <v>85</v>
      </c>
      <c r="N1153" s="100"/>
      <c r="O1153" s="100">
        <v>3</v>
      </c>
      <c r="P1153" s="100">
        <v>4</v>
      </c>
      <c r="Q1153" s="102">
        <v>40.770000000000003</v>
      </c>
      <c r="R1153" s="100"/>
      <c r="S1153" s="100">
        <v>125</v>
      </c>
      <c r="T1153" s="100">
        <v>6</v>
      </c>
      <c r="U1153" s="100">
        <v>19</v>
      </c>
      <c r="V1153" s="666">
        <v>87</v>
      </c>
      <c r="W1153" s="100"/>
      <c r="X1153" s="97">
        <f t="shared" si="17"/>
        <v>19</v>
      </c>
      <c r="Y1153" s="97"/>
      <c r="AC1153" s="100">
        <v>18716.283716283717</v>
      </c>
    </row>
    <row r="1154" spans="1:29" ht="15.95" customHeight="1" x14ac:dyDescent="0.2">
      <c r="A1154" s="665"/>
      <c r="B1154" s="43"/>
      <c r="C1154" s="149" t="s">
        <v>413</v>
      </c>
      <c r="D1154" s="303">
        <v>658</v>
      </c>
      <c r="E1154" s="100">
        <v>0</v>
      </c>
      <c r="F1154" s="101">
        <v>126.75701480000001</v>
      </c>
      <c r="G1154" s="100"/>
      <c r="H1154" s="100">
        <v>0</v>
      </c>
      <c r="I1154" s="101">
        <v>87</v>
      </c>
      <c r="J1154" s="100">
        <v>8</v>
      </c>
      <c r="K1154" s="100">
        <v>142</v>
      </c>
      <c r="L1154" s="100">
        <v>162</v>
      </c>
      <c r="M1154" s="100">
        <v>85</v>
      </c>
      <c r="N1154" s="100"/>
      <c r="O1154" s="100">
        <v>3</v>
      </c>
      <c r="P1154" s="100">
        <v>4</v>
      </c>
      <c r="Q1154" s="102">
        <v>40.770000000000003</v>
      </c>
      <c r="R1154" s="100"/>
      <c r="S1154" s="100">
        <v>125</v>
      </c>
      <c r="T1154" s="100">
        <v>6</v>
      </c>
      <c r="U1154" s="100">
        <v>19</v>
      </c>
      <c r="V1154" s="666">
        <v>87</v>
      </c>
      <c r="W1154" s="97"/>
      <c r="X1154" s="97">
        <f t="shared" si="17"/>
        <v>19</v>
      </c>
      <c r="Y1154" s="97"/>
      <c r="AC1154" s="100">
        <v>18716.283716283717</v>
      </c>
    </row>
    <row r="1155" spans="1:29" ht="15.95" customHeight="1" thickBot="1" x14ac:dyDescent="0.25">
      <c r="A1155" s="669"/>
      <c r="B1155" s="45"/>
      <c r="C1155" s="151" t="s">
        <v>414</v>
      </c>
      <c r="D1155" s="305"/>
      <c r="E1155" s="105">
        <v>0</v>
      </c>
      <c r="F1155" s="106">
        <v>2</v>
      </c>
      <c r="G1155" s="105"/>
      <c r="H1155" s="105">
        <v>0</v>
      </c>
      <c r="I1155" s="106"/>
      <c r="J1155" s="105">
        <v>0</v>
      </c>
      <c r="K1155" s="105"/>
      <c r="L1155" s="105"/>
      <c r="M1155" s="105">
        <v>0</v>
      </c>
      <c r="N1155" s="105"/>
      <c r="O1155" s="105">
        <v>4</v>
      </c>
      <c r="P1155" s="105">
        <v>4</v>
      </c>
      <c r="Q1155" s="273"/>
      <c r="R1155" s="105"/>
      <c r="S1155" s="105">
        <v>0</v>
      </c>
      <c r="T1155" s="105">
        <v>0</v>
      </c>
      <c r="U1155" s="105">
        <v>0</v>
      </c>
      <c r="V1155" s="670">
        <v>0</v>
      </c>
      <c r="W1155" s="97"/>
      <c r="X1155" s="97">
        <f t="shared" si="17"/>
        <v>0</v>
      </c>
      <c r="Y1155" s="97">
        <f>+IF((AC1155-ROUND(AC1155,-3)&gt;400)*AND(AC1155-ROUND(AC1155,-3)&lt;500),1,0)</f>
        <v>0</v>
      </c>
      <c r="AC1155" s="105">
        <v>0</v>
      </c>
    </row>
    <row r="1156" spans="1:29" ht="15.95" customHeight="1" thickTop="1" x14ac:dyDescent="0.2">
      <c r="A1156" s="665" t="s">
        <v>271</v>
      </c>
      <c r="B1156" s="42">
        <v>2008</v>
      </c>
      <c r="C1156" s="148" t="s">
        <v>289</v>
      </c>
      <c r="D1156" s="303">
        <v>567</v>
      </c>
      <c r="E1156" s="100">
        <v>38</v>
      </c>
      <c r="F1156" s="101">
        <v>145.53583079999999</v>
      </c>
      <c r="G1156" s="100">
        <v>94.090128755364816</v>
      </c>
      <c r="H1156" s="100">
        <v>37</v>
      </c>
      <c r="I1156" s="101">
        <v>100</v>
      </c>
      <c r="J1156" s="100">
        <v>15</v>
      </c>
      <c r="K1156" s="100">
        <v>142</v>
      </c>
      <c r="L1156" s="100"/>
      <c r="M1156" s="100">
        <v>98</v>
      </c>
      <c r="N1156" s="100"/>
      <c r="O1156" s="100">
        <v>4</v>
      </c>
      <c r="P1156" s="100">
        <v>5</v>
      </c>
      <c r="Q1156" s="271">
        <v>48.673000000000002</v>
      </c>
      <c r="R1156" s="100">
        <v>84</v>
      </c>
      <c r="S1156" s="100">
        <v>144</v>
      </c>
      <c r="T1156" s="100">
        <v>5</v>
      </c>
      <c r="U1156" s="100">
        <v>18</v>
      </c>
      <c r="V1156" s="666">
        <v>199.50624999999999</v>
      </c>
      <c r="W1156" s="97"/>
      <c r="X1156" s="97">
        <f>+ROUNDUP(AC1156/1000,0)</f>
        <v>18</v>
      </c>
      <c r="Y1156" s="97"/>
      <c r="AC1156" s="100">
        <v>17078.395624430264</v>
      </c>
    </row>
    <row r="1157" spans="1:29" ht="15.95" customHeight="1" x14ac:dyDescent="0.2">
      <c r="A1157" s="665"/>
      <c r="B1157" s="43"/>
      <c r="C1157" s="149" t="s">
        <v>290</v>
      </c>
      <c r="D1157" s="303">
        <v>567</v>
      </c>
      <c r="E1157" s="100">
        <v>38</v>
      </c>
      <c r="F1157" s="101">
        <v>144.69177400000001</v>
      </c>
      <c r="G1157" s="100">
        <v>92.33190271816882</v>
      </c>
      <c r="H1157" s="100">
        <v>37</v>
      </c>
      <c r="I1157" s="101">
        <v>100</v>
      </c>
      <c r="J1157" s="100">
        <v>15</v>
      </c>
      <c r="K1157" s="100">
        <v>142</v>
      </c>
      <c r="L1157" s="100"/>
      <c r="M1157" s="100">
        <v>86</v>
      </c>
      <c r="N1157" s="100">
        <v>200</v>
      </c>
      <c r="O1157" s="100">
        <v>0</v>
      </c>
      <c r="P1157" s="100">
        <v>5</v>
      </c>
      <c r="Q1157" s="271">
        <v>47.868000000000002</v>
      </c>
      <c r="R1157" s="100">
        <v>81</v>
      </c>
      <c r="S1157" s="100">
        <v>144</v>
      </c>
      <c r="T1157" s="100">
        <v>1</v>
      </c>
      <c r="U1157" s="100">
        <v>18</v>
      </c>
      <c r="V1157" s="666">
        <v>189.28571428571428</v>
      </c>
      <c r="W1157" s="97"/>
      <c r="X1157" s="97">
        <f>+ROUNDUP(AC1157/1000,0)</f>
        <v>18</v>
      </c>
      <c r="Y1157" s="97"/>
      <c r="AC1157" s="100">
        <v>17078.395624430264</v>
      </c>
    </row>
    <row r="1158" spans="1:29" ht="15.95" customHeight="1" x14ac:dyDescent="0.2">
      <c r="A1158" s="667"/>
      <c r="B1158" s="44"/>
      <c r="C1158" s="150" t="s">
        <v>291</v>
      </c>
      <c r="D1158" s="304"/>
      <c r="E1158" s="103">
        <v>23</v>
      </c>
      <c r="F1158" s="104">
        <v>0.84457360000000004</v>
      </c>
      <c r="G1158" s="103">
        <v>0</v>
      </c>
      <c r="H1158" s="103">
        <v>0</v>
      </c>
      <c r="I1158" s="104"/>
      <c r="J1158" s="103">
        <v>0</v>
      </c>
      <c r="K1158" s="103"/>
      <c r="L1158" s="103"/>
      <c r="M1158" s="103">
        <v>201</v>
      </c>
      <c r="N1158" s="103"/>
      <c r="O1158" s="103">
        <v>0</v>
      </c>
      <c r="P1158" s="103">
        <v>0</v>
      </c>
      <c r="Q1158" s="272">
        <v>10.848000000000001</v>
      </c>
      <c r="R1158" s="103">
        <v>0</v>
      </c>
      <c r="S1158" s="103">
        <v>51</v>
      </c>
      <c r="T1158" s="103">
        <v>0</v>
      </c>
      <c r="U1158" s="103">
        <v>0</v>
      </c>
      <c r="V1158" s="668">
        <v>0</v>
      </c>
      <c r="W1158" s="97"/>
      <c r="X1158" s="97">
        <f t="shared" ref="X1158:X1220" si="19">+ROUND(AC1158/1000,0)</f>
        <v>0</v>
      </c>
      <c r="Y1158" s="97"/>
      <c r="AC1158" s="103">
        <v>0</v>
      </c>
    </row>
    <row r="1159" spans="1:29" ht="15.95" customHeight="1" x14ac:dyDescent="0.2">
      <c r="A1159" s="665"/>
      <c r="B1159" s="42">
        <v>2009</v>
      </c>
      <c r="C1159" s="149" t="s">
        <v>412</v>
      </c>
      <c r="D1159" s="303">
        <v>755</v>
      </c>
      <c r="E1159" s="100">
        <v>35</v>
      </c>
      <c r="F1159" s="101">
        <v>145.53583079999999</v>
      </c>
      <c r="G1159" s="100">
        <v>99.360750360750373</v>
      </c>
      <c r="H1159" s="100">
        <v>42</v>
      </c>
      <c r="I1159" s="101">
        <v>100</v>
      </c>
      <c r="J1159" s="100">
        <v>12</v>
      </c>
      <c r="K1159" s="100">
        <v>142</v>
      </c>
      <c r="L1159" s="100"/>
      <c r="M1159" s="100">
        <v>98</v>
      </c>
      <c r="N1159" s="100"/>
      <c r="O1159" s="100">
        <v>4</v>
      </c>
      <c r="P1159" s="100">
        <v>5</v>
      </c>
      <c r="Q1159" s="102">
        <v>46.134999999999998</v>
      </c>
      <c r="R1159" s="100">
        <v>86</v>
      </c>
      <c r="S1159" s="100">
        <v>144</v>
      </c>
      <c r="T1159" s="100">
        <v>6</v>
      </c>
      <c r="U1159" s="100">
        <v>19</v>
      </c>
      <c r="V1159" s="666">
        <v>198</v>
      </c>
      <c r="W1159" s="100"/>
      <c r="X1159" s="97">
        <f t="shared" si="19"/>
        <v>19</v>
      </c>
      <c r="Y1159" s="97"/>
      <c r="AC1159" s="100">
        <v>18716.283716283717</v>
      </c>
    </row>
    <row r="1160" spans="1:29" ht="15.95" customHeight="1" x14ac:dyDescent="0.2">
      <c r="A1160" s="665"/>
      <c r="B1160" s="43"/>
      <c r="C1160" s="149" t="s">
        <v>413</v>
      </c>
      <c r="D1160" s="303"/>
      <c r="E1160" s="100">
        <v>35</v>
      </c>
      <c r="F1160" s="101">
        <v>145.53583079999999</v>
      </c>
      <c r="G1160" s="100">
        <v>99.360750360750373</v>
      </c>
      <c r="H1160" s="100">
        <v>42</v>
      </c>
      <c r="I1160" s="101">
        <v>100</v>
      </c>
      <c r="J1160" s="100">
        <v>12</v>
      </c>
      <c r="K1160" s="100">
        <v>142</v>
      </c>
      <c r="L1160" s="100"/>
      <c r="M1160" s="100">
        <v>78</v>
      </c>
      <c r="N1160" s="100"/>
      <c r="O1160" s="100">
        <v>4</v>
      </c>
      <c r="P1160" s="100">
        <v>5</v>
      </c>
      <c r="Q1160" s="102">
        <v>46.134999999999998</v>
      </c>
      <c r="R1160" s="100">
        <v>86</v>
      </c>
      <c r="S1160" s="100">
        <v>144</v>
      </c>
      <c r="T1160" s="100">
        <v>2</v>
      </c>
      <c r="U1160" s="100">
        <v>19</v>
      </c>
      <c r="V1160" s="666">
        <v>198</v>
      </c>
      <c r="W1160" s="97"/>
      <c r="X1160" s="97">
        <f t="shared" si="19"/>
        <v>19</v>
      </c>
      <c r="Y1160" s="97"/>
      <c r="AC1160" s="100">
        <v>18716.283716283717</v>
      </c>
    </row>
    <row r="1161" spans="1:29" ht="15.95" customHeight="1" thickBot="1" x14ac:dyDescent="0.25">
      <c r="A1161" s="669"/>
      <c r="B1161" s="45"/>
      <c r="C1161" s="151" t="s">
        <v>414</v>
      </c>
      <c r="D1161" s="305"/>
      <c r="E1161" s="105">
        <v>0</v>
      </c>
      <c r="F1161" s="106">
        <v>0</v>
      </c>
      <c r="G1161" s="105">
        <v>0</v>
      </c>
      <c r="H1161" s="105">
        <v>0</v>
      </c>
      <c r="I1161" s="106"/>
      <c r="J1161" s="105">
        <v>0</v>
      </c>
      <c r="K1161" s="105"/>
      <c r="L1161" s="105"/>
      <c r="M1161" s="105">
        <v>12</v>
      </c>
      <c r="N1161" s="105"/>
      <c r="O1161" s="105">
        <v>7</v>
      </c>
      <c r="P1161" s="105">
        <v>0</v>
      </c>
      <c r="Q1161" s="273">
        <v>0.76300000000000001</v>
      </c>
      <c r="R1161" s="105">
        <v>4</v>
      </c>
      <c r="S1161" s="105">
        <v>0</v>
      </c>
      <c r="T1161" s="105">
        <v>3</v>
      </c>
      <c r="U1161" s="105">
        <v>0</v>
      </c>
      <c r="V1161" s="670">
        <v>10</v>
      </c>
      <c r="W1161" s="97"/>
      <c r="X1161" s="97">
        <f t="shared" si="19"/>
        <v>0</v>
      </c>
      <c r="Y1161" s="97">
        <f>+IF((AC1161-ROUND(AC1161,-3)&gt;400)*AND(AC1161-ROUND(AC1161,-3)&lt;500),1,0)</f>
        <v>0</v>
      </c>
      <c r="AC1161" s="105">
        <v>0</v>
      </c>
    </row>
    <row r="1162" spans="1:29" ht="15.95" customHeight="1" thickTop="1" x14ac:dyDescent="0.2">
      <c r="A1162" s="665" t="s">
        <v>272</v>
      </c>
      <c r="B1162" s="42">
        <v>2008</v>
      </c>
      <c r="C1162" s="148" t="s">
        <v>289</v>
      </c>
      <c r="D1162" s="303">
        <v>6969</v>
      </c>
      <c r="E1162" s="100">
        <v>454</v>
      </c>
      <c r="F1162" s="101">
        <v>1798.0716388000001</v>
      </c>
      <c r="G1162" s="100">
        <v>1179.9012875536482</v>
      </c>
      <c r="H1162" s="100">
        <v>267</v>
      </c>
      <c r="I1162" s="101">
        <v>1223</v>
      </c>
      <c r="J1162" s="100">
        <v>296</v>
      </c>
      <c r="K1162" s="100">
        <v>284</v>
      </c>
      <c r="L1162" s="100"/>
      <c r="M1162" s="100">
        <v>1202</v>
      </c>
      <c r="N1162" s="100"/>
      <c r="O1162" s="100"/>
      <c r="P1162" s="100">
        <v>59</v>
      </c>
      <c r="Q1162" s="271">
        <v>599.928</v>
      </c>
      <c r="R1162" s="100">
        <v>221</v>
      </c>
      <c r="S1162" s="100">
        <v>1767</v>
      </c>
      <c r="T1162" s="100">
        <v>87</v>
      </c>
      <c r="U1162" s="100">
        <v>211</v>
      </c>
      <c r="V1162" s="666">
        <v>1251.8571428571427</v>
      </c>
      <c r="W1162" s="97"/>
      <c r="X1162" s="97">
        <f t="shared" si="19"/>
        <v>211</v>
      </c>
      <c r="Y1162" s="97"/>
      <c r="AC1162" s="100">
        <v>210633.54603463993</v>
      </c>
    </row>
    <row r="1163" spans="1:29" ht="15.95" customHeight="1" x14ac:dyDescent="0.2">
      <c r="A1163" s="665"/>
      <c r="B1163" s="43"/>
      <c r="C1163" s="149" t="s">
        <v>290</v>
      </c>
      <c r="D1163" s="303">
        <v>6969</v>
      </c>
      <c r="E1163" s="100">
        <v>454</v>
      </c>
      <c r="F1163" s="101">
        <v>1798.0716388000001</v>
      </c>
      <c r="G1163" s="100">
        <v>1155.4992846924179</v>
      </c>
      <c r="H1163" s="100">
        <v>267</v>
      </c>
      <c r="I1163" s="101">
        <v>1223</v>
      </c>
      <c r="J1163" s="100">
        <v>296</v>
      </c>
      <c r="K1163" s="100">
        <v>284</v>
      </c>
      <c r="L1163" s="100"/>
      <c r="M1163" s="100">
        <v>1202</v>
      </c>
      <c r="N1163" s="100">
        <v>400</v>
      </c>
      <c r="O1163" s="100"/>
      <c r="P1163" s="100">
        <v>59</v>
      </c>
      <c r="Q1163" s="271">
        <v>599.928</v>
      </c>
      <c r="R1163" s="100">
        <v>221</v>
      </c>
      <c r="S1163" s="100">
        <v>1767</v>
      </c>
      <c r="T1163" s="100">
        <v>87</v>
      </c>
      <c r="U1163" s="100">
        <v>211</v>
      </c>
      <c r="V1163" s="666">
        <v>1251.7857142857142</v>
      </c>
      <c r="W1163" s="97"/>
      <c r="X1163" s="97">
        <f t="shared" si="19"/>
        <v>211</v>
      </c>
      <c r="Y1163" s="97"/>
      <c r="AC1163" s="100">
        <v>210633.54603463993</v>
      </c>
    </row>
    <row r="1164" spans="1:29" ht="15.95" customHeight="1" x14ac:dyDescent="0.2">
      <c r="A1164" s="667"/>
      <c r="B1164" s="44"/>
      <c r="C1164" s="150" t="s">
        <v>291</v>
      </c>
      <c r="D1164" s="304"/>
      <c r="E1164" s="103">
        <v>0</v>
      </c>
      <c r="F1164" s="104">
        <v>0</v>
      </c>
      <c r="G1164" s="103">
        <v>0</v>
      </c>
      <c r="H1164" s="103">
        <v>0</v>
      </c>
      <c r="I1164" s="104"/>
      <c r="J1164" s="103">
        <v>0</v>
      </c>
      <c r="K1164" s="103"/>
      <c r="L1164" s="103"/>
      <c r="M1164" s="103">
        <v>0</v>
      </c>
      <c r="N1164" s="103"/>
      <c r="O1164" s="103"/>
      <c r="P1164" s="103">
        <v>0</v>
      </c>
      <c r="Q1164" s="272"/>
      <c r="R1164" s="103">
        <v>0</v>
      </c>
      <c r="S1164" s="103">
        <v>0</v>
      </c>
      <c r="T1164" s="103">
        <v>0</v>
      </c>
      <c r="U1164" s="103">
        <v>0</v>
      </c>
      <c r="V1164" s="668">
        <v>0</v>
      </c>
      <c r="W1164" s="97"/>
      <c r="X1164" s="97">
        <f t="shared" si="19"/>
        <v>0</v>
      </c>
      <c r="Y1164" s="97"/>
      <c r="AC1164" s="103">
        <v>0</v>
      </c>
    </row>
    <row r="1165" spans="1:29" ht="15.95" customHeight="1" x14ac:dyDescent="0.2">
      <c r="A1165" s="665"/>
      <c r="B1165" s="42">
        <v>2009</v>
      </c>
      <c r="C1165" s="149" t="s">
        <v>412</v>
      </c>
      <c r="D1165" s="303">
        <v>9282</v>
      </c>
      <c r="E1165" s="100">
        <v>443</v>
      </c>
      <c r="F1165" s="101">
        <v>1798.0716388000001</v>
      </c>
      <c r="G1165" s="100">
        <v>1205.0519480519481</v>
      </c>
      <c r="H1165" s="100">
        <v>306</v>
      </c>
      <c r="I1165" s="101">
        <v>1223</v>
      </c>
      <c r="J1165" s="100">
        <v>256</v>
      </c>
      <c r="K1165" s="100">
        <v>284</v>
      </c>
      <c r="L1165" s="100"/>
      <c r="M1165" s="100">
        <v>1202</v>
      </c>
      <c r="N1165" s="100"/>
      <c r="O1165" s="100"/>
      <c r="P1165" s="100">
        <v>59</v>
      </c>
      <c r="Q1165" s="102">
        <v>568.63800000000003</v>
      </c>
      <c r="R1165" s="100">
        <v>240</v>
      </c>
      <c r="S1165" s="100">
        <v>1767</v>
      </c>
      <c r="T1165" s="100">
        <v>89</v>
      </c>
      <c r="U1165" s="100">
        <v>232</v>
      </c>
      <c r="V1165" s="666">
        <v>1379</v>
      </c>
      <c r="W1165" s="100"/>
      <c r="X1165" s="97">
        <f>+ROUNDUP(AC1165/1000+0.5,0)</f>
        <v>232</v>
      </c>
      <c r="Y1165" s="97"/>
      <c r="AC1165" s="100">
        <v>230834.16583416585</v>
      </c>
    </row>
    <row r="1166" spans="1:29" ht="15.95" customHeight="1" x14ac:dyDescent="0.2">
      <c r="A1166" s="665"/>
      <c r="B1166" s="43"/>
      <c r="C1166" s="149" t="s">
        <v>413</v>
      </c>
      <c r="D1166" s="303">
        <v>9282</v>
      </c>
      <c r="E1166" s="100">
        <v>443</v>
      </c>
      <c r="F1166" s="101">
        <v>1798.0716388000001</v>
      </c>
      <c r="G1166" s="100">
        <v>1158.3780663780665</v>
      </c>
      <c r="H1166" s="100">
        <v>306</v>
      </c>
      <c r="I1166" s="101">
        <v>1223</v>
      </c>
      <c r="J1166" s="100">
        <v>256</v>
      </c>
      <c r="K1166" s="100">
        <v>284</v>
      </c>
      <c r="L1166" s="100"/>
      <c r="M1166" s="100">
        <v>1202</v>
      </c>
      <c r="N1166" s="100">
        <v>200</v>
      </c>
      <c r="O1166" s="100"/>
      <c r="P1166" s="100">
        <v>59</v>
      </c>
      <c r="Q1166" s="102">
        <v>568.63800000000003</v>
      </c>
      <c r="R1166" s="100">
        <v>240</v>
      </c>
      <c r="S1166" s="100">
        <v>1767</v>
      </c>
      <c r="T1166" s="100">
        <v>89</v>
      </c>
      <c r="U1166" s="100">
        <v>232</v>
      </c>
      <c r="V1166" s="666">
        <v>1374</v>
      </c>
      <c r="W1166" s="97"/>
      <c r="X1166" s="97">
        <f>+ROUNDUP(AC1166/1000+0.5,0)</f>
        <v>232</v>
      </c>
      <c r="Y1166" s="97"/>
      <c r="AC1166" s="100">
        <v>230834.16583416585</v>
      </c>
    </row>
    <row r="1167" spans="1:29" ht="15.95" customHeight="1" thickBot="1" x14ac:dyDescent="0.25">
      <c r="A1167" s="669"/>
      <c r="B1167" s="45"/>
      <c r="C1167" s="151" t="s">
        <v>414</v>
      </c>
      <c r="D1167" s="305"/>
      <c r="E1167" s="105">
        <v>0</v>
      </c>
      <c r="F1167" s="106">
        <v>0</v>
      </c>
      <c r="G1167" s="105">
        <v>0</v>
      </c>
      <c r="H1167" s="105">
        <v>0</v>
      </c>
      <c r="I1167" s="106"/>
      <c r="J1167" s="105">
        <v>0</v>
      </c>
      <c r="K1167" s="105"/>
      <c r="L1167" s="105"/>
      <c r="M1167" s="105">
        <v>0</v>
      </c>
      <c r="N1167" s="105"/>
      <c r="O1167" s="105"/>
      <c r="P1167" s="105">
        <v>0</v>
      </c>
      <c r="Q1167" s="273"/>
      <c r="R1167" s="105">
        <v>0</v>
      </c>
      <c r="S1167" s="105">
        <v>0</v>
      </c>
      <c r="T1167" s="105">
        <v>0</v>
      </c>
      <c r="U1167" s="105">
        <v>0</v>
      </c>
      <c r="V1167" s="670">
        <v>0</v>
      </c>
      <c r="W1167" s="97"/>
      <c r="X1167" s="97">
        <f t="shared" si="19"/>
        <v>0</v>
      </c>
      <c r="Y1167" s="97">
        <f>+IF((AC1167-ROUND(AC1167,-3)&gt;400)*AND(AC1167-ROUND(AC1167,-3)&lt;500),1,0)</f>
        <v>0</v>
      </c>
      <c r="AC1167" s="105">
        <v>0</v>
      </c>
    </row>
    <row r="1168" spans="1:29" ht="15.95" customHeight="1" thickTop="1" x14ac:dyDescent="0.2">
      <c r="A1168" s="665" t="s">
        <v>273</v>
      </c>
      <c r="B1168" s="42">
        <v>2008</v>
      </c>
      <c r="C1168" s="148" t="s">
        <v>289</v>
      </c>
      <c r="D1168" s="303">
        <v>110</v>
      </c>
      <c r="E1168" s="100">
        <v>7</v>
      </c>
      <c r="F1168" s="101">
        <v>28.168224000000002</v>
      </c>
      <c r="G1168" s="100"/>
      <c r="H1168" s="100">
        <v>37</v>
      </c>
      <c r="I1168" s="101">
        <v>19</v>
      </c>
      <c r="J1168" s="100">
        <v>9</v>
      </c>
      <c r="K1168" s="100">
        <v>71</v>
      </c>
      <c r="L1168" s="100"/>
      <c r="M1168" s="100">
        <v>19</v>
      </c>
      <c r="N1168" s="100"/>
      <c r="O1168" s="100">
        <v>1</v>
      </c>
      <c r="P1168" s="100">
        <v>1</v>
      </c>
      <c r="Q1168" s="271">
        <v>9.0559999999999992</v>
      </c>
      <c r="R1168" s="100">
        <v>42</v>
      </c>
      <c r="S1168" s="100">
        <v>28</v>
      </c>
      <c r="T1168" s="100">
        <v>11</v>
      </c>
      <c r="U1168" s="100">
        <v>11</v>
      </c>
      <c r="V1168" s="666"/>
      <c r="W1168" s="97"/>
      <c r="X1168" s="97">
        <f t="shared" si="19"/>
        <v>11</v>
      </c>
      <c r="Y1168" s="97"/>
      <c r="AC1168" s="100">
        <v>11385.597082953509</v>
      </c>
    </row>
    <row r="1169" spans="1:29" ht="15.95" customHeight="1" x14ac:dyDescent="0.2">
      <c r="A1169" s="665"/>
      <c r="B1169" s="43"/>
      <c r="C1169" s="149" t="s">
        <v>290</v>
      </c>
      <c r="D1169" s="303">
        <v>110</v>
      </c>
      <c r="E1169" s="100">
        <v>7</v>
      </c>
      <c r="F1169" s="101">
        <v>0</v>
      </c>
      <c r="G1169" s="100"/>
      <c r="H1169" s="100">
        <v>0</v>
      </c>
      <c r="I1169" s="101"/>
      <c r="J1169" s="100">
        <v>0</v>
      </c>
      <c r="K1169" s="100"/>
      <c r="L1169" s="100"/>
      <c r="M1169" s="100">
        <v>19</v>
      </c>
      <c r="N1169" s="100"/>
      <c r="O1169" s="100">
        <v>0</v>
      </c>
      <c r="P1169" s="100">
        <v>0</v>
      </c>
      <c r="Q1169" s="271"/>
      <c r="R1169" s="100">
        <v>0</v>
      </c>
      <c r="S1169" s="100">
        <v>28</v>
      </c>
      <c r="T1169" s="100">
        <v>11</v>
      </c>
      <c r="U1169" s="100">
        <v>11</v>
      </c>
      <c r="V1169" s="666"/>
      <c r="W1169" s="97"/>
      <c r="X1169" s="97">
        <f t="shared" si="19"/>
        <v>11</v>
      </c>
      <c r="Y1169" s="97"/>
      <c r="AC1169" s="100">
        <v>11385.597082953509</v>
      </c>
    </row>
    <row r="1170" spans="1:29" ht="15.95" customHeight="1" x14ac:dyDescent="0.2">
      <c r="A1170" s="667"/>
      <c r="B1170" s="44"/>
      <c r="C1170" s="150" t="s">
        <v>291</v>
      </c>
      <c r="D1170" s="304"/>
      <c r="E1170" s="103">
        <v>0</v>
      </c>
      <c r="F1170" s="104">
        <v>0</v>
      </c>
      <c r="G1170" s="103"/>
      <c r="H1170" s="103">
        <v>0</v>
      </c>
      <c r="I1170" s="104"/>
      <c r="J1170" s="103">
        <v>0</v>
      </c>
      <c r="K1170" s="103"/>
      <c r="L1170" s="103"/>
      <c r="M1170" s="103">
        <v>138</v>
      </c>
      <c r="N1170" s="103"/>
      <c r="O1170" s="103">
        <v>1</v>
      </c>
      <c r="P1170" s="103">
        <v>2</v>
      </c>
      <c r="Q1170" s="272"/>
      <c r="R1170" s="103">
        <v>0</v>
      </c>
      <c r="S1170" s="103">
        <v>130</v>
      </c>
      <c r="T1170" s="103">
        <v>0</v>
      </c>
      <c r="U1170" s="103">
        <v>0</v>
      </c>
      <c r="V1170" s="668"/>
      <c r="W1170" s="97"/>
      <c r="X1170" s="97">
        <f t="shared" si="19"/>
        <v>0</v>
      </c>
      <c r="Y1170" s="97"/>
      <c r="AC1170" s="103">
        <v>0</v>
      </c>
    </row>
    <row r="1171" spans="1:29" ht="15.95" customHeight="1" x14ac:dyDescent="0.2">
      <c r="A1171" s="665"/>
      <c r="B1171" s="42">
        <v>2009</v>
      </c>
      <c r="C1171" s="149" t="s">
        <v>412</v>
      </c>
      <c r="D1171" s="303">
        <v>146</v>
      </c>
      <c r="E1171" s="100">
        <v>7</v>
      </c>
      <c r="F1171" s="101">
        <v>28.168224000000002</v>
      </c>
      <c r="G1171" s="100"/>
      <c r="H1171" s="100">
        <v>42</v>
      </c>
      <c r="I1171" s="101">
        <v>19</v>
      </c>
      <c r="J1171" s="100">
        <v>8</v>
      </c>
      <c r="K1171" s="100">
        <v>71</v>
      </c>
      <c r="L1171" s="100"/>
      <c r="M1171" s="100">
        <v>19</v>
      </c>
      <c r="N1171" s="100"/>
      <c r="O1171" s="100">
        <v>1</v>
      </c>
      <c r="P1171" s="100">
        <v>1</v>
      </c>
      <c r="Q1171" s="102">
        <v>8.5830000000000002</v>
      </c>
      <c r="R1171" s="100">
        <v>43</v>
      </c>
      <c r="S1171" s="100">
        <v>28</v>
      </c>
      <c r="T1171" s="100">
        <v>11</v>
      </c>
      <c r="U1171" s="100">
        <v>12</v>
      </c>
      <c r="V1171" s="666"/>
      <c r="W1171" s="100"/>
      <c r="X1171" s="97">
        <f t="shared" si="19"/>
        <v>12</v>
      </c>
      <c r="Y1171" s="97"/>
      <c r="AC1171" s="100">
        <v>12477.52247752248</v>
      </c>
    </row>
    <row r="1172" spans="1:29" ht="15.95" customHeight="1" x14ac:dyDescent="0.2">
      <c r="A1172" s="665"/>
      <c r="B1172" s="43"/>
      <c r="C1172" s="149" t="s">
        <v>413</v>
      </c>
      <c r="D1172" s="303">
        <v>146</v>
      </c>
      <c r="E1172" s="100">
        <v>7</v>
      </c>
      <c r="F1172" s="101">
        <v>0</v>
      </c>
      <c r="G1172" s="100"/>
      <c r="H1172" s="100">
        <v>0</v>
      </c>
      <c r="I1172" s="101"/>
      <c r="J1172" s="100">
        <v>8</v>
      </c>
      <c r="K1172" s="100"/>
      <c r="L1172" s="100"/>
      <c r="M1172" s="100">
        <v>19</v>
      </c>
      <c r="N1172" s="100"/>
      <c r="O1172" s="100">
        <v>0</v>
      </c>
      <c r="P1172" s="100">
        <v>0</v>
      </c>
      <c r="Q1172" s="271"/>
      <c r="R1172" s="100">
        <v>0</v>
      </c>
      <c r="S1172" s="100">
        <v>0</v>
      </c>
      <c r="T1172" s="100">
        <v>11</v>
      </c>
      <c r="U1172" s="100">
        <v>12</v>
      </c>
      <c r="V1172" s="666"/>
      <c r="W1172" s="97"/>
      <c r="X1172" s="97">
        <f t="shared" si="19"/>
        <v>12</v>
      </c>
      <c r="Y1172" s="97"/>
      <c r="AC1172" s="100">
        <v>12477.52247752248</v>
      </c>
    </row>
    <row r="1173" spans="1:29" ht="15.95" customHeight="1" thickBot="1" x14ac:dyDescent="0.25">
      <c r="A1173" s="669"/>
      <c r="B1173" s="45"/>
      <c r="C1173" s="151" t="s">
        <v>414</v>
      </c>
      <c r="D1173" s="305"/>
      <c r="E1173" s="105">
        <v>0</v>
      </c>
      <c r="F1173" s="106">
        <v>0</v>
      </c>
      <c r="G1173" s="105"/>
      <c r="H1173" s="105">
        <v>43</v>
      </c>
      <c r="I1173" s="106"/>
      <c r="J1173" s="105">
        <v>8</v>
      </c>
      <c r="K1173" s="105"/>
      <c r="L1173" s="105"/>
      <c r="M1173" s="105">
        <v>0</v>
      </c>
      <c r="N1173" s="105"/>
      <c r="O1173" s="105">
        <v>0</v>
      </c>
      <c r="P1173" s="105">
        <v>0</v>
      </c>
      <c r="Q1173" s="273"/>
      <c r="R1173" s="105">
        <v>0</v>
      </c>
      <c r="S1173" s="105">
        <v>0</v>
      </c>
      <c r="T1173" s="105">
        <v>0</v>
      </c>
      <c r="U1173" s="105">
        <v>0</v>
      </c>
      <c r="V1173" s="670"/>
      <c r="W1173" s="97"/>
      <c r="X1173" s="97">
        <f t="shared" si="19"/>
        <v>0</v>
      </c>
      <c r="Y1173" s="97">
        <f>+IF((AC1173-ROUND(AC1173,-3)&gt;400)*AND(AC1173-ROUND(AC1173,-3)&lt;500),1,0)</f>
        <v>0</v>
      </c>
      <c r="AC1173" s="105">
        <v>0</v>
      </c>
    </row>
    <row r="1174" spans="1:29" ht="15.95" customHeight="1" thickTop="1" x14ac:dyDescent="0.2">
      <c r="A1174" s="665" t="s">
        <v>274</v>
      </c>
      <c r="B1174" s="42">
        <v>2008</v>
      </c>
      <c r="C1174" s="148" t="s">
        <v>289</v>
      </c>
      <c r="D1174" s="303">
        <v>18</v>
      </c>
      <c r="E1174" s="100"/>
      <c r="F1174" s="101">
        <v>4.6946972000000002</v>
      </c>
      <c r="G1174" s="100"/>
      <c r="H1174" s="100"/>
      <c r="I1174" s="101">
        <v>0</v>
      </c>
      <c r="J1174" s="100">
        <v>36</v>
      </c>
      <c r="K1174" s="100">
        <v>18</v>
      </c>
      <c r="L1174" s="100"/>
      <c r="M1174" s="100">
        <v>3</v>
      </c>
      <c r="N1174" s="100"/>
      <c r="O1174" s="100">
        <v>0</v>
      </c>
      <c r="P1174" s="100">
        <v>0</v>
      </c>
      <c r="Q1174" s="271"/>
      <c r="R1174" s="100"/>
      <c r="S1174" s="100">
        <v>5</v>
      </c>
      <c r="T1174" s="100"/>
      <c r="U1174" s="100"/>
      <c r="V1174" s="666"/>
      <c r="W1174" s="97"/>
      <c r="X1174" s="97">
        <f t="shared" si="19"/>
        <v>0</v>
      </c>
      <c r="Y1174" s="97"/>
      <c r="AC1174" s="100"/>
    </row>
    <row r="1175" spans="1:29" ht="15.95" customHeight="1" x14ac:dyDescent="0.2">
      <c r="A1175" s="665"/>
      <c r="B1175" s="43"/>
      <c r="C1175" s="149" t="s">
        <v>290</v>
      </c>
      <c r="D1175" s="303">
        <v>18</v>
      </c>
      <c r="E1175" s="100"/>
      <c r="F1175" s="101">
        <v>4.6946972000000002</v>
      </c>
      <c r="G1175" s="100"/>
      <c r="H1175" s="100"/>
      <c r="I1175" s="101"/>
      <c r="J1175" s="100">
        <v>36</v>
      </c>
      <c r="K1175" s="100">
        <v>11</v>
      </c>
      <c r="L1175" s="100"/>
      <c r="M1175" s="100">
        <v>3</v>
      </c>
      <c r="N1175" s="100"/>
      <c r="O1175" s="100">
        <v>0</v>
      </c>
      <c r="P1175" s="100">
        <v>0</v>
      </c>
      <c r="Q1175" s="271"/>
      <c r="R1175" s="100"/>
      <c r="S1175" s="100">
        <v>5</v>
      </c>
      <c r="T1175" s="100"/>
      <c r="U1175" s="100"/>
      <c r="V1175" s="666"/>
      <c r="W1175" s="97"/>
      <c r="X1175" s="97">
        <f t="shared" si="19"/>
        <v>0</v>
      </c>
      <c r="Y1175" s="97"/>
      <c r="AC1175" s="100"/>
    </row>
    <row r="1176" spans="1:29" ht="15.95" customHeight="1" x14ac:dyDescent="0.2">
      <c r="A1176" s="667"/>
      <c r="B1176" s="44"/>
      <c r="C1176" s="150" t="s">
        <v>291</v>
      </c>
      <c r="D1176" s="304"/>
      <c r="E1176" s="103"/>
      <c r="F1176" s="104">
        <v>4.2121376000000001</v>
      </c>
      <c r="G1176" s="103"/>
      <c r="H1176" s="103"/>
      <c r="I1176" s="104"/>
      <c r="J1176" s="103">
        <v>0</v>
      </c>
      <c r="K1176" s="103"/>
      <c r="L1176" s="103"/>
      <c r="M1176" s="103">
        <v>0</v>
      </c>
      <c r="N1176" s="103"/>
      <c r="O1176" s="103">
        <v>0</v>
      </c>
      <c r="P1176" s="103">
        <v>0</v>
      </c>
      <c r="Q1176" s="272"/>
      <c r="R1176" s="103"/>
      <c r="S1176" s="103">
        <v>0</v>
      </c>
      <c r="T1176" s="103"/>
      <c r="U1176" s="103"/>
      <c r="V1176" s="668"/>
      <c r="W1176" s="97"/>
      <c r="X1176" s="97">
        <f t="shared" si="19"/>
        <v>0</v>
      </c>
      <c r="Y1176" s="97"/>
      <c r="AC1176" s="103"/>
    </row>
    <row r="1177" spans="1:29" ht="15.95" customHeight="1" x14ac:dyDescent="0.2">
      <c r="A1177" s="665"/>
      <c r="B1177" s="42">
        <v>2009</v>
      </c>
      <c r="C1177" s="149" t="s">
        <v>412</v>
      </c>
      <c r="D1177" s="303">
        <v>24</v>
      </c>
      <c r="E1177" s="100"/>
      <c r="F1177" s="101">
        <v>4.6946972000000002</v>
      </c>
      <c r="G1177" s="100"/>
      <c r="H1177" s="100"/>
      <c r="I1177" s="101">
        <v>5</v>
      </c>
      <c r="J1177" s="100">
        <v>57</v>
      </c>
      <c r="K1177" s="100">
        <v>18</v>
      </c>
      <c r="L1177" s="100"/>
      <c r="M1177" s="100">
        <v>3</v>
      </c>
      <c r="N1177" s="100"/>
      <c r="O1177" s="100">
        <v>0</v>
      </c>
      <c r="P1177" s="100">
        <v>0</v>
      </c>
      <c r="Q1177" s="271"/>
      <c r="R1177" s="100"/>
      <c r="S1177" s="100">
        <v>5</v>
      </c>
      <c r="T1177" s="100"/>
      <c r="U1177" s="100"/>
      <c r="V1177" s="666"/>
      <c r="W1177" s="100"/>
      <c r="X1177" s="97">
        <f t="shared" si="19"/>
        <v>0</v>
      </c>
      <c r="Y1177" s="97"/>
      <c r="AC1177" s="100"/>
    </row>
    <row r="1178" spans="1:29" ht="15.95" customHeight="1" x14ac:dyDescent="0.2">
      <c r="A1178" s="665"/>
      <c r="B1178" s="43"/>
      <c r="C1178" s="149" t="s">
        <v>413</v>
      </c>
      <c r="D1178" s="303">
        <v>24</v>
      </c>
      <c r="E1178" s="100"/>
      <c r="F1178" s="101">
        <v>4.6946972000000002</v>
      </c>
      <c r="G1178" s="100"/>
      <c r="H1178" s="100"/>
      <c r="I1178" s="101"/>
      <c r="J1178" s="100">
        <v>57</v>
      </c>
      <c r="K1178" s="100"/>
      <c r="L1178" s="100"/>
      <c r="M1178" s="100">
        <v>3</v>
      </c>
      <c r="N1178" s="100"/>
      <c r="O1178" s="100">
        <v>0</v>
      </c>
      <c r="P1178" s="100">
        <v>0</v>
      </c>
      <c r="Q1178" s="271"/>
      <c r="R1178" s="100"/>
      <c r="S1178" s="100">
        <v>0</v>
      </c>
      <c r="T1178" s="100"/>
      <c r="U1178" s="100"/>
      <c r="V1178" s="666"/>
      <c r="W1178" s="97"/>
      <c r="X1178" s="97">
        <f t="shared" si="19"/>
        <v>0</v>
      </c>
      <c r="Y1178" s="97"/>
      <c r="AC1178" s="100"/>
    </row>
    <row r="1179" spans="1:29" ht="15.95" customHeight="1" thickBot="1" x14ac:dyDescent="0.25">
      <c r="A1179" s="669"/>
      <c r="B1179" s="45"/>
      <c r="C1179" s="151" t="s">
        <v>414</v>
      </c>
      <c r="D1179" s="305"/>
      <c r="E1179" s="105"/>
      <c r="F1179" s="106">
        <v>0</v>
      </c>
      <c r="G1179" s="105"/>
      <c r="H1179" s="105"/>
      <c r="I1179" s="106"/>
      <c r="J1179" s="105">
        <v>0</v>
      </c>
      <c r="K1179" s="105"/>
      <c r="L1179" s="105"/>
      <c r="M1179" s="105">
        <v>0</v>
      </c>
      <c r="N1179" s="105"/>
      <c r="O1179" s="105">
        <v>0</v>
      </c>
      <c r="P1179" s="105">
        <v>0</v>
      </c>
      <c r="Q1179" s="273"/>
      <c r="R1179" s="105"/>
      <c r="S1179" s="105">
        <v>0</v>
      </c>
      <c r="T1179" s="105"/>
      <c r="U1179" s="105"/>
      <c r="V1179" s="670"/>
      <c r="W1179" s="97"/>
      <c r="X1179" s="97">
        <f t="shared" si="19"/>
        <v>0</v>
      </c>
      <c r="Y1179" s="97">
        <f>+IF((AC1179-ROUND(AC1179,-3)&gt;400)*AND(AC1179-ROUND(AC1179,-3)&lt;500),1,0)</f>
        <v>0</v>
      </c>
      <c r="AC1179" s="105"/>
    </row>
    <row r="1180" spans="1:29" ht="15.95" customHeight="1" thickTop="1" x14ac:dyDescent="0.2">
      <c r="A1180" s="733" t="s">
        <v>275</v>
      </c>
      <c r="B1180" s="42">
        <v>2008</v>
      </c>
      <c r="C1180" s="148" t="s">
        <v>289</v>
      </c>
      <c r="D1180" s="303">
        <v>55</v>
      </c>
      <c r="E1180" s="100">
        <v>4</v>
      </c>
      <c r="F1180" s="101">
        <v>14.084118800000001</v>
      </c>
      <c r="G1180" s="100">
        <v>9.430615164520745</v>
      </c>
      <c r="H1180" s="100">
        <v>37</v>
      </c>
      <c r="I1180" s="101">
        <v>10</v>
      </c>
      <c r="J1180" s="100"/>
      <c r="K1180" s="100">
        <v>71</v>
      </c>
      <c r="L1180" s="100"/>
      <c r="M1180" s="100">
        <v>9</v>
      </c>
      <c r="N1180" s="100"/>
      <c r="O1180" s="100">
        <v>0</v>
      </c>
      <c r="P1180" s="100">
        <v>1</v>
      </c>
      <c r="Q1180" s="271">
        <v>4.5270000000000001</v>
      </c>
      <c r="R1180" s="100">
        <v>35</v>
      </c>
      <c r="S1180" s="100">
        <v>14</v>
      </c>
      <c r="T1180" s="100">
        <v>1</v>
      </c>
      <c r="U1180" s="100">
        <v>11</v>
      </c>
      <c r="V1180" s="666">
        <v>24</v>
      </c>
      <c r="W1180" s="97"/>
      <c r="X1180" s="97">
        <f t="shared" si="19"/>
        <v>11</v>
      </c>
      <c r="Y1180" s="97"/>
      <c r="AC1180" s="100">
        <v>11385.597082953509</v>
      </c>
    </row>
    <row r="1181" spans="1:29" ht="15.95" customHeight="1" x14ac:dyDescent="0.2">
      <c r="A1181" s="734"/>
      <c r="B1181" s="43"/>
      <c r="C1181" s="149" t="s">
        <v>290</v>
      </c>
      <c r="D1181" s="303">
        <v>55</v>
      </c>
      <c r="E1181" s="100">
        <v>0</v>
      </c>
      <c r="F1181" s="101">
        <v>14.084118800000001</v>
      </c>
      <c r="G1181" s="100">
        <v>0.85407725321888417</v>
      </c>
      <c r="H1181" s="100">
        <v>37</v>
      </c>
      <c r="I1181" s="101">
        <v>10</v>
      </c>
      <c r="J1181" s="100"/>
      <c r="K1181" s="100">
        <v>71</v>
      </c>
      <c r="L1181" s="100"/>
      <c r="M1181" s="100">
        <v>9</v>
      </c>
      <c r="N1181" s="100">
        <v>45</v>
      </c>
      <c r="O1181" s="100">
        <v>0</v>
      </c>
      <c r="P1181" s="100">
        <v>0</v>
      </c>
      <c r="Q1181" s="271">
        <v>1.365</v>
      </c>
      <c r="R1181" s="100">
        <v>35</v>
      </c>
      <c r="S1181" s="100">
        <v>14</v>
      </c>
      <c r="T1181" s="100">
        <v>1</v>
      </c>
      <c r="U1181" s="100">
        <v>11</v>
      </c>
      <c r="V1181" s="666">
        <v>24.107142857142854</v>
      </c>
      <c r="W1181" s="97"/>
      <c r="X1181" s="97">
        <f t="shared" si="19"/>
        <v>11</v>
      </c>
      <c r="Y1181" s="97"/>
      <c r="AC1181" s="100">
        <v>11385.597082953509</v>
      </c>
    </row>
    <row r="1182" spans="1:29" ht="15.95" customHeight="1" x14ac:dyDescent="0.2">
      <c r="A1182" s="667"/>
      <c r="B1182" s="44"/>
      <c r="C1182" s="150" t="s">
        <v>291</v>
      </c>
      <c r="D1182" s="304">
        <v>55</v>
      </c>
      <c r="E1182" s="103">
        <v>1</v>
      </c>
      <c r="F1182" s="104">
        <v>0.16096960000000002</v>
      </c>
      <c r="G1182" s="103">
        <v>0</v>
      </c>
      <c r="H1182" s="103">
        <v>30</v>
      </c>
      <c r="I1182" s="104">
        <v>49</v>
      </c>
      <c r="J1182" s="103"/>
      <c r="K1182" s="103"/>
      <c r="L1182" s="103"/>
      <c r="M1182" s="103">
        <v>0</v>
      </c>
      <c r="N1182" s="103"/>
      <c r="O1182" s="103">
        <v>0</v>
      </c>
      <c r="P1182" s="103">
        <v>0</v>
      </c>
      <c r="Q1182" s="272"/>
      <c r="R1182" s="103">
        <v>80</v>
      </c>
      <c r="S1182" s="103">
        <v>0</v>
      </c>
      <c r="T1182" s="103">
        <v>64</v>
      </c>
      <c r="U1182" s="103">
        <v>0</v>
      </c>
      <c r="V1182" s="668">
        <v>24.545454545454543</v>
      </c>
      <c r="W1182" s="97"/>
      <c r="X1182" s="97">
        <f t="shared" si="19"/>
        <v>0</v>
      </c>
      <c r="Y1182" s="97"/>
      <c r="AC1182" s="103">
        <v>0</v>
      </c>
    </row>
    <row r="1183" spans="1:29" ht="15.95" customHeight="1" x14ac:dyDescent="0.2">
      <c r="A1183" s="665"/>
      <c r="B1183" s="42">
        <v>2009</v>
      </c>
      <c r="C1183" s="149" t="s">
        <v>412</v>
      </c>
      <c r="D1183" s="303">
        <v>73</v>
      </c>
      <c r="E1183" s="100">
        <v>4</v>
      </c>
      <c r="F1183" s="101">
        <v>14.084118800000001</v>
      </c>
      <c r="G1183" s="100">
        <v>9.8080808080808097</v>
      </c>
      <c r="H1183" s="100">
        <v>42</v>
      </c>
      <c r="I1183" s="101">
        <v>10</v>
      </c>
      <c r="J1183" s="100"/>
      <c r="K1183" s="100">
        <v>71</v>
      </c>
      <c r="L1183" s="100"/>
      <c r="M1183" s="100">
        <v>9</v>
      </c>
      <c r="N1183" s="100"/>
      <c r="O1183" s="100">
        <v>0</v>
      </c>
      <c r="P1183" s="100">
        <v>1</v>
      </c>
      <c r="Q1183" s="102">
        <v>4.2910000000000004</v>
      </c>
      <c r="R1183" s="100">
        <v>36</v>
      </c>
      <c r="S1183" s="100">
        <v>14</v>
      </c>
      <c r="T1183" s="100">
        <v>1</v>
      </c>
      <c r="U1183" s="100">
        <v>12</v>
      </c>
      <c r="V1183" s="666">
        <v>26</v>
      </c>
      <c r="W1183" s="100"/>
      <c r="X1183" s="97">
        <f t="shared" si="19"/>
        <v>12</v>
      </c>
      <c r="Y1183" s="97"/>
      <c r="AC1183" s="100">
        <v>12477.52247752248</v>
      </c>
    </row>
    <row r="1184" spans="1:29" ht="15.95" customHeight="1" x14ac:dyDescent="0.2">
      <c r="A1184" s="665"/>
      <c r="B1184" s="43"/>
      <c r="C1184" s="149" t="s">
        <v>413</v>
      </c>
      <c r="D1184" s="303">
        <v>73</v>
      </c>
      <c r="E1184" s="100">
        <v>4</v>
      </c>
      <c r="F1184" s="101">
        <v>7.3284280000000006</v>
      </c>
      <c r="G1184" s="100">
        <v>7.7922077922077921</v>
      </c>
      <c r="H1184" s="100">
        <v>42</v>
      </c>
      <c r="I1184" s="101">
        <v>10</v>
      </c>
      <c r="J1184" s="100"/>
      <c r="K1184" s="100">
        <v>71</v>
      </c>
      <c r="L1184" s="100"/>
      <c r="M1184" s="100">
        <v>9</v>
      </c>
      <c r="N1184" s="100"/>
      <c r="O1184" s="100">
        <v>0</v>
      </c>
      <c r="P1184" s="100">
        <v>1</v>
      </c>
      <c r="Q1184" s="271"/>
      <c r="R1184" s="100">
        <v>36</v>
      </c>
      <c r="S1184" s="100">
        <v>14</v>
      </c>
      <c r="T1184" s="100">
        <v>1</v>
      </c>
      <c r="U1184" s="100">
        <v>12</v>
      </c>
      <c r="V1184" s="666">
        <v>0</v>
      </c>
      <c r="W1184" s="97"/>
      <c r="X1184" s="97">
        <f t="shared" si="19"/>
        <v>12</v>
      </c>
      <c r="Y1184" s="97"/>
      <c r="AC1184" s="100">
        <v>12477.52247752248</v>
      </c>
    </row>
    <row r="1185" spans="1:29" ht="15.95" customHeight="1" thickBot="1" x14ac:dyDescent="0.25">
      <c r="A1185" s="669"/>
      <c r="B1185" s="45"/>
      <c r="C1185" s="151" t="s">
        <v>414</v>
      </c>
      <c r="D1185" s="305"/>
      <c r="E1185" s="105">
        <v>9</v>
      </c>
      <c r="F1185" s="106">
        <v>0.64886960000000016</v>
      </c>
      <c r="G1185" s="105">
        <v>0</v>
      </c>
      <c r="H1185" s="105">
        <v>0</v>
      </c>
      <c r="I1185" s="106"/>
      <c r="J1185" s="105"/>
      <c r="K1185" s="105"/>
      <c r="L1185" s="105"/>
      <c r="M1185" s="105">
        <v>0</v>
      </c>
      <c r="N1185" s="105"/>
      <c r="O1185" s="105">
        <v>1</v>
      </c>
      <c r="P1185" s="105">
        <v>4</v>
      </c>
      <c r="Q1185" s="273">
        <v>0.19700000000000001</v>
      </c>
      <c r="R1185" s="105">
        <v>77</v>
      </c>
      <c r="S1185" s="105">
        <v>0</v>
      </c>
      <c r="T1185" s="105">
        <v>1</v>
      </c>
      <c r="U1185" s="105">
        <v>0</v>
      </c>
      <c r="V1185" s="670">
        <v>0</v>
      </c>
      <c r="W1185" s="97"/>
      <c r="X1185" s="97">
        <f t="shared" si="19"/>
        <v>0</v>
      </c>
      <c r="Y1185" s="97">
        <f>+IF((AC1185-ROUND(AC1185,-3)&gt;400)*AND(AC1185-ROUND(AC1185,-3)&lt;500),1,0)</f>
        <v>0</v>
      </c>
      <c r="AC1185" s="105">
        <v>0</v>
      </c>
    </row>
    <row r="1186" spans="1:29" ht="15.95" customHeight="1" thickTop="1" x14ac:dyDescent="0.2">
      <c r="A1186" s="665" t="s">
        <v>276</v>
      </c>
      <c r="B1186" s="42">
        <v>2008</v>
      </c>
      <c r="C1186" s="148" t="s">
        <v>289</v>
      </c>
      <c r="D1186" s="303">
        <v>823</v>
      </c>
      <c r="E1186" s="100">
        <v>57</v>
      </c>
      <c r="F1186" s="101">
        <v>211.26168680000004</v>
      </c>
      <c r="G1186" s="100">
        <v>135.4535050071531</v>
      </c>
      <c r="H1186" s="100">
        <v>37</v>
      </c>
      <c r="I1186" s="101">
        <v>144</v>
      </c>
      <c r="J1186" s="100">
        <v>65</v>
      </c>
      <c r="K1186" s="100">
        <v>142</v>
      </c>
      <c r="L1186" s="100"/>
      <c r="M1186" s="100">
        <v>142</v>
      </c>
      <c r="N1186" s="100"/>
      <c r="O1186" s="100">
        <v>5</v>
      </c>
      <c r="P1186" s="100">
        <v>7</v>
      </c>
      <c r="Q1186" s="271">
        <v>71.311999999999998</v>
      </c>
      <c r="R1186" s="100">
        <v>90</v>
      </c>
      <c r="S1186" s="100">
        <v>209</v>
      </c>
      <c r="T1186" s="100">
        <v>11</v>
      </c>
      <c r="U1186" s="100">
        <v>23</v>
      </c>
      <c r="V1186" s="666">
        <v>324.10714285714283</v>
      </c>
      <c r="W1186" s="97"/>
      <c r="X1186" s="97">
        <f t="shared" si="19"/>
        <v>23</v>
      </c>
      <c r="Y1186" s="97"/>
      <c r="AC1186" s="100">
        <v>22771.194165907018</v>
      </c>
    </row>
    <row r="1187" spans="1:29" ht="15.95" customHeight="1" x14ac:dyDescent="0.2">
      <c r="A1187" s="665"/>
      <c r="B1187" s="43"/>
      <c r="C1187" s="149" t="s">
        <v>290</v>
      </c>
      <c r="D1187" s="303">
        <v>823</v>
      </c>
      <c r="E1187" s="100">
        <v>56</v>
      </c>
      <c r="F1187" s="101">
        <v>211.26168680000004</v>
      </c>
      <c r="G1187" s="100">
        <v>133.75965665236052</v>
      </c>
      <c r="H1187" s="100">
        <v>37</v>
      </c>
      <c r="I1187" s="101">
        <v>144</v>
      </c>
      <c r="J1187" s="100">
        <v>65</v>
      </c>
      <c r="K1187" s="100">
        <v>142</v>
      </c>
      <c r="L1187" s="100"/>
      <c r="M1187" s="100">
        <v>142</v>
      </c>
      <c r="N1187" s="100"/>
      <c r="O1187" s="100">
        <v>5</v>
      </c>
      <c r="P1187" s="100">
        <v>7</v>
      </c>
      <c r="Q1187" s="271"/>
      <c r="R1187" s="100">
        <v>90</v>
      </c>
      <c r="S1187" s="100">
        <v>209</v>
      </c>
      <c r="T1187" s="100">
        <v>11</v>
      </c>
      <c r="U1187" s="100">
        <v>23</v>
      </c>
      <c r="V1187" s="666">
        <v>324.10714285714283</v>
      </c>
      <c r="W1187" s="97"/>
      <c r="X1187" s="97">
        <f t="shared" si="19"/>
        <v>23</v>
      </c>
      <c r="Y1187" s="97"/>
      <c r="AC1187" s="100">
        <v>22771.194165907018</v>
      </c>
    </row>
    <row r="1188" spans="1:29" ht="15.95" customHeight="1" x14ac:dyDescent="0.2">
      <c r="A1188" s="667"/>
      <c r="B1188" s="44"/>
      <c r="C1188" s="150" t="s">
        <v>291</v>
      </c>
      <c r="D1188" s="304"/>
      <c r="E1188" s="103">
        <v>0</v>
      </c>
      <c r="F1188" s="104">
        <v>0</v>
      </c>
      <c r="G1188" s="103">
        <v>0</v>
      </c>
      <c r="H1188" s="103">
        <v>0</v>
      </c>
      <c r="I1188" s="104">
        <v>429</v>
      </c>
      <c r="J1188" s="103">
        <v>0</v>
      </c>
      <c r="K1188" s="103"/>
      <c r="L1188" s="103"/>
      <c r="M1188" s="103">
        <v>0</v>
      </c>
      <c r="N1188" s="103"/>
      <c r="O1188" s="103">
        <v>0</v>
      </c>
      <c r="P1188" s="103">
        <v>0</v>
      </c>
      <c r="Q1188" s="272">
        <v>1494.473</v>
      </c>
      <c r="R1188" s="103">
        <v>0</v>
      </c>
      <c r="S1188" s="103">
        <v>2541</v>
      </c>
      <c r="T1188" s="103">
        <v>0</v>
      </c>
      <c r="U1188" s="103">
        <v>0</v>
      </c>
      <c r="V1188" s="668">
        <v>43</v>
      </c>
      <c r="W1188" s="97"/>
      <c r="X1188" s="97">
        <f t="shared" si="19"/>
        <v>0</v>
      </c>
      <c r="Y1188" s="97"/>
      <c r="AC1188" s="103">
        <v>0</v>
      </c>
    </row>
    <row r="1189" spans="1:29" ht="15.95" customHeight="1" x14ac:dyDescent="0.2">
      <c r="A1189" s="665"/>
      <c r="B1189" s="42">
        <v>2009</v>
      </c>
      <c r="C1189" s="149" t="s">
        <v>412</v>
      </c>
      <c r="D1189" s="303">
        <v>1096</v>
      </c>
      <c r="E1189" s="100">
        <v>56</v>
      </c>
      <c r="F1189" s="101">
        <v>211.26168680000004</v>
      </c>
      <c r="G1189" s="100">
        <v>141.72582972582973</v>
      </c>
      <c r="H1189" s="100">
        <v>42</v>
      </c>
      <c r="I1189" s="101">
        <v>144</v>
      </c>
      <c r="J1189" s="100">
        <v>55</v>
      </c>
      <c r="K1189" s="100">
        <v>142</v>
      </c>
      <c r="L1189" s="100"/>
      <c r="M1189" s="100">
        <v>142</v>
      </c>
      <c r="N1189" s="100"/>
      <c r="O1189" s="100">
        <v>5</v>
      </c>
      <c r="P1189" s="100">
        <v>7</v>
      </c>
      <c r="Q1189" s="102">
        <v>67.591999999999999</v>
      </c>
      <c r="R1189" s="100">
        <v>86</v>
      </c>
      <c r="S1189" s="100">
        <v>209</v>
      </c>
      <c r="T1189" s="100">
        <v>11</v>
      </c>
      <c r="U1189" s="100">
        <v>26</v>
      </c>
      <c r="V1189" s="666">
        <v>559</v>
      </c>
      <c r="W1189" s="100"/>
      <c r="X1189" s="97">
        <f>+ROUNDUP(AC1189/1000+0.5,0)</f>
        <v>26</v>
      </c>
      <c r="Y1189" s="97"/>
      <c r="AC1189" s="100">
        <v>24955.044955044959</v>
      </c>
    </row>
    <row r="1190" spans="1:29" ht="15.95" customHeight="1" x14ac:dyDescent="0.2">
      <c r="A1190" s="665"/>
      <c r="B1190" s="43"/>
      <c r="C1190" s="149" t="s">
        <v>413</v>
      </c>
      <c r="D1190" s="303">
        <v>1096</v>
      </c>
      <c r="E1190" s="100">
        <v>56</v>
      </c>
      <c r="F1190" s="101">
        <v>0</v>
      </c>
      <c r="G1190" s="100">
        <v>141.72582972582973</v>
      </c>
      <c r="H1190" s="100">
        <v>42</v>
      </c>
      <c r="I1190" s="101">
        <v>1</v>
      </c>
      <c r="J1190" s="100">
        <v>55</v>
      </c>
      <c r="K1190" s="100"/>
      <c r="L1190" s="100"/>
      <c r="M1190" s="100">
        <v>142</v>
      </c>
      <c r="N1190" s="100"/>
      <c r="O1190" s="100">
        <v>0</v>
      </c>
      <c r="P1190" s="100">
        <v>0</v>
      </c>
      <c r="Q1190" s="271"/>
      <c r="R1190" s="100">
        <v>86</v>
      </c>
      <c r="S1190" s="100">
        <v>209</v>
      </c>
      <c r="T1190" s="100">
        <v>11</v>
      </c>
      <c r="U1190" s="100">
        <v>26</v>
      </c>
      <c r="V1190" s="666">
        <v>559</v>
      </c>
      <c r="W1190" s="97"/>
      <c r="X1190" s="97">
        <f>+ROUNDUP(AC1190/1000+0.5,0)</f>
        <v>26</v>
      </c>
      <c r="Y1190" s="97"/>
      <c r="AC1190" s="100">
        <v>24955.044955044959</v>
      </c>
    </row>
    <row r="1191" spans="1:29" ht="15.95" customHeight="1" thickBot="1" x14ac:dyDescent="0.25">
      <c r="A1191" s="669"/>
      <c r="B1191" s="45"/>
      <c r="C1191" s="151" t="s">
        <v>414</v>
      </c>
      <c r="D1191" s="305"/>
      <c r="E1191" s="105">
        <v>0</v>
      </c>
      <c r="F1191" s="106">
        <v>0</v>
      </c>
      <c r="G1191" s="105">
        <v>0</v>
      </c>
      <c r="H1191" s="105">
        <v>0</v>
      </c>
      <c r="I1191" s="106">
        <v>144</v>
      </c>
      <c r="J1191" s="105">
        <v>0</v>
      </c>
      <c r="K1191" s="105"/>
      <c r="L1191" s="105"/>
      <c r="M1191" s="105">
        <v>0</v>
      </c>
      <c r="N1191" s="105"/>
      <c r="O1191" s="105">
        <v>0</v>
      </c>
      <c r="P1191" s="105">
        <v>0</v>
      </c>
      <c r="Q1191" s="273">
        <v>119.753</v>
      </c>
      <c r="R1191" s="105">
        <v>0</v>
      </c>
      <c r="S1191" s="105">
        <v>0</v>
      </c>
      <c r="T1191" s="105">
        <v>0</v>
      </c>
      <c r="U1191" s="105">
        <v>0</v>
      </c>
      <c r="V1191" s="670">
        <v>0</v>
      </c>
      <c r="W1191" s="97"/>
      <c r="X1191" s="97">
        <f t="shared" si="19"/>
        <v>0</v>
      </c>
      <c r="Y1191" s="97">
        <f>+IF((AC1191-ROUND(AC1191,-3)&gt;400)*AND(AC1191-ROUND(AC1191,-3)&lt;500),1,0)</f>
        <v>0</v>
      </c>
      <c r="AC1191" s="105">
        <v>0</v>
      </c>
    </row>
    <row r="1192" spans="1:29" ht="15.95" customHeight="1" thickTop="1" x14ac:dyDescent="0.2">
      <c r="A1192" s="665" t="s">
        <v>277</v>
      </c>
      <c r="B1192" s="42">
        <v>2008</v>
      </c>
      <c r="C1192" s="148" t="s">
        <v>289</v>
      </c>
      <c r="D1192" s="303">
        <v>5524</v>
      </c>
      <c r="E1192" s="100">
        <v>367</v>
      </c>
      <c r="F1192" s="101">
        <v>1427.1900159999998</v>
      </c>
      <c r="G1192" s="100">
        <v>1152.4077253218884</v>
      </c>
      <c r="H1192" s="100">
        <v>390</v>
      </c>
      <c r="I1192" s="101">
        <v>969</v>
      </c>
      <c r="J1192" s="100">
        <v>80</v>
      </c>
      <c r="K1192" s="100">
        <v>852</v>
      </c>
      <c r="L1192" s="100"/>
      <c r="M1192" s="100">
        <v>953</v>
      </c>
      <c r="N1192" s="100"/>
      <c r="O1192" s="100">
        <v>35</v>
      </c>
      <c r="P1192" s="100">
        <v>47</v>
      </c>
      <c r="Q1192" s="271">
        <v>475.41399999999999</v>
      </c>
      <c r="R1192" s="100"/>
      <c r="S1192" s="100">
        <v>1402</v>
      </c>
      <c r="T1192" s="100">
        <v>11</v>
      </c>
      <c r="U1192" s="100">
        <v>171</v>
      </c>
      <c r="V1192" s="666">
        <v>1183.4241071428569</v>
      </c>
      <c r="W1192" s="97"/>
      <c r="X1192" s="97">
        <f t="shared" si="19"/>
        <v>171</v>
      </c>
      <c r="Y1192" s="97"/>
      <c r="AC1192" s="100">
        <v>170783.95624430265</v>
      </c>
    </row>
    <row r="1193" spans="1:29" ht="15.95" customHeight="1" x14ac:dyDescent="0.2">
      <c r="A1193" s="665"/>
      <c r="B1193" s="43"/>
      <c r="C1193" s="149" t="s">
        <v>290</v>
      </c>
      <c r="D1193" s="303">
        <v>5524</v>
      </c>
      <c r="E1193" s="100">
        <v>367</v>
      </c>
      <c r="F1193" s="101">
        <v>1427.1900159999998</v>
      </c>
      <c r="G1193" s="100">
        <v>1143.6967095851217</v>
      </c>
      <c r="H1193" s="100">
        <v>390</v>
      </c>
      <c r="I1193" s="101">
        <v>969</v>
      </c>
      <c r="J1193" s="100">
        <v>80</v>
      </c>
      <c r="K1193" s="100">
        <v>852</v>
      </c>
      <c r="L1193" s="100"/>
      <c r="M1193" s="100">
        <v>953</v>
      </c>
      <c r="N1193" s="100">
        <v>650</v>
      </c>
      <c r="O1193" s="100">
        <v>35</v>
      </c>
      <c r="P1193" s="100">
        <v>47</v>
      </c>
      <c r="Q1193" s="271">
        <v>475.41399999999999</v>
      </c>
      <c r="R1193" s="100"/>
      <c r="S1193" s="100">
        <v>1402</v>
      </c>
      <c r="T1193" s="100">
        <v>11</v>
      </c>
      <c r="U1193" s="100">
        <v>171</v>
      </c>
      <c r="V1193" s="666">
        <v>1183.0357142857142</v>
      </c>
      <c r="W1193" s="97"/>
      <c r="X1193" s="97">
        <f t="shared" si="19"/>
        <v>171</v>
      </c>
      <c r="Y1193" s="97"/>
      <c r="AC1193" s="100">
        <v>170783.95624430265</v>
      </c>
    </row>
    <row r="1194" spans="1:29" ht="15.95" customHeight="1" x14ac:dyDescent="0.2">
      <c r="A1194" s="667"/>
      <c r="B1194" s="44"/>
      <c r="C1194" s="150" t="s">
        <v>291</v>
      </c>
      <c r="D1194" s="304"/>
      <c r="E1194" s="103">
        <v>0</v>
      </c>
      <c r="F1194" s="104">
        <v>0</v>
      </c>
      <c r="G1194" s="103">
        <v>0</v>
      </c>
      <c r="H1194" s="103">
        <v>0</v>
      </c>
      <c r="I1194" s="104"/>
      <c r="J1194" s="103">
        <v>0</v>
      </c>
      <c r="K1194" s="103"/>
      <c r="L1194" s="103"/>
      <c r="M1194" s="103">
        <v>0</v>
      </c>
      <c r="N1194" s="103"/>
      <c r="O1194" s="103">
        <v>0</v>
      </c>
      <c r="P1194" s="103">
        <v>0</v>
      </c>
      <c r="Q1194" s="272"/>
      <c r="R1194" s="103"/>
      <c r="S1194" s="103">
        <v>0</v>
      </c>
      <c r="T1194" s="103">
        <v>0</v>
      </c>
      <c r="U1194" s="103">
        <v>0</v>
      </c>
      <c r="V1194" s="668">
        <v>0</v>
      </c>
      <c r="W1194" s="97"/>
      <c r="X1194" s="97">
        <f t="shared" si="19"/>
        <v>0</v>
      </c>
      <c r="Y1194" s="97"/>
      <c r="AC1194" s="103">
        <v>0</v>
      </c>
    </row>
    <row r="1195" spans="1:29" ht="15.95" customHeight="1" x14ac:dyDescent="0.2">
      <c r="A1195" s="665"/>
      <c r="B1195" s="42">
        <v>2009</v>
      </c>
      <c r="C1195" s="149" t="s">
        <v>412</v>
      </c>
      <c r="D1195" s="303">
        <v>7358</v>
      </c>
      <c r="E1195" s="100">
        <v>345</v>
      </c>
      <c r="F1195" s="101">
        <v>1427.1900159999998</v>
      </c>
      <c r="G1195" s="100">
        <v>1211.0707070707072</v>
      </c>
      <c r="H1195" s="100">
        <v>628</v>
      </c>
      <c r="I1195" s="101">
        <v>969</v>
      </c>
      <c r="J1195" s="100">
        <v>77</v>
      </c>
      <c r="K1195" s="100">
        <v>852</v>
      </c>
      <c r="L1195" s="100"/>
      <c r="M1195" s="100">
        <v>953</v>
      </c>
      <c r="N1195" s="100"/>
      <c r="O1195" s="100">
        <v>35</v>
      </c>
      <c r="P1195" s="100">
        <v>46</v>
      </c>
      <c r="Q1195" s="102">
        <v>450.61799999999999</v>
      </c>
      <c r="R1195" s="100"/>
      <c r="S1195" s="100">
        <v>1402</v>
      </c>
      <c r="T1195" s="100">
        <v>11</v>
      </c>
      <c r="U1195" s="100">
        <v>188</v>
      </c>
      <c r="V1195" s="666">
        <v>1330</v>
      </c>
      <c r="W1195" s="100"/>
      <c r="X1195" s="97">
        <f>+ROUNDUP(AC1195/1000,0)</f>
        <v>188</v>
      </c>
      <c r="Y1195" s="97"/>
      <c r="AC1195" s="100">
        <v>187162.83716283718</v>
      </c>
    </row>
    <row r="1196" spans="1:29" ht="15.95" customHeight="1" x14ac:dyDescent="0.2">
      <c r="A1196" s="665"/>
      <c r="B1196" s="43"/>
      <c r="C1196" s="149" t="s">
        <v>413</v>
      </c>
      <c r="D1196" s="303">
        <v>7358</v>
      </c>
      <c r="E1196" s="100">
        <v>345</v>
      </c>
      <c r="F1196" s="101">
        <v>1427.1900159999998</v>
      </c>
      <c r="G1196" s="100">
        <v>1211.0707070707072</v>
      </c>
      <c r="H1196" s="100">
        <v>628</v>
      </c>
      <c r="I1196" s="101">
        <v>969</v>
      </c>
      <c r="J1196" s="100">
        <v>77</v>
      </c>
      <c r="K1196" s="100">
        <v>852</v>
      </c>
      <c r="L1196" s="100"/>
      <c r="M1196" s="100">
        <v>953</v>
      </c>
      <c r="N1196" s="100">
        <v>350</v>
      </c>
      <c r="O1196" s="100">
        <v>35</v>
      </c>
      <c r="P1196" s="100">
        <v>46</v>
      </c>
      <c r="Q1196" s="102">
        <v>450.61799999999999</v>
      </c>
      <c r="R1196" s="100"/>
      <c r="S1196" s="100">
        <v>1402</v>
      </c>
      <c r="T1196" s="100">
        <v>11</v>
      </c>
      <c r="U1196" s="100">
        <v>186</v>
      </c>
      <c r="V1196" s="666">
        <v>1324</v>
      </c>
      <c r="W1196" s="97"/>
      <c r="X1196" s="97">
        <f>+ROUNDDOWN(AC1196/1000-0.5,0)</f>
        <v>186</v>
      </c>
      <c r="Y1196" s="97"/>
      <c r="AC1196" s="100">
        <v>187155.84415584418</v>
      </c>
    </row>
    <row r="1197" spans="1:29" ht="15.95" customHeight="1" thickBot="1" x14ac:dyDescent="0.25">
      <c r="A1197" s="669"/>
      <c r="B1197" s="45"/>
      <c r="C1197" s="151" t="s">
        <v>414</v>
      </c>
      <c r="D1197" s="305"/>
      <c r="E1197" s="105">
        <v>0</v>
      </c>
      <c r="F1197" s="106">
        <v>0</v>
      </c>
      <c r="G1197" s="105">
        <v>0</v>
      </c>
      <c r="H1197" s="105">
        <v>0</v>
      </c>
      <c r="I1197" s="106"/>
      <c r="J1197" s="105">
        <v>0</v>
      </c>
      <c r="K1197" s="105"/>
      <c r="L1197" s="105"/>
      <c r="M1197" s="105">
        <v>0</v>
      </c>
      <c r="N1197" s="105"/>
      <c r="O1197" s="105">
        <v>0</v>
      </c>
      <c r="P1197" s="105">
        <v>0</v>
      </c>
      <c r="Q1197" s="273"/>
      <c r="R1197" s="105"/>
      <c r="S1197" s="105">
        <v>0</v>
      </c>
      <c r="T1197" s="105">
        <v>0</v>
      </c>
      <c r="U1197" s="105">
        <v>0</v>
      </c>
      <c r="V1197" s="670">
        <v>0</v>
      </c>
      <c r="W1197" s="97"/>
      <c r="X1197" s="97">
        <f t="shared" si="19"/>
        <v>0</v>
      </c>
      <c r="Y1197" s="97">
        <f>+IF((AC1197-ROUND(AC1197,-3)&gt;400)*AND(AC1197-ROUND(AC1197,-3)&lt;500),1,0)</f>
        <v>0</v>
      </c>
      <c r="AC1197" s="105">
        <v>6.9930069930069934</v>
      </c>
    </row>
    <row r="1198" spans="1:29" ht="15.95" customHeight="1" thickTop="1" x14ac:dyDescent="0.2">
      <c r="A1198" s="665" t="s">
        <v>341</v>
      </c>
      <c r="B1198" s="42">
        <v>2008</v>
      </c>
      <c r="C1198" s="148" t="s">
        <v>289</v>
      </c>
      <c r="D1198" s="303">
        <v>121483</v>
      </c>
      <c r="E1198" s="100">
        <v>7923</v>
      </c>
      <c r="F1198" s="101">
        <v>31337.149206800004</v>
      </c>
      <c r="G1198" s="100">
        <v>25509.044349070104</v>
      </c>
      <c r="H1198" s="100">
        <v>3615</v>
      </c>
      <c r="I1198" s="101">
        <v>21322</v>
      </c>
      <c r="J1198" s="100">
        <v>2065</v>
      </c>
      <c r="K1198" s="100">
        <v>2839</v>
      </c>
      <c r="L1198" s="100">
        <v>54</v>
      </c>
      <c r="M1198" s="100">
        <v>20959</v>
      </c>
      <c r="N1198" s="100"/>
      <c r="O1198" s="100">
        <v>773</v>
      </c>
      <c r="P1198" s="100">
        <v>1024</v>
      </c>
      <c r="Q1198" s="271">
        <v>10450.073</v>
      </c>
      <c r="R1198" s="100">
        <v>448</v>
      </c>
      <c r="S1198" s="100">
        <v>30849</v>
      </c>
      <c r="T1198" s="100">
        <v>1090</v>
      </c>
      <c r="U1198" s="100">
        <v>3718</v>
      </c>
      <c r="V1198" s="666">
        <v>8555</v>
      </c>
      <c r="W1198" s="97"/>
      <c r="X1198" s="97">
        <f>+ROUNDUP(AC1198/1000,0)</f>
        <v>3718</v>
      </c>
      <c r="Y1198" s="97"/>
      <c r="AC1198" s="100">
        <v>3717397.4475843208</v>
      </c>
    </row>
    <row r="1199" spans="1:29" ht="15.95" customHeight="1" x14ac:dyDescent="0.2">
      <c r="A1199" s="665" t="s">
        <v>343</v>
      </c>
      <c r="B1199" s="43"/>
      <c r="C1199" s="149" t="s">
        <v>290</v>
      </c>
      <c r="D1199" s="303">
        <v>121483</v>
      </c>
      <c r="E1199" s="100">
        <v>7923</v>
      </c>
      <c r="F1199" s="101">
        <v>31337.149206800001</v>
      </c>
      <c r="G1199" s="100">
        <v>25027.828326180261</v>
      </c>
      <c r="H1199" s="100">
        <v>3615</v>
      </c>
      <c r="I1199" s="101">
        <v>21322</v>
      </c>
      <c r="J1199" s="100">
        <v>2065</v>
      </c>
      <c r="K1199" s="100">
        <v>2839</v>
      </c>
      <c r="L1199" s="100">
        <v>31</v>
      </c>
      <c r="M1199" s="100">
        <v>20959</v>
      </c>
      <c r="N1199" s="100">
        <v>14380</v>
      </c>
      <c r="O1199" s="100">
        <v>773</v>
      </c>
      <c r="P1199" s="100">
        <v>1024</v>
      </c>
      <c r="Q1199" s="271">
        <v>10450.073</v>
      </c>
      <c r="R1199" s="100">
        <v>448</v>
      </c>
      <c r="S1199" s="100">
        <v>30849</v>
      </c>
      <c r="T1199" s="100">
        <v>1090</v>
      </c>
      <c r="U1199" s="100">
        <v>3718</v>
      </c>
      <c r="V1199" s="666">
        <v>8555.3571428571413</v>
      </c>
      <c r="W1199" s="97"/>
      <c r="X1199" s="97">
        <f>+ROUNDUP(AC1199/1000,0)</f>
        <v>3718</v>
      </c>
      <c r="Y1199" s="97"/>
      <c r="AC1199" s="100">
        <v>3717397.4475843208</v>
      </c>
    </row>
    <row r="1200" spans="1:29" ht="15.95" customHeight="1" x14ac:dyDescent="0.2">
      <c r="A1200" s="667" t="s">
        <v>340</v>
      </c>
      <c r="B1200" s="44"/>
      <c r="C1200" s="150" t="s">
        <v>291</v>
      </c>
      <c r="D1200" s="304"/>
      <c r="E1200" s="103">
        <v>0</v>
      </c>
      <c r="F1200" s="104">
        <v>0</v>
      </c>
      <c r="G1200" s="103">
        <v>0</v>
      </c>
      <c r="H1200" s="103">
        <v>0</v>
      </c>
      <c r="I1200" s="104"/>
      <c r="J1200" s="103">
        <v>0</v>
      </c>
      <c r="K1200" s="103"/>
      <c r="L1200" s="103"/>
      <c r="M1200" s="103">
        <v>0</v>
      </c>
      <c r="N1200" s="103">
        <v>10892</v>
      </c>
      <c r="O1200" s="103">
        <v>0</v>
      </c>
      <c r="P1200" s="103">
        <v>0</v>
      </c>
      <c r="Q1200" s="272"/>
      <c r="R1200" s="103">
        <v>0</v>
      </c>
      <c r="S1200" s="103">
        <v>0</v>
      </c>
      <c r="T1200" s="103">
        <v>0</v>
      </c>
      <c r="U1200" s="103">
        <v>0</v>
      </c>
      <c r="V1200" s="668">
        <v>0</v>
      </c>
      <c r="W1200" s="97"/>
      <c r="X1200" s="97">
        <f t="shared" si="19"/>
        <v>0</v>
      </c>
      <c r="Y1200" s="97"/>
      <c r="AC1200" s="103">
        <v>0</v>
      </c>
    </row>
    <row r="1201" spans="1:29" ht="15.95" customHeight="1" x14ac:dyDescent="0.2">
      <c r="A1201" s="665"/>
      <c r="B1201" s="42">
        <v>2009</v>
      </c>
      <c r="C1201" s="149" t="s">
        <v>412</v>
      </c>
      <c r="D1201" s="303">
        <v>161820</v>
      </c>
      <c r="E1201" s="100">
        <v>7735</v>
      </c>
      <c r="F1201" s="101">
        <v>31337.149206800004</v>
      </c>
      <c r="G1201" s="100">
        <v>26416.484848484852</v>
      </c>
      <c r="H1201" s="100">
        <v>4095</v>
      </c>
      <c r="I1201" s="101">
        <v>21322</v>
      </c>
      <c r="J1201" s="100">
        <v>1851</v>
      </c>
      <c r="K1201" s="100">
        <v>2839</v>
      </c>
      <c r="L1201" s="100">
        <f>108-L1198</f>
        <v>54</v>
      </c>
      <c r="M1201" s="100">
        <v>20959</v>
      </c>
      <c r="N1201" s="100"/>
      <c r="O1201" s="100">
        <v>768</v>
      </c>
      <c r="P1201" s="100">
        <v>1023</v>
      </c>
      <c r="Q1201" s="102">
        <v>9905.0349999999999</v>
      </c>
      <c r="R1201" s="100">
        <v>459</v>
      </c>
      <c r="S1201" s="100">
        <v>30849</v>
      </c>
      <c r="T1201" s="100">
        <v>1106</v>
      </c>
      <c r="U1201" s="100">
        <v>4075</v>
      </c>
      <c r="V1201" s="666">
        <v>8617.9901785714264</v>
      </c>
      <c r="W1201" s="100"/>
      <c r="X1201" s="97">
        <f>+ROUNDUP(AC1201/1000+0.5,0)</f>
        <v>4075</v>
      </c>
      <c r="Y1201" s="97"/>
      <c r="AC1201" s="100">
        <v>4073911.0889110896</v>
      </c>
    </row>
    <row r="1202" spans="1:29" ht="15.95" customHeight="1" x14ac:dyDescent="0.2">
      <c r="A1202" s="665"/>
      <c r="B1202" s="43"/>
      <c r="C1202" s="149" t="s">
        <v>413</v>
      </c>
      <c r="D1202" s="303">
        <v>161820</v>
      </c>
      <c r="E1202" s="100">
        <v>7735</v>
      </c>
      <c r="F1202" s="101">
        <v>31337.149206800004</v>
      </c>
      <c r="G1202" s="100">
        <v>0</v>
      </c>
      <c r="H1202" s="100">
        <v>4095</v>
      </c>
      <c r="I1202" s="101">
        <v>21322</v>
      </c>
      <c r="J1202" s="100">
        <v>1851</v>
      </c>
      <c r="K1202" s="100">
        <v>2839</v>
      </c>
      <c r="L1202" s="100"/>
      <c r="M1202" s="100">
        <v>20959</v>
      </c>
      <c r="N1202" s="100">
        <v>13909</v>
      </c>
      <c r="O1202" s="100">
        <v>768</v>
      </c>
      <c r="P1202" s="100">
        <v>1023</v>
      </c>
      <c r="Q1202" s="102">
        <v>9905.0349999999999</v>
      </c>
      <c r="R1202" s="100">
        <v>306</v>
      </c>
      <c r="S1202" s="100">
        <v>30849</v>
      </c>
      <c r="T1202" s="100">
        <v>1106</v>
      </c>
      <c r="U1202" s="100">
        <v>4075</v>
      </c>
      <c r="V1202" s="666">
        <v>8618</v>
      </c>
      <c r="W1202" s="97"/>
      <c r="X1202" s="97">
        <f>+ROUNDUP(AC1202/1000+0.5,0)</f>
        <v>4075</v>
      </c>
      <c r="Y1202" s="97"/>
      <c r="AC1202" s="100">
        <v>4073911.0889110896</v>
      </c>
    </row>
    <row r="1203" spans="1:29" ht="15.95" customHeight="1" thickBot="1" x14ac:dyDescent="0.25">
      <c r="A1203" s="669"/>
      <c r="B1203" s="45"/>
      <c r="C1203" s="151" t="s">
        <v>414</v>
      </c>
      <c r="D1203" s="305"/>
      <c r="E1203" s="105">
        <v>0</v>
      </c>
      <c r="F1203" s="106">
        <v>0</v>
      </c>
      <c r="G1203" s="105">
        <v>0</v>
      </c>
      <c r="H1203" s="105">
        <v>17</v>
      </c>
      <c r="I1203" s="106"/>
      <c r="J1203" s="105">
        <v>0</v>
      </c>
      <c r="K1203" s="105"/>
      <c r="L1203" s="105">
        <v>16</v>
      </c>
      <c r="M1203" s="105">
        <v>0</v>
      </c>
      <c r="N1203" s="105">
        <v>5733</v>
      </c>
      <c r="O1203" s="105">
        <v>0</v>
      </c>
      <c r="P1203" s="105">
        <v>0</v>
      </c>
      <c r="Q1203" s="273"/>
      <c r="R1203" s="105">
        <v>0</v>
      </c>
      <c r="S1203" s="105">
        <v>0</v>
      </c>
      <c r="T1203" s="105">
        <v>0</v>
      </c>
      <c r="U1203" s="105">
        <v>0</v>
      </c>
      <c r="V1203" s="670">
        <v>0</v>
      </c>
      <c r="W1203" s="97"/>
      <c r="X1203" s="97">
        <f t="shared" si="19"/>
        <v>0</v>
      </c>
      <c r="Y1203" s="97">
        <f>+IF((AC1203-ROUND(AC1203,-3)&gt;400)*AND(AC1203-ROUND(AC1203,-3)&lt;500),1,0)</f>
        <v>0</v>
      </c>
      <c r="AC1203" s="105">
        <v>0</v>
      </c>
    </row>
    <row r="1204" spans="1:29" ht="15.95" customHeight="1" thickTop="1" x14ac:dyDescent="0.2">
      <c r="A1204" s="665" t="s">
        <v>292</v>
      </c>
      <c r="B1204" s="42">
        <v>2008</v>
      </c>
      <c r="C1204" s="148" t="s">
        <v>289</v>
      </c>
      <c r="D1204" s="303">
        <v>110</v>
      </c>
      <c r="E1204" s="100">
        <v>7</v>
      </c>
      <c r="F1204" s="101">
        <v>28.168224000000002</v>
      </c>
      <c r="G1204" s="100">
        <v>18.789699570815454</v>
      </c>
      <c r="H1204" s="100">
        <v>37</v>
      </c>
      <c r="I1204" s="101">
        <v>19</v>
      </c>
      <c r="J1204" s="100">
        <v>8</v>
      </c>
      <c r="K1204" s="100">
        <v>35</v>
      </c>
      <c r="L1204" s="100"/>
      <c r="M1204" s="100">
        <v>19</v>
      </c>
      <c r="N1204" s="100"/>
      <c r="O1204" s="100">
        <v>1</v>
      </c>
      <c r="P1204" s="100">
        <v>1</v>
      </c>
      <c r="Q1204" s="271">
        <v>9.0559999999999992</v>
      </c>
      <c r="R1204" s="100">
        <v>42</v>
      </c>
      <c r="S1204" s="100">
        <v>28</v>
      </c>
      <c r="T1204" s="100">
        <v>1</v>
      </c>
      <c r="U1204" s="100">
        <v>11</v>
      </c>
      <c r="V1204" s="666">
        <v>42.806249999999991</v>
      </c>
      <c r="W1204" s="97"/>
      <c r="X1204" s="97">
        <f t="shared" si="19"/>
        <v>11</v>
      </c>
      <c r="Y1204" s="97"/>
      <c r="AC1204" s="100">
        <v>11385.597082953509</v>
      </c>
    </row>
    <row r="1205" spans="1:29" ht="15.95" customHeight="1" x14ac:dyDescent="0.2">
      <c r="A1205" s="665" t="s">
        <v>357</v>
      </c>
      <c r="B1205" s="43"/>
      <c r="C1205" s="149" t="s">
        <v>290</v>
      </c>
      <c r="D1205" s="303">
        <v>110</v>
      </c>
      <c r="E1205" s="100">
        <v>7</v>
      </c>
      <c r="F1205" s="101">
        <v>28.168224000000002</v>
      </c>
      <c r="G1205" s="100">
        <v>18.789699570815454</v>
      </c>
      <c r="H1205" s="100">
        <v>37</v>
      </c>
      <c r="I1205" s="101">
        <v>19</v>
      </c>
      <c r="J1205" s="100">
        <v>8</v>
      </c>
      <c r="K1205" s="100">
        <v>35</v>
      </c>
      <c r="L1205" s="100"/>
      <c r="M1205" s="100">
        <v>0</v>
      </c>
      <c r="N1205" s="100"/>
      <c r="O1205" s="100">
        <v>0</v>
      </c>
      <c r="P1205" s="100">
        <v>0</v>
      </c>
      <c r="Q1205" s="271"/>
      <c r="R1205" s="100">
        <v>0</v>
      </c>
      <c r="S1205" s="100">
        <v>28</v>
      </c>
      <c r="T1205" s="100">
        <v>1</v>
      </c>
      <c r="U1205" s="100">
        <v>11</v>
      </c>
      <c r="V1205" s="666">
        <v>31.25</v>
      </c>
      <c r="W1205" s="97"/>
      <c r="X1205" s="97">
        <f t="shared" si="19"/>
        <v>11</v>
      </c>
      <c r="Y1205" s="97"/>
      <c r="AC1205" s="100">
        <v>11385.597082953509</v>
      </c>
    </row>
    <row r="1206" spans="1:29" ht="15.95" customHeight="1" x14ac:dyDescent="0.2">
      <c r="A1206" s="667"/>
      <c r="B1206" s="44"/>
      <c r="C1206" s="150" t="s">
        <v>291</v>
      </c>
      <c r="D1206" s="304"/>
      <c r="E1206" s="103">
        <v>6</v>
      </c>
      <c r="F1206" s="104">
        <v>0</v>
      </c>
      <c r="G1206" s="103">
        <v>11.93991416309013</v>
      </c>
      <c r="H1206" s="103">
        <v>0</v>
      </c>
      <c r="I1206" s="104">
        <v>1</v>
      </c>
      <c r="J1206" s="103">
        <v>0</v>
      </c>
      <c r="K1206" s="103"/>
      <c r="L1206" s="103"/>
      <c r="M1206" s="103">
        <v>0</v>
      </c>
      <c r="N1206" s="103"/>
      <c r="O1206" s="103">
        <v>0</v>
      </c>
      <c r="P1206" s="103">
        <v>1</v>
      </c>
      <c r="Q1206" s="272">
        <v>0.83699999999999997</v>
      </c>
      <c r="R1206" s="103">
        <v>0</v>
      </c>
      <c r="S1206" s="103">
        <v>0</v>
      </c>
      <c r="T1206" s="103">
        <v>31</v>
      </c>
      <c r="U1206" s="103">
        <v>0</v>
      </c>
      <c r="V1206" s="668">
        <v>27.27272727272727</v>
      </c>
      <c r="W1206" s="97"/>
      <c r="X1206" s="97">
        <f t="shared" si="19"/>
        <v>0</v>
      </c>
      <c r="Y1206" s="97"/>
      <c r="AC1206" s="103">
        <v>0</v>
      </c>
    </row>
    <row r="1207" spans="1:29" ht="15.95" customHeight="1" x14ac:dyDescent="0.2">
      <c r="A1207" s="665"/>
      <c r="B1207" s="42">
        <v>2009</v>
      </c>
      <c r="C1207" s="149" t="s">
        <v>412</v>
      </c>
      <c r="D1207" s="303">
        <v>146</v>
      </c>
      <c r="E1207" s="100">
        <v>7</v>
      </c>
      <c r="F1207" s="101">
        <v>28.168224000000002</v>
      </c>
      <c r="G1207" s="100">
        <v>19.597402597402596</v>
      </c>
      <c r="H1207" s="100">
        <v>42</v>
      </c>
      <c r="I1207" s="101">
        <v>19</v>
      </c>
      <c r="J1207" s="100">
        <v>7</v>
      </c>
      <c r="K1207" s="100">
        <v>35</v>
      </c>
      <c r="L1207" s="100"/>
      <c r="M1207" s="100">
        <v>19</v>
      </c>
      <c r="N1207" s="100"/>
      <c r="O1207" s="100">
        <v>1</v>
      </c>
      <c r="P1207" s="100">
        <v>1</v>
      </c>
      <c r="Q1207" s="102">
        <v>8.5830000000000002</v>
      </c>
      <c r="R1207" s="100">
        <v>43</v>
      </c>
      <c r="S1207" s="100">
        <v>28</v>
      </c>
      <c r="T1207" s="100">
        <v>1</v>
      </c>
      <c r="U1207" s="100">
        <v>12</v>
      </c>
      <c r="V1207" s="666">
        <v>46</v>
      </c>
      <c r="W1207" s="100"/>
      <c r="X1207" s="97">
        <f t="shared" si="19"/>
        <v>12</v>
      </c>
      <c r="Y1207" s="97"/>
      <c r="AC1207" s="100">
        <v>12477.52247752248</v>
      </c>
    </row>
    <row r="1208" spans="1:29" ht="15.95" customHeight="1" x14ac:dyDescent="0.2">
      <c r="A1208" s="665"/>
      <c r="B1208" s="43"/>
      <c r="C1208" s="149" t="s">
        <v>413</v>
      </c>
      <c r="D1208" s="303">
        <v>146</v>
      </c>
      <c r="E1208" s="100">
        <v>1</v>
      </c>
      <c r="F1208" s="101">
        <v>28.168224000000002</v>
      </c>
      <c r="G1208" s="100">
        <v>18.486291486291488</v>
      </c>
      <c r="H1208" s="100">
        <v>42</v>
      </c>
      <c r="I1208" s="101">
        <v>19</v>
      </c>
      <c r="J1208" s="100">
        <v>7</v>
      </c>
      <c r="K1208" s="100"/>
      <c r="L1208" s="100"/>
      <c r="M1208" s="100">
        <v>19</v>
      </c>
      <c r="N1208" s="100">
        <v>58</v>
      </c>
      <c r="O1208" s="100">
        <v>0</v>
      </c>
      <c r="P1208" s="100">
        <v>0</v>
      </c>
      <c r="Q1208" s="102">
        <v>2.9929999999999999</v>
      </c>
      <c r="R1208" s="100">
        <v>43</v>
      </c>
      <c r="S1208" s="100">
        <v>12</v>
      </c>
      <c r="T1208" s="100">
        <v>1</v>
      </c>
      <c r="U1208" s="100">
        <v>12</v>
      </c>
      <c r="V1208" s="666">
        <v>44</v>
      </c>
      <c r="W1208" s="97"/>
      <c r="X1208" s="97">
        <f t="shared" si="19"/>
        <v>12</v>
      </c>
      <c r="Y1208" s="97"/>
      <c r="AC1208" s="100">
        <v>12477.52247752248</v>
      </c>
    </row>
    <row r="1209" spans="1:29" ht="15.95" customHeight="1" thickBot="1" x14ac:dyDescent="0.25">
      <c r="A1209" s="669"/>
      <c r="B1209" s="45"/>
      <c r="C1209" s="151" t="s">
        <v>414</v>
      </c>
      <c r="D1209" s="305"/>
      <c r="E1209" s="105">
        <v>0</v>
      </c>
      <c r="F1209" s="106">
        <v>0</v>
      </c>
      <c r="G1209" s="105">
        <v>0</v>
      </c>
      <c r="H1209" s="105">
        <v>0</v>
      </c>
      <c r="I1209" s="106"/>
      <c r="J1209" s="105">
        <v>0</v>
      </c>
      <c r="K1209" s="105"/>
      <c r="L1209" s="105"/>
      <c r="M1209" s="105">
        <v>19</v>
      </c>
      <c r="N1209" s="105"/>
      <c r="O1209" s="105">
        <v>0</v>
      </c>
      <c r="P1209" s="105">
        <v>0</v>
      </c>
      <c r="Q1209" s="273">
        <v>16.059000000000001</v>
      </c>
      <c r="R1209" s="105">
        <v>42</v>
      </c>
      <c r="S1209" s="105">
        <v>0</v>
      </c>
      <c r="T1209" s="105">
        <v>0</v>
      </c>
      <c r="U1209" s="105">
        <v>0</v>
      </c>
      <c r="V1209" s="670">
        <v>0</v>
      </c>
      <c r="W1209" s="97"/>
      <c r="X1209" s="97">
        <f t="shared" si="19"/>
        <v>0</v>
      </c>
      <c r="Y1209" s="97">
        <f>+IF((AC1209-ROUND(AC1209,-3)&gt;400)*AND(AC1209-ROUND(AC1209,-3)&lt;500),1,0)</f>
        <v>0</v>
      </c>
      <c r="AC1209" s="105">
        <v>0</v>
      </c>
    </row>
    <row r="1210" spans="1:29" ht="15.95" customHeight="1" thickTop="1" x14ac:dyDescent="0.2">
      <c r="A1210" s="665" t="s">
        <v>355</v>
      </c>
      <c r="B1210" s="42">
        <v>2008</v>
      </c>
      <c r="C1210" s="148" t="s">
        <v>289</v>
      </c>
      <c r="D1210" s="303">
        <v>453338</v>
      </c>
      <c r="E1210" s="100">
        <v>26023</v>
      </c>
      <c r="F1210" s="101">
        <v>109083.488</v>
      </c>
      <c r="G1210" s="100">
        <v>100548.76108726753</v>
      </c>
      <c r="H1210" s="100">
        <v>15214</v>
      </c>
      <c r="I1210" s="101">
        <v>70590</v>
      </c>
      <c r="J1210" s="100">
        <v>1423</v>
      </c>
      <c r="K1210" s="100">
        <v>8518</v>
      </c>
      <c r="L1210" s="100">
        <v>59120</v>
      </c>
      <c r="M1210" s="100">
        <v>69410</v>
      </c>
      <c r="N1210" s="100"/>
      <c r="O1210" s="100"/>
      <c r="P1210" s="100">
        <v>3393</v>
      </c>
      <c r="Q1210" s="271"/>
      <c r="R1210" s="100"/>
      <c r="S1210" s="100">
        <v>106573</v>
      </c>
      <c r="T1210" s="100">
        <v>1090</v>
      </c>
      <c r="U1210" s="100">
        <v>12320</v>
      </c>
      <c r="V1210" s="666">
        <v>22399.365178571428</v>
      </c>
      <c r="W1210" s="97"/>
      <c r="X1210" s="97">
        <f>+ROUNDUP(AC1210/1000,0)</f>
        <v>12320</v>
      </c>
      <c r="Y1210" s="97"/>
      <c r="AA1210" s="309"/>
      <c r="AC1210" s="100">
        <v>12319216.043755697</v>
      </c>
    </row>
    <row r="1211" spans="1:29" ht="15.95" customHeight="1" x14ac:dyDescent="0.2">
      <c r="A1211" s="665" t="s">
        <v>356</v>
      </c>
      <c r="B1211" s="43"/>
      <c r="C1211" s="149" t="s">
        <v>290</v>
      </c>
      <c r="D1211" s="303">
        <f>58854-1</f>
        <v>58853</v>
      </c>
      <c r="E1211" s="100">
        <v>2563</v>
      </c>
      <c r="F1211" s="101">
        <v>40870.146000000001</v>
      </c>
      <c r="G1211" s="100">
        <v>70621.876967095857</v>
      </c>
      <c r="H1211" s="100">
        <v>15214</v>
      </c>
      <c r="I1211" s="101">
        <f>70590-33934</f>
        <v>36656</v>
      </c>
      <c r="J1211" s="100">
        <v>1423</v>
      </c>
      <c r="K1211" s="100">
        <v>8518</v>
      </c>
      <c r="L1211" s="100">
        <v>35396</v>
      </c>
      <c r="M1211" s="100">
        <v>26370</v>
      </c>
      <c r="N1211" s="100">
        <v>25636</v>
      </c>
      <c r="O1211" s="100"/>
      <c r="P1211" s="100">
        <v>3279</v>
      </c>
      <c r="Q1211" s="271"/>
      <c r="R1211" s="100"/>
      <c r="S1211" s="100">
        <v>103224</v>
      </c>
      <c r="T1211" s="100">
        <v>763</v>
      </c>
      <c r="U1211" s="100">
        <v>8623</v>
      </c>
      <c r="V1211" s="666">
        <v>15964.545454545454</v>
      </c>
      <c r="W1211" s="97"/>
      <c r="X1211" s="97">
        <f t="shared" si="19"/>
        <v>8623</v>
      </c>
      <c r="Y1211" s="97"/>
      <c r="AC1211" s="100">
        <v>8623451.2306289878</v>
      </c>
    </row>
    <row r="1212" spans="1:29" ht="15.95" customHeight="1" x14ac:dyDescent="0.2">
      <c r="A1212" s="667"/>
      <c r="B1212" s="44"/>
      <c r="C1212" s="150" t="s">
        <v>291</v>
      </c>
      <c r="D1212" s="304">
        <v>392674</v>
      </c>
      <c r="E1212" s="103">
        <v>25807</v>
      </c>
      <c r="F1212" s="104">
        <v>21281.744760000001</v>
      </c>
      <c r="G1212" s="103">
        <v>28541.429184549357</v>
      </c>
      <c r="H1212" s="103">
        <v>0</v>
      </c>
      <c r="I1212" s="104">
        <v>27846</v>
      </c>
      <c r="J1212" s="103">
        <v>0</v>
      </c>
      <c r="K1212" s="103"/>
      <c r="L1212" s="103">
        <v>18686</v>
      </c>
      <c r="M1212" s="103">
        <v>30865</v>
      </c>
      <c r="N1212" s="103"/>
      <c r="O1212" s="103"/>
      <c r="P1212" s="103">
        <v>114</v>
      </c>
      <c r="Q1212" s="272"/>
      <c r="R1212" s="103"/>
      <c r="S1212" s="103">
        <v>33776</v>
      </c>
      <c r="T1212" s="103">
        <v>327</v>
      </c>
      <c r="U1212" s="103">
        <v>3788</v>
      </c>
      <c r="V1212" s="668">
        <v>7401.8181818181811</v>
      </c>
      <c r="W1212" s="97"/>
      <c r="X1212" s="97">
        <f t="shared" si="19"/>
        <v>3788</v>
      </c>
      <c r="Y1212" s="97"/>
      <c r="AC1212" s="103">
        <v>3787834.092980857</v>
      </c>
    </row>
    <row r="1213" spans="1:29" ht="15.95" customHeight="1" x14ac:dyDescent="0.2">
      <c r="A1213" s="665"/>
      <c r="B1213" s="42">
        <v>2009</v>
      </c>
      <c r="C1213" s="149" t="s">
        <v>412</v>
      </c>
      <c r="D1213" s="303">
        <v>598292</v>
      </c>
      <c r="E1213" s="100">
        <v>26918</v>
      </c>
      <c r="F1213" s="101">
        <v>109083.488</v>
      </c>
      <c r="G1213" s="100">
        <v>102090.60317460318</v>
      </c>
      <c r="H1213" s="100">
        <v>17837</v>
      </c>
      <c r="I1213" s="101">
        <v>70590</v>
      </c>
      <c r="J1213" s="100">
        <v>1261</v>
      </c>
      <c r="K1213" s="100">
        <v>8518</v>
      </c>
      <c r="L1213" s="100">
        <f>118240-L1210</f>
        <v>59120</v>
      </c>
      <c r="M1213" s="100">
        <v>69410</v>
      </c>
      <c r="N1213" s="100"/>
      <c r="O1213" s="100"/>
      <c r="P1213" s="100">
        <v>3389</v>
      </c>
      <c r="Q1213" s="271"/>
      <c r="R1213" s="100"/>
      <c r="S1213" s="100">
        <v>106573</v>
      </c>
      <c r="T1213" s="100">
        <v>1106</v>
      </c>
      <c r="U1213" s="100">
        <v>13501</v>
      </c>
      <c r="V1213" s="666">
        <v>22112.867857142854</v>
      </c>
      <c r="W1213" s="100"/>
      <c r="X1213" s="97">
        <f t="shared" si="19"/>
        <v>13501</v>
      </c>
      <c r="Y1213" s="97"/>
      <c r="AC1213" s="100">
        <v>13500679.320679322</v>
      </c>
    </row>
    <row r="1214" spans="1:29" ht="15.95" customHeight="1" x14ac:dyDescent="0.2">
      <c r="A1214" s="665"/>
      <c r="B1214" s="43"/>
      <c r="C1214" s="149" t="s">
        <v>413</v>
      </c>
      <c r="D1214" s="303">
        <v>304558</v>
      </c>
      <c r="E1214" s="100">
        <v>4594</v>
      </c>
      <c r="F1214" s="101">
        <v>87266.790399999998</v>
      </c>
      <c r="G1214" s="100">
        <v>81978.606060606064</v>
      </c>
      <c r="H1214" s="100">
        <v>17837</v>
      </c>
      <c r="I1214" s="101">
        <v>56530</v>
      </c>
      <c r="J1214" s="100">
        <v>1261</v>
      </c>
      <c r="K1214" s="100">
        <v>8518</v>
      </c>
      <c r="L1214" s="100">
        <v>39806</v>
      </c>
      <c r="M1214" s="100">
        <v>55528</v>
      </c>
      <c r="N1214" s="100">
        <v>10290</v>
      </c>
      <c r="O1214" s="100"/>
      <c r="P1214" s="100">
        <v>3274</v>
      </c>
      <c r="Q1214" s="271"/>
      <c r="R1214" s="100"/>
      <c r="S1214" s="100">
        <v>0</v>
      </c>
      <c r="T1214" s="100">
        <v>885</v>
      </c>
      <c r="U1214" s="100">
        <v>10800</v>
      </c>
      <c r="V1214" s="666">
        <v>17690</v>
      </c>
      <c r="W1214" s="97"/>
      <c r="X1214" s="97">
        <f>+ROUNDDOWN(AC1214/1000,0)</f>
        <v>10800</v>
      </c>
      <c r="Y1214" s="97"/>
      <c r="AC1214" s="100">
        <v>10800543.456543459</v>
      </c>
    </row>
    <row r="1215" spans="1:29" ht="15.95" customHeight="1" thickBot="1" x14ac:dyDescent="0.25">
      <c r="A1215" s="669"/>
      <c r="B1215" s="45"/>
      <c r="C1215" s="151" t="s">
        <v>414</v>
      </c>
      <c r="D1215" s="305">
        <v>394485</v>
      </c>
      <c r="E1215" s="105">
        <v>23460</v>
      </c>
      <c r="F1215" s="106">
        <v>84637.981719999996</v>
      </c>
      <c r="G1215" s="105">
        <v>27307.414141414141</v>
      </c>
      <c r="H1215" s="105">
        <v>0</v>
      </c>
      <c r="I1215" s="106">
        <v>33934</v>
      </c>
      <c r="J1215" s="105">
        <v>0</v>
      </c>
      <c r="K1215" s="105"/>
      <c r="L1215" s="105">
        <v>23725</v>
      </c>
      <c r="M1215" s="105">
        <v>43</v>
      </c>
      <c r="N1215" s="105"/>
      <c r="O1215" s="105"/>
      <c r="P1215" s="105">
        <v>114</v>
      </c>
      <c r="Q1215" s="273"/>
      <c r="R1215" s="105"/>
      <c r="S1215" s="105">
        <v>0</v>
      </c>
      <c r="T1215" s="105">
        <v>332</v>
      </c>
      <c r="U1215" s="105">
        <v>4050</v>
      </c>
      <c r="V1215" s="670">
        <v>6720</v>
      </c>
      <c r="W1215" s="97"/>
      <c r="X1215" s="97">
        <f t="shared" si="19"/>
        <v>4050</v>
      </c>
      <c r="Y1215" s="97">
        <f>+IF((AC1215-ROUND(AC1215,-3)&gt;400)*AND(AC1215-ROUND(AC1215,-3)&lt;500),1,0)</f>
        <v>0</v>
      </c>
      <c r="AC1215" s="105">
        <v>4050203.7962037968</v>
      </c>
    </row>
    <row r="1216" spans="1:29" ht="15.95" customHeight="1" thickTop="1" x14ac:dyDescent="0.2">
      <c r="A1216" s="729" t="s">
        <v>279</v>
      </c>
      <c r="B1216" s="42">
        <v>2008</v>
      </c>
      <c r="C1216" s="148" t="s">
        <v>289</v>
      </c>
      <c r="D1216" s="303">
        <v>494</v>
      </c>
      <c r="E1216" s="100">
        <v>32</v>
      </c>
      <c r="F1216" s="101">
        <v>126.75701480000001</v>
      </c>
      <c r="G1216" s="100">
        <v>82.96709585121603</v>
      </c>
      <c r="H1216" s="100">
        <v>37</v>
      </c>
      <c r="I1216" s="101">
        <v>87</v>
      </c>
      <c r="J1216" s="100">
        <v>12</v>
      </c>
      <c r="K1216" s="100">
        <v>71</v>
      </c>
      <c r="L1216" s="100">
        <v>234</v>
      </c>
      <c r="M1216" s="100">
        <v>85</v>
      </c>
      <c r="N1216" s="100"/>
      <c r="O1216" s="100">
        <v>3</v>
      </c>
      <c r="P1216" s="100">
        <v>4</v>
      </c>
      <c r="Q1216" s="271">
        <v>43.012999999999998</v>
      </c>
      <c r="R1216" s="100">
        <v>84</v>
      </c>
      <c r="S1216" s="100">
        <v>125</v>
      </c>
      <c r="T1216" s="100">
        <v>5</v>
      </c>
      <c r="U1216" s="100">
        <v>18</v>
      </c>
      <c r="V1216" s="666">
        <v>60.299107142857132</v>
      </c>
      <c r="W1216" s="97"/>
      <c r="X1216" s="97">
        <f>+ROUNDUP(AC1216/1000,0)</f>
        <v>18</v>
      </c>
      <c r="Y1216" s="97"/>
      <c r="AC1216" s="100">
        <v>17078.395624430264</v>
      </c>
    </row>
    <row r="1217" spans="1:29" ht="15.95" customHeight="1" x14ac:dyDescent="0.2">
      <c r="A1217" s="730"/>
      <c r="B1217" s="43"/>
      <c r="C1217" s="149" t="s">
        <v>290</v>
      </c>
      <c r="D1217" s="303">
        <v>494</v>
      </c>
      <c r="E1217" s="100">
        <v>0</v>
      </c>
      <c r="F1217" s="101">
        <v>126.75701480000001</v>
      </c>
      <c r="G1217" s="100">
        <v>58.61659513590844</v>
      </c>
      <c r="H1217" s="100">
        <v>37</v>
      </c>
      <c r="I1217" s="101">
        <v>87</v>
      </c>
      <c r="J1217" s="100">
        <v>12</v>
      </c>
      <c r="K1217" s="100">
        <v>71</v>
      </c>
      <c r="L1217" s="100">
        <v>234</v>
      </c>
      <c r="M1217" s="100">
        <v>85</v>
      </c>
      <c r="N1217" s="100">
        <v>100</v>
      </c>
      <c r="O1217" s="100">
        <v>3</v>
      </c>
      <c r="P1217" s="100">
        <v>0</v>
      </c>
      <c r="Q1217" s="271">
        <v>43.012999999999998</v>
      </c>
      <c r="R1217" s="100">
        <v>84</v>
      </c>
      <c r="S1217" s="100">
        <v>125</v>
      </c>
      <c r="T1217" s="100">
        <v>5</v>
      </c>
      <c r="U1217" s="100">
        <v>0</v>
      </c>
      <c r="V1217" s="666">
        <v>60.714285714285708</v>
      </c>
      <c r="W1217" s="97"/>
      <c r="X1217" s="97">
        <f t="shared" si="19"/>
        <v>0</v>
      </c>
      <c r="Y1217" s="97"/>
      <c r="AC1217" s="100">
        <v>0</v>
      </c>
    </row>
    <row r="1218" spans="1:29" ht="15.95" customHeight="1" x14ac:dyDescent="0.2">
      <c r="A1218" s="667"/>
      <c r="B1218" s="44"/>
      <c r="C1218" s="150" t="s">
        <v>291</v>
      </c>
      <c r="D1218" s="304"/>
      <c r="E1218" s="103">
        <v>0</v>
      </c>
      <c r="F1218" s="104">
        <v>117.806532</v>
      </c>
      <c r="G1218" s="103">
        <v>140.12446351931331</v>
      </c>
      <c r="H1218" s="103">
        <v>0</v>
      </c>
      <c r="I1218" s="104"/>
      <c r="J1218" s="103">
        <v>11</v>
      </c>
      <c r="K1218" s="103"/>
      <c r="L1218" s="103"/>
      <c r="M1218" s="103">
        <v>0</v>
      </c>
      <c r="N1218" s="103">
        <v>100</v>
      </c>
      <c r="O1218" s="103">
        <v>0</v>
      </c>
      <c r="P1218" s="103">
        <v>12</v>
      </c>
      <c r="Q1218" s="272">
        <v>77.042000000000002</v>
      </c>
      <c r="R1218" s="103">
        <v>7</v>
      </c>
      <c r="S1218" s="103">
        <v>214</v>
      </c>
      <c r="T1218" s="103">
        <v>5</v>
      </c>
      <c r="U1218" s="103">
        <v>38</v>
      </c>
      <c r="V1218" s="668">
        <v>0</v>
      </c>
      <c r="W1218" s="97"/>
      <c r="X1218" s="97">
        <f t="shared" si="19"/>
        <v>38</v>
      </c>
      <c r="Y1218" s="97"/>
      <c r="AC1218" s="103">
        <v>37520.054694621693</v>
      </c>
    </row>
    <row r="1219" spans="1:29" ht="15.95" customHeight="1" x14ac:dyDescent="0.2">
      <c r="A1219" s="665"/>
      <c r="B1219" s="42">
        <v>2009</v>
      </c>
      <c r="C1219" s="149" t="s">
        <v>412</v>
      </c>
      <c r="D1219" s="303">
        <v>658</v>
      </c>
      <c r="E1219" s="100">
        <v>33</v>
      </c>
      <c r="F1219" s="101">
        <v>126.75701480000001</v>
      </c>
      <c r="G1219" s="100">
        <v>86.852813852813867</v>
      </c>
      <c r="H1219" s="100">
        <v>42</v>
      </c>
      <c r="I1219" s="101">
        <v>87</v>
      </c>
      <c r="J1219" s="100">
        <v>10</v>
      </c>
      <c r="K1219" s="100">
        <v>71</v>
      </c>
      <c r="L1219" s="100">
        <f>468-L1216</f>
        <v>234</v>
      </c>
      <c r="M1219" s="100">
        <v>85</v>
      </c>
      <c r="N1219" s="100"/>
      <c r="O1219" s="100">
        <v>3</v>
      </c>
      <c r="P1219" s="100">
        <v>4</v>
      </c>
      <c r="Q1219" s="102">
        <v>40.770000000000003</v>
      </c>
      <c r="R1219" s="100">
        <v>86</v>
      </c>
      <c r="S1219" s="100">
        <v>125</v>
      </c>
      <c r="T1219" s="100">
        <v>6</v>
      </c>
      <c r="U1219" s="100">
        <v>19</v>
      </c>
      <c r="V1219" s="666">
        <v>61</v>
      </c>
      <c r="W1219" s="100"/>
      <c r="X1219" s="97">
        <f t="shared" si="19"/>
        <v>19</v>
      </c>
      <c r="Y1219" s="97"/>
      <c r="AC1219" s="100">
        <v>18716.283716283717</v>
      </c>
    </row>
    <row r="1220" spans="1:29" ht="15.95" customHeight="1" x14ac:dyDescent="0.2">
      <c r="A1220" s="665"/>
      <c r="B1220" s="43"/>
      <c r="C1220" s="149" t="s">
        <v>413</v>
      </c>
      <c r="D1220" s="303">
        <v>658</v>
      </c>
      <c r="E1220" s="100">
        <v>0</v>
      </c>
      <c r="F1220" s="101">
        <v>68.180784800000012</v>
      </c>
      <c r="G1220" s="100">
        <v>84.567099567099575</v>
      </c>
      <c r="H1220" s="100">
        <v>42</v>
      </c>
      <c r="I1220" s="101">
        <v>87</v>
      </c>
      <c r="J1220" s="100">
        <v>10</v>
      </c>
      <c r="K1220" s="100"/>
      <c r="L1220" s="100">
        <v>234</v>
      </c>
      <c r="M1220" s="100">
        <v>85</v>
      </c>
      <c r="N1220" s="100"/>
      <c r="O1220" s="100">
        <v>0</v>
      </c>
      <c r="P1220" s="100">
        <v>0</v>
      </c>
      <c r="Q1220" s="102">
        <v>14.169</v>
      </c>
      <c r="R1220" s="100">
        <v>86</v>
      </c>
      <c r="S1220" s="100">
        <v>125</v>
      </c>
      <c r="T1220" s="100">
        <v>0</v>
      </c>
      <c r="U1220" s="100">
        <v>0</v>
      </c>
      <c r="V1220" s="666">
        <v>61</v>
      </c>
      <c r="W1220" s="97"/>
      <c r="X1220" s="97">
        <f t="shared" si="19"/>
        <v>0</v>
      </c>
      <c r="Y1220" s="97"/>
      <c r="AC1220" s="100">
        <v>0</v>
      </c>
    </row>
    <row r="1221" spans="1:29" ht="15.95" customHeight="1" thickBot="1" x14ac:dyDescent="0.25">
      <c r="A1221" s="669"/>
      <c r="B1221" s="45"/>
      <c r="C1221" s="151" t="s">
        <v>414</v>
      </c>
      <c r="D1221" s="305"/>
      <c r="E1221" s="105">
        <v>32</v>
      </c>
      <c r="F1221" s="106">
        <v>0</v>
      </c>
      <c r="G1221" s="105">
        <v>24.561327561327563</v>
      </c>
      <c r="H1221" s="105">
        <v>0</v>
      </c>
      <c r="I1221" s="106"/>
      <c r="J1221" s="105">
        <v>0</v>
      </c>
      <c r="K1221" s="105"/>
      <c r="L1221" s="105"/>
      <c r="M1221" s="105">
        <v>0</v>
      </c>
      <c r="N1221" s="105"/>
      <c r="O1221" s="105">
        <v>0</v>
      </c>
      <c r="P1221" s="105">
        <v>0</v>
      </c>
      <c r="Q1221" s="273"/>
      <c r="R1221" s="105">
        <v>7</v>
      </c>
      <c r="S1221" s="105">
        <v>0</v>
      </c>
      <c r="T1221" s="105">
        <v>0</v>
      </c>
      <c r="U1221" s="105">
        <v>0</v>
      </c>
      <c r="V1221" s="670">
        <v>0</v>
      </c>
      <c r="W1221" s="97"/>
      <c r="X1221" s="97">
        <f t="shared" ref="X1221:X1269" si="20">+ROUND(AC1221/1000,0)</f>
        <v>0</v>
      </c>
      <c r="Y1221" s="97">
        <f>+IF((AC1221-ROUND(AC1221,-3)&gt;400)*AND(AC1221-ROUND(AC1221,-3)&lt;500),1,0)</f>
        <v>0</v>
      </c>
      <c r="AC1221" s="105">
        <v>0</v>
      </c>
    </row>
    <row r="1222" spans="1:29" ht="15.95" customHeight="1" thickTop="1" x14ac:dyDescent="0.2">
      <c r="A1222" s="665" t="s">
        <v>280</v>
      </c>
      <c r="B1222" s="42">
        <v>2008</v>
      </c>
      <c r="C1222" s="148" t="s">
        <v>289</v>
      </c>
      <c r="D1222" s="303">
        <v>146</v>
      </c>
      <c r="E1222" s="100">
        <v>9</v>
      </c>
      <c r="F1222" s="101">
        <v>37.557631999999998</v>
      </c>
      <c r="G1222" s="100">
        <v>25.280400572246069</v>
      </c>
      <c r="H1222" s="100">
        <v>37</v>
      </c>
      <c r="I1222" s="101">
        <v>26</v>
      </c>
      <c r="J1222" s="100"/>
      <c r="K1222" s="100">
        <v>71</v>
      </c>
      <c r="L1222" s="100"/>
      <c r="M1222" s="100">
        <v>25</v>
      </c>
      <c r="N1222" s="100"/>
      <c r="O1222" s="100">
        <v>1</v>
      </c>
      <c r="P1222" s="100">
        <v>1</v>
      </c>
      <c r="Q1222" s="271">
        <v>12.451000000000001</v>
      </c>
      <c r="R1222" s="100">
        <v>35</v>
      </c>
      <c r="S1222" s="100">
        <v>37</v>
      </c>
      <c r="T1222" s="100">
        <v>11</v>
      </c>
      <c r="U1222" s="100">
        <v>11</v>
      </c>
      <c r="V1222" s="666"/>
      <c r="W1222" s="97"/>
      <c r="X1222" s="97">
        <f t="shared" si="20"/>
        <v>11</v>
      </c>
      <c r="Y1222" s="97"/>
      <c r="AC1222" s="100">
        <v>11385.597082953509</v>
      </c>
    </row>
    <row r="1223" spans="1:29" ht="15.95" customHeight="1" x14ac:dyDescent="0.2">
      <c r="A1223" s="665"/>
      <c r="B1223" s="43"/>
      <c r="C1223" s="149" t="s">
        <v>290</v>
      </c>
      <c r="D1223" s="303">
        <v>146</v>
      </c>
      <c r="E1223" s="100">
        <v>0</v>
      </c>
      <c r="F1223" s="101">
        <v>37.557631999999998</v>
      </c>
      <c r="G1223" s="100">
        <v>0</v>
      </c>
      <c r="H1223" s="100">
        <v>34</v>
      </c>
      <c r="I1223" s="101"/>
      <c r="J1223" s="100"/>
      <c r="K1223" s="100">
        <v>71</v>
      </c>
      <c r="L1223" s="100"/>
      <c r="M1223" s="100">
        <v>25</v>
      </c>
      <c r="N1223" s="100"/>
      <c r="O1223" s="100">
        <v>0</v>
      </c>
      <c r="P1223" s="100">
        <v>1</v>
      </c>
      <c r="Q1223" s="271"/>
      <c r="R1223" s="100">
        <v>35</v>
      </c>
      <c r="S1223" s="100">
        <v>37</v>
      </c>
      <c r="T1223" s="100">
        <v>11</v>
      </c>
      <c r="U1223" s="100">
        <v>11</v>
      </c>
      <c r="V1223" s="666"/>
      <c r="W1223" s="97"/>
      <c r="X1223" s="97">
        <f t="shared" si="20"/>
        <v>11</v>
      </c>
      <c r="Y1223" s="97"/>
      <c r="AC1223" s="100">
        <v>11343.664539653601</v>
      </c>
    </row>
    <row r="1224" spans="1:29" ht="15.95" customHeight="1" x14ac:dyDescent="0.2">
      <c r="A1224" s="667"/>
      <c r="B1224" s="44"/>
      <c r="C1224" s="150" t="s">
        <v>291</v>
      </c>
      <c r="D1224" s="304"/>
      <c r="E1224" s="103">
        <v>0</v>
      </c>
      <c r="F1224" s="104">
        <v>0</v>
      </c>
      <c r="G1224" s="103">
        <v>1.0872675250357653</v>
      </c>
      <c r="H1224" s="103">
        <v>0</v>
      </c>
      <c r="I1224" s="104"/>
      <c r="J1224" s="103"/>
      <c r="K1224" s="103"/>
      <c r="L1224" s="103"/>
      <c r="M1224" s="103">
        <v>72</v>
      </c>
      <c r="N1224" s="103"/>
      <c r="O1224" s="103">
        <v>1</v>
      </c>
      <c r="P1224" s="103">
        <v>3</v>
      </c>
      <c r="Q1224" s="272">
        <v>13.429</v>
      </c>
      <c r="R1224" s="103">
        <v>52</v>
      </c>
      <c r="S1224" s="103">
        <v>0</v>
      </c>
      <c r="T1224" s="103">
        <v>0</v>
      </c>
      <c r="U1224" s="103">
        <v>0</v>
      </c>
      <c r="V1224" s="668"/>
      <c r="W1224" s="97"/>
      <c r="X1224" s="97">
        <f t="shared" si="20"/>
        <v>0</v>
      </c>
      <c r="Y1224" s="97"/>
      <c r="AC1224" s="103">
        <v>35.551504102096629</v>
      </c>
    </row>
    <row r="1225" spans="1:29" ht="15.95" customHeight="1" x14ac:dyDescent="0.2">
      <c r="A1225" s="665"/>
      <c r="B1225" s="42">
        <v>2009</v>
      </c>
      <c r="C1225" s="149" t="s">
        <v>412</v>
      </c>
      <c r="D1225" s="303">
        <v>195</v>
      </c>
      <c r="E1225" s="100">
        <v>10</v>
      </c>
      <c r="F1225" s="101">
        <v>37.557631999999998</v>
      </c>
      <c r="G1225" s="100">
        <v>26.373737373737374</v>
      </c>
      <c r="H1225" s="100">
        <v>42</v>
      </c>
      <c r="I1225" s="101">
        <v>26</v>
      </c>
      <c r="J1225" s="100"/>
      <c r="K1225" s="100">
        <v>71</v>
      </c>
      <c r="L1225" s="100"/>
      <c r="M1225" s="100">
        <v>25</v>
      </c>
      <c r="N1225" s="100"/>
      <c r="O1225" s="100">
        <v>1</v>
      </c>
      <c r="P1225" s="100">
        <v>1</v>
      </c>
      <c r="Q1225" s="102">
        <v>11.802</v>
      </c>
      <c r="R1225" s="100">
        <v>36</v>
      </c>
      <c r="S1225" s="100">
        <v>37</v>
      </c>
      <c r="T1225" s="100">
        <v>11</v>
      </c>
      <c r="U1225" s="100">
        <v>12</v>
      </c>
      <c r="V1225" s="666"/>
      <c r="W1225" s="100"/>
      <c r="X1225" s="97">
        <f t="shared" si="20"/>
        <v>12</v>
      </c>
      <c r="Y1225" s="97"/>
      <c r="AC1225" s="100">
        <v>12477.52247752248</v>
      </c>
    </row>
    <row r="1226" spans="1:29" ht="15.95" customHeight="1" x14ac:dyDescent="0.2">
      <c r="A1226" s="665"/>
      <c r="B1226" s="43"/>
      <c r="C1226" s="149" t="s">
        <v>413</v>
      </c>
      <c r="D1226" s="303">
        <v>195</v>
      </c>
      <c r="E1226" s="100">
        <v>0</v>
      </c>
      <c r="F1226" s="101">
        <v>37.557631999999998</v>
      </c>
      <c r="G1226" s="100">
        <v>26.373737373737374</v>
      </c>
      <c r="H1226" s="100">
        <v>42</v>
      </c>
      <c r="I1226" s="101"/>
      <c r="J1226" s="100"/>
      <c r="K1226" s="100">
        <v>71</v>
      </c>
      <c r="L1226" s="100"/>
      <c r="M1226" s="100">
        <v>25</v>
      </c>
      <c r="N1226" s="100"/>
      <c r="O1226" s="100">
        <v>1</v>
      </c>
      <c r="P1226" s="100">
        <v>1</v>
      </c>
      <c r="Q1226" s="271"/>
      <c r="R1226" s="100">
        <v>0</v>
      </c>
      <c r="S1226" s="100">
        <v>37</v>
      </c>
      <c r="T1226" s="100">
        <v>11</v>
      </c>
      <c r="U1226" s="100">
        <v>12</v>
      </c>
      <c r="V1226" s="666"/>
      <c r="W1226" s="97"/>
      <c r="X1226" s="97">
        <f t="shared" si="20"/>
        <v>12</v>
      </c>
      <c r="Y1226" s="97"/>
      <c r="AC1226" s="100">
        <v>12470.529470529473</v>
      </c>
    </row>
    <row r="1227" spans="1:29" ht="15.95" customHeight="1" thickBot="1" x14ac:dyDescent="0.25">
      <c r="A1227" s="669"/>
      <c r="B1227" s="45"/>
      <c r="C1227" s="151" t="s">
        <v>414</v>
      </c>
      <c r="D1227" s="305"/>
      <c r="E1227" s="105">
        <v>0</v>
      </c>
      <c r="F1227" s="106">
        <v>0</v>
      </c>
      <c r="G1227" s="105">
        <v>52.054834054834053</v>
      </c>
      <c r="H1227" s="105">
        <v>3</v>
      </c>
      <c r="I1227" s="106">
        <v>26</v>
      </c>
      <c r="J1227" s="105"/>
      <c r="K1227" s="105"/>
      <c r="L1227" s="105"/>
      <c r="M1227" s="105">
        <v>0</v>
      </c>
      <c r="N1227" s="105"/>
      <c r="O1227" s="105">
        <v>3</v>
      </c>
      <c r="P1227" s="105">
        <v>0</v>
      </c>
      <c r="Q1227" s="273">
        <v>11.802</v>
      </c>
      <c r="R1227" s="105">
        <v>0</v>
      </c>
      <c r="S1227" s="105">
        <v>0</v>
      </c>
      <c r="T1227" s="105">
        <v>0</v>
      </c>
      <c r="U1227" s="105">
        <v>0</v>
      </c>
      <c r="V1227" s="670"/>
      <c r="W1227" s="97"/>
      <c r="X1227" s="97">
        <f t="shared" si="20"/>
        <v>0</v>
      </c>
      <c r="Y1227" s="97">
        <f>+IF((AC1227-ROUND(AC1227,-3)&gt;400)*AND(AC1227-ROUND(AC1227,-3)&lt;500),1,0)</f>
        <v>0</v>
      </c>
      <c r="AC1227" s="105">
        <v>45.954045954045959</v>
      </c>
    </row>
    <row r="1228" spans="1:29" ht="15.95" customHeight="1" thickTop="1" x14ac:dyDescent="0.2">
      <c r="A1228" s="665" t="s">
        <v>281</v>
      </c>
      <c r="B1228" s="42">
        <v>2008</v>
      </c>
      <c r="C1228" s="148" t="s">
        <v>289</v>
      </c>
      <c r="D1228" s="303">
        <v>18</v>
      </c>
      <c r="E1228" s="100">
        <v>1</v>
      </c>
      <c r="F1228" s="101">
        <v>4.6946972000000002</v>
      </c>
      <c r="G1228" s="100"/>
      <c r="H1228" s="100">
        <v>37</v>
      </c>
      <c r="I1228" s="101">
        <v>3</v>
      </c>
      <c r="J1228" s="100">
        <v>109</v>
      </c>
      <c r="K1228" s="100">
        <v>18</v>
      </c>
      <c r="L1228" s="100"/>
      <c r="M1228" s="100">
        <v>3</v>
      </c>
      <c r="N1228" s="100"/>
      <c r="O1228" s="100">
        <v>0</v>
      </c>
      <c r="P1228" s="100">
        <v>0</v>
      </c>
      <c r="Q1228" s="271">
        <v>1.1319999999999999</v>
      </c>
      <c r="R1228" s="100"/>
      <c r="S1228" s="100">
        <v>5</v>
      </c>
      <c r="T1228" s="100"/>
      <c r="U1228" s="100">
        <v>11</v>
      </c>
      <c r="V1228" s="666"/>
      <c r="W1228" s="97"/>
      <c r="X1228" s="97">
        <f t="shared" si="20"/>
        <v>11</v>
      </c>
      <c r="Y1228" s="97"/>
      <c r="AC1228" s="100">
        <v>11385.597082953509</v>
      </c>
    </row>
    <row r="1229" spans="1:29" ht="15.95" customHeight="1" x14ac:dyDescent="0.2">
      <c r="A1229" s="665"/>
      <c r="B1229" s="43"/>
      <c r="C1229" s="149" t="s">
        <v>290</v>
      </c>
      <c r="D1229" s="303"/>
      <c r="E1229" s="100">
        <v>0</v>
      </c>
      <c r="F1229" s="101">
        <v>0</v>
      </c>
      <c r="G1229" s="100"/>
      <c r="H1229" s="100">
        <v>36</v>
      </c>
      <c r="I1229" s="101"/>
      <c r="J1229" s="100">
        <v>109</v>
      </c>
      <c r="K1229" s="100">
        <v>18</v>
      </c>
      <c r="L1229" s="100"/>
      <c r="M1229" s="100">
        <v>0</v>
      </c>
      <c r="N1229" s="100"/>
      <c r="O1229" s="100">
        <v>0</v>
      </c>
      <c r="P1229" s="100">
        <v>0</v>
      </c>
      <c r="Q1229" s="271"/>
      <c r="R1229" s="100"/>
      <c r="S1229" s="100">
        <v>5</v>
      </c>
      <c r="T1229" s="100"/>
      <c r="U1229" s="100">
        <v>10</v>
      </c>
      <c r="V1229" s="666"/>
      <c r="W1229" s="97"/>
      <c r="X1229" s="97">
        <f>+ROUNDDOWN(AC1229/1000,0)</f>
        <v>10</v>
      </c>
      <c r="Y1229" s="97"/>
      <c r="AC1229" s="100">
        <v>10771.349134001823</v>
      </c>
    </row>
    <row r="1230" spans="1:29" ht="15.95" customHeight="1" x14ac:dyDescent="0.2">
      <c r="A1230" s="667"/>
      <c r="B1230" s="44"/>
      <c r="C1230" s="150" t="s">
        <v>291</v>
      </c>
      <c r="D1230" s="304">
        <v>37</v>
      </c>
      <c r="E1230" s="103">
        <v>0</v>
      </c>
      <c r="F1230" s="104">
        <v>0</v>
      </c>
      <c r="G1230" s="103"/>
      <c r="H1230" s="103">
        <v>0</v>
      </c>
      <c r="I1230" s="104">
        <v>6</v>
      </c>
      <c r="J1230" s="103">
        <v>0</v>
      </c>
      <c r="K1230" s="103"/>
      <c r="L1230" s="103"/>
      <c r="M1230" s="103">
        <v>0</v>
      </c>
      <c r="N1230" s="103"/>
      <c r="O1230" s="103">
        <v>0</v>
      </c>
      <c r="P1230" s="103">
        <v>0</v>
      </c>
      <c r="Q1230" s="272"/>
      <c r="R1230" s="103"/>
      <c r="S1230" s="103">
        <v>0</v>
      </c>
      <c r="T1230" s="103"/>
      <c r="U1230" s="103">
        <v>23</v>
      </c>
      <c r="V1230" s="668"/>
      <c r="W1230" s="97"/>
      <c r="X1230" s="97">
        <f t="shared" si="20"/>
        <v>23</v>
      </c>
      <c r="Y1230" s="97"/>
      <c r="AC1230" s="103">
        <v>22786.390154968092</v>
      </c>
    </row>
    <row r="1231" spans="1:29" ht="15.95" customHeight="1" x14ac:dyDescent="0.2">
      <c r="A1231" s="665"/>
      <c r="B1231" s="42">
        <v>2009</v>
      </c>
      <c r="C1231" s="149" t="s">
        <v>412</v>
      </c>
      <c r="D1231" s="303">
        <v>24</v>
      </c>
      <c r="E1231" s="100">
        <v>1</v>
      </c>
      <c r="F1231" s="101">
        <v>4.6946972000000002</v>
      </c>
      <c r="G1231" s="100"/>
      <c r="H1231" s="100">
        <v>42</v>
      </c>
      <c r="I1231" s="101">
        <v>3</v>
      </c>
      <c r="J1231" s="100">
        <v>96</v>
      </c>
      <c r="K1231" s="100">
        <v>18</v>
      </c>
      <c r="L1231" s="100"/>
      <c r="M1231" s="100">
        <v>3</v>
      </c>
      <c r="N1231" s="100"/>
      <c r="O1231" s="100">
        <v>0</v>
      </c>
      <c r="P1231" s="100">
        <v>0</v>
      </c>
      <c r="Q1231" s="102">
        <v>1.073</v>
      </c>
      <c r="R1231" s="100"/>
      <c r="S1231" s="100">
        <v>5</v>
      </c>
      <c r="T1231" s="100"/>
      <c r="U1231" s="100">
        <v>12</v>
      </c>
      <c r="V1231" s="666"/>
      <c r="W1231" s="100"/>
      <c r="X1231" s="97">
        <f t="shared" si="20"/>
        <v>12</v>
      </c>
      <c r="Y1231" s="97"/>
      <c r="AC1231" s="100">
        <v>12477.52247752248</v>
      </c>
    </row>
    <row r="1232" spans="1:29" ht="15.95" customHeight="1" x14ac:dyDescent="0.2">
      <c r="A1232" s="665"/>
      <c r="B1232" s="43"/>
      <c r="C1232" s="149" t="s">
        <v>413</v>
      </c>
      <c r="D1232" s="303">
        <v>24</v>
      </c>
      <c r="E1232" s="100">
        <v>0</v>
      </c>
      <c r="F1232" s="101">
        <v>0</v>
      </c>
      <c r="G1232" s="100"/>
      <c r="H1232" s="100">
        <v>42</v>
      </c>
      <c r="I1232" s="101"/>
      <c r="J1232" s="100">
        <v>96</v>
      </c>
      <c r="K1232" s="100">
        <v>18</v>
      </c>
      <c r="L1232" s="100"/>
      <c r="M1232" s="100">
        <v>0</v>
      </c>
      <c r="N1232" s="100"/>
      <c r="O1232" s="100">
        <v>0</v>
      </c>
      <c r="P1232" s="100">
        <v>0</v>
      </c>
      <c r="Q1232" s="271"/>
      <c r="R1232" s="100"/>
      <c r="S1232" s="100">
        <v>0</v>
      </c>
      <c r="T1232" s="100"/>
      <c r="U1232" s="100">
        <v>0</v>
      </c>
      <c r="V1232" s="666"/>
      <c r="W1232" s="97"/>
      <c r="X1232" s="97">
        <f t="shared" si="20"/>
        <v>0</v>
      </c>
      <c r="Y1232" s="97"/>
      <c r="AC1232" s="100">
        <v>0</v>
      </c>
    </row>
    <row r="1233" spans="1:29" ht="15.95" customHeight="1" thickBot="1" x14ac:dyDescent="0.25">
      <c r="A1233" s="669"/>
      <c r="B1233" s="45"/>
      <c r="C1233" s="151" t="s">
        <v>414</v>
      </c>
      <c r="D1233" s="305">
        <v>18</v>
      </c>
      <c r="E1233" s="105">
        <v>0</v>
      </c>
      <c r="F1233" s="106">
        <v>0</v>
      </c>
      <c r="G1233" s="105"/>
      <c r="H1233" s="105">
        <v>1</v>
      </c>
      <c r="I1233" s="106"/>
      <c r="J1233" s="105">
        <v>0</v>
      </c>
      <c r="K1233" s="105"/>
      <c r="L1233" s="105"/>
      <c r="M1233" s="105">
        <v>3</v>
      </c>
      <c r="N1233" s="105"/>
      <c r="O1233" s="105">
        <v>0</v>
      </c>
      <c r="P1233" s="105">
        <v>0</v>
      </c>
      <c r="Q1233" s="273"/>
      <c r="R1233" s="105"/>
      <c r="S1233" s="105">
        <v>0</v>
      </c>
      <c r="T1233" s="105"/>
      <c r="U1233" s="105">
        <v>0</v>
      </c>
      <c r="V1233" s="670"/>
      <c r="W1233" s="97"/>
      <c r="X1233" s="97">
        <f t="shared" si="20"/>
        <v>0</v>
      </c>
      <c r="Y1233" s="97">
        <f>+IF((AC1233-ROUND(AC1233,-3)&gt;400)*AND(AC1233-ROUND(AC1233,-3)&lt;500),1,0)</f>
        <v>0</v>
      </c>
      <c r="AC1233" s="105">
        <v>0</v>
      </c>
    </row>
    <row r="1234" spans="1:29" ht="15.95" customHeight="1" thickTop="1" x14ac:dyDescent="0.2">
      <c r="A1234" s="665" t="s">
        <v>342</v>
      </c>
      <c r="B1234" s="42">
        <v>2008</v>
      </c>
      <c r="C1234" s="148" t="s">
        <v>289</v>
      </c>
      <c r="D1234" s="303">
        <v>3658</v>
      </c>
      <c r="E1234" s="100">
        <v>241</v>
      </c>
      <c r="F1234" s="101">
        <v>943.63551080000002</v>
      </c>
      <c r="G1234" s="100">
        <v>601.82260371959944</v>
      </c>
      <c r="H1234" s="100">
        <v>98</v>
      </c>
      <c r="I1234" s="101">
        <v>642</v>
      </c>
      <c r="J1234" s="100">
        <v>73</v>
      </c>
      <c r="K1234" s="100">
        <v>284</v>
      </c>
      <c r="L1234" s="100">
        <v>2882</v>
      </c>
      <c r="M1234" s="100">
        <v>631</v>
      </c>
      <c r="N1234" s="100"/>
      <c r="O1234" s="100">
        <v>23</v>
      </c>
      <c r="P1234" s="100">
        <v>31</v>
      </c>
      <c r="Q1234" s="271">
        <v>314.67899999999997</v>
      </c>
      <c r="R1234" s="100">
        <v>96</v>
      </c>
      <c r="S1234" s="100">
        <v>929</v>
      </c>
      <c r="T1234" s="100">
        <v>11</v>
      </c>
      <c r="U1234" s="100">
        <v>114</v>
      </c>
      <c r="V1234" s="666">
        <v>482.87142857142857</v>
      </c>
      <c r="W1234" s="97"/>
      <c r="X1234" s="97">
        <f t="shared" si="20"/>
        <v>114</v>
      </c>
      <c r="Y1234" s="97"/>
      <c r="AC1234" s="100">
        <v>113855.9708295351</v>
      </c>
    </row>
    <row r="1235" spans="1:29" ht="15.95" customHeight="1" x14ac:dyDescent="0.2">
      <c r="A1235" s="665" t="s">
        <v>70</v>
      </c>
      <c r="B1235" s="43"/>
      <c r="C1235" s="149" t="s">
        <v>290</v>
      </c>
      <c r="D1235" s="303">
        <v>3658</v>
      </c>
      <c r="E1235" s="100">
        <v>241</v>
      </c>
      <c r="F1235" s="101">
        <v>943.63551080000002</v>
      </c>
      <c r="G1235" s="100">
        <v>239.75965665236055</v>
      </c>
      <c r="H1235" s="100">
        <v>98</v>
      </c>
      <c r="I1235" s="101">
        <f>642-438</f>
        <v>204</v>
      </c>
      <c r="J1235" s="100">
        <v>73</v>
      </c>
      <c r="K1235" s="100">
        <v>284</v>
      </c>
      <c r="L1235" s="100">
        <v>2882</v>
      </c>
      <c r="M1235" s="100">
        <v>631</v>
      </c>
      <c r="N1235" s="100">
        <v>15000</v>
      </c>
      <c r="O1235" s="100">
        <v>23</v>
      </c>
      <c r="P1235" s="100">
        <v>31</v>
      </c>
      <c r="Q1235" s="271">
        <v>314.67899999999997</v>
      </c>
      <c r="R1235" s="100">
        <v>96</v>
      </c>
      <c r="S1235" s="100">
        <v>929</v>
      </c>
      <c r="T1235" s="100">
        <v>11</v>
      </c>
      <c r="U1235" s="100">
        <v>114</v>
      </c>
      <c r="V1235" s="666">
        <v>396.42857142857139</v>
      </c>
      <c r="W1235" s="97"/>
      <c r="X1235" s="97">
        <f t="shared" si="20"/>
        <v>114</v>
      </c>
      <c r="Y1235" s="97"/>
      <c r="AC1235" s="100">
        <v>113855.9708295351</v>
      </c>
    </row>
    <row r="1236" spans="1:29" ht="15.95" customHeight="1" x14ac:dyDescent="0.2">
      <c r="A1236" s="667" t="s">
        <v>71</v>
      </c>
      <c r="B1236" s="44"/>
      <c r="C1236" s="150" t="s">
        <v>291</v>
      </c>
      <c r="D1236" s="304"/>
      <c r="E1236" s="103">
        <v>0</v>
      </c>
      <c r="F1236" s="104">
        <v>23.9362584</v>
      </c>
      <c r="G1236" s="103">
        <v>389.3662374821173</v>
      </c>
      <c r="H1236" s="103">
        <v>0</v>
      </c>
      <c r="I1236" s="104"/>
      <c r="J1236" s="103">
        <v>0</v>
      </c>
      <c r="K1236" s="103"/>
      <c r="L1236" s="103"/>
      <c r="M1236" s="103">
        <v>89</v>
      </c>
      <c r="N1236" s="103"/>
      <c r="O1236" s="103">
        <v>0</v>
      </c>
      <c r="P1236" s="103">
        <v>0</v>
      </c>
      <c r="Q1236" s="272">
        <v>8.4949999999999992</v>
      </c>
      <c r="R1236" s="103">
        <v>0</v>
      </c>
      <c r="S1236" s="103">
        <v>764</v>
      </c>
      <c r="T1236" s="103">
        <v>0</v>
      </c>
      <c r="U1236" s="103">
        <v>0</v>
      </c>
      <c r="V1236" s="668">
        <v>0</v>
      </c>
      <c r="W1236" s="97"/>
      <c r="X1236" s="97">
        <f t="shared" si="20"/>
        <v>0</v>
      </c>
      <c r="Y1236" s="97"/>
      <c r="AC1236" s="103">
        <v>0</v>
      </c>
    </row>
    <row r="1237" spans="1:29" ht="15.95" customHeight="1" x14ac:dyDescent="0.2">
      <c r="A1237" s="665"/>
      <c r="B1237" s="42">
        <v>2009</v>
      </c>
      <c r="C1237" s="149" t="s">
        <v>412</v>
      </c>
      <c r="D1237" s="303">
        <v>4873</v>
      </c>
      <c r="E1237" s="100">
        <v>245</v>
      </c>
      <c r="F1237" s="101">
        <v>943.63551080000002</v>
      </c>
      <c r="G1237" s="100">
        <v>638.66810966810965</v>
      </c>
      <c r="H1237" s="100">
        <v>107</v>
      </c>
      <c r="I1237" s="101">
        <v>642</v>
      </c>
      <c r="J1237" s="100">
        <v>64</v>
      </c>
      <c r="K1237" s="100">
        <v>284</v>
      </c>
      <c r="L1237" s="100">
        <f>5764-L1234</f>
        <v>2882</v>
      </c>
      <c r="M1237" s="100">
        <v>631</v>
      </c>
      <c r="N1237" s="100"/>
      <c r="O1237" s="100">
        <v>23</v>
      </c>
      <c r="P1237" s="100">
        <v>31</v>
      </c>
      <c r="Q1237" s="102">
        <v>298.267</v>
      </c>
      <c r="R1237" s="100">
        <v>97</v>
      </c>
      <c r="S1237" s="100">
        <v>929</v>
      </c>
      <c r="T1237" s="100">
        <v>11</v>
      </c>
      <c r="U1237" s="100">
        <v>126</v>
      </c>
      <c r="V1237" s="666">
        <v>518</v>
      </c>
      <c r="W1237" s="100"/>
      <c r="X1237" s="97">
        <f>+ROUNDUP(AC1237/1000+0.5,0)</f>
        <v>126</v>
      </c>
      <c r="Y1237" s="97"/>
      <c r="AC1237" s="100">
        <v>124775.22477522479</v>
      </c>
    </row>
    <row r="1238" spans="1:29" ht="15.95" customHeight="1" x14ac:dyDescent="0.2">
      <c r="A1238" s="665"/>
      <c r="B1238" s="43"/>
      <c r="C1238" s="149" t="s">
        <v>413</v>
      </c>
      <c r="D1238" s="303">
        <v>2823</v>
      </c>
      <c r="E1238" s="100">
        <v>66</v>
      </c>
      <c r="F1238" s="101">
        <v>882.62883479999994</v>
      </c>
      <c r="G1238" s="100">
        <v>94.326118326118333</v>
      </c>
      <c r="H1238" s="100">
        <v>107</v>
      </c>
      <c r="I1238" s="101">
        <v>181</v>
      </c>
      <c r="J1238" s="100">
        <v>64</v>
      </c>
      <c r="K1238" s="100">
        <v>284</v>
      </c>
      <c r="L1238" s="100">
        <v>2882</v>
      </c>
      <c r="M1238" s="100">
        <v>290</v>
      </c>
      <c r="N1238" s="100"/>
      <c r="O1238" s="100">
        <v>0</v>
      </c>
      <c r="P1238" s="100">
        <v>0</v>
      </c>
      <c r="Q1238" s="102">
        <v>110.925</v>
      </c>
      <c r="R1238" s="100">
        <v>97</v>
      </c>
      <c r="S1238" s="100">
        <v>188</v>
      </c>
      <c r="T1238" s="100">
        <v>5</v>
      </c>
      <c r="U1238" s="100">
        <v>82</v>
      </c>
      <c r="V1238" s="666">
        <v>44</v>
      </c>
      <c r="W1238" s="97"/>
      <c r="X1238" s="97">
        <f>+ROUNDDOWN(AC1238/1000,0)</f>
        <v>82</v>
      </c>
      <c r="Y1238" s="97"/>
      <c r="AC1238" s="100">
        <v>82598.281718281738</v>
      </c>
    </row>
    <row r="1239" spans="1:29" ht="15.95" customHeight="1" thickBot="1" x14ac:dyDescent="0.25">
      <c r="A1239" s="669"/>
      <c r="B1239" s="45"/>
      <c r="C1239" s="151" t="s">
        <v>414</v>
      </c>
      <c r="D1239" s="305"/>
      <c r="E1239" s="105">
        <v>0</v>
      </c>
      <c r="F1239" s="106">
        <v>0</v>
      </c>
      <c r="G1239" s="105">
        <v>365.19769119769126</v>
      </c>
      <c r="H1239" s="105">
        <v>0</v>
      </c>
      <c r="I1239" s="106">
        <v>438</v>
      </c>
      <c r="J1239" s="105">
        <v>0</v>
      </c>
      <c r="K1239" s="105"/>
      <c r="L1239" s="105"/>
      <c r="M1239" s="105">
        <v>0</v>
      </c>
      <c r="N1239" s="105"/>
      <c r="O1239" s="105">
        <v>0</v>
      </c>
      <c r="P1239" s="105">
        <v>0</v>
      </c>
      <c r="Q1239" s="273"/>
      <c r="R1239" s="105">
        <v>103</v>
      </c>
      <c r="S1239" s="105">
        <v>0</v>
      </c>
      <c r="T1239" s="105">
        <v>0</v>
      </c>
      <c r="U1239" s="105">
        <v>0</v>
      </c>
      <c r="V1239" s="670">
        <v>0</v>
      </c>
      <c r="W1239" s="97"/>
      <c r="X1239" s="97">
        <f t="shared" si="20"/>
        <v>0</v>
      </c>
      <c r="Y1239" s="97">
        <f>+IF((AC1239-ROUND(AC1239,-3)&gt;400)*AND(AC1239-ROUND(AC1239,-3)&lt;500),1,0)</f>
        <v>0</v>
      </c>
      <c r="AC1239" s="105">
        <v>0</v>
      </c>
    </row>
    <row r="1240" spans="1:29" ht="15.95" customHeight="1" thickTop="1" x14ac:dyDescent="0.2">
      <c r="A1240" s="665" t="s">
        <v>282</v>
      </c>
      <c r="B1240" s="42">
        <v>2008</v>
      </c>
      <c r="C1240" s="148" t="s">
        <v>289</v>
      </c>
      <c r="D1240" s="303">
        <v>439</v>
      </c>
      <c r="E1240" s="100">
        <v>28</v>
      </c>
      <c r="F1240" s="101">
        <v>112.67289600000001</v>
      </c>
      <c r="G1240" s="100">
        <v>73.194563662374833</v>
      </c>
      <c r="H1240" s="100">
        <v>43</v>
      </c>
      <c r="I1240" s="101">
        <v>77</v>
      </c>
      <c r="J1240" s="100">
        <v>123</v>
      </c>
      <c r="K1240" s="100">
        <v>142</v>
      </c>
      <c r="L1240" s="100"/>
      <c r="M1240" s="100">
        <v>76</v>
      </c>
      <c r="N1240" s="100"/>
      <c r="O1240" s="100">
        <v>3</v>
      </c>
      <c r="P1240" s="100">
        <v>4</v>
      </c>
      <c r="Q1240" s="271">
        <v>37.353999999999999</v>
      </c>
      <c r="R1240" s="100">
        <v>37</v>
      </c>
      <c r="S1240" s="100">
        <v>111</v>
      </c>
      <c r="T1240" s="100">
        <v>5</v>
      </c>
      <c r="U1240" s="100">
        <v>11</v>
      </c>
      <c r="V1240" s="666">
        <v>451.1035714285714</v>
      </c>
      <c r="W1240" s="97"/>
      <c r="X1240" s="97">
        <f t="shared" si="20"/>
        <v>11</v>
      </c>
      <c r="Y1240" s="97"/>
      <c r="AC1240" s="100">
        <v>11385.597082953509</v>
      </c>
    </row>
    <row r="1241" spans="1:29" ht="15.95" customHeight="1" x14ac:dyDescent="0.2">
      <c r="A1241" s="665"/>
      <c r="B1241" s="43"/>
      <c r="C1241" s="149" t="s">
        <v>290</v>
      </c>
      <c r="D1241" s="303">
        <v>439</v>
      </c>
      <c r="E1241" s="100">
        <v>28</v>
      </c>
      <c r="F1241" s="101">
        <v>112.67289600000001</v>
      </c>
      <c r="G1241" s="100">
        <v>72.407725321888421</v>
      </c>
      <c r="H1241" s="100">
        <v>42</v>
      </c>
      <c r="I1241" s="101">
        <v>77</v>
      </c>
      <c r="J1241" s="100">
        <v>123</v>
      </c>
      <c r="K1241" s="100">
        <v>142</v>
      </c>
      <c r="L1241" s="100"/>
      <c r="M1241" s="100">
        <v>76</v>
      </c>
      <c r="N1241" s="100">
        <v>200</v>
      </c>
      <c r="O1241" s="100">
        <v>3</v>
      </c>
      <c r="P1241" s="100">
        <v>4</v>
      </c>
      <c r="Q1241" s="271">
        <v>37.353999999999999</v>
      </c>
      <c r="R1241" s="100">
        <v>0</v>
      </c>
      <c r="S1241" s="100">
        <v>111</v>
      </c>
      <c r="T1241" s="100">
        <v>5</v>
      </c>
      <c r="U1241" s="100">
        <v>11</v>
      </c>
      <c r="V1241" s="666">
        <v>450.89285714285711</v>
      </c>
      <c r="W1241" s="97"/>
      <c r="X1241" s="97">
        <f t="shared" si="20"/>
        <v>11</v>
      </c>
      <c r="Y1241" s="97"/>
      <c r="AC1241" s="100">
        <v>11385.597082953509</v>
      </c>
    </row>
    <row r="1242" spans="1:29" ht="15.95" customHeight="1" x14ac:dyDescent="0.2">
      <c r="A1242" s="667"/>
      <c r="B1242" s="44"/>
      <c r="C1242" s="150" t="s">
        <v>291</v>
      </c>
      <c r="D1242" s="304"/>
      <c r="E1242" s="103">
        <v>0</v>
      </c>
      <c r="F1242" s="104">
        <v>0</v>
      </c>
      <c r="G1242" s="103">
        <v>0</v>
      </c>
      <c r="H1242" s="103">
        <v>30</v>
      </c>
      <c r="I1242" s="104"/>
      <c r="J1242" s="103">
        <v>0</v>
      </c>
      <c r="K1242" s="103"/>
      <c r="L1242" s="103"/>
      <c r="M1242" s="103">
        <v>0</v>
      </c>
      <c r="N1242" s="103"/>
      <c r="O1242" s="103">
        <v>0</v>
      </c>
      <c r="P1242" s="103">
        <v>0</v>
      </c>
      <c r="Q1242" s="272"/>
      <c r="R1242" s="103">
        <v>0</v>
      </c>
      <c r="S1242" s="103">
        <v>0</v>
      </c>
      <c r="T1242" s="103">
        <v>0</v>
      </c>
      <c r="U1242" s="103">
        <v>0</v>
      </c>
      <c r="V1242" s="668">
        <v>0</v>
      </c>
      <c r="W1242" s="97"/>
      <c r="X1242" s="97">
        <f t="shared" si="20"/>
        <v>0</v>
      </c>
      <c r="Y1242" s="97"/>
      <c r="AC1242" s="103">
        <v>0</v>
      </c>
    </row>
    <row r="1243" spans="1:29" ht="15.95" customHeight="1" x14ac:dyDescent="0.2">
      <c r="A1243" s="665"/>
      <c r="B1243" s="42">
        <v>2009</v>
      </c>
      <c r="C1243" s="149" t="s">
        <v>412</v>
      </c>
      <c r="D1243" s="303">
        <v>585</v>
      </c>
      <c r="E1243" s="100">
        <v>29</v>
      </c>
      <c r="F1243" s="101">
        <v>112.67289600000001</v>
      </c>
      <c r="G1243" s="100">
        <v>75.835497835497833</v>
      </c>
      <c r="H1243" s="100">
        <v>65</v>
      </c>
      <c r="I1243" s="101">
        <v>77</v>
      </c>
      <c r="J1243" s="100">
        <v>125</v>
      </c>
      <c r="K1243" s="100">
        <v>142</v>
      </c>
      <c r="L1243" s="100"/>
      <c r="M1243" s="100">
        <v>76</v>
      </c>
      <c r="N1243" s="100"/>
      <c r="O1243" s="100">
        <v>3</v>
      </c>
      <c r="P1243" s="100">
        <v>4</v>
      </c>
      <c r="Q1243" s="102">
        <v>35.405999999999999</v>
      </c>
      <c r="R1243" s="100">
        <v>40</v>
      </c>
      <c r="S1243" s="100">
        <v>111</v>
      </c>
      <c r="T1243" s="100">
        <v>6</v>
      </c>
      <c r="U1243" s="100">
        <v>12</v>
      </c>
      <c r="V1243" s="666">
        <v>405</v>
      </c>
      <c r="W1243" s="100"/>
      <c r="X1243" s="97">
        <f t="shared" si="20"/>
        <v>12</v>
      </c>
      <c r="Y1243" s="97"/>
      <c r="AC1243" s="100">
        <v>12477.52247752248</v>
      </c>
    </row>
    <row r="1244" spans="1:29" ht="15.95" customHeight="1" x14ac:dyDescent="0.2">
      <c r="A1244" s="665"/>
      <c r="B1244" s="43"/>
      <c r="C1244" s="149" t="s">
        <v>413</v>
      </c>
      <c r="D1244" s="303">
        <v>585</v>
      </c>
      <c r="E1244" s="100">
        <v>29</v>
      </c>
      <c r="F1244" s="101">
        <v>112.67289600000001</v>
      </c>
      <c r="G1244" s="100">
        <v>75.835497835497833</v>
      </c>
      <c r="H1244" s="100">
        <v>65</v>
      </c>
      <c r="I1244" s="101">
        <v>77</v>
      </c>
      <c r="J1244" s="100">
        <v>125</v>
      </c>
      <c r="K1244" s="100">
        <v>142</v>
      </c>
      <c r="L1244" s="100"/>
      <c r="M1244" s="100">
        <v>76</v>
      </c>
      <c r="N1244" s="100">
        <v>200</v>
      </c>
      <c r="O1244" s="100">
        <v>3</v>
      </c>
      <c r="P1244" s="100">
        <v>4</v>
      </c>
      <c r="Q1244" s="102">
        <v>35.405999999999999</v>
      </c>
      <c r="R1244" s="100">
        <v>40</v>
      </c>
      <c r="S1244" s="100">
        <v>111</v>
      </c>
      <c r="T1244" s="100">
        <v>6</v>
      </c>
      <c r="U1244" s="100">
        <v>12</v>
      </c>
      <c r="V1244" s="666">
        <v>403</v>
      </c>
      <c r="W1244" s="97"/>
      <c r="X1244" s="97">
        <f t="shared" si="20"/>
        <v>12</v>
      </c>
      <c r="Y1244" s="97"/>
      <c r="AC1244" s="100">
        <v>12477.52247752248</v>
      </c>
    </row>
    <row r="1245" spans="1:29" ht="15.95" customHeight="1" thickBot="1" x14ac:dyDescent="0.25">
      <c r="A1245" s="669"/>
      <c r="B1245" s="45"/>
      <c r="C1245" s="151" t="s">
        <v>414</v>
      </c>
      <c r="D1245" s="305"/>
      <c r="E1245" s="105">
        <v>0</v>
      </c>
      <c r="F1245" s="106">
        <v>0</v>
      </c>
      <c r="G1245" s="105">
        <v>0</v>
      </c>
      <c r="H1245" s="105">
        <v>1</v>
      </c>
      <c r="I1245" s="106"/>
      <c r="J1245" s="105">
        <v>0</v>
      </c>
      <c r="K1245" s="105"/>
      <c r="L1245" s="105"/>
      <c r="M1245" s="105">
        <v>0</v>
      </c>
      <c r="N1245" s="105"/>
      <c r="O1245" s="105">
        <v>0</v>
      </c>
      <c r="P1245" s="105">
        <v>0</v>
      </c>
      <c r="Q1245" s="273"/>
      <c r="R1245" s="105">
        <v>37</v>
      </c>
      <c r="S1245" s="105">
        <v>0</v>
      </c>
      <c r="T1245" s="105">
        <v>0</v>
      </c>
      <c r="U1245" s="105">
        <v>0</v>
      </c>
      <c r="V1245" s="670">
        <v>0</v>
      </c>
      <c r="W1245" s="97"/>
      <c r="X1245" s="97">
        <f t="shared" si="20"/>
        <v>0</v>
      </c>
      <c r="Y1245" s="97">
        <f>+IF((AC1245-ROUND(AC1245,-3)&gt;400)*AND(AC1245-ROUND(AC1245,-3)&lt;500),1,0)</f>
        <v>0</v>
      </c>
      <c r="AC1245" s="105">
        <v>0</v>
      </c>
    </row>
    <row r="1246" spans="1:29" ht="15.95" customHeight="1" thickTop="1" x14ac:dyDescent="0.2">
      <c r="A1246" s="665" t="s">
        <v>283</v>
      </c>
      <c r="B1246" s="42">
        <v>2008</v>
      </c>
      <c r="C1246" s="148" t="s">
        <v>289</v>
      </c>
      <c r="D1246" s="303">
        <v>128</v>
      </c>
      <c r="E1246" s="100">
        <v>8</v>
      </c>
      <c r="F1246" s="101">
        <v>32.862934800000005</v>
      </c>
      <c r="G1246" s="100">
        <v>22.104434907010013</v>
      </c>
      <c r="H1246" s="100">
        <v>37</v>
      </c>
      <c r="I1246" s="101">
        <v>23</v>
      </c>
      <c r="J1246" s="100">
        <v>8</v>
      </c>
      <c r="K1246" s="100">
        <v>71</v>
      </c>
      <c r="L1246" s="100"/>
      <c r="M1246" s="100">
        <v>22</v>
      </c>
      <c r="N1246" s="100"/>
      <c r="O1246" s="100">
        <v>1</v>
      </c>
      <c r="P1246" s="100">
        <v>1</v>
      </c>
      <c r="Q1246" s="271">
        <v>11.319000000000001</v>
      </c>
      <c r="R1246" s="100">
        <v>35</v>
      </c>
      <c r="S1246" s="100">
        <v>32</v>
      </c>
      <c r="T1246" s="100">
        <v>1</v>
      </c>
      <c r="U1246" s="100">
        <v>11</v>
      </c>
      <c r="V1246" s="666"/>
      <c r="W1246" s="97"/>
      <c r="X1246" s="97">
        <f t="shared" si="20"/>
        <v>11</v>
      </c>
      <c r="Y1246" s="97"/>
      <c r="AC1246" s="100">
        <v>11385.597082953509</v>
      </c>
    </row>
    <row r="1247" spans="1:29" ht="15.95" customHeight="1" x14ac:dyDescent="0.2">
      <c r="A1247" s="665"/>
      <c r="B1247" s="43"/>
      <c r="C1247" s="149" t="s">
        <v>290</v>
      </c>
      <c r="D1247" s="303">
        <v>128</v>
      </c>
      <c r="E1247" s="100">
        <v>0</v>
      </c>
      <c r="F1247" s="101">
        <v>31.150654800000005</v>
      </c>
      <c r="G1247" s="100">
        <v>21.871244635193136</v>
      </c>
      <c r="H1247" s="100">
        <v>37</v>
      </c>
      <c r="I1247" s="101">
        <f>22-5</f>
        <v>17</v>
      </c>
      <c r="J1247" s="100">
        <v>8</v>
      </c>
      <c r="K1247" s="100">
        <v>71</v>
      </c>
      <c r="L1247" s="100"/>
      <c r="M1247" s="100">
        <v>22</v>
      </c>
      <c r="N1247" s="100"/>
      <c r="O1247" s="100">
        <v>0</v>
      </c>
      <c r="P1247" s="100">
        <v>0</v>
      </c>
      <c r="Q1247" s="271">
        <v>11.319000000000001</v>
      </c>
      <c r="R1247" s="100">
        <v>35</v>
      </c>
      <c r="S1247" s="100">
        <v>32</v>
      </c>
      <c r="T1247" s="100">
        <v>1</v>
      </c>
      <c r="U1247" s="100">
        <v>11</v>
      </c>
      <c r="V1247" s="666"/>
      <c r="W1247" s="97"/>
      <c r="X1247" s="97">
        <f t="shared" si="20"/>
        <v>11</v>
      </c>
      <c r="Y1247" s="97"/>
      <c r="AC1247" s="100">
        <v>11385.597082953509</v>
      </c>
    </row>
    <row r="1248" spans="1:29" ht="15.95" customHeight="1" x14ac:dyDescent="0.2">
      <c r="A1248" s="667"/>
      <c r="B1248" s="44"/>
      <c r="C1248" s="150" t="s">
        <v>291</v>
      </c>
      <c r="D1248" s="304">
        <v>0</v>
      </c>
      <c r="E1248" s="103">
        <v>0</v>
      </c>
      <c r="F1248" s="104">
        <v>0.17721000000000001</v>
      </c>
      <c r="G1248" s="103">
        <v>0</v>
      </c>
      <c r="H1248" s="103">
        <v>0</v>
      </c>
      <c r="I1248" s="104">
        <v>1</v>
      </c>
      <c r="J1248" s="103">
        <v>0</v>
      </c>
      <c r="K1248" s="103"/>
      <c r="L1248" s="103"/>
      <c r="M1248" s="103">
        <v>0</v>
      </c>
      <c r="N1248" s="103"/>
      <c r="O1248" s="103">
        <v>0</v>
      </c>
      <c r="P1248" s="103">
        <v>0</v>
      </c>
      <c r="Q1248" s="272">
        <v>9.1929999999999996</v>
      </c>
      <c r="R1248" s="103">
        <v>12</v>
      </c>
      <c r="S1248" s="103">
        <v>0</v>
      </c>
      <c r="T1248" s="103">
        <v>0</v>
      </c>
      <c r="U1248" s="103">
        <v>0</v>
      </c>
      <c r="V1248" s="668"/>
      <c r="W1248" s="97"/>
      <c r="X1248" s="97">
        <f t="shared" si="20"/>
        <v>0</v>
      </c>
      <c r="Y1248" s="97"/>
      <c r="AC1248" s="103">
        <v>0</v>
      </c>
    </row>
    <row r="1249" spans="1:29" ht="15.95" customHeight="1" x14ac:dyDescent="0.2">
      <c r="A1249" s="665"/>
      <c r="B1249" s="42">
        <v>2009</v>
      </c>
      <c r="C1249" s="149" t="s">
        <v>412</v>
      </c>
      <c r="D1249" s="303">
        <v>171</v>
      </c>
      <c r="E1249" s="100">
        <v>9</v>
      </c>
      <c r="F1249" s="101">
        <v>32.862934800000005</v>
      </c>
      <c r="G1249" s="100">
        <v>23.057720057720061</v>
      </c>
      <c r="H1249" s="100">
        <v>42</v>
      </c>
      <c r="I1249" s="101">
        <v>23</v>
      </c>
      <c r="J1249" s="100">
        <v>7</v>
      </c>
      <c r="K1249" s="100">
        <v>71</v>
      </c>
      <c r="L1249" s="100"/>
      <c r="M1249" s="100">
        <v>22</v>
      </c>
      <c r="N1249" s="100"/>
      <c r="O1249" s="100">
        <v>1</v>
      </c>
      <c r="P1249" s="100">
        <v>1</v>
      </c>
      <c r="Q1249" s="102">
        <v>10.728999999999999</v>
      </c>
      <c r="R1249" s="100">
        <v>36</v>
      </c>
      <c r="S1249" s="100">
        <v>32</v>
      </c>
      <c r="T1249" s="100">
        <v>1</v>
      </c>
      <c r="U1249" s="100">
        <v>12</v>
      </c>
      <c r="V1249" s="666"/>
      <c r="W1249" s="100"/>
      <c r="X1249" s="97">
        <f t="shared" si="20"/>
        <v>12</v>
      </c>
      <c r="Y1249" s="97"/>
      <c r="AC1249" s="100">
        <v>12477.52247752248</v>
      </c>
    </row>
    <row r="1250" spans="1:29" ht="15.95" customHeight="1" x14ac:dyDescent="0.2">
      <c r="A1250" s="665"/>
      <c r="B1250" s="43"/>
      <c r="C1250" s="149" t="s">
        <v>413</v>
      </c>
      <c r="D1250" s="303">
        <v>140</v>
      </c>
      <c r="E1250" s="100">
        <v>0</v>
      </c>
      <c r="F1250" s="101">
        <v>32.862934800000005</v>
      </c>
      <c r="G1250" s="100">
        <v>22.431457431457435</v>
      </c>
      <c r="H1250" s="100">
        <v>42</v>
      </c>
      <c r="I1250" s="101">
        <v>14</v>
      </c>
      <c r="J1250" s="100">
        <v>7</v>
      </c>
      <c r="K1250" s="100">
        <v>71</v>
      </c>
      <c r="L1250" s="100"/>
      <c r="M1250" s="100">
        <v>22</v>
      </c>
      <c r="N1250" s="100">
        <v>972</v>
      </c>
      <c r="O1250" s="100">
        <v>0</v>
      </c>
      <c r="P1250" s="100">
        <v>0</v>
      </c>
      <c r="Q1250" s="102">
        <v>0.90300000000000002</v>
      </c>
      <c r="R1250" s="100">
        <v>36</v>
      </c>
      <c r="S1250" s="100">
        <v>32</v>
      </c>
      <c r="T1250" s="100">
        <v>1</v>
      </c>
      <c r="U1250" s="100">
        <v>12</v>
      </c>
      <c r="V1250" s="666"/>
      <c r="W1250" s="97"/>
      <c r="X1250" s="97">
        <f t="shared" si="20"/>
        <v>12</v>
      </c>
      <c r="Y1250" s="97"/>
      <c r="AC1250" s="100">
        <v>12477.52247752248</v>
      </c>
    </row>
    <row r="1251" spans="1:29" ht="15.95" customHeight="1" thickBot="1" x14ac:dyDescent="0.25">
      <c r="A1251" s="669"/>
      <c r="B1251" s="45"/>
      <c r="C1251" s="151" t="s">
        <v>414</v>
      </c>
      <c r="D1251" s="305">
        <v>0</v>
      </c>
      <c r="E1251" s="105">
        <v>0</v>
      </c>
      <c r="F1251" s="106">
        <v>2.0213807999999998</v>
      </c>
      <c r="G1251" s="105">
        <v>0</v>
      </c>
      <c r="H1251" s="105">
        <v>0</v>
      </c>
      <c r="I1251" s="106">
        <v>5</v>
      </c>
      <c r="J1251" s="105">
        <v>0</v>
      </c>
      <c r="K1251" s="105"/>
      <c r="L1251" s="105"/>
      <c r="M1251" s="105">
        <v>0</v>
      </c>
      <c r="N1251" s="105"/>
      <c r="O1251" s="105">
        <v>0</v>
      </c>
      <c r="P1251" s="105">
        <v>0</v>
      </c>
      <c r="Q1251" s="273"/>
      <c r="R1251" s="105">
        <v>23</v>
      </c>
      <c r="S1251" s="105">
        <v>0</v>
      </c>
      <c r="T1251" s="105">
        <v>0</v>
      </c>
      <c r="U1251" s="105">
        <v>0</v>
      </c>
      <c r="V1251" s="670"/>
      <c r="W1251" s="97"/>
      <c r="X1251" s="97">
        <f t="shared" si="20"/>
        <v>0</v>
      </c>
      <c r="Y1251" s="97">
        <f>+IF((AC1251-ROUND(AC1251,-3)&gt;400)*AND(AC1251-ROUND(AC1251,-3)&lt;500),1,0)</f>
        <v>0</v>
      </c>
      <c r="AC1251" s="105">
        <v>0</v>
      </c>
    </row>
    <row r="1252" spans="1:29" ht="15.95" customHeight="1" thickTop="1" x14ac:dyDescent="0.2">
      <c r="A1252" s="665" t="s">
        <v>284</v>
      </c>
      <c r="B1252" s="42">
        <v>2008</v>
      </c>
      <c r="C1252" s="148" t="s">
        <v>289</v>
      </c>
      <c r="D1252" s="303"/>
      <c r="E1252" s="100"/>
      <c r="F1252" s="101"/>
      <c r="G1252" s="100"/>
      <c r="H1252" s="100"/>
      <c r="I1252" s="101"/>
      <c r="J1252" s="100"/>
      <c r="K1252" s="100"/>
      <c r="L1252" s="100"/>
      <c r="M1252" s="100"/>
      <c r="N1252" s="100"/>
      <c r="O1252" s="100"/>
      <c r="P1252" s="100"/>
      <c r="Q1252" s="271"/>
      <c r="R1252" s="100"/>
      <c r="S1252" s="100"/>
      <c r="T1252" s="100"/>
      <c r="U1252" s="100"/>
      <c r="V1252" s="666"/>
      <c r="W1252" s="97"/>
      <c r="X1252" s="97">
        <f t="shared" si="20"/>
        <v>0</v>
      </c>
      <c r="Y1252" s="97"/>
      <c r="AC1252" s="100">
        <v>0</v>
      </c>
    </row>
    <row r="1253" spans="1:29" ht="15.95" customHeight="1" x14ac:dyDescent="0.2">
      <c r="A1253" s="665"/>
      <c r="B1253" s="43"/>
      <c r="C1253" s="149" t="s">
        <v>290</v>
      </c>
      <c r="D1253" s="303"/>
      <c r="E1253" s="100"/>
      <c r="F1253" s="101"/>
      <c r="G1253" s="100"/>
      <c r="H1253" s="100"/>
      <c r="I1253" s="101"/>
      <c r="J1253" s="100"/>
      <c r="K1253" s="100"/>
      <c r="L1253" s="100"/>
      <c r="M1253" s="100"/>
      <c r="N1253" s="100"/>
      <c r="O1253" s="100"/>
      <c r="P1253" s="100"/>
      <c r="Q1253" s="271"/>
      <c r="R1253" s="100"/>
      <c r="S1253" s="100"/>
      <c r="T1253" s="100"/>
      <c r="U1253" s="100"/>
      <c r="V1253" s="666"/>
      <c r="W1253" s="97"/>
      <c r="X1253" s="97">
        <f t="shared" si="20"/>
        <v>0</v>
      </c>
      <c r="Y1253" s="97"/>
      <c r="AC1253" s="100">
        <v>0</v>
      </c>
    </row>
    <row r="1254" spans="1:29" ht="15.95" customHeight="1" x14ac:dyDescent="0.2">
      <c r="A1254" s="667"/>
      <c r="B1254" s="44"/>
      <c r="C1254" s="150" t="s">
        <v>291</v>
      </c>
      <c r="D1254" s="304"/>
      <c r="E1254" s="103"/>
      <c r="F1254" s="104"/>
      <c r="G1254" s="103"/>
      <c r="H1254" s="103"/>
      <c r="I1254" s="104"/>
      <c r="J1254" s="103">
        <v>1</v>
      </c>
      <c r="K1254" s="103"/>
      <c r="L1254" s="103"/>
      <c r="M1254" s="103"/>
      <c r="N1254" s="103"/>
      <c r="O1254" s="103"/>
      <c r="P1254" s="103"/>
      <c r="Q1254" s="272"/>
      <c r="R1254" s="103"/>
      <c r="S1254" s="103"/>
      <c r="T1254" s="103"/>
      <c r="U1254" s="103"/>
      <c r="V1254" s="668"/>
      <c r="W1254" s="97"/>
      <c r="X1254" s="97">
        <f t="shared" si="20"/>
        <v>0</v>
      </c>
      <c r="Y1254" s="97"/>
      <c r="AC1254" s="103">
        <v>0</v>
      </c>
    </row>
    <row r="1255" spans="1:29" ht="15.95" customHeight="1" x14ac:dyDescent="0.2">
      <c r="A1255" s="665"/>
      <c r="B1255" s="42">
        <v>2009</v>
      </c>
      <c r="C1255" s="149" t="s">
        <v>412</v>
      </c>
      <c r="D1255" s="303"/>
      <c r="E1255" s="100"/>
      <c r="F1255" s="101"/>
      <c r="G1255" s="100"/>
      <c r="H1255" s="100"/>
      <c r="I1255" s="101"/>
      <c r="J1255" s="100"/>
      <c r="K1255" s="100"/>
      <c r="L1255" s="100"/>
      <c r="M1255" s="100"/>
      <c r="N1255" s="100"/>
      <c r="O1255" s="100"/>
      <c r="P1255" s="100"/>
      <c r="Q1255" s="271"/>
      <c r="R1255" s="100"/>
      <c r="S1255" s="100"/>
      <c r="T1255" s="100"/>
      <c r="U1255" s="100"/>
      <c r="V1255" s="666"/>
      <c r="W1255" s="100"/>
      <c r="X1255" s="97">
        <f t="shared" si="20"/>
        <v>0</v>
      </c>
      <c r="Y1255" s="97"/>
      <c r="AC1255" s="100">
        <v>0</v>
      </c>
    </row>
    <row r="1256" spans="1:29" ht="15.95" customHeight="1" x14ac:dyDescent="0.2">
      <c r="A1256" s="665"/>
      <c r="B1256" s="43"/>
      <c r="C1256" s="149" t="s">
        <v>413</v>
      </c>
      <c r="D1256" s="303"/>
      <c r="E1256" s="100"/>
      <c r="F1256" s="101"/>
      <c r="G1256" s="100"/>
      <c r="H1256" s="100"/>
      <c r="I1256" s="101"/>
      <c r="J1256" s="100"/>
      <c r="K1256" s="100"/>
      <c r="L1256" s="100"/>
      <c r="M1256" s="100"/>
      <c r="N1256" s="100"/>
      <c r="O1256" s="100"/>
      <c r="P1256" s="100"/>
      <c r="Q1256" s="271"/>
      <c r="R1256" s="100"/>
      <c r="S1256" s="100"/>
      <c r="T1256" s="100"/>
      <c r="U1256" s="100"/>
      <c r="V1256" s="666"/>
      <c r="W1256" s="97"/>
      <c r="X1256" s="97">
        <f t="shared" si="20"/>
        <v>0</v>
      </c>
      <c r="Y1256" s="97"/>
      <c r="AC1256" s="100">
        <v>0</v>
      </c>
    </row>
    <row r="1257" spans="1:29" ht="15.95" customHeight="1" thickBot="1" x14ac:dyDescent="0.25">
      <c r="A1257" s="669"/>
      <c r="B1257" s="45"/>
      <c r="C1257" s="151" t="s">
        <v>414</v>
      </c>
      <c r="D1257" s="305"/>
      <c r="E1257" s="105"/>
      <c r="F1257" s="106"/>
      <c r="G1257" s="105"/>
      <c r="H1257" s="105"/>
      <c r="I1257" s="106"/>
      <c r="J1257" s="105"/>
      <c r="K1257" s="105"/>
      <c r="L1257" s="105"/>
      <c r="M1257" s="105"/>
      <c r="N1257" s="105"/>
      <c r="O1257" s="105"/>
      <c r="P1257" s="105"/>
      <c r="Q1257" s="273"/>
      <c r="R1257" s="105"/>
      <c r="S1257" s="105"/>
      <c r="T1257" s="105"/>
      <c r="U1257" s="105"/>
      <c r="V1257" s="670"/>
      <c r="W1257" s="97"/>
      <c r="X1257" s="97">
        <f t="shared" si="20"/>
        <v>0</v>
      </c>
      <c r="Y1257" s="97">
        <f>+IF((AC1257-ROUND(AC1257,-3)&gt;400)*AND(AC1257-ROUND(AC1257,-3)&lt;500),1,0)</f>
        <v>0</v>
      </c>
      <c r="AC1257" s="105">
        <v>0</v>
      </c>
    </row>
    <row r="1258" spans="1:29" ht="15.95" customHeight="1" thickTop="1" x14ac:dyDescent="0.2">
      <c r="A1258" s="665" t="s">
        <v>286</v>
      </c>
      <c r="B1258" s="42">
        <v>2008</v>
      </c>
      <c r="C1258" s="148" t="s">
        <v>289</v>
      </c>
      <c r="D1258" s="303">
        <v>18</v>
      </c>
      <c r="E1258" s="100">
        <v>1</v>
      </c>
      <c r="F1258" s="101">
        <v>4.6946972000000002</v>
      </c>
      <c r="G1258" s="100">
        <v>3.1487839771101576</v>
      </c>
      <c r="H1258" s="100">
        <v>37</v>
      </c>
      <c r="I1258" s="101">
        <v>3</v>
      </c>
      <c r="J1258" s="100"/>
      <c r="K1258" s="100">
        <v>18</v>
      </c>
      <c r="L1258" s="100"/>
      <c r="M1258" s="100">
        <v>3</v>
      </c>
      <c r="N1258" s="100"/>
      <c r="O1258" s="100">
        <v>0</v>
      </c>
      <c r="P1258" s="100">
        <v>0</v>
      </c>
      <c r="Q1258" s="271">
        <v>1.1319999999999999</v>
      </c>
      <c r="R1258" s="100">
        <v>35</v>
      </c>
      <c r="S1258" s="100">
        <v>5</v>
      </c>
      <c r="T1258" s="100">
        <v>1</v>
      </c>
      <c r="U1258" s="100">
        <v>11</v>
      </c>
      <c r="V1258" s="666">
        <v>24</v>
      </c>
      <c r="W1258" s="97"/>
      <c r="X1258" s="97">
        <f t="shared" si="20"/>
        <v>11</v>
      </c>
      <c r="Y1258" s="97"/>
      <c r="AC1258" s="100">
        <v>11385.597082953509</v>
      </c>
    </row>
    <row r="1259" spans="1:29" ht="15.95" customHeight="1" x14ac:dyDescent="0.2">
      <c r="A1259" s="665"/>
      <c r="B1259" s="43"/>
      <c r="C1259" s="149" t="s">
        <v>290</v>
      </c>
      <c r="D1259" s="303">
        <v>18</v>
      </c>
      <c r="E1259" s="100">
        <v>0</v>
      </c>
      <c r="F1259" s="101">
        <v>4.6946972000000002</v>
      </c>
      <c r="G1259" s="100">
        <v>0</v>
      </c>
      <c r="H1259" s="100">
        <v>33</v>
      </c>
      <c r="I1259" s="101">
        <v>3</v>
      </c>
      <c r="J1259" s="100"/>
      <c r="K1259" s="100">
        <v>18</v>
      </c>
      <c r="L1259" s="100"/>
      <c r="M1259" s="100">
        <v>0</v>
      </c>
      <c r="N1259" s="100">
        <v>100</v>
      </c>
      <c r="O1259" s="100">
        <v>0</v>
      </c>
      <c r="P1259" s="100">
        <v>0</v>
      </c>
      <c r="Q1259" s="271">
        <v>1.1319999999999999</v>
      </c>
      <c r="R1259" s="100">
        <v>35</v>
      </c>
      <c r="S1259" s="100">
        <v>0</v>
      </c>
      <c r="T1259" s="100">
        <v>1</v>
      </c>
      <c r="U1259" s="100">
        <v>5</v>
      </c>
      <c r="V1259" s="666">
        <v>25.892857142857139</v>
      </c>
      <c r="W1259" s="97"/>
      <c r="X1259" s="97">
        <f t="shared" si="20"/>
        <v>5</v>
      </c>
      <c r="Y1259" s="97"/>
      <c r="AC1259" s="100">
        <v>5289.5715587967179</v>
      </c>
    </row>
    <row r="1260" spans="1:29" ht="15.95" customHeight="1" x14ac:dyDescent="0.2">
      <c r="A1260" s="667"/>
      <c r="B1260" s="44"/>
      <c r="C1260" s="150" t="s">
        <v>291</v>
      </c>
      <c r="D1260" s="304"/>
      <c r="E1260" s="103">
        <v>0</v>
      </c>
      <c r="F1260" s="104">
        <v>0</v>
      </c>
      <c r="G1260" s="103">
        <v>0</v>
      </c>
      <c r="H1260" s="103">
        <v>0</v>
      </c>
      <c r="I1260" s="104"/>
      <c r="J1260" s="103"/>
      <c r="K1260" s="103"/>
      <c r="L1260" s="103"/>
      <c r="M1260" s="103">
        <v>0</v>
      </c>
      <c r="N1260" s="103"/>
      <c r="O1260" s="103">
        <v>0</v>
      </c>
      <c r="P1260" s="103">
        <v>0</v>
      </c>
      <c r="Q1260" s="272">
        <v>6.3970000000000002</v>
      </c>
      <c r="R1260" s="103">
        <v>41</v>
      </c>
      <c r="S1260" s="103">
        <v>0</v>
      </c>
      <c r="T1260" s="103">
        <v>0</v>
      </c>
      <c r="U1260" s="103">
        <v>8</v>
      </c>
      <c r="V1260" s="668">
        <v>0</v>
      </c>
      <c r="W1260" s="97"/>
      <c r="X1260" s="97">
        <f t="shared" si="20"/>
        <v>8</v>
      </c>
      <c r="Y1260" s="97"/>
      <c r="AC1260" s="103">
        <v>7861.8413855970839</v>
      </c>
    </row>
    <row r="1261" spans="1:29" ht="16.899999999999999" customHeight="1" x14ac:dyDescent="0.2">
      <c r="A1261" s="665"/>
      <c r="B1261" s="42">
        <v>2009</v>
      </c>
      <c r="C1261" s="149" t="s">
        <v>412</v>
      </c>
      <c r="D1261" s="303">
        <v>24</v>
      </c>
      <c r="E1261" s="100">
        <v>1</v>
      </c>
      <c r="F1261" s="101">
        <v>4.6946972000000002</v>
      </c>
      <c r="G1261" s="100">
        <v>3.2669552669552671</v>
      </c>
      <c r="H1261" s="100">
        <v>42</v>
      </c>
      <c r="I1261" s="101">
        <v>3</v>
      </c>
      <c r="J1261" s="100"/>
      <c r="K1261" s="100">
        <v>18</v>
      </c>
      <c r="L1261" s="100"/>
      <c r="M1261" s="100">
        <v>3</v>
      </c>
      <c r="N1261" s="100"/>
      <c r="O1261" s="100">
        <v>0</v>
      </c>
      <c r="P1261" s="100">
        <v>0</v>
      </c>
      <c r="Q1261" s="102">
        <v>1.073</v>
      </c>
      <c r="R1261" s="100">
        <v>36</v>
      </c>
      <c r="S1261" s="100">
        <v>5</v>
      </c>
      <c r="T1261" s="100">
        <v>1</v>
      </c>
      <c r="U1261" s="100">
        <v>12</v>
      </c>
      <c r="V1261" s="666">
        <v>33</v>
      </c>
      <c r="W1261" s="100"/>
      <c r="X1261" s="97">
        <f t="shared" si="20"/>
        <v>12</v>
      </c>
      <c r="Y1261" s="97"/>
      <c r="AC1261" s="100">
        <v>12477.52247752248</v>
      </c>
    </row>
    <row r="1262" spans="1:29" ht="15.95" customHeight="1" x14ac:dyDescent="0.2">
      <c r="A1262" s="665"/>
      <c r="B1262" s="43"/>
      <c r="C1262" s="149" t="s">
        <v>413</v>
      </c>
      <c r="D1262" s="303">
        <v>24</v>
      </c>
      <c r="E1262" s="100">
        <v>0</v>
      </c>
      <c r="F1262" s="101">
        <v>4.6946972000000002</v>
      </c>
      <c r="G1262" s="100">
        <v>3.2669552669552671</v>
      </c>
      <c r="H1262" s="100">
        <v>9</v>
      </c>
      <c r="I1262" s="101"/>
      <c r="J1262" s="100"/>
      <c r="K1262" s="100"/>
      <c r="L1262" s="100"/>
      <c r="M1262" s="100">
        <v>3</v>
      </c>
      <c r="N1262" s="100"/>
      <c r="O1262" s="100">
        <v>0</v>
      </c>
      <c r="P1262" s="100">
        <v>0</v>
      </c>
      <c r="Q1262" s="102">
        <v>1.073</v>
      </c>
      <c r="R1262" s="100">
        <v>36</v>
      </c>
      <c r="S1262" s="100">
        <v>0</v>
      </c>
      <c r="T1262" s="100">
        <v>1</v>
      </c>
      <c r="U1262" s="100">
        <v>12</v>
      </c>
      <c r="V1262" s="666">
        <v>27</v>
      </c>
      <c r="W1262" s="97"/>
      <c r="X1262" s="97">
        <f t="shared" si="20"/>
        <v>12</v>
      </c>
      <c r="Y1262" s="97"/>
      <c r="AC1262" s="100">
        <v>12477.52247752248</v>
      </c>
    </row>
    <row r="1263" spans="1:29" ht="15.95" customHeight="1" thickBot="1" x14ac:dyDescent="0.25">
      <c r="A1263" s="669"/>
      <c r="B1263" s="45"/>
      <c r="C1263" s="151" t="s">
        <v>414</v>
      </c>
      <c r="D1263" s="305"/>
      <c r="E1263" s="105">
        <v>0</v>
      </c>
      <c r="F1263" s="106">
        <v>0</v>
      </c>
      <c r="G1263" s="105">
        <v>2.797979797979798</v>
      </c>
      <c r="H1263" s="105">
        <v>5</v>
      </c>
      <c r="I1263" s="106"/>
      <c r="J1263" s="105"/>
      <c r="K1263" s="105"/>
      <c r="L1263" s="105"/>
      <c r="M1263" s="105">
        <v>3</v>
      </c>
      <c r="N1263" s="105"/>
      <c r="O1263" s="105">
        <v>0</v>
      </c>
      <c r="P1263" s="105">
        <v>0</v>
      </c>
      <c r="Q1263" s="273"/>
      <c r="R1263" s="105">
        <v>0</v>
      </c>
      <c r="S1263" s="105">
        <v>0</v>
      </c>
      <c r="T1263" s="105">
        <v>0</v>
      </c>
      <c r="U1263" s="105">
        <v>7</v>
      </c>
      <c r="V1263" s="670">
        <v>0</v>
      </c>
      <c r="W1263" s="97"/>
      <c r="X1263" s="97">
        <f t="shared" si="20"/>
        <v>7</v>
      </c>
      <c r="Y1263" s="97">
        <f>+IF((AC1263-ROUND(AC1263,-3)&gt;400)*AND(AC1263-ROUND(AC1263,-3)&lt;500),1,0)</f>
        <v>0</v>
      </c>
      <c r="AC1263" s="105">
        <v>6680.659340659342</v>
      </c>
    </row>
    <row r="1264" spans="1:29" ht="15.95" customHeight="1" thickTop="1" x14ac:dyDescent="0.2">
      <c r="A1264" s="665" t="s">
        <v>287</v>
      </c>
      <c r="B1264" s="42">
        <v>2008</v>
      </c>
      <c r="C1264" s="148" t="s">
        <v>289</v>
      </c>
      <c r="D1264" s="303">
        <v>146</v>
      </c>
      <c r="E1264" s="100">
        <v>9</v>
      </c>
      <c r="F1264" s="101">
        <v>37.557631999999998</v>
      </c>
      <c r="G1264" s="100">
        <v>25.280400572246069</v>
      </c>
      <c r="H1264" s="100">
        <v>37</v>
      </c>
      <c r="I1264" s="101">
        <v>26</v>
      </c>
      <c r="J1264" s="100">
        <v>8</v>
      </c>
      <c r="K1264" s="100">
        <v>142</v>
      </c>
      <c r="L1264" s="100"/>
      <c r="M1264" s="100">
        <v>25</v>
      </c>
      <c r="N1264" s="100"/>
      <c r="O1264" s="100"/>
      <c r="P1264" s="100">
        <v>1</v>
      </c>
      <c r="Q1264" s="271">
        <v>12.451000000000001</v>
      </c>
      <c r="R1264" s="100">
        <v>39</v>
      </c>
      <c r="S1264" s="100">
        <v>37</v>
      </c>
      <c r="T1264" s="100">
        <v>3</v>
      </c>
      <c r="U1264" s="100">
        <v>11</v>
      </c>
      <c r="V1264" s="666">
        <v>32</v>
      </c>
      <c r="W1264" s="97"/>
      <c r="X1264" s="97">
        <f t="shared" si="20"/>
        <v>11</v>
      </c>
      <c r="Y1264" s="97"/>
      <c r="AC1264" s="100">
        <v>11385.597082953509</v>
      </c>
    </row>
    <row r="1265" spans="1:31" ht="15.95" customHeight="1" x14ac:dyDescent="0.2">
      <c r="A1265" s="665"/>
      <c r="B1265" s="43"/>
      <c r="C1265" s="149" t="s">
        <v>290</v>
      </c>
      <c r="D1265" s="303">
        <v>146</v>
      </c>
      <c r="E1265" s="100">
        <v>0</v>
      </c>
      <c r="F1265" s="101">
        <v>37.557631999999998</v>
      </c>
      <c r="G1265" s="100">
        <v>0</v>
      </c>
      <c r="H1265" s="100">
        <v>37</v>
      </c>
      <c r="I1265" s="101">
        <f>26-25</f>
        <v>1</v>
      </c>
      <c r="J1265" s="100">
        <v>0</v>
      </c>
      <c r="K1265" s="100">
        <v>142</v>
      </c>
      <c r="L1265" s="100"/>
      <c r="M1265" s="100">
        <v>0</v>
      </c>
      <c r="N1265" s="100"/>
      <c r="O1265" s="100"/>
      <c r="P1265" s="100">
        <v>0</v>
      </c>
      <c r="Q1265" s="271"/>
      <c r="R1265" s="100">
        <v>0</v>
      </c>
      <c r="S1265" s="100">
        <v>37</v>
      </c>
      <c r="T1265" s="100">
        <v>0</v>
      </c>
      <c r="U1265" s="100">
        <v>11</v>
      </c>
      <c r="V1265" s="666">
        <v>25.892857142857139</v>
      </c>
      <c r="W1265" s="97"/>
      <c r="X1265" s="97">
        <f t="shared" si="20"/>
        <v>11</v>
      </c>
      <c r="Y1265" s="97"/>
      <c r="AC1265" s="100">
        <v>11385.597082953509</v>
      </c>
    </row>
    <row r="1266" spans="1:31" ht="15.95" customHeight="1" x14ac:dyDescent="0.2">
      <c r="A1266" s="667"/>
      <c r="B1266" s="44"/>
      <c r="C1266" s="150" t="s">
        <v>291</v>
      </c>
      <c r="D1266" s="304">
        <v>0</v>
      </c>
      <c r="E1266" s="103">
        <v>0</v>
      </c>
      <c r="F1266" s="104">
        <v>0</v>
      </c>
      <c r="G1266" s="103">
        <v>0</v>
      </c>
      <c r="H1266" s="103">
        <v>0</v>
      </c>
      <c r="I1266" s="104"/>
      <c r="J1266" s="103">
        <v>0</v>
      </c>
      <c r="K1266" s="103"/>
      <c r="L1266" s="103"/>
      <c r="M1266" s="103">
        <v>0</v>
      </c>
      <c r="N1266" s="103"/>
      <c r="O1266" s="103"/>
      <c r="P1266" s="103">
        <v>0</v>
      </c>
      <c r="Q1266" s="272">
        <v>1.018</v>
      </c>
      <c r="R1266" s="103">
        <v>0</v>
      </c>
      <c r="S1266" s="103">
        <v>63</v>
      </c>
      <c r="T1266" s="103">
        <v>5</v>
      </c>
      <c r="U1266" s="103">
        <v>11</v>
      </c>
      <c r="V1266" s="668">
        <v>42.727272727272727</v>
      </c>
      <c r="W1266" s="97"/>
      <c r="X1266" s="97">
        <f t="shared" si="20"/>
        <v>11</v>
      </c>
      <c r="Y1266" s="97"/>
      <c r="AC1266" s="103">
        <v>11385.597082953509</v>
      </c>
    </row>
    <row r="1267" spans="1:31" ht="16.899999999999999" customHeight="1" x14ac:dyDescent="0.2">
      <c r="A1267" s="665"/>
      <c r="B1267" s="42">
        <v>2009</v>
      </c>
      <c r="C1267" s="149" t="s">
        <v>412</v>
      </c>
      <c r="D1267" s="303">
        <v>195</v>
      </c>
      <c r="E1267" s="100">
        <v>10</v>
      </c>
      <c r="F1267" s="101">
        <v>37.557631999999998</v>
      </c>
      <c r="G1267" s="100">
        <v>26.181818181818183</v>
      </c>
      <c r="H1267" s="100">
        <v>42</v>
      </c>
      <c r="I1267" s="101">
        <v>26</v>
      </c>
      <c r="J1267" s="100">
        <v>7</v>
      </c>
      <c r="K1267" s="100">
        <v>142</v>
      </c>
      <c r="L1267" s="100"/>
      <c r="M1267" s="100">
        <v>25</v>
      </c>
      <c r="N1267" s="100"/>
      <c r="O1267" s="100"/>
      <c r="P1267" s="100">
        <v>1</v>
      </c>
      <c r="Q1267" s="102">
        <v>11.802</v>
      </c>
      <c r="R1267" s="100">
        <v>36</v>
      </c>
      <c r="S1267" s="100">
        <v>37</v>
      </c>
      <c r="T1267" s="100">
        <v>3</v>
      </c>
      <c r="U1267" s="100">
        <v>12</v>
      </c>
      <c r="V1267" s="666">
        <v>27.883035714285711</v>
      </c>
      <c r="W1267" s="100"/>
      <c r="X1267" s="97">
        <f t="shared" si="20"/>
        <v>12</v>
      </c>
      <c r="Y1267" s="97"/>
      <c r="AC1267" s="100">
        <v>12477.52247752248</v>
      </c>
    </row>
    <row r="1268" spans="1:31" ht="15.95" customHeight="1" x14ac:dyDescent="0.2">
      <c r="A1268" s="665"/>
      <c r="B1268" s="43"/>
      <c r="C1268" s="149" t="s">
        <v>413</v>
      </c>
      <c r="D1268" s="303">
        <v>195</v>
      </c>
      <c r="E1268" s="100">
        <v>0</v>
      </c>
      <c r="F1268" s="101">
        <v>37.557631999999998</v>
      </c>
      <c r="G1268" s="100">
        <v>25.584415584415588</v>
      </c>
      <c r="H1268" s="100">
        <v>26</v>
      </c>
      <c r="I1268" s="101">
        <v>26</v>
      </c>
      <c r="J1268" s="100">
        <v>7</v>
      </c>
      <c r="K1268" s="100">
        <v>142</v>
      </c>
      <c r="L1268" s="100"/>
      <c r="M1268" s="100">
        <v>23</v>
      </c>
      <c r="N1268" s="100"/>
      <c r="O1268" s="100"/>
      <c r="P1268" s="100">
        <v>0</v>
      </c>
      <c r="Q1268" s="102">
        <v>11.802</v>
      </c>
      <c r="R1268" s="100">
        <v>0</v>
      </c>
      <c r="S1268" s="100">
        <v>37</v>
      </c>
      <c r="T1268" s="100">
        <v>0</v>
      </c>
      <c r="U1268" s="100">
        <v>0</v>
      </c>
      <c r="V1268" s="666">
        <v>27</v>
      </c>
      <c r="W1268" s="97"/>
      <c r="X1268" s="97">
        <f t="shared" si="20"/>
        <v>0</v>
      </c>
      <c r="Y1268" s="97"/>
      <c r="AC1268" s="100">
        <v>0</v>
      </c>
    </row>
    <row r="1269" spans="1:31" ht="15.95" customHeight="1" thickBot="1" x14ac:dyDescent="0.25">
      <c r="A1269" s="669"/>
      <c r="B1269" s="45"/>
      <c r="C1269" s="151" t="s">
        <v>414</v>
      </c>
      <c r="D1269" s="305"/>
      <c r="E1269" s="105">
        <v>0</v>
      </c>
      <c r="F1269" s="106">
        <v>0</v>
      </c>
      <c r="G1269" s="105">
        <v>24.499278499278503</v>
      </c>
      <c r="H1269" s="105">
        <v>0</v>
      </c>
      <c r="I1269" s="106">
        <v>25</v>
      </c>
      <c r="J1269" s="105">
        <v>7</v>
      </c>
      <c r="K1269" s="105"/>
      <c r="L1269" s="105"/>
      <c r="M1269" s="105">
        <v>54</v>
      </c>
      <c r="N1269" s="105"/>
      <c r="O1269" s="105"/>
      <c r="P1269" s="105">
        <v>0</v>
      </c>
      <c r="Q1269" s="273">
        <v>20.535</v>
      </c>
      <c r="R1269" s="105">
        <v>271</v>
      </c>
      <c r="S1269" s="105">
        <v>0</v>
      </c>
      <c r="T1269" s="105">
        <v>0</v>
      </c>
      <c r="U1269" s="105">
        <v>0</v>
      </c>
      <c r="V1269" s="670">
        <v>0</v>
      </c>
      <c r="W1269" s="97"/>
      <c r="X1269" s="97">
        <f t="shared" si="20"/>
        <v>0</v>
      </c>
      <c r="Y1269" s="97">
        <f>+IF((AC1269-ROUND(AC1269,-3)&gt;400)*AND(AC1269-ROUND(AC1269,-3)&lt;500),1,0)</f>
        <v>0</v>
      </c>
      <c r="AC1269" s="105">
        <v>0</v>
      </c>
    </row>
    <row r="1270" spans="1:31" s="38" customFormat="1" ht="16.5" thickTop="1" x14ac:dyDescent="0.2">
      <c r="A1270" s="697" t="s">
        <v>97</v>
      </c>
      <c r="B1270" s="673" t="s">
        <v>402</v>
      </c>
      <c r="C1270" s="674" t="s">
        <v>289</v>
      </c>
      <c r="D1270" s="224">
        <f t="shared" ref="D1270:V1270" si="21">+SUMIF($C$4:$C$1269,$C4,D$4:D$1269)</f>
        <v>1879972</v>
      </c>
      <c r="E1270" s="225">
        <f t="shared" si="21"/>
        <v>118335</v>
      </c>
      <c r="F1270" s="225">
        <f t="shared" si="21"/>
        <v>475270.39999999944</v>
      </c>
      <c r="G1270" s="225">
        <f t="shared" si="21"/>
        <v>386998.39771101566</v>
      </c>
      <c r="H1270" s="225">
        <f t="shared" ref="H1270:H1275" si="22">+SUMIF($C$4:$C$1269,$C4,H$4:H$1269)</f>
        <v>60920</v>
      </c>
      <c r="I1270" s="225">
        <f t="shared" si="21"/>
        <v>320870</v>
      </c>
      <c r="J1270" s="225">
        <f t="shared" si="21"/>
        <v>43929</v>
      </c>
      <c r="K1270" s="225">
        <f t="shared" si="21"/>
        <v>97251</v>
      </c>
      <c r="L1270" s="225">
        <f t="shared" si="21"/>
        <v>95658.8</v>
      </c>
      <c r="M1270" s="225">
        <f t="shared" si="21"/>
        <v>315497</v>
      </c>
      <c r="N1270" s="225">
        <f t="shared" si="21"/>
        <v>0</v>
      </c>
      <c r="O1270" s="225">
        <f t="shared" si="21"/>
        <v>9210</v>
      </c>
      <c r="P1270" s="225">
        <f t="shared" si="21"/>
        <v>15816</v>
      </c>
      <c r="Q1270" s="275">
        <f t="shared" si="21"/>
        <v>113194.03499999996</v>
      </c>
      <c r="R1270" s="225">
        <f t="shared" si="21"/>
        <v>15805</v>
      </c>
      <c r="S1270" s="225">
        <f t="shared" si="21"/>
        <v>470062</v>
      </c>
      <c r="T1270" s="225">
        <f t="shared" si="21"/>
        <v>16646</v>
      </c>
      <c r="U1270" s="225">
        <f t="shared" si="21"/>
        <v>56928</v>
      </c>
      <c r="V1270" s="675">
        <f t="shared" si="21"/>
        <v>158724.37857142862</v>
      </c>
      <c r="X1270" s="41">
        <f t="shared" ref="X1270:X1275" si="23">+SUMIF($C$4:$C$1269,$C4,X$4:X$1269)</f>
        <v>56928</v>
      </c>
      <c r="Y1270" s="97" t="s">
        <v>10</v>
      </c>
      <c r="Z1270" s="38">
        <f>+COUNTA(Z4:Z1269)</f>
        <v>2</v>
      </c>
      <c r="AC1270" s="225">
        <v>56927985.414767474</v>
      </c>
    </row>
    <row r="1271" spans="1:31" s="38" customFormat="1" ht="15.75" x14ac:dyDescent="0.2">
      <c r="A1271" s="676"/>
      <c r="B1271" s="154"/>
      <c r="C1271" s="156" t="s">
        <v>290</v>
      </c>
      <c r="D1271" s="226">
        <f t="shared" ref="D1271:V1271" si="24">+SUMIF($C$4:$C$1269,$C5,D$4:D$1269)</f>
        <v>1475370</v>
      </c>
      <c r="E1271" s="227">
        <f t="shared" si="24"/>
        <v>92336</v>
      </c>
      <c r="F1271" s="227">
        <f t="shared" si="24"/>
        <v>388144.57712599955</v>
      </c>
      <c r="G1271" s="227">
        <f t="shared" si="24"/>
        <v>313741.18597997125</v>
      </c>
      <c r="H1271" s="227">
        <f t="shared" si="22"/>
        <v>58985</v>
      </c>
      <c r="I1271" s="227">
        <f t="shared" si="24"/>
        <v>270928</v>
      </c>
      <c r="J1271" s="227">
        <f t="shared" si="24"/>
        <v>43060</v>
      </c>
      <c r="K1271" s="227">
        <f t="shared" si="24"/>
        <v>94841</v>
      </c>
      <c r="L1271" s="227">
        <f t="shared" si="24"/>
        <v>66783</v>
      </c>
      <c r="M1271" s="227">
        <f t="shared" si="24"/>
        <v>268810</v>
      </c>
      <c r="N1271" s="227">
        <f t="shared" si="24"/>
        <v>130993</v>
      </c>
      <c r="O1271" s="227">
        <f t="shared" si="24"/>
        <v>8736</v>
      </c>
      <c r="P1271" s="227">
        <f t="shared" si="24"/>
        <v>15333</v>
      </c>
      <c r="Q1271" s="276">
        <f t="shared" si="24"/>
        <v>105747.65500000006</v>
      </c>
      <c r="R1271" s="227">
        <f t="shared" si="24"/>
        <v>14129</v>
      </c>
      <c r="S1271" s="227">
        <f t="shared" si="24"/>
        <v>463685</v>
      </c>
      <c r="T1271" s="227">
        <f t="shared" si="24"/>
        <v>15921</v>
      </c>
      <c r="U1271" s="227">
        <f t="shared" si="24"/>
        <v>51121</v>
      </c>
      <c r="V1271" s="677">
        <f t="shared" si="24"/>
        <v>148876.14366883124</v>
      </c>
      <c r="X1271" s="41">
        <f t="shared" si="23"/>
        <v>51121</v>
      </c>
      <c r="Y1271" s="97"/>
      <c r="Z1271" s="38">
        <f>+X1275-6771</f>
        <v>0</v>
      </c>
      <c r="AC1271" s="227">
        <v>51121290.802187733</v>
      </c>
    </row>
    <row r="1272" spans="1:31" s="38" customFormat="1" ht="15.75" x14ac:dyDescent="0.2">
      <c r="A1272" s="678"/>
      <c r="B1272" s="154"/>
      <c r="C1272" s="223" t="s">
        <v>291</v>
      </c>
      <c r="D1272" s="230">
        <f t="shared" ref="D1272:V1272" si="25">+SUMIF($C$4:$C$1269,$C6,D$4:D$1269)</f>
        <v>415895</v>
      </c>
      <c r="E1272" s="231">
        <f t="shared" si="25"/>
        <v>30808</v>
      </c>
      <c r="F1272" s="231">
        <f t="shared" si="25"/>
        <v>40663.387082800014</v>
      </c>
      <c r="G1272" s="231">
        <f t="shared" si="25"/>
        <v>46390.583690987121</v>
      </c>
      <c r="H1272" s="231">
        <f t="shared" si="22"/>
        <v>1062</v>
      </c>
      <c r="I1272" s="231">
        <f t="shared" si="25"/>
        <v>42196</v>
      </c>
      <c r="J1272" s="231">
        <f t="shared" si="25"/>
        <v>987</v>
      </c>
      <c r="K1272" s="231">
        <f t="shared" si="25"/>
        <v>0</v>
      </c>
      <c r="L1272" s="231">
        <f t="shared" si="25"/>
        <v>33283.800000000003</v>
      </c>
      <c r="M1272" s="231">
        <f t="shared" si="25"/>
        <v>55305</v>
      </c>
      <c r="N1272" s="231">
        <f t="shared" si="25"/>
        <v>11704</v>
      </c>
      <c r="O1272" s="231">
        <f t="shared" si="25"/>
        <v>490</v>
      </c>
      <c r="P1272" s="231">
        <f t="shared" si="25"/>
        <v>609</v>
      </c>
      <c r="Q1272" s="277">
        <f t="shared" si="25"/>
        <v>14002.095000000007</v>
      </c>
      <c r="R1272" s="231">
        <f t="shared" si="25"/>
        <v>1145</v>
      </c>
      <c r="S1272" s="231">
        <f t="shared" si="25"/>
        <v>60605</v>
      </c>
      <c r="T1272" s="231">
        <f t="shared" si="25"/>
        <v>1571</v>
      </c>
      <c r="U1272" s="231">
        <f t="shared" si="25"/>
        <v>6317</v>
      </c>
      <c r="V1272" s="679">
        <f t="shared" si="25"/>
        <v>9552.4545454545441</v>
      </c>
      <c r="X1272" s="41">
        <f t="shared" si="23"/>
        <v>6317</v>
      </c>
      <c r="Y1272" s="97"/>
      <c r="AC1272" s="231">
        <v>6316594.6672743866</v>
      </c>
    </row>
    <row r="1273" spans="1:31" s="38" customFormat="1" ht="16.899999999999999" customHeight="1" x14ac:dyDescent="0.2">
      <c r="A1273" s="676"/>
      <c r="B1273" s="155" t="s">
        <v>403</v>
      </c>
      <c r="C1273" s="156" t="s">
        <v>289</v>
      </c>
      <c r="D1273" s="226">
        <f t="shared" ref="D1273:V1273" si="26">+SUMIF($C$4:$C$1269,$C7,D$4:D$1269)</f>
        <v>2498619</v>
      </c>
      <c r="E1273" s="227">
        <f t="shared" si="26"/>
        <v>118266</v>
      </c>
      <c r="F1273" s="227">
        <f t="shared" si="26"/>
        <v>475270.39999999944</v>
      </c>
      <c r="G1273" s="227">
        <f t="shared" si="26"/>
        <v>402249.24675324681</v>
      </c>
      <c r="H1273" s="227">
        <f t="shared" si="22"/>
        <v>71238</v>
      </c>
      <c r="I1273" s="227">
        <f t="shared" si="26"/>
        <v>320873</v>
      </c>
      <c r="J1273" s="227">
        <f t="shared" si="26"/>
        <v>39655</v>
      </c>
      <c r="K1273" s="227">
        <f t="shared" si="26"/>
        <v>98812</v>
      </c>
      <c r="L1273" s="227">
        <f t="shared" si="26"/>
        <v>95659.1</v>
      </c>
      <c r="M1273" s="227">
        <f t="shared" si="26"/>
        <v>315497</v>
      </c>
      <c r="N1273" s="227">
        <f t="shared" si="26"/>
        <v>0</v>
      </c>
      <c r="O1273" s="227">
        <f t="shared" si="26"/>
        <v>9197</v>
      </c>
      <c r="P1273" s="227">
        <f t="shared" si="26"/>
        <v>15795</v>
      </c>
      <c r="Q1273" s="278">
        <f t="shared" si="26"/>
        <v>107290.15500000009</v>
      </c>
      <c r="R1273" s="227">
        <f t="shared" si="26"/>
        <v>16181</v>
      </c>
      <c r="S1273" s="227">
        <f t="shared" si="26"/>
        <v>470062</v>
      </c>
      <c r="T1273" s="227">
        <f t="shared" si="26"/>
        <v>16906</v>
      </c>
      <c r="U1273" s="227">
        <f t="shared" si="26"/>
        <v>62389</v>
      </c>
      <c r="V1273" s="677">
        <f t="shared" si="26"/>
        <v>163305.67142857143</v>
      </c>
      <c r="X1273" s="41">
        <f t="shared" si="23"/>
        <v>62389</v>
      </c>
      <c r="Y1273" s="97"/>
      <c r="AC1273" s="227">
        <v>62388569.570429586</v>
      </c>
    </row>
    <row r="1274" spans="1:31" s="38" customFormat="1" ht="15.95" customHeight="1" x14ac:dyDescent="0.2">
      <c r="A1274" s="676"/>
      <c r="B1274" s="154"/>
      <c r="C1274" s="156" t="s">
        <v>290</v>
      </c>
      <c r="D1274" s="226">
        <f t="shared" ref="D1274:V1274" si="27">+SUMIF($C$4:$C$1269,$C8,D$4:D$1269)</f>
        <v>2170614</v>
      </c>
      <c r="E1274" s="227">
        <f t="shared" si="27"/>
        <v>93111</v>
      </c>
      <c r="F1274" s="227">
        <f t="shared" si="27"/>
        <v>430974.97610239958</v>
      </c>
      <c r="G1274" s="227">
        <f t="shared" si="27"/>
        <v>326215.53823953815</v>
      </c>
      <c r="H1274" s="227">
        <f t="shared" si="22"/>
        <v>68980</v>
      </c>
      <c r="I1274" s="227">
        <f t="shared" si="27"/>
        <v>293418</v>
      </c>
      <c r="J1274" s="227">
        <f t="shared" si="27"/>
        <v>39394</v>
      </c>
      <c r="K1274" s="227">
        <f t="shared" si="27"/>
        <v>95881.799999999988</v>
      </c>
      <c r="L1274" s="227">
        <f t="shared" si="27"/>
        <v>65793</v>
      </c>
      <c r="M1274" s="227">
        <f t="shared" si="27"/>
        <v>295820</v>
      </c>
      <c r="N1274" s="227">
        <f t="shared" si="27"/>
        <v>392104</v>
      </c>
      <c r="O1274" s="227">
        <f t="shared" si="27"/>
        <v>8763</v>
      </c>
      <c r="P1274" s="227">
        <f t="shared" si="27"/>
        <v>15383</v>
      </c>
      <c r="Q1274" s="276">
        <f t="shared" si="27"/>
        <v>100011.33800000002</v>
      </c>
      <c r="R1274" s="227">
        <f t="shared" si="27"/>
        <v>14947</v>
      </c>
      <c r="S1274" s="227">
        <f t="shared" si="27"/>
        <v>345559</v>
      </c>
      <c r="T1274" s="227">
        <f t="shared" si="27"/>
        <v>16502</v>
      </c>
      <c r="U1274" s="227">
        <f t="shared" si="27"/>
        <v>56981</v>
      </c>
      <c r="V1274" s="677">
        <f t="shared" si="27"/>
        <v>153466.5</v>
      </c>
      <c r="X1274" s="41">
        <f t="shared" si="23"/>
        <v>56981</v>
      </c>
      <c r="Y1274" s="97"/>
      <c r="AC1274" s="227">
        <v>56981320.079920098</v>
      </c>
    </row>
    <row r="1275" spans="1:31" s="38" customFormat="1" ht="15.95" customHeight="1" thickBot="1" x14ac:dyDescent="0.25">
      <c r="A1275" s="680"/>
      <c r="B1275" s="222"/>
      <c r="C1275" s="157" t="s">
        <v>291</v>
      </c>
      <c r="D1275" s="228">
        <f t="shared" ref="D1275:V1275" si="28">+SUMIF($C$4:$C$1269,$C9,D$4:D$1269)</f>
        <v>410406</v>
      </c>
      <c r="E1275" s="229">
        <f t="shared" si="28"/>
        <v>34255</v>
      </c>
      <c r="F1275" s="229">
        <f t="shared" si="28"/>
        <v>126640.11351720002</v>
      </c>
      <c r="G1275" s="229">
        <f t="shared" si="28"/>
        <v>39243.316017316014</v>
      </c>
      <c r="H1275" s="229">
        <f t="shared" si="22"/>
        <v>1580</v>
      </c>
      <c r="I1275" s="229">
        <f t="shared" si="28"/>
        <v>50751</v>
      </c>
      <c r="J1275" s="229">
        <f t="shared" si="28"/>
        <v>964</v>
      </c>
      <c r="K1275" s="229">
        <f t="shared" si="28"/>
        <v>1173</v>
      </c>
      <c r="L1275" s="229">
        <f t="shared" si="28"/>
        <v>28481.1</v>
      </c>
      <c r="M1275" s="229">
        <f t="shared" si="28"/>
        <v>12131</v>
      </c>
      <c r="N1275" s="229">
        <f t="shared" si="28"/>
        <v>5846</v>
      </c>
      <c r="O1275" s="229">
        <f t="shared" si="28"/>
        <v>458</v>
      </c>
      <c r="P1275" s="229">
        <f t="shared" si="28"/>
        <v>432</v>
      </c>
      <c r="Q1275" s="279">
        <f t="shared" si="28"/>
        <v>6108.2709999999979</v>
      </c>
      <c r="R1275" s="229">
        <f t="shared" si="28"/>
        <v>2541</v>
      </c>
      <c r="S1275" s="229">
        <f t="shared" si="28"/>
        <v>19061</v>
      </c>
      <c r="T1275" s="229">
        <f t="shared" si="28"/>
        <v>1129</v>
      </c>
      <c r="U1275" s="229">
        <f t="shared" si="28"/>
        <v>6771</v>
      </c>
      <c r="V1275" s="681">
        <f t="shared" si="28"/>
        <v>9002.2142857142862</v>
      </c>
      <c r="X1275" s="41">
        <f t="shared" si="23"/>
        <v>6771</v>
      </c>
      <c r="Y1275" s="97"/>
      <c r="AC1275" s="229">
        <v>6771007.2927072933</v>
      </c>
    </row>
    <row r="1276" spans="1:31" s="131" customFormat="1" ht="15.95" customHeight="1" thickTop="1" x14ac:dyDescent="0.2">
      <c r="A1276" s="130"/>
      <c r="B1276" s="130"/>
      <c r="C1276" s="130"/>
      <c r="D1276" s="130"/>
      <c r="E1276" s="100"/>
      <c r="F1276" s="101"/>
      <c r="G1276" s="100"/>
      <c r="H1276" s="100"/>
      <c r="I1276" s="101"/>
      <c r="J1276" s="100"/>
      <c r="K1276" s="100"/>
      <c r="L1276" s="292"/>
      <c r="M1276" s="100"/>
      <c r="N1276" s="100"/>
      <c r="O1276" s="100"/>
      <c r="P1276" s="100"/>
      <c r="Q1276" s="271"/>
      <c r="R1276" s="100"/>
      <c r="S1276" s="292"/>
      <c r="T1276" s="100"/>
      <c r="U1276" s="100"/>
      <c r="V1276" s="100"/>
      <c r="W1276" s="153"/>
      <c r="X1276" s="153"/>
      <c r="Y1276" s="97"/>
      <c r="Z1276" s="153"/>
      <c r="AA1276" s="153"/>
      <c r="AB1276" s="153"/>
      <c r="AC1276" s="41"/>
      <c r="AD1276" s="153"/>
      <c r="AE1276" s="153"/>
    </row>
    <row r="1277" spans="1:31" s="38" customFormat="1" ht="16.5" hidden="1" customHeight="1" thickTop="1" x14ac:dyDescent="0.2">
      <c r="A1277" s="46" t="s">
        <v>285</v>
      </c>
      <c r="B1277" s="75" t="s">
        <v>361</v>
      </c>
      <c r="C1277" s="47" t="s">
        <v>289</v>
      </c>
      <c r="D1277" s="306"/>
      <c r="E1277" s="88">
        <v>104963.261</v>
      </c>
      <c r="F1277" s="91">
        <f>SUMIF($C$4:$C$1269, "=Assessments 2004", F$4:F$1269)</f>
        <v>0</v>
      </c>
      <c r="G1277" s="88">
        <f>SUMIF($C$4:$C$1269, "=Assessments 2004", G$4:G$1269)</f>
        <v>0</v>
      </c>
      <c r="H1277" s="88">
        <f>SUMIF($C$4:$C$1269, "=Assessments 2004", H$4:H$1269)</f>
        <v>0</v>
      </c>
      <c r="I1277" s="91">
        <f>SUMIF($C$4:$C$1269, "=Assessments 2004", I$4:I$1269)</f>
        <v>0</v>
      </c>
      <c r="J1277" s="88">
        <v>40982.114783999998</v>
      </c>
      <c r="K1277" s="477">
        <f>SUMIF($C$4:$C$1269, "=Assessments 2004", K$4:K$1269)</f>
        <v>0</v>
      </c>
      <c r="L1277" s="478">
        <f>SUMIF($C$4:$C$1269, "=Assessments 2004", L$4:L$1269)</f>
        <v>0</v>
      </c>
      <c r="M1277" s="13">
        <f>SUMIF($C$4:$C$1269, "=Assessments 2004", M$4:M$1269)</f>
        <v>0</v>
      </c>
      <c r="N1277" s="13"/>
      <c r="O1277" s="88">
        <v>9146.4779999999864</v>
      </c>
      <c r="P1277" s="88">
        <v>15708.081999999984</v>
      </c>
      <c r="Q1277" s="280">
        <f>SUMIF($C$4:$C$1269, "=Assessments 2004", Q$4:Q$1269)</f>
        <v>0</v>
      </c>
      <c r="R1277" s="88">
        <f>SUMIF($C$4:$C$1269, "=Assessments 2004", R$4:R$1269)</f>
        <v>0</v>
      </c>
      <c r="S1277" s="293">
        <f ca="1">SUMIF($C$4:$C$1269, "=Assessments 2004", S10:S1269)</f>
        <v>0</v>
      </c>
      <c r="T1277" s="88">
        <f>SUMIF($C$4:$C$1269, "=Assessments 2004", T$4:T$1269)</f>
        <v>0</v>
      </c>
      <c r="U1277" s="7">
        <f>SUMIF($C$4:$C$1269, "=Assessments 2004", U$4:U$1269)</f>
        <v>0</v>
      </c>
      <c r="V1277" s="7">
        <f>SUMIF($C$4:$C$1257, "=Assessments 2004", W$4:W$1257)</f>
        <v>0</v>
      </c>
      <c r="Y1277" s="97"/>
      <c r="AC1277" s="41"/>
    </row>
    <row r="1278" spans="1:31" s="38" customFormat="1" ht="15.75" hidden="1" customHeight="1" x14ac:dyDescent="0.2">
      <c r="A1278" s="48"/>
      <c r="B1278" s="49"/>
      <c r="C1278" s="49" t="s">
        <v>290</v>
      </c>
      <c r="D1278" s="50"/>
      <c r="E1278" s="10">
        <v>84443.553</v>
      </c>
      <c r="F1278" s="92">
        <f ca="1">SUMIF($C$4:$C$1269, "=Receipts of current year's assessments 2004", F10:F1269)</f>
        <v>0</v>
      </c>
      <c r="G1278" s="10">
        <f ca="1">SUMIF($C$4:$C$1269, "=Receipts of current year's assessments 2004", G10:G1269)</f>
        <v>0</v>
      </c>
      <c r="H1278" s="10">
        <f ca="1">SUMIF($C$4:$C$1269, "=Receipts of current year's assessments 2004", H10:H1269)</f>
        <v>0</v>
      </c>
      <c r="I1278" s="92">
        <f ca="1">SUMIF($C$4:$C$1269, "=Receipts of current year's assessments 2004", I10:I1269)</f>
        <v>0</v>
      </c>
      <c r="J1278" s="10">
        <v>40013.354012000003</v>
      </c>
      <c r="K1278" s="100">
        <f ca="1">SUMIF($C$4:$C$1269, "=Receipts of current year's assessments 2004", K22:K1269)</f>
        <v>0</v>
      </c>
      <c r="L1278" s="479">
        <f ca="1">SUMIF($C$4:$C$1269, "=Receipts of current year's assessments 2004", L22:L1269)</f>
        <v>0</v>
      </c>
      <c r="M1278" s="9">
        <f ca="1">SUMIF($C$4:$C$1269, "=Receipts of current year's assessments 2004", M22:M1269)</f>
        <v>0</v>
      </c>
      <c r="N1278" s="9"/>
      <c r="O1278" s="8">
        <v>8432.772549999996</v>
      </c>
      <c r="P1278" s="10">
        <v>14864.964179999999</v>
      </c>
      <c r="Q1278" s="335">
        <f ca="1">SUMIF($C$4:$C$1269, "=Receipts of current year's assessments 2004", Q22:Q1269)</f>
        <v>0</v>
      </c>
      <c r="R1278" s="10">
        <f ca="1">SUMIF($C$4:$C$1269, "=Receipts of current year's assessments 2004", R22:R1269)</f>
        <v>0</v>
      </c>
      <c r="S1278" s="294">
        <f ca="1">SUMIF($C$4:$C$1269, "=Receipts of current year's assessments 2004", S10:S1269)</f>
        <v>0</v>
      </c>
      <c r="T1278" s="10">
        <f ca="1">SUMIF($C$4:$C$1269, "=Receipts of current year's assessments 2004", T10:T1269)</f>
        <v>0</v>
      </c>
      <c r="U1278" s="8">
        <f ca="1">SUMIF($C$4:$C$1269, "=Receipts of current year's assessments 2004", U10:U1269)</f>
        <v>0</v>
      </c>
      <c r="V1278" s="8">
        <f ca="1">SUMIF($C$4:$C$1257, "=Receipts of current year's assessments 2004", W10:W1257)</f>
        <v>0</v>
      </c>
      <c r="Y1278" s="97"/>
      <c r="AC1278" s="41"/>
    </row>
    <row r="1279" spans="1:31" s="38" customFormat="1" ht="16.5" hidden="1" customHeight="1" thickBot="1" x14ac:dyDescent="0.25">
      <c r="A1279" s="51"/>
      <c r="B1279" s="49"/>
      <c r="C1279" s="52" t="s">
        <v>291</v>
      </c>
      <c r="D1279" s="307"/>
      <c r="E1279" s="11">
        <v>9867.3029099999985</v>
      </c>
      <c r="F1279" s="93">
        <f ca="1">SUMIF($C$4:$C$1269, "=Receipts of prior years' assessments 2004", F10:F1269)</f>
        <v>0</v>
      </c>
      <c r="G1279" s="11">
        <f ca="1">SUMIF($C$4:$C$1269, "=Receipts of prior years' assessments 2004", G10:G1269)</f>
        <v>0</v>
      </c>
      <c r="H1279" s="11">
        <f ca="1">SUMIF($C$4:$C$1269, "=Receipts of prior years' assessments 2004", H10:H1269)</f>
        <v>0</v>
      </c>
      <c r="I1279" s="93">
        <f ca="1">SUMIF($C$4:$C$1269, "=Receipts of prior years' assessments 2004", I10:I1269)</f>
        <v>0</v>
      </c>
      <c r="J1279" s="11">
        <v>308.41833200000008</v>
      </c>
      <c r="K1279" s="103">
        <f ca="1">SUMIF($C$4:$C$1269, "=Receipts of prior years' assessments 2004", K22:K1269)</f>
        <v>0</v>
      </c>
      <c r="L1279" s="480">
        <f ca="1">SUMIF($C$4:$C$1269, "=Receipts of prior years' assessments 2004", L22:L1269)</f>
        <v>0</v>
      </c>
      <c r="M1279" s="14">
        <f ca="1">SUMIF($C$4:$C$1269, "=Receipts of prior years' assessments 2004", M22:M1269)</f>
        <v>0</v>
      </c>
      <c r="N1279" s="14"/>
      <c r="O1279" s="11">
        <v>476.59722999999997</v>
      </c>
      <c r="P1279" s="11">
        <v>682.27420000000006</v>
      </c>
      <c r="Q1279" s="281">
        <f ca="1">SUMIF($C$4:$C$1269, "=Receipts of prior years' assessments 2004", Q22:Q1269)</f>
        <v>0</v>
      </c>
      <c r="R1279" s="11">
        <f ca="1">SUMIF($C$4:$C$1269, "=Receipts of prior years' assessments 2004", R22:R1269)</f>
        <v>0</v>
      </c>
      <c r="S1279" s="295">
        <f ca="1">SUMIF($C$4:$C$1269, "=Receipts of prior years' assessments 2004", S10:S1269)</f>
        <v>0</v>
      </c>
      <c r="T1279" s="11">
        <f ca="1">SUMIF($C$4:$C$1269, "=Receipts of prior years' assessments 2004", T10:T1269)</f>
        <v>0</v>
      </c>
      <c r="U1279" s="12">
        <f ca="1">SUMIF($C$4:$C$1269, "=Receipts of prior years' assessments 2004", U10:U1269)</f>
        <v>0</v>
      </c>
      <c r="V1279" s="8">
        <f ca="1">SUMIF($C$4:$C$1257, "=Receipts of prior years' assessments 2004", W10:W1257)</f>
        <v>0</v>
      </c>
      <c r="Y1279" s="97"/>
      <c r="AC1279" s="41"/>
    </row>
    <row r="1280" spans="1:31" s="38" customFormat="1" ht="16.899999999999999" hidden="1" customHeight="1" thickTop="1" x14ac:dyDescent="0.2">
      <c r="A1280" s="48"/>
      <c r="B1280" s="76" t="s">
        <v>362</v>
      </c>
      <c r="C1280" s="50" t="s">
        <v>289</v>
      </c>
      <c r="D1280" s="50"/>
      <c r="E1280" s="13">
        <v>113819.592</v>
      </c>
      <c r="F1280" s="94">
        <f ca="1">SUMIF($C$4:$C$1269, "=Assessments 2005", F10:F1269)</f>
        <v>0</v>
      </c>
      <c r="G1280" s="13">
        <f ca="1">SUMIF($C$4:$C$1269, "=Assessments 2005", G10:G1269)</f>
        <v>0</v>
      </c>
      <c r="H1280" s="13">
        <f ca="1">SUMIF($C$4:$C$1269, "=Assessments 2005", H10:H1269)</f>
        <v>0</v>
      </c>
      <c r="I1280" s="94">
        <f ca="1">SUMIF($C$4:$C$1269, "=Assessments 2005", I10:I1269)</f>
        <v>0</v>
      </c>
      <c r="J1280" s="13">
        <v>47159.968461000077</v>
      </c>
      <c r="K1280" s="481">
        <f ca="1">SUMIF($C$4:$C$1269, "=Assessments 2005", K22:K1269)</f>
        <v>0</v>
      </c>
      <c r="L1280" s="478">
        <f ca="1">SUMIF($C$4:$C$1269, "=Assessments 2005", L22:L1269)</f>
        <v>0</v>
      </c>
      <c r="M1280" s="13">
        <f ca="1">SUMIF($C$4:$C$1269, "=Assessments 2005", M22:M1269)</f>
        <v>0</v>
      </c>
      <c r="N1280" s="13"/>
      <c r="O1280" s="8">
        <v>9056.481000000007</v>
      </c>
      <c r="P1280" s="13">
        <v>15553.522000000023</v>
      </c>
      <c r="Q1280" s="336">
        <f ca="1">SUMIF($C$4:$C$1269, "=Assessments 2005", Q22:Q1269)</f>
        <v>0</v>
      </c>
      <c r="R1280" s="13">
        <f ca="1">SUMIF($C$4:$C$1269, "=Assessments 2005", R22:R1269)</f>
        <v>0</v>
      </c>
      <c r="S1280" s="296">
        <f ca="1">SUMIF($C$4:$C$1269, "=Assessments 2005", S10:S1269)</f>
        <v>0</v>
      </c>
      <c r="T1280" s="13">
        <f>SUMIF($C$4:$C$1269, "=Assessments 2005", T$4:T$1269)</f>
        <v>0</v>
      </c>
      <c r="U1280" s="13">
        <f ca="1">SUMIF($C$4:$C$1269, "=Assessments 2005", U10:U1269)</f>
        <v>0</v>
      </c>
      <c r="V1280" s="13">
        <f>SUMIF($C$4:$C$1257, "=Assessments 2005", W$4:W$1257)</f>
        <v>0</v>
      </c>
      <c r="Y1280" s="97"/>
      <c r="AC1280" s="41"/>
    </row>
    <row r="1281" spans="1:29" s="38" customFormat="1" ht="15.95" hidden="1" customHeight="1" x14ac:dyDescent="0.2">
      <c r="A1281" s="48"/>
      <c r="B1281" s="49"/>
      <c r="C1281" s="50" t="s">
        <v>290</v>
      </c>
      <c r="D1281" s="50"/>
      <c r="E1281" s="9">
        <v>83723.608999999997</v>
      </c>
      <c r="F1281" s="95">
        <f ca="1">SUMIF($C$4:$C$1269, "=Receipts of current year's assessments 2005", F10:F1269)</f>
        <v>0</v>
      </c>
      <c r="G1281" s="9">
        <f ca="1">SUMIF($C$4:$C$1269, "=Receipts of current year's assessments 2005", G10:G1269)</f>
        <v>0</v>
      </c>
      <c r="H1281" s="9">
        <f ca="1">SUMIF($C$4:$C$1269, "=Receipts of current year's assessments 2005", H10:H1269)</f>
        <v>0</v>
      </c>
      <c r="I1281" s="95">
        <f ca="1">SUMIF($C$4:$C$1269, "=Receipts of current year's assessments 2005", I10:I1269)</f>
        <v>0</v>
      </c>
      <c r="J1281" s="9">
        <v>46845.737556000051</v>
      </c>
      <c r="K1281" s="482">
        <f ca="1">SUMIF($C$4:$C$1269, "=Receipts of current year's assessments 2005", K22:K1269)</f>
        <v>0</v>
      </c>
      <c r="L1281" s="479">
        <f ca="1">SUMIF($C$4:$C$1269, "=Receipts of current year's assessments 2005", L22:L1269)</f>
        <v>0</v>
      </c>
      <c r="M1281" s="9">
        <f ca="1">SUMIF($C$4:$C$1269, "=Receipts of current year's assessments 2005", M22:M1269)</f>
        <v>0</v>
      </c>
      <c r="N1281" s="9"/>
      <c r="O1281" s="8">
        <v>8458.5760100000025</v>
      </c>
      <c r="P1281" s="9">
        <v>15062.516660000007</v>
      </c>
      <c r="Q1281" s="337">
        <f ca="1">SUMIF($C$4:$C$1269, "=Receipts of current year's assessments 2005", Q22:Q1269)</f>
        <v>0</v>
      </c>
      <c r="R1281" s="9">
        <f ca="1">SUMIF($C$4:$C$1269, "=Receipts of current year's assessments 2005", R22:R1269)</f>
        <v>0</v>
      </c>
      <c r="S1281" s="297">
        <f ca="1">SUMIF($C$4:$C$1269, "=Receipts of current year's assessments 2005", S10:S1269)</f>
        <v>0</v>
      </c>
      <c r="T1281" s="9">
        <f ca="1">SUMIF($C$4:$C$1269, "=Receipts of current year's assessments 2005", T10:T1269)</f>
        <v>0</v>
      </c>
      <c r="U1281" s="9">
        <f ca="1">SUMIF($C$4:$J$1269, "=Receipts of current year's assessments 2005", U10:U1269)</f>
        <v>0</v>
      </c>
      <c r="V1281" s="8">
        <f ca="1">SUMIF($C$4:$C$1257, "=Receipts of current year's assessments 2005", W10:W1257)</f>
        <v>0</v>
      </c>
      <c r="Y1281" s="97"/>
      <c r="AC1281" s="41"/>
    </row>
    <row r="1282" spans="1:29" s="38" customFormat="1" ht="15.95" hidden="1" customHeight="1" thickBot="1" x14ac:dyDescent="0.25">
      <c r="A1282" s="53"/>
      <c r="B1282" s="77"/>
      <c r="C1282" s="54" t="s">
        <v>291</v>
      </c>
      <c r="D1282" s="54"/>
      <c r="E1282" s="14">
        <v>17872.161820000001</v>
      </c>
      <c r="F1282" s="96">
        <f ca="1">SUMIF($C$4:$C$1269, "=Receipts of prior years' assessments 2005", F10:F1269)</f>
        <v>0</v>
      </c>
      <c r="G1282" s="14">
        <f ca="1">SUMIF($C$4:$C$1269, "=Receipts of prior years' assessments 2005", G10:G1269)</f>
        <v>0</v>
      </c>
      <c r="H1282" s="14">
        <f ca="1">SUMIF($C$4:$C$1269, "=Receipts of prior years' assessments 2005", H10:H1269)</f>
        <v>0</v>
      </c>
      <c r="I1282" s="96">
        <f ca="1">SUMIF($C$4:$C$1269, "=Receipts of prior years' assessments 2005", I10:I1269)</f>
        <v>0</v>
      </c>
      <c r="J1282" s="14">
        <v>1354.7009149999999</v>
      </c>
      <c r="K1282" s="483">
        <f ca="1">SUMIF($C$4:$C$1269, "=Receipts of prior years' assessments 2005", K22:K1269)</f>
        <v>0</v>
      </c>
      <c r="L1282" s="480">
        <f ca="1">SUMIF($C$4:$C$1269, "=Receipts of prior years' assessments 2005", L22:L1269)</f>
        <v>0</v>
      </c>
      <c r="M1282" s="14">
        <f ca="1">SUMIF($C$4:$C$1269, "=Receipts of prior years' assessments 2005", M22:M1269)</f>
        <v>0</v>
      </c>
      <c r="N1282" s="14"/>
      <c r="O1282" s="14">
        <v>681.56511999999987</v>
      </c>
      <c r="P1282" s="14">
        <v>1303.4332400000001</v>
      </c>
      <c r="Q1282" s="282">
        <f ca="1">SUMIF($C$4:$C$1269, "=Receipts of prior years' assessments 2005", Q22:Q1269)</f>
        <v>0</v>
      </c>
      <c r="R1282" s="14">
        <f ca="1">SUMIF($C$4:$C$1269, "=Receipts of prior years' assessments 2005", R22:R1269)</f>
        <v>0</v>
      </c>
      <c r="S1282" s="298">
        <f ca="1">SUMIF($C$4:$C$1269, "=Receipts of prior years' assessments 2005", S10:S1269)</f>
        <v>0</v>
      </c>
      <c r="T1282" s="14">
        <f ca="1">SUMIF($C$4:$C$1269, "=Receipts of prior years' assessments 2005", T10:T1269)</f>
        <v>0</v>
      </c>
      <c r="U1282" s="14">
        <f ca="1">SUMIF($C$4:$C$1269, "=Receipts of prior years' assessments 2005", U10:U1269)</f>
        <v>0</v>
      </c>
      <c r="V1282" s="89">
        <f ca="1">SUMIF($C$4:$C$1257, "=Receipts of prior years' assessments 2005", W10:W1257)</f>
        <v>0</v>
      </c>
      <c r="Y1282" s="97"/>
      <c r="AC1282" s="41"/>
    </row>
    <row r="1283" spans="1:29" x14ac:dyDescent="0.2">
      <c r="L1283" s="484"/>
      <c r="M1283" s="55"/>
      <c r="U1283" s="41" t="s">
        <v>359</v>
      </c>
      <c r="Y1283" s="97">
        <f>SUM(Y4:Y1269)</f>
        <v>16</v>
      </c>
    </row>
    <row r="1284" spans="1:29" x14ac:dyDescent="0.2">
      <c r="L1284" s="484"/>
      <c r="M1284" s="55"/>
      <c r="Y1284" s="97"/>
    </row>
    <row r="1285" spans="1:29" x14ac:dyDescent="0.2">
      <c r="M1285" s="55"/>
      <c r="Y1285" s="97"/>
    </row>
    <row r="1286" spans="1:29" x14ac:dyDescent="0.2">
      <c r="M1286" s="55"/>
      <c r="Y1286" s="97"/>
    </row>
    <row r="1287" spans="1:29" x14ac:dyDescent="0.2">
      <c r="M1287" s="55"/>
      <c r="Y1287" s="97"/>
    </row>
    <row r="1288" spans="1:29" x14ac:dyDescent="0.2">
      <c r="M1288" s="55"/>
      <c r="Y1288" s="97"/>
    </row>
    <row r="1289" spans="1:29" x14ac:dyDescent="0.2">
      <c r="M1289" s="55"/>
      <c r="Y1289" s="97"/>
    </row>
    <row r="1290" spans="1:29" x14ac:dyDescent="0.2">
      <c r="M1290" s="55"/>
      <c r="Y1290" s="97"/>
    </row>
    <row r="1291" spans="1:29" x14ac:dyDescent="0.2">
      <c r="M1291" s="55"/>
      <c r="Y1291" s="97"/>
    </row>
    <row r="1292" spans="1:29" x14ac:dyDescent="0.2">
      <c r="M1292" s="55"/>
      <c r="Y1292" s="97"/>
    </row>
    <row r="1293" spans="1:29" x14ac:dyDescent="0.2">
      <c r="M1293" s="55"/>
      <c r="Y1293" s="97"/>
    </row>
    <row r="1294" spans="1:29" x14ac:dyDescent="0.2">
      <c r="M1294" s="55"/>
      <c r="Y1294" s="97"/>
    </row>
    <row r="1295" spans="1:29" x14ac:dyDescent="0.2">
      <c r="M1295" s="55"/>
      <c r="Y1295" s="97"/>
    </row>
    <row r="1296" spans="1:29" x14ac:dyDescent="0.2">
      <c r="M1296" s="55"/>
      <c r="Y1296" s="97"/>
    </row>
    <row r="1297" spans="13:25" x14ac:dyDescent="0.2">
      <c r="M1297" s="55"/>
      <c r="Y1297" s="97"/>
    </row>
    <row r="1298" spans="13:25" x14ac:dyDescent="0.2">
      <c r="M1298" s="55"/>
      <c r="Y1298" s="97"/>
    </row>
    <row r="1299" spans="13:25" x14ac:dyDescent="0.2">
      <c r="M1299" s="55"/>
      <c r="Y1299" s="97"/>
    </row>
    <row r="1300" spans="13:25" x14ac:dyDescent="0.2">
      <c r="M1300" s="55"/>
      <c r="Y1300" s="97"/>
    </row>
    <row r="1301" spans="13:25" x14ac:dyDescent="0.2">
      <c r="M1301" s="55"/>
      <c r="Y1301" s="97"/>
    </row>
    <row r="1302" spans="13:25" x14ac:dyDescent="0.2">
      <c r="M1302" s="55"/>
      <c r="Y1302" s="97"/>
    </row>
    <row r="1303" spans="13:25" x14ac:dyDescent="0.2">
      <c r="M1303" s="55"/>
      <c r="Y1303" s="97"/>
    </row>
    <row r="1304" spans="13:25" x14ac:dyDescent="0.2">
      <c r="M1304" s="55"/>
      <c r="Y1304" s="97"/>
    </row>
    <row r="1305" spans="13:25" x14ac:dyDescent="0.2">
      <c r="M1305" s="55"/>
      <c r="Y1305" s="97"/>
    </row>
    <row r="1306" spans="13:25" x14ac:dyDescent="0.2">
      <c r="M1306" s="55"/>
      <c r="Y1306" s="97"/>
    </row>
    <row r="1307" spans="13:25" x14ac:dyDescent="0.2">
      <c r="M1307" s="55"/>
      <c r="Y1307" s="97"/>
    </row>
    <row r="1308" spans="13:25" x14ac:dyDescent="0.2">
      <c r="M1308" s="55"/>
      <c r="Y1308" s="97"/>
    </row>
    <row r="1309" spans="13:25" x14ac:dyDescent="0.2">
      <c r="M1309" s="55"/>
      <c r="Y1309" s="97"/>
    </row>
    <row r="1310" spans="13:25" x14ac:dyDescent="0.2">
      <c r="M1310" s="55"/>
      <c r="Y1310" s="97"/>
    </row>
    <row r="1311" spans="13:25" x14ac:dyDescent="0.2">
      <c r="M1311" s="55"/>
      <c r="Y1311" s="97"/>
    </row>
    <row r="1312" spans="13:25" x14ac:dyDescent="0.2">
      <c r="M1312" s="55"/>
      <c r="Y1312" s="97"/>
    </row>
    <row r="1313" spans="13:25" x14ac:dyDescent="0.2">
      <c r="M1313" s="55"/>
      <c r="Y1313" s="97"/>
    </row>
    <row r="1314" spans="13:25" x14ac:dyDescent="0.2">
      <c r="M1314" s="55"/>
      <c r="Y1314" s="97"/>
    </row>
    <row r="1315" spans="13:25" x14ac:dyDescent="0.2">
      <c r="M1315" s="55"/>
      <c r="Y1315" s="97"/>
    </row>
    <row r="1316" spans="13:25" x14ac:dyDescent="0.2">
      <c r="M1316" s="55"/>
      <c r="Y1316" s="97"/>
    </row>
    <row r="1317" spans="13:25" x14ac:dyDescent="0.2">
      <c r="M1317" s="55"/>
      <c r="Y1317" s="97"/>
    </row>
    <row r="1318" spans="13:25" x14ac:dyDescent="0.2">
      <c r="M1318" s="55"/>
      <c r="Y1318" s="97"/>
    </row>
    <row r="1319" spans="13:25" x14ac:dyDescent="0.2">
      <c r="M1319" s="55"/>
      <c r="Y1319" s="97"/>
    </row>
    <row r="1320" spans="13:25" x14ac:dyDescent="0.2">
      <c r="M1320" s="55"/>
      <c r="Y1320" s="97"/>
    </row>
    <row r="1321" spans="13:25" x14ac:dyDescent="0.2">
      <c r="M1321" s="55"/>
      <c r="Y1321" s="97"/>
    </row>
    <row r="1322" spans="13:25" x14ac:dyDescent="0.2">
      <c r="M1322" s="55"/>
      <c r="Y1322" s="97"/>
    </row>
    <row r="1323" spans="13:25" x14ac:dyDescent="0.2">
      <c r="M1323" s="55"/>
      <c r="Y1323" s="97"/>
    </row>
    <row r="1324" spans="13:25" x14ac:dyDescent="0.2">
      <c r="M1324" s="55"/>
      <c r="Y1324" s="97"/>
    </row>
    <row r="1325" spans="13:25" x14ac:dyDescent="0.2">
      <c r="M1325" s="55"/>
      <c r="Y1325" s="97"/>
    </row>
    <row r="1326" spans="13:25" x14ac:dyDescent="0.2">
      <c r="M1326" s="55"/>
      <c r="Y1326" s="97"/>
    </row>
    <row r="1327" spans="13:25" x14ac:dyDescent="0.2">
      <c r="M1327" s="55"/>
      <c r="Y1327" s="97"/>
    </row>
    <row r="1328" spans="13:25" x14ac:dyDescent="0.2">
      <c r="M1328" s="55"/>
      <c r="Y1328" s="97"/>
    </row>
    <row r="1329" spans="13:25" x14ac:dyDescent="0.2">
      <c r="M1329" s="55"/>
      <c r="Y1329" s="97"/>
    </row>
    <row r="1330" spans="13:25" x14ac:dyDescent="0.2">
      <c r="M1330" s="55"/>
      <c r="Y1330" s="97"/>
    </row>
    <row r="1331" spans="13:25" x14ac:dyDescent="0.2">
      <c r="M1331" s="55"/>
      <c r="Y1331" s="97"/>
    </row>
    <row r="1332" spans="13:25" x14ac:dyDescent="0.2">
      <c r="M1332" s="55"/>
      <c r="Y1332" s="97"/>
    </row>
    <row r="1333" spans="13:25" x14ac:dyDescent="0.2">
      <c r="M1333" s="55"/>
      <c r="Y1333" s="97"/>
    </row>
    <row r="1334" spans="13:25" x14ac:dyDescent="0.2">
      <c r="M1334" s="55"/>
      <c r="Y1334" s="97"/>
    </row>
    <row r="1335" spans="13:25" x14ac:dyDescent="0.2">
      <c r="M1335" s="55"/>
      <c r="Y1335" s="97"/>
    </row>
    <row r="1336" spans="13:25" x14ac:dyDescent="0.2">
      <c r="M1336" s="55"/>
      <c r="Y1336" s="97"/>
    </row>
    <row r="1337" spans="13:25" x14ac:dyDescent="0.2">
      <c r="M1337" s="55"/>
      <c r="Y1337" s="97"/>
    </row>
    <row r="1338" spans="13:25" x14ac:dyDescent="0.2">
      <c r="M1338" s="55"/>
      <c r="Y1338" s="97"/>
    </row>
    <row r="1339" spans="13:25" x14ac:dyDescent="0.2">
      <c r="M1339" s="55"/>
      <c r="Y1339" s="97"/>
    </row>
    <row r="1340" spans="13:25" x14ac:dyDescent="0.2">
      <c r="M1340" s="55"/>
      <c r="Y1340" s="97"/>
    </row>
    <row r="1341" spans="13:25" x14ac:dyDescent="0.2">
      <c r="M1341" s="55"/>
      <c r="Y1341" s="97"/>
    </row>
    <row r="1342" spans="13:25" x14ac:dyDescent="0.2">
      <c r="M1342" s="55"/>
      <c r="Y1342" s="97"/>
    </row>
    <row r="1343" spans="13:25" x14ac:dyDescent="0.2">
      <c r="M1343" s="55"/>
      <c r="Y1343" s="97"/>
    </row>
    <row r="1344" spans="13:25" x14ac:dyDescent="0.2">
      <c r="M1344" s="55"/>
      <c r="Y1344" s="97"/>
    </row>
    <row r="1345" spans="13:25" x14ac:dyDescent="0.2">
      <c r="M1345" s="55"/>
      <c r="Y1345" s="97"/>
    </row>
    <row r="1346" spans="13:25" x14ac:dyDescent="0.2">
      <c r="M1346" s="55"/>
      <c r="Y1346" s="97"/>
    </row>
    <row r="1347" spans="13:25" x14ac:dyDescent="0.2">
      <c r="M1347" s="55"/>
      <c r="Y1347" s="97"/>
    </row>
    <row r="1348" spans="13:25" x14ac:dyDescent="0.2">
      <c r="M1348" s="55"/>
      <c r="Y1348" s="97"/>
    </row>
    <row r="1349" spans="13:25" x14ac:dyDescent="0.2">
      <c r="M1349" s="55"/>
      <c r="Y1349" s="97"/>
    </row>
    <row r="1350" spans="13:25" x14ac:dyDescent="0.2">
      <c r="M1350" s="55"/>
      <c r="Y1350" s="97"/>
    </row>
    <row r="1351" spans="13:25" x14ac:dyDescent="0.2">
      <c r="M1351" s="55"/>
      <c r="Y1351" s="97"/>
    </row>
    <row r="1352" spans="13:25" x14ac:dyDescent="0.2">
      <c r="M1352" s="55"/>
      <c r="Y1352" s="97"/>
    </row>
    <row r="1353" spans="13:25" x14ac:dyDescent="0.2">
      <c r="M1353" s="55"/>
      <c r="Y1353" s="97"/>
    </row>
    <row r="1354" spans="13:25" x14ac:dyDescent="0.2">
      <c r="M1354" s="55"/>
      <c r="Y1354" s="97"/>
    </row>
    <row r="1355" spans="13:25" x14ac:dyDescent="0.2">
      <c r="M1355" s="55"/>
      <c r="Y1355" s="97"/>
    </row>
    <row r="1356" spans="13:25" x14ac:dyDescent="0.2">
      <c r="M1356" s="55"/>
      <c r="Y1356" s="97"/>
    </row>
    <row r="1357" spans="13:25" x14ac:dyDescent="0.2">
      <c r="M1357" s="55"/>
      <c r="Y1357" s="97"/>
    </row>
    <row r="1358" spans="13:25" x14ac:dyDescent="0.2">
      <c r="M1358" s="55"/>
      <c r="Y1358" s="97"/>
    </row>
    <row r="1359" spans="13:25" x14ac:dyDescent="0.2">
      <c r="M1359" s="55"/>
      <c r="Y1359" s="97"/>
    </row>
    <row r="1360" spans="13:25" x14ac:dyDescent="0.2">
      <c r="M1360" s="55"/>
      <c r="Y1360" s="97"/>
    </row>
    <row r="1361" spans="13:25" x14ac:dyDescent="0.2">
      <c r="M1361" s="55"/>
      <c r="Y1361" s="97"/>
    </row>
    <row r="1362" spans="13:25" x14ac:dyDescent="0.2">
      <c r="M1362" s="55"/>
      <c r="Y1362" s="97"/>
    </row>
    <row r="1363" spans="13:25" x14ac:dyDescent="0.2">
      <c r="M1363" s="55"/>
      <c r="Y1363" s="97"/>
    </row>
    <row r="1364" spans="13:25" x14ac:dyDescent="0.2">
      <c r="M1364" s="55"/>
      <c r="Y1364" s="97"/>
    </row>
    <row r="1365" spans="13:25" x14ac:dyDescent="0.2">
      <c r="M1365" s="55"/>
      <c r="Y1365" s="97"/>
    </row>
    <row r="1366" spans="13:25" x14ac:dyDescent="0.2">
      <c r="M1366" s="55"/>
      <c r="Y1366" s="97"/>
    </row>
    <row r="1367" spans="13:25" x14ac:dyDescent="0.2">
      <c r="M1367" s="55"/>
      <c r="Y1367" s="97"/>
    </row>
    <row r="1368" spans="13:25" x14ac:dyDescent="0.2">
      <c r="M1368" s="55"/>
      <c r="Y1368" s="97"/>
    </row>
    <row r="1369" spans="13:25" x14ac:dyDescent="0.2">
      <c r="M1369" s="55"/>
      <c r="Y1369" s="97"/>
    </row>
    <row r="1370" spans="13:25" x14ac:dyDescent="0.2">
      <c r="M1370" s="55"/>
      <c r="Y1370" s="97"/>
    </row>
    <row r="1371" spans="13:25" x14ac:dyDescent="0.2">
      <c r="M1371" s="55"/>
      <c r="Y1371" s="97"/>
    </row>
    <row r="1372" spans="13:25" x14ac:dyDescent="0.2">
      <c r="M1372" s="55"/>
      <c r="Y1372" s="97"/>
    </row>
    <row r="1373" spans="13:25" x14ac:dyDescent="0.2">
      <c r="M1373" s="55"/>
      <c r="Y1373" s="97"/>
    </row>
    <row r="1374" spans="13:25" x14ac:dyDescent="0.2">
      <c r="M1374" s="55"/>
      <c r="Y1374" s="97"/>
    </row>
    <row r="1375" spans="13:25" x14ac:dyDescent="0.2">
      <c r="M1375" s="55"/>
      <c r="Y1375" s="97"/>
    </row>
    <row r="1376" spans="13:25" x14ac:dyDescent="0.2">
      <c r="M1376" s="55"/>
      <c r="Y1376" s="97"/>
    </row>
    <row r="1377" spans="13:25" x14ac:dyDescent="0.2">
      <c r="M1377" s="55"/>
      <c r="Y1377" s="97"/>
    </row>
    <row r="1378" spans="13:25" x14ac:dyDescent="0.2">
      <c r="M1378" s="55"/>
      <c r="Y1378" s="97"/>
    </row>
    <row r="1379" spans="13:25" x14ac:dyDescent="0.2">
      <c r="M1379" s="55"/>
      <c r="Y1379" s="97"/>
    </row>
    <row r="1380" spans="13:25" x14ac:dyDescent="0.2">
      <c r="M1380" s="55"/>
      <c r="Y1380" s="97"/>
    </row>
    <row r="1381" spans="13:25" x14ac:dyDescent="0.2">
      <c r="M1381" s="55"/>
      <c r="Y1381" s="97"/>
    </row>
    <row r="1382" spans="13:25" x14ac:dyDescent="0.2">
      <c r="M1382" s="55"/>
      <c r="Y1382" s="97"/>
    </row>
    <row r="1383" spans="13:25" x14ac:dyDescent="0.2">
      <c r="M1383" s="55"/>
      <c r="Y1383" s="97"/>
    </row>
    <row r="1384" spans="13:25" x14ac:dyDescent="0.2">
      <c r="M1384" s="55"/>
      <c r="Y1384" s="97"/>
    </row>
    <row r="1385" spans="13:25" x14ac:dyDescent="0.2">
      <c r="M1385" s="55"/>
      <c r="Y1385" s="97"/>
    </row>
    <row r="1386" spans="13:25" x14ac:dyDescent="0.2">
      <c r="M1386" s="55"/>
      <c r="Y1386" s="97"/>
    </row>
    <row r="1387" spans="13:25" x14ac:dyDescent="0.2">
      <c r="M1387" s="55"/>
      <c r="Y1387" s="97"/>
    </row>
    <row r="1388" spans="13:25" x14ac:dyDescent="0.2">
      <c r="M1388" s="55"/>
      <c r="Y1388" s="97"/>
    </row>
    <row r="1389" spans="13:25" x14ac:dyDescent="0.2">
      <c r="M1389" s="55"/>
      <c r="Y1389" s="97"/>
    </row>
    <row r="1390" spans="13:25" x14ac:dyDescent="0.2">
      <c r="M1390" s="55"/>
      <c r="Y1390" s="97"/>
    </row>
    <row r="1391" spans="13:25" x14ac:dyDescent="0.2">
      <c r="M1391" s="55"/>
      <c r="Y1391" s="97"/>
    </row>
    <row r="1392" spans="13:25" x14ac:dyDescent="0.2">
      <c r="M1392" s="55"/>
      <c r="Y1392" s="97"/>
    </row>
    <row r="1393" spans="13:25" x14ac:dyDescent="0.2">
      <c r="M1393" s="55"/>
      <c r="Y1393" s="97"/>
    </row>
    <row r="1394" spans="13:25" x14ac:dyDescent="0.2">
      <c r="M1394" s="55"/>
      <c r="Y1394" s="97"/>
    </row>
    <row r="1395" spans="13:25" x14ac:dyDescent="0.2">
      <c r="M1395" s="55"/>
      <c r="Y1395" s="97"/>
    </row>
    <row r="1396" spans="13:25" x14ac:dyDescent="0.2">
      <c r="M1396" s="55"/>
      <c r="Y1396" s="97"/>
    </row>
    <row r="1397" spans="13:25" x14ac:dyDescent="0.2">
      <c r="M1397" s="55"/>
      <c r="Y1397" s="97"/>
    </row>
    <row r="1398" spans="13:25" x14ac:dyDescent="0.2">
      <c r="M1398" s="55"/>
      <c r="Y1398" s="97"/>
    </row>
    <row r="1399" spans="13:25" x14ac:dyDescent="0.2">
      <c r="M1399" s="55"/>
      <c r="Y1399" s="97"/>
    </row>
    <row r="1400" spans="13:25" x14ac:dyDescent="0.2">
      <c r="M1400" s="55"/>
      <c r="Y1400" s="97"/>
    </row>
    <row r="1401" spans="13:25" x14ac:dyDescent="0.2">
      <c r="M1401" s="55"/>
      <c r="Y1401" s="97"/>
    </row>
    <row r="1402" spans="13:25" x14ac:dyDescent="0.2">
      <c r="M1402" s="55"/>
      <c r="Y1402" s="97"/>
    </row>
    <row r="1403" spans="13:25" x14ac:dyDescent="0.2">
      <c r="M1403" s="55"/>
      <c r="Y1403" s="97"/>
    </row>
    <row r="1404" spans="13:25" x14ac:dyDescent="0.2">
      <c r="M1404" s="55"/>
      <c r="Y1404" s="97"/>
    </row>
    <row r="1405" spans="13:25" x14ac:dyDescent="0.2">
      <c r="M1405" s="55"/>
      <c r="Y1405" s="97"/>
    </row>
    <row r="1406" spans="13:25" x14ac:dyDescent="0.2">
      <c r="M1406" s="55"/>
      <c r="Y1406" s="97"/>
    </row>
    <row r="1407" spans="13:25" x14ac:dyDescent="0.2">
      <c r="M1407" s="55"/>
      <c r="Y1407" s="97"/>
    </row>
    <row r="1408" spans="13:25" x14ac:dyDescent="0.2">
      <c r="M1408" s="55"/>
      <c r="Y1408" s="97"/>
    </row>
    <row r="1409" spans="13:25" x14ac:dyDescent="0.2">
      <c r="M1409" s="55"/>
      <c r="Y1409" s="97"/>
    </row>
    <row r="1410" spans="13:25" x14ac:dyDescent="0.2">
      <c r="M1410" s="55"/>
      <c r="Y1410" s="97"/>
    </row>
    <row r="1411" spans="13:25" x14ac:dyDescent="0.2">
      <c r="M1411" s="55"/>
      <c r="Y1411" s="97"/>
    </row>
    <row r="1412" spans="13:25" x14ac:dyDescent="0.2">
      <c r="M1412" s="55"/>
      <c r="Y1412" s="97"/>
    </row>
    <row r="1413" spans="13:25" x14ac:dyDescent="0.2">
      <c r="M1413" s="55"/>
      <c r="Y1413" s="97"/>
    </row>
    <row r="1414" spans="13:25" x14ac:dyDescent="0.2">
      <c r="M1414" s="55"/>
      <c r="Y1414" s="97"/>
    </row>
    <row r="1415" spans="13:25" x14ac:dyDescent="0.2">
      <c r="M1415" s="55"/>
      <c r="Y1415" s="97"/>
    </row>
    <row r="1416" spans="13:25" x14ac:dyDescent="0.2">
      <c r="M1416" s="55"/>
      <c r="Y1416" s="97"/>
    </row>
    <row r="1417" spans="13:25" x14ac:dyDescent="0.2">
      <c r="M1417" s="55"/>
      <c r="Y1417" s="97"/>
    </row>
    <row r="1418" spans="13:25" x14ac:dyDescent="0.2">
      <c r="M1418" s="55"/>
      <c r="Y1418" s="97"/>
    </row>
    <row r="1419" spans="13:25" x14ac:dyDescent="0.2">
      <c r="M1419" s="55"/>
      <c r="Y1419" s="97"/>
    </row>
    <row r="1420" spans="13:25" x14ac:dyDescent="0.2">
      <c r="M1420" s="55"/>
      <c r="Y1420" s="97"/>
    </row>
    <row r="1421" spans="13:25" x14ac:dyDescent="0.2">
      <c r="M1421" s="55"/>
      <c r="Y1421" s="97"/>
    </row>
    <row r="1422" spans="13:25" x14ac:dyDescent="0.2">
      <c r="M1422" s="55"/>
      <c r="Y1422" s="97"/>
    </row>
    <row r="1423" spans="13:25" x14ac:dyDescent="0.2">
      <c r="M1423" s="55"/>
      <c r="Y1423" s="97"/>
    </row>
    <row r="1424" spans="13:25" x14ac:dyDescent="0.2">
      <c r="M1424" s="55"/>
      <c r="Y1424" s="97"/>
    </row>
    <row r="1425" spans="13:25" x14ac:dyDescent="0.2">
      <c r="M1425" s="55"/>
      <c r="Y1425" s="97"/>
    </row>
    <row r="1426" spans="13:25" x14ac:dyDescent="0.2">
      <c r="M1426" s="55"/>
      <c r="Y1426" s="97"/>
    </row>
    <row r="1427" spans="13:25" x14ac:dyDescent="0.2">
      <c r="M1427" s="55"/>
      <c r="Y1427" s="97"/>
    </row>
    <row r="1428" spans="13:25" x14ac:dyDescent="0.2">
      <c r="M1428" s="55"/>
      <c r="Y1428" s="97"/>
    </row>
    <row r="1429" spans="13:25" x14ac:dyDescent="0.2">
      <c r="M1429" s="55"/>
      <c r="Y1429" s="97"/>
    </row>
    <row r="1430" spans="13:25" x14ac:dyDescent="0.2">
      <c r="M1430" s="55"/>
      <c r="Y1430" s="97"/>
    </row>
    <row r="1431" spans="13:25" x14ac:dyDescent="0.2">
      <c r="M1431" s="55"/>
      <c r="Y1431" s="97"/>
    </row>
    <row r="1432" spans="13:25" x14ac:dyDescent="0.2">
      <c r="M1432" s="55"/>
      <c r="Y1432" s="97"/>
    </row>
    <row r="1433" spans="13:25" x14ac:dyDescent="0.2">
      <c r="M1433" s="55"/>
      <c r="Y1433" s="97"/>
    </row>
    <row r="1434" spans="13:25" x14ac:dyDescent="0.2">
      <c r="M1434" s="55"/>
      <c r="Y1434" s="97"/>
    </row>
    <row r="1435" spans="13:25" x14ac:dyDescent="0.2">
      <c r="M1435" s="55"/>
      <c r="Y1435" s="97"/>
    </row>
    <row r="1436" spans="13:25" x14ac:dyDescent="0.2">
      <c r="M1436" s="55"/>
      <c r="Y1436" s="97"/>
    </row>
    <row r="1437" spans="13:25" x14ac:dyDescent="0.2">
      <c r="M1437" s="55"/>
      <c r="Y1437" s="97"/>
    </row>
    <row r="1438" spans="13:25" x14ac:dyDescent="0.2">
      <c r="M1438" s="55"/>
      <c r="Y1438" s="97"/>
    </row>
    <row r="1439" spans="13:25" x14ac:dyDescent="0.2">
      <c r="M1439" s="55"/>
      <c r="Y1439" s="97"/>
    </row>
    <row r="1440" spans="13:25" x14ac:dyDescent="0.2">
      <c r="M1440" s="55"/>
      <c r="Y1440" s="97"/>
    </row>
    <row r="1441" spans="13:25" x14ac:dyDescent="0.2">
      <c r="M1441" s="55"/>
      <c r="Y1441" s="97"/>
    </row>
    <row r="1442" spans="13:25" x14ac:dyDescent="0.2">
      <c r="M1442" s="55"/>
      <c r="Y1442" s="97"/>
    </row>
    <row r="1443" spans="13:25" x14ac:dyDescent="0.2">
      <c r="M1443" s="55"/>
      <c r="Y1443" s="97"/>
    </row>
    <row r="1444" spans="13:25" x14ac:dyDescent="0.2">
      <c r="M1444" s="55"/>
      <c r="Y1444" s="97"/>
    </row>
    <row r="1445" spans="13:25" x14ac:dyDescent="0.2">
      <c r="M1445" s="55"/>
      <c r="Y1445" s="97"/>
    </row>
    <row r="1446" spans="13:25" x14ac:dyDescent="0.2">
      <c r="M1446" s="55"/>
      <c r="Y1446" s="97"/>
    </row>
    <row r="1447" spans="13:25" x14ac:dyDescent="0.2">
      <c r="M1447" s="55"/>
      <c r="Y1447" s="97"/>
    </row>
    <row r="1448" spans="13:25" x14ac:dyDescent="0.2">
      <c r="M1448" s="55"/>
      <c r="Y1448" s="97"/>
    </row>
    <row r="1449" spans="13:25" x14ac:dyDescent="0.2">
      <c r="M1449" s="55"/>
      <c r="Y1449" s="97"/>
    </row>
    <row r="1450" spans="13:25" x14ac:dyDescent="0.2">
      <c r="M1450" s="55"/>
      <c r="Y1450" s="97"/>
    </row>
    <row r="1451" spans="13:25" x14ac:dyDescent="0.2">
      <c r="M1451" s="55"/>
      <c r="Y1451" s="97"/>
    </row>
    <row r="1452" spans="13:25" x14ac:dyDescent="0.2">
      <c r="M1452" s="55"/>
      <c r="Y1452" s="97"/>
    </row>
    <row r="1453" spans="13:25" x14ac:dyDescent="0.2">
      <c r="M1453" s="55"/>
      <c r="Y1453" s="97"/>
    </row>
    <row r="1454" spans="13:25" x14ac:dyDescent="0.2">
      <c r="M1454" s="55"/>
      <c r="Y1454" s="97"/>
    </row>
    <row r="1455" spans="13:25" x14ac:dyDescent="0.2">
      <c r="M1455" s="55"/>
      <c r="Y1455" s="97"/>
    </row>
    <row r="1456" spans="13:25" x14ac:dyDescent="0.2">
      <c r="M1456" s="55"/>
      <c r="Y1456" s="97"/>
    </row>
    <row r="1457" spans="13:25" x14ac:dyDescent="0.2">
      <c r="M1457" s="55"/>
      <c r="Y1457" s="97"/>
    </row>
    <row r="1458" spans="13:25" x14ac:dyDescent="0.2">
      <c r="M1458" s="55"/>
      <c r="Y1458" s="97"/>
    </row>
    <row r="1459" spans="13:25" x14ac:dyDescent="0.2">
      <c r="M1459" s="55"/>
      <c r="Y1459" s="97"/>
    </row>
    <row r="1460" spans="13:25" x14ac:dyDescent="0.2">
      <c r="M1460" s="55"/>
      <c r="Y1460" s="97"/>
    </row>
    <row r="1461" spans="13:25" x14ac:dyDescent="0.2">
      <c r="M1461" s="55"/>
      <c r="Y1461" s="97"/>
    </row>
    <row r="1462" spans="13:25" x14ac:dyDescent="0.2">
      <c r="M1462" s="55"/>
      <c r="Y1462" s="97"/>
    </row>
    <row r="1463" spans="13:25" x14ac:dyDescent="0.2">
      <c r="M1463" s="55"/>
      <c r="Y1463" s="97"/>
    </row>
    <row r="1464" spans="13:25" x14ac:dyDescent="0.2">
      <c r="M1464" s="55"/>
      <c r="Y1464" s="97"/>
    </row>
    <row r="1465" spans="13:25" x14ac:dyDescent="0.2">
      <c r="M1465" s="55"/>
      <c r="Y1465" s="97"/>
    </row>
    <row r="1466" spans="13:25" x14ac:dyDescent="0.2">
      <c r="M1466" s="55"/>
      <c r="Y1466" s="97"/>
    </row>
    <row r="1467" spans="13:25" x14ac:dyDescent="0.2">
      <c r="M1467" s="55"/>
      <c r="Y1467" s="97"/>
    </row>
    <row r="1468" spans="13:25" x14ac:dyDescent="0.2">
      <c r="M1468" s="55"/>
      <c r="Y1468" s="97"/>
    </row>
    <row r="1469" spans="13:25" x14ac:dyDescent="0.2">
      <c r="M1469" s="55"/>
      <c r="Y1469" s="97"/>
    </row>
    <row r="1470" spans="13:25" x14ac:dyDescent="0.2">
      <c r="M1470" s="55"/>
      <c r="Y1470" s="97"/>
    </row>
    <row r="1471" spans="13:25" x14ac:dyDescent="0.2">
      <c r="M1471" s="55"/>
      <c r="Y1471" s="97"/>
    </row>
    <row r="1472" spans="13:25" x14ac:dyDescent="0.2">
      <c r="M1472" s="55"/>
      <c r="Y1472" s="97"/>
    </row>
    <row r="1473" spans="13:25" x14ac:dyDescent="0.2">
      <c r="M1473" s="55"/>
      <c r="Y1473" s="97"/>
    </row>
    <row r="1474" spans="13:25" x14ac:dyDescent="0.2">
      <c r="M1474" s="55"/>
      <c r="Y1474" s="97"/>
    </row>
    <row r="1475" spans="13:25" x14ac:dyDescent="0.2">
      <c r="M1475" s="55"/>
      <c r="Y1475" s="97"/>
    </row>
    <row r="1476" spans="13:25" x14ac:dyDescent="0.2">
      <c r="M1476" s="55"/>
      <c r="Y1476" s="97"/>
    </row>
    <row r="1477" spans="13:25" x14ac:dyDescent="0.2">
      <c r="M1477" s="55"/>
      <c r="Y1477" s="97"/>
    </row>
    <row r="1478" spans="13:25" x14ac:dyDescent="0.2">
      <c r="M1478" s="55"/>
      <c r="Y1478" s="97"/>
    </row>
    <row r="1479" spans="13:25" x14ac:dyDescent="0.2">
      <c r="M1479" s="55"/>
      <c r="Y1479" s="97"/>
    </row>
    <row r="1480" spans="13:25" x14ac:dyDescent="0.2">
      <c r="M1480" s="55"/>
      <c r="Y1480" s="97"/>
    </row>
    <row r="1481" spans="13:25" x14ac:dyDescent="0.2">
      <c r="M1481" s="55"/>
      <c r="Y1481" s="97"/>
    </row>
    <row r="1482" spans="13:25" x14ac:dyDescent="0.2">
      <c r="M1482" s="55"/>
      <c r="Y1482" s="97"/>
    </row>
    <row r="1483" spans="13:25" x14ac:dyDescent="0.2">
      <c r="M1483" s="55"/>
      <c r="Y1483" s="97"/>
    </row>
    <row r="1484" spans="13:25" x14ac:dyDescent="0.2">
      <c r="M1484" s="55"/>
      <c r="Y1484" s="97"/>
    </row>
    <row r="1485" spans="13:25" x14ac:dyDescent="0.2">
      <c r="M1485" s="55"/>
      <c r="Y1485" s="97"/>
    </row>
    <row r="1486" spans="13:25" x14ac:dyDescent="0.2">
      <c r="M1486" s="55"/>
      <c r="Y1486" s="97"/>
    </row>
    <row r="1487" spans="13:25" x14ac:dyDescent="0.2">
      <c r="M1487" s="55"/>
      <c r="Y1487" s="97"/>
    </row>
    <row r="1488" spans="13:25" x14ac:dyDescent="0.2">
      <c r="M1488" s="55"/>
      <c r="Y1488" s="97"/>
    </row>
    <row r="1489" spans="13:25" x14ac:dyDescent="0.2">
      <c r="M1489" s="55"/>
      <c r="Y1489" s="97"/>
    </row>
    <row r="1490" spans="13:25" x14ac:dyDescent="0.2">
      <c r="M1490" s="55"/>
      <c r="Y1490" s="97"/>
    </row>
    <row r="1491" spans="13:25" x14ac:dyDescent="0.2">
      <c r="M1491" s="55"/>
      <c r="Y1491" s="97"/>
    </row>
    <row r="1492" spans="13:25" x14ac:dyDescent="0.2">
      <c r="M1492" s="55"/>
      <c r="Y1492" s="97"/>
    </row>
    <row r="1493" spans="13:25" x14ac:dyDescent="0.2">
      <c r="M1493" s="55"/>
      <c r="Y1493" s="97"/>
    </row>
    <row r="1494" spans="13:25" x14ac:dyDescent="0.2">
      <c r="M1494" s="55"/>
      <c r="Y1494" s="97"/>
    </row>
    <row r="1495" spans="13:25" x14ac:dyDescent="0.2">
      <c r="M1495" s="55"/>
      <c r="Y1495" s="97"/>
    </row>
    <row r="1496" spans="13:25" x14ac:dyDescent="0.2">
      <c r="M1496" s="55"/>
      <c r="Y1496" s="97"/>
    </row>
    <row r="1497" spans="13:25" x14ac:dyDescent="0.2">
      <c r="M1497" s="55"/>
      <c r="Y1497" s="97"/>
    </row>
    <row r="1498" spans="13:25" x14ac:dyDescent="0.2">
      <c r="M1498" s="55"/>
      <c r="Y1498" s="97"/>
    </row>
    <row r="1499" spans="13:25" x14ac:dyDescent="0.2">
      <c r="M1499" s="55"/>
      <c r="Y1499" s="97"/>
    </row>
    <row r="1500" spans="13:25" x14ac:dyDescent="0.2">
      <c r="M1500" s="55"/>
      <c r="Y1500" s="97"/>
    </row>
    <row r="1501" spans="13:25" x14ac:dyDescent="0.2">
      <c r="M1501" s="55"/>
      <c r="Y1501" s="97"/>
    </row>
    <row r="1502" spans="13:25" x14ac:dyDescent="0.2">
      <c r="M1502" s="55"/>
      <c r="Y1502" s="97"/>
    </row>
    <row r="1503" spans="13:25" x14ac:dyDescent="0.2">
      <c r="M1503" s="55"/>
      <c r="Y1503" s="97"/>
    </row>
    <row r="1504" spans="13:25" x14ac:dyDescent="0.2">
      <c r="M1504" s="55"/>
      <c r="Y1504" s="97"/>
    </row>
    <row r="1505" spans="13:25" x14ac:dyDescent="0.2">
      <c r="M1505" s="55"/>
      <c r="Y1505" s="97"/>
    </row>
    <row r="1506" spans="13:25" x14ac:dyDescent="0.2">
      <c r="M1506" s="55"/>
      <c r="Y1506" s="97"/>
    </row>
    <row r="1507" spans="13:25" x14ac:dyDescent="0.2">
      <c r="M1507" s="55"/>
      <c r="Y1507" s="97"/>
    </row>
    <row r="1508" spans="13:25" x14ac:dyDescent="0.2">
      <c r="M1508" s="55"/>
      <c r="Y1508" s="97"/>
    </row>
    <row r="1509" spans="13:25" x14ac:dyDescent="0.2">
      <c r="M1509" s="55"/>
      <c r="Y1509" s="97"/>
    </row>
    <row r="1510" spans="13:25" x14ac:dyDescent="0.2">
      <c r="M1510" s="55"/>
      <c r="Y1510" s="97"/>
    </row>
    <row r="1511" spans="13:25" x14ac:dyDescent="0.2">
      <c r="M1511" s="55"/>
      <c r="Y1511" s="97"/>
    </row>
    <row r="1512" spans="13:25" x14ac:dyDescent="0.2">
      <c r="M1512" s="55"/>
      <c r="Y1512" s="97"/>
    </row>
    <row r="1513" spans="13:25" x14ac:dyDescent="0.2">
      <c r="M1513" s="55"/>
      <c r="Y1513" s="97"/>
    </row>
    <row r="1514" spans="13:25" x14ac:dyDescent="0.2">
      <c r="M1514" s="55"/>
      <c r="Y1514" s="97"/>
    </row>
    <row r="1515" spans="13:25" x14ac:dyDescent="0.2">
      <c r="M1515" s="55"/>
      <c r="Y1515" s="97"/>
    </row>
    <row r="1516" spans="13:25" x14ac:dyDescent="0.2">
      <c r="M1516" s="55"/>
      <c r="Y1516" s="97"/>
    </row>
    <row r="1517" spans="13:25" x14ac:dyDescent="0.2">
      <c r="M1517" s="55"/>
      <c r="Y1517" s="97"/>
    </row>
    <row r="1518" spans="13:25" x14ac:dyDescent="0.2">
      <c r="M1518" s="55"/>
      <c r="Y1518" s="97"/>
    </row>
    <row r="1519" spans="13:25" x14ac:dyDescent="0.2">
      <c r="M1519" s="55"/>
      <c r="Y1519" s="97"/>
    </row>
    <row r="1520" spans="13:25" x14ac:dyDescent="0.2">
      <c r="M1520" s="55"/>
      <c r="Y1520" s="97"/>
    </row>
    <row r="1521" spans="13:25" x14ac:dyDescent="0.2">
      <c r="M1521" s="55"/>
      <c r="Y1521" s="97"/>
    </row>
    <row r="1522" spans="13:25" x14ac:dyDescent="0.2">
      <c r="M1522" s="55"/>
      <c r="Y1522" s="97"/>
    </row>
    <row r="1523" spans="13:25" x14ac:dyDescent="0.2">
      <c r="M1523" s="55"/>
      <c r="Y1523" s="97"/>
    </row>
    <row r="1524" spans="13:25" x14ac:dyDescent="0.2">
      <c r="M1524" s="55"/>
      <c r="Y1524" s="97"/>
    </row>
    <row r="1525" spans="13:25" x14ac:dyDescent="0.2">
      <c r="M1525" s="55"/>
      <c r="Y1525" s="97"/>
    </row>
    <row r="1526" spans="13:25" x14ac:dyDescent="0.2">
      <c r="M1526" s="55"/>
      <c r="Y1526" s="97"/>
    </row>
    <row r="1527" spans="13:25" x14ac:dyDescent="0.2">
      <c r="M1527" s="55"/>
      <c r="Y1527" s="97"/>
    </row>
    <row r="1528" spans="13:25" x14ac:dyDescent="0.2">
      <c r="M1528" s="55"/>
      <c r="Y1528" s="97"/>
    </row>
    <row r="1529" spans="13:25" x14ac:dyDescent="0.2">
      <c r="M1529" s="55"/>
      <c r="Y1529" s="97"/>
    </row>
    <row r="1530" spans="13:25" x14ac:dyDescent="0.2">
      <c r="M1530" s="55"/>
      <c r="Y1530" s="97"/>
    </row>
    <row r="1531" spans="13:25" x14ac:dyDescent="0.2">
      <c r="M1531" s="55"/>
      <c r="Y1531" s="97"/>
    </row>
    <row r="1532" spans="13:25" x14ac:dyDescent="0.2">
      <c r="M1532" s="55"/>
      <c r="Y1532" s="97"/>
    </row>
    <row r="1533" spans="13:25" x14ac:dyDescent="0.2">
      <c r="M1533" s="55"/>
      <c r="Y1533" s="97"/>
    </row>
    <row r="1534" spans="13:25" x14ac:dyDescent="0.2">
      <c r="M1534" s="55"/>
      <c r="Y1534" s="97"/>
    </row>
    <row r="1535" spans="13:25" x14ac:dyDescent="0.2">
      <c r="M1535" s="55"/>
      <c r="Y1535" s="97"/>
    </row>
    <row r="1536" spans="13:25" x14ac:dyDescent="0.2">
      <c r="M1536" s="55"/>
      <c r="Y1536" s="97"/>
    </row>
    <row r="1537" spans="13:25" x14ac:dyDescent="0.2">
      <c r="M1537" s="55"/>
      <c r="Y1537" s="97"/>
    </row>
    <row r="1538" spans="13:25" x14ac:dyDescent="0.2">
      <c r="M1538" s="55"/>
      <c r="Y1538" s="97"/>
    </row>
    <row r="1539" spans="13:25" x14ac:dyDescent="0.2">
      <c r="M1539" s="55"/>
      <c r="Y1539" s="97"/>
    </row>
    <row r="1540" spans="13:25" x14ac:dyDescent="0.2">
      <c r="M1540" s="55"/>
      <c r="Y1540" s="97"/>
    </row>
    <row r="1541" spans="13:25" x14ac:dyDescent="0.2">
      <c r="M1541" s="55"/>
      <c r="Y1541" s="97"/>
    </row>
    <row r="1542" spans="13:25" x14ac:dyDescent="0.2">
      <c r="M1542" s="55"/>
      <c r="Y1542" s="97"/>
    </row>
    <row r="1543" spans="13:25" x14ac:dyDescent="0.2">
      <c r="M1543" s="55"/>
      <c r="Y1543" s="97"/>
    </row>
    <row r="1544" spans="13:25" x14ac:dyDescent="0.2">
      <c r="M1544" s="55"/>
      <c r="Y1544" s="97"/>
    </row>
    <row r="1545" spans="13:25" x14ac:dyDescent="0.2">
      <c r="M1545" s="55"/>
      <c r="Y1545" s="97"/>
    </row>
    <row r="1546" spans="13:25" x14ac:dyDescent="0.2">
      <c r="M1546" s="55"/>
      <c r="Y1546" s="97"/>
    </row>
    <row r="1547" spans="13:25" x14ac:dyDescent="0.2">
      <c r="M1547" s="55"/>
      <c r="Y1547" s="97"/>
    </row>
    <row r="1548" spans="13:25" x14ac:dyDescent="0.2">
      <c r="M1548" s="55"/>
      <c r="Y1548" s="97"/>
    </row>
    <row r="1549" spans="13:25" x14ac:dyDescent="0.2">
      <c r="M1549" s="55"/>
      <c r="Y1549" s="97"/>
    </row>
    <row r="1550" spans="13:25" x14ac:dyDescent="0.2">
      <c r="M1550" s="55"/>
      <c r="Y1550" s="97"/>
    </row>
    <row r="1551" spans="13:25" x14ac:dyDescent="0.2">
      <c r="M1551" s="55"/>
      <c r="Y1551" s="97"/>
    </row>
    <row r="1552" spans="13:25" x14ac:dyDescent="0.2">
      <c r="M1552" s="55"/>
      <c r="Y1552" s="97"/>
    </row>
    <row r="1553" spans="13:25" x14ac:dyDescent="0.2">
      <c r="M1553" s="55"/>
      <c r="Y1553" s="97"/>
    </row>
    <row r="1554" spans="13:25" x14ac:dyDescent="0.2">
      <c r="M1554" s="55"/>
      <c r="Y1554" s="97"/>
    </row>
    <row r="1555" spans="13:25" x14ac:dyDescent="0.2">
      <c r="M1555" s="55"/>
      <c r="Y1555" s="97"/>
    </row>
    <row r="1556" spans="13:25" x14ac:dyDescent="0.2">
      <c r="M1556" s="55"/>
      <c r="Y1556" s="97"/>
    </row>
    <row r="1557" spans="13:25" x14ac:dyDescent="0.2">
      <c r="M1557" s="55"/>
      <c r="Y1557" s="97"/>
    </row>
    <row r="1558" spans="13:25" x14ac:dyDescent="0.2">
      <c r="M1558" s="55"/>
      <c r="Y1558" s="97"/>
    </row>
    <row r="1559" spans="13:25" x14ac:dyDescent="0.2">
      <c r="M1559" s="55"/>
      <c r="Y1559" s="97"/>
    </row>
    <row r="1560" spans="13:25" x14ac:dyDescent="0.2">
      <c r="M1560" s="55"/>
      <c r="Y1560" s="97"/>
    </row>
    <row r="1561" spans="13:25" x14ac:dyDescent="0.2">
      <c r="M1561" s="55"/>
      <c r="Y1561" s="97"/>
    </row>
    <row r="1562" spans="13:25" x14ac:dyDescent="0.2">
      <c r="M1562" s="55"/>
      <c r="Y1562" s="97"/>
    </row>
    <row r="1563" spans="13:25" x14ac:dyDescent="0.2">
      <c r="M1563" s="55"/>
      <c r="Y1563" s="97"/>
    </row>
    <row r="1564" spans="13:25" x14ac:dyDescent="0.2">
      <c r="M1564" s="55"/>
      <c r="Y1564" s="97"/>
    </row>
    <row r="1565" spans="13:25" x14ac:dyDescent="0.2">
      <c r="M1565" s="55"/>
      <c r="Y1565" s="97"/>
    </row>
    <row r="1566" spans="13:25" x14ac:dyDescent="0.2">
      <c r="M1566" s="55"/>
      <c r="Y1566" s="97"/>
    </row>
    <row r="1567" spans="13:25" x14ac:dyDescent="0.2">
      <c r="M1567" s="55"/>
      <c r="Y1567" s="97"/>
    </row>
    <row r="1568" spans="13:25" x14ac:dyDescent="0.2">
      <c r="M1568" s="55"/>
      <c r="Y1568" s="97"/>
    </row>
    <row r="1569" spans="13:25" x14ac:dyDescent="0.2">
      <c r="M1569" s="55"/>
      <c r="Y1569" s="97"/>
    </row>
    <row r="1570" spans="13:25" x14ac:dyDescent="0.2">
      <c r="M1570" s="55"/>
      <c r="Y1570" s="97"/>
    </row>
    <row r="1571" spans="13:25" x14ac:dyDescent="0.2">
      <c r="M1571" s="55"/>
      <c r="Y1571" s="97"/>
    </row>
    <row r="1572" spans="13:25" x14ac:dyDescent="0.2">
      <c r="M1572" s="55"/>
      <c r="Y1572" s="97"/>
    </row>
    <row r="1573" spans="13:25" x14ac:dyDescent="0.2">
      <c r="M1573" s="55"/>
      <c r="Y1573" s="97"/>
    </row>
    <row r="1574" spans="13:25" x14ac:dyDescent="0.2">
      <c r="M1574" s="55"/>
      <c r="Y1574" s="97"/>
    </row>
    <row r="1575" spans="13:25" x14ac:dyDescent="0.2">
      <c r="M1575" s="55"/>
      <c r="Y1575" s="97"/>
    </row>
    <row r="1576" spans="13:25" x14ac:dyDescent="0.2">
      <c r="M1576" s="55"/>
      <c r="Y1576" s="97"/>
    </row>
    <row r="1577" spans="13:25" x14ac:dyDescent="0.2">
      <c r="M1577" s="55"/>
      <c r="Y1577" s="97"/>
    </row>
    <row r="1578" spans="13:25" x14ac:dyDescent="0.2">
      <c r="M1578" s="55"/>
      <c r="Y1578" s="97"/>
    </row>
    <row r="1579" spans="13:25" x14ac:dyDescent="0.2">
      <c r="M1579" s="55"/>
      <c r="Y1579" s="97"/>
    </row>
    <row r="1580" spans="13:25" x14ac:dyDescent="0.2">
      <c r="M1580" s="55"/>
      <c r="Y1580" s="97"/>
    </row>
    <row r="1581" spans="13:25" x14ac:dyDescent="0.2">
      <c r="M1581" s="55"/>
      <c r="Y1581" s="97"/>
    </row>
    <row r="1582" spans="13:25" x14ac:dyDescent="0.2">
      <c r="M1582" s="55"/>
      <c r="Y1582" s="97"/>
    </row>
    <row r="1583" spans="13:25" x14ac:dyDescent="0.2">
      <c r="M1583" s="55"/>
      <c r="Y1583" s="97"/>
    </row>
    <row r="1584" spans="13:25" x14ac:dyDescent="0.2">
      <c r="M1584" s="55"/>
      <c r="Y1584" s="97"/>
    </row>
    <row r="1585" spans="13:25" x14ac:dyDescent="0.2">
      <c r="M1585" s="55"/>
      <c r="Y1585" s="97"/>
    </row>
    <row r="1586" spans="13:25" x14ac:dyDescent="0.2">
      <c r="M1586" s="55"/>
      <c r="Y1586" s="97"/>
    </row>
    <row r="1587" spans="13:25" x14ac:dyDescent="0.2">
      <c r="M1587" s="55"/>
      <c r="Y1587" s="97"/>
    </row>
    <row r="1588" spans="13:25" x14ac:dyDescent="0.2">
      <c r="M1588" s="55"/>
      <c r="Y1588" s="97"/>
    </row>
    <row r="1589" spans="13:25" x14ac:dyDescent="0.2">
      <c r="M1589" s="55"/>
      <c r="Y1589" s="97"/>
    </row>
    <row r="1590" spans="13:25" x14ac:dyDescent="0.2">
      <c r="M1590" s="55"/>
      <c r="Y1590" s="97"/>
    </row>
    <row r="1591" spans="13:25" x14ac:dyDescent="0.2">
      <c r="M1591" s="55"/>
      <c r="Y1591" s="97"/>
    </row>
    <row r="1592" spans="13:25" x14ac:dyDescent="0.2">
      <c r="M1592" s="55"/>
      <c r="Y1592" s="97"/>
    </row>
    <row r="1593" spans="13:25" x14ac:dyDescent="0.2">
      <c r="M1593" s="55"/>
      <c r="Y1593" s="97"/>
    </row>
    <row r="1594" spans="13:25" x14ac:dyDescent="0.2">
      <c r="M1594" s="55"/>
      <c r="Y1594" s="97"/>
    </row>
    <row r="1595" spans="13:25" x14ac:dyDescent="0.2">
      <c r="M1595" s="55"/>
      <c r="Y1595" s="97"/>
    </row>
    <row r="1596" spans="13:25" x14ac:dyDescent="0.2">
      <c r="M1596" s="55"/>
      <c r="Y1596" s="97"/>
    </row>
    <row r="1597" spans="13:25" x14ac:dyDescent="0.2">
      <c r="M1597" s="55"/>
      <c r="Y1597" s="97"/>
    </row>
    <row r="1598" spans="13:25" x14ac:dyDescent="0.2">
      <c r="M1598" s="55"/>
      <c r="Y1598" s="97"/>
    </row>
    <row r="1599" spans="13:25" x14ac:dyDescent="0.2">
      <c r="M1599" s="55"/>
      <c r="Y1599" s="97"/>
    </row>
    <row r="1600" spans="13:25" x14ac:dyDescent="0.2">
      <c r="M1600" s="55"/>
      <c r="Y1600" s="97"/>
    </row>
    <row r="1601" spans="13:25" x14ac:dyDescent="0.2">
      <c r="M1601" s="55"/>
      <c r="Y1601" s="97"/>
    </row>
    <row r="1602" spans="13:25" x14ac:dyDescent="0.2">
      <c r="M1602" s="55"/>
      <c r="Y1602" s="97"/>
    </row>
    <row r="1603" spans="13:25" x14ac:dyDescent="0.2">
      <c r="M1603" s="55"/>
      <c r="Y1603" s="97"/>
    </row>
    <row r="1604" spans="13:25" x14ac:dyDescent="0.2">
      <c r="M1604" s="55"/>
      <c r="Y1604" s="97"/>
    </row>
    <row r="1605" spans="13:25" x14ac:dyDescent="0.2">
      <c r="M1605" s="55"/>
      <c r="Y1605" s="97"/>
    </row>
    <row r="1606" spans="13:25" x14ac:dyDescent="0.2">
      <c r="M1606" s="55"/>
      <c r="Y1606" s="97"/>
    </row>
    <row r="1607" spans="13:25" x14ac:dyDescent="0.2">
      <c r="M1607" s="55"/>
      <c r="Y1607" s="97"/>
    </row>
    <row r="1608" spans="13:25" x14ac:dyDescent="0.2">
      <c r="M1608" s="55"/>
      <c r="Y1608" s="97"/>
    </row>
    <row r="1609" spans="13:25" x14ac:dyDescent="0.2">
      <c r="M1609" s="55"/>
      <c r="Y1609" s="97"/>
    </row>
    <row r="1610" spans="13:25" x14ac:dyDescent="0.2">
      <c r="M1610" s="55"/>
      <c r="Y1610" s="97"/>
    </row>
    <row r="1611" spans="13:25" x14ac:dyDescent="0.2">
      <c r="M1611" s="55"/>
      <c r="Y1611" s="97"/>
    </row>
    <row r="1612" spans="13:25" x14ac:dyDescent="0.2">
      <c r="M1612" s="55"/>
      <c r="Y1612" s="97"/>
    </row>
    <row r="1613" spans="13:25" x14ac:dyDescent="0.2">
      <c r="M1613" s="55"/>
      <c r="Y1613" s="97"/>
    </row>
    <row r="1614" spans="13:25" x14ac:dyDescent="0.2">
      <c r="M1614" s="55"/>
      <c r="Y1614" s="97"/>
    </row>
    <row r="1615" spans="13:25" x14ac:dyDescent="0.2">
      <c r="M1615" s="55"/>
      <c r="Y1615" s="97"/>
    </row>
    <row r="1616" spans="13:25" x14ac:dyDescent="0.2">
      <c r="M1616" s="55"/>
      <c r="Y1616" s="97"/>
    </row>
    <row r="1617" spans="13:25" x14ac:dyDescent="0.2">
      <c r="M1617" s="55"/>
      <c r="Y1617" s="97"/>
    </row>
    <row r="1618" spans="13:25" x14ac:dyDescent="0.2">
      <c r="M1618" s="55"/>
      <c r="Y1618" s="97"/>
    </row>
    <row r="1619" spans="13:25" x14ac:dyDescent="0.2">
      <c r="M1619" s="55"/>
      <c r="Y1619" s="97"/>
    </row>
    <row r="1620" spans="13:25" x14ac:dyDescent="0.2">
      <c r="M1620" s="55"/>
      <c r="Y1620" s="97"/>
    </row>
    <row r="1621" spans="13:25" x14ac:dyDescent="0.2">
      <c r="M1621" s="55"/>
      <c r="Y1621" s="97"/>
    </row>
    <row r="1622" spans="13:25" x14ac:dyDescent="0.2">
      <c r="M1622" s="55"/>
      <c r="Y1622" s="97"/>
    </row>
    <row r="1623" spans="13:25" x14ac:dyDescent="0.2">
      <c r="M1623" s="55"/>
      <c r="Y1623" s="97"/>
    </row>
    <row r="1624" spans="13:25" x14ac:dyDescent="0.2">
      <c r="M1624" s="55"/>
      <c r="Y1624" s="97"/>
    </row>
    <row r="1625" spans="13:25" x14ac:dyDescent="0.2">
      <c r="M1625" s="55"/>
      <c r="Y1625" s="97"/>
    </row>
    <row r="1626" spans="13:25" x14ac:dyDescent="0.2">
      <c r="M1626" s="55"/>
      <c r="Y1626" s="97"/>
    </row>
    <row r="1627" spans="13:25" x14ac:dyDescent="0.2">
      <c r="M1627" s="55"/>
      <c r="Y1627" s="97"/>
    </row>
    <row r="1628" spans="13:25" x14ac:dyDescent="0.2">
      <c r="M1628" s="55"/>
      <c r="Y1628" s="97"/>
    </row>
    <row r="1629" spans="13:25" x14ac:dyDescent="0.2">
      <c r="M1629" s="55"/>
      <c r="Y1629" s="97"/>
    </row>
    <row r="1630" spans="13:25" x14ac:dyDescent="0.2">
      <c r="M1630" s="55"/>
      <c r="Y1630" s="97"/>
    </row>
    <row r="1631" spans="13:25" x14ac:dyDescent="0.2">
      <c r="M1631" s="55"/>
      <c r="Y1631" s="97"/>
    </row>
    <row r="1632" spans="13:25" x14ac:dyDescent="0.2">
      <c r="M1632" s="55"/>
      <c r="Y1632" s="97"/>
    </row>
    <row r="1633" spans="13:25" x14ac:dyDescent="0.2">
      <c r="M1633" s="55"/>
      <c r="Y1633" s="97"/>
    </row>
    <row r="1634" spans="13:25" x14ac:dyDescent="0.2">
      <c r="M1634" s="55"/>
      <c r="Y1634" s="97"/>
    </row>
    <row r="1635" spans="13:25" x14ac:dyDescent="0.2">
      <c r="M1635" s="55"/>
      <c r="Y1635" s="97"/>
    </row>
    <row r="1636" spans="13:25" x14ac:dyDescent="0.2">
      <c r="M1636" s="55"/>
      <c r="Y1636" s="97"/>
    </row>
    <row r="1637" spans="13:25" x14ac:dyDescent="0.2">
      <c r="M1637" s="55"/>
      <c r="Y1637" s="97"/>
    </row>
    <row r="1638" spans="13:25" x14ac:dyDescent="0.2">
      <c r="M1638" s="55"/>
      <c r="Y1638" s="97"/>
    </row>
    <row r="1639" spans="13:25" x14ac:dyDescent="0.2">
      <c r="M1639" s="55"/>
      <c r="Y1639" s="97"/>
    </row>
    <row r="1640" spans="13:25" x14ac:dyDescent="0.2">
      <c r="M1640" s="55"/>
      <c r="Y1640" s="97"/>
    </row>
    <row r="1641" spans="13:25" x14ac:dyDescent="0.2">
      <c r="M1641" s="55"/>
      <c r="Y1641" s="97"/>
    </row>
    <row r="1642" spans="13:25" x14ac:dyDescent="0.2">
      <c r="M1642" s="55"/>
      <c r="Y1642" s="97"/>
    </row>
    <row r="1643" spans="13:25" x14ac:dyDescent="0.2">
      <c r="M1643" s="55"/>
      <c r="Y1643" s="97"/>
    </row>
    <row r="1644" spans="13:25" x14ac:dyDescent="0.2">
      <c r="M1644" s="55"/>
      <c r="Y1644" s="97"/>
    </row>
    <row r="1645" spans="13:25" x14ac:dyDescent="0.2">
      <c r="M1645" s="55"/>
      <c r="Y1645" s="97"/>
    </row>
    <row r="1646" spans="13:25" x14ac:dyDescent="0.2">
      <c r="M1646" s="55"/>
      <c r="Y1646" s="97"/>
    </row>
    <row r="1647" spans="13:25" x14ac:dyDescent="0.2">
      <c r="M1647" s="55"/>
      <c r="Y1647" s="97"/>
    </row>
    <row r="1648" spans="13:25" x14ac:dyDescent="0.2">
      <c r="M1648" s="55"/>
      <c r="Y1648" s="97"/>
    </row>
    <row r="1649" spans="13:25" x14ac:dyDescent="0.2">
      <c r="M1649" s="55"/>
      <c r="Y1649" s="97"/>
    </row>
    <row r="1650" spans="13:25" x14ac:dyDescent="0.2">
      <c r="M1650" s="55"/>
      <c r="Y1650" s="97"/>
    </row>
    <row r="1651" spans="13:25" x14ac:dyDescent="0.2">
      <c r="M1651" s="55"/>
      <c r="Y1651" s="97"/>
    </row>
    <row r="1652" spans="13:25" x14ac:dyDescent="0.2">
      <c r="M1652" s="55"/>
      <c r="Y1652" s="97"/>
    </row>
    <row r="1653" spans="13:25" x14ac:dyDescent="0.2">
      <c r="M1653" s="55"/>
      <c r="Y1653" s="97"/>
    </row>
    <row r="1654" spans="13:25" x14ac:dyDescent="0.2">
      <c r="M1654" s="55"/>
      <c r="Y1654" s="97"/>
    </row>
    <row r="1655" spans="13:25" x14ac:dyDescent="0.2">
      <c r="M1655" s="55"/>
      <c r="Y1655" s="97"/>
    </row>
    <row r="1656" spans="13:25" x14ac:dyDescent="0.2">
      <c r="M1656" s="55"/>
      <c r="Y1656" s="97"/>
    </row>
    <row r="1657" spans="13:25" x14ac:dyDescent="0.2">
      <c r="M1657" s="55"/>
      <c r="Y1657" s="97"/>
    </row>
    <row r="1658" spans="13:25" x14ac:dyDescent="0.2">
      <c r="M1658" s="55"/>
      <c r="Y1658" s="97"/>
    </row>
    <row r="1659" spans="13:25" x14ac:dyDescent="0.2">
      <c r="M1659" s="55"/>
      <c r="Y1659" s="97"/>
    </row>
    <row r="1660" spans="13:25" x14ac:dyDescent="0.2">
      <c r="M1660" s="55"/>
      <c r="Y1660" s="97"/>
    </row>
    <row r="1661" spans="13:25" x14ac:dyDescent="0.2">
      <c r="M1661" s="55"/>
      <c r="Y1661" s="97"/>
    </row>
    <row r="1662" spans="13:25" x14ac:dyDescent="0.2">
      <c r="M1662" s="55"/>
      <c r="Y1662" s="97"/>
    </row>
    <row r="1663" spans="13:25" x14ac:dyDescent="0.2">
      <c r="M1663" s="55"/>
      <c r="Y1663" s="97"/>
    </row>
    <row r="1664" spans="13:25" x14ac:dyDescent="0.2">
      <c r="M1664" s="55"/>
      <c r="Y1664" s="97"/>
    </row>
    <row r="1665" spans="13:25" x14ac:dyDescent="0.2">
      <c r="M1665" s="55"/>
      <c r="Y1665" s="97"/>
    </row>
    <row r="1666" spans="13:25" x14ac:dyDescent="0.2">
      <c r="M1666" s="55"/>
      <c r="Y1666" s="97"/>
    </row>
    <row r="1667" spans="13:25" x14ac:dyDescent="0.2">
      <c r="M1667" s="55"/>
      <c r="Y1667" s="97"/>
    </row>
    <row r="1668" spans="13:25" x14ac:dyDescent="0.2">
      <c r="M1668" s="55"/>
      <c r="Y1668" s="97"/>
    </row>
    <row r="1669" spans="13:25" x14ac:dyDescent="0.2">
      <c r="M1669" s="55"/>
      <c r="Y1669" s="97"/>
    </row>
    <row r="1670" spans="13:25" x14ac:dyDescent="0.2">
      <c r="M1670" s="55"/>
      <c r="Y1670" s="97"/>
    </row>
    <row r="1671" spans="13:25" x14ac:dyDescent="0.2">
      <c r="M1671" s="55"/>
      <c r="Y1671" s="97"/>
    </row>
    <row r="1672" spans="13:25" x14ac:dyDescent="0.2">
      <c r="M1672" s="55"/>
      <c r="Y1672" s="97"/>
    </row>
    <row r="1673" spans="13:25" x14ac:dyDescent="0.2">
      <c r="M1673" s="55"/>
      <c r="Y1673" s="97"/>
    </row>
    <row r="1674" spans="13:25" x14ac:dyDescent="0.2">
      <c r="M1674" s="55"/>
      <c r="Y1674" s="97"/>
    </row>
    <row r="1675" spans="13:25" x14ac:dyDescent="0.2">
      <c r="M1675" s="55"/>
      <c r="Y1675" s="97"/>
    </row>
    <row r="1676" spans="13:25" x14ac:dyDescent="0.2">
      <c r="M1676" s="55"/>
      <c r="Y1676" s="97"/>
    </row>
    <row r="1677" spans="13:25" x14ac:dyDescent="0.2">
      <c r="M1677" s="55"/>
      <c r="Y1677" s="97"/>
    </row>
    <row r="1678" spans="13:25" x14ac:dyDescent="0.2">
      <c r="M1678" s="55"/>
      <c r="Y1678" s="97"/>
    </row>
    <row r="1679" spans="13:25" x14ac:dyDescent="0.2">
      <c r="M1679" s="55"/>
      <c r="Y1679" s="97"/>
    </row>
    <row r="1680" spans="13:25" x14ac:dyDescent="0.2">
      <c r="M1680" s="55"/>
      <c r="Y1680" s="97"/>
    </row>
    <row r="1681" spans="13:25" x14ac:dyDescent="0.2">
      <c r="M1681" s="55"/>
      <c r="Y1681" s="97"/>
    </row>
    <row r="1682" spans="13:25" x14ac:dyDescent="0.2">
      <c r="M1682" s="55"/>
      <c r="Y1682" s="97"/>
    </row>
    <row r="1683" spans="13:25" x14ac:dyDescent="0.2">
      <c r="M1683" s="55"/>
      <c r="Y1683" s="97"/>
    </row>
    <row r="1684" spans="13:25" x14ac:dyDescent="0.2">
      <c r="M1684" s="55"/>
      <c r="Y1684" s="97"/>
    </row>
    <row r="1685" spans="13:25" x14ac:dyDescent="0.2">
      <c r="M1685" s="55"/>
      <c r="Y1685" s="97"/>
    </row>
    <row r="1686" spans="13:25" x14ac:dyDescent="0.2">
      <c r="M1686" s="55"/>
      <c r="Y1686" s="97"/>
    </row>
    <row r="1687" spans="13:25" x14ac:dyDescent="0.2">
      <c r="M1687" s="55"/>
      <c r="Y1687" s="97"/>
    </row>
    <row r="1688" spans="13:25" x14ac:dyDescent="0.2">
      <c r="M1688" s="55"/>
      <c r="Y1688" s="97"/>
    </row>
    <row r="1689" spans="13:25" x14ac:dyDescent="0.2">
      <c r="M1689" s="55"/>
      <c r="Y1689" s="97"/>
    </row>
    <row r="1690" spans="13:25" x14ac:dyDescent="0.2">
      <c r="M1690" s="55"/>
      <c r="Y1690" s="97"/>
    </row>
    <row r="1691" spans="13:25" x14ac:dyDescent="0.2">
      <c r="M1691" s="55"/>
      <c r="Y1691" s="97"/>
    </row>
    <row r="1692" spans="13:25" x14ac:dyDescent="0.2">
      <c r="M1692" s="55"/>
      <c r="Y1692" s="97"/>
    </row>
    <row r="1693" spans="13:25" x14ac:dyDescent="0.2">
      <c r="M1693" s="55"/>
      <c r="Y1693" s="97"/>
    </row>
    <row r="1694" spans="13:25" x14ac:dyDescent="0.2">
      <c r="M1694" s="55"/>
      <c r="Y1694" s="97"/>
    </row>
    <row r="1695" spans="13:25" x14ac:dyDescent="0.2">
      <c r="M1695" s="55"/>
      <c r="Y1695" s="97"/>
    </row>
    <row r="1696" spans="13:25" x14ac:dyDescent="0.2">
      <c r="M1696" s="55"/>
      <c r="Y1696" s="97"/>
    </row>
    <row r="1697" spans="13:25" x14ac:dyDescent="0.2">
      <c r="M1697" s="55"/>
      <c r="Y1697" s="97"/>
    </row>
    <row r="1698" spans="13:25" x14ac:dyDescent="0.2">
      <c r="M1698" s="55"/>
      <c r="Y1698" s="97"/>
    </row>
    <row r="1699" spans="13:25" x14ac:dyDescent="0.2">
      <c r="M1699" s="55"/>
      <c r="Y1699" s="97"/>
    </row>
    <row r="1700" spans="13:25" x14ac:dyDescent="0.2">
      <c r="M1700" s="55"/>
      <c r="Y1700" s="97"/>
    </row>
    <row r="1701" spans="13:25" x14ac:dyDescent="0.2">
      <c r="M1701" s="55"/>
      <c r="Y1701" s="97"/>
    </row>
    <row r="1702" spans="13:25" x14ac:dyDescent="0.2">
      <c r="M1702" s="55"/>
      <c r="Y1702" s="97"/>
    </row>
    <row r="1703" spans="13:25" x14ac:dyDescent="0.2">
      <c r="M1703" s="55"/>
      <c r="Y1703" s="97"/>
    </row>
    <row r="1704" spans="13:25" x14ac:dyDescent="0.2">
      <c r="M1704" s="55"/>
      <c r="Y1704" s="97"/>
    </row>
    <row r="1705" spans="13:25" x14ac:dyDescent="0.2">
      <c r="M1705" s="55"/>
      <c r="Y1705" s="97"/>
    </row>
    <row r="1706" spans="13:25" x14ac:dyDescent="0.2">
      <c r="M1706" s="55"/>
      <c r="Y1706" s="97"/>
    </row>
    <row r="1707" spans="13:25" x14ac:dyDescent="0.2">
      <c r="M1707" s="55"/>
      <c r="Y1707" s="97"/>
    </row>
    <row r="1708" spans="13:25" x14ac:dyDescent="0.2">
      <c r="M1708" s="55"/>
      <c r="Y1708" s="97"/>
    </row>
    <row r="1709" spans="13:25" x14ac:dyDescent="0.2">
      <c r="M1709" s="55"/>
      <c r="Y1709" s="97"/>
    </row>
    <row r="1710" spans="13:25" x14ac:dyDescent="0.2">
      <c r="M1710" s="55"/>
      <c r="Y1710" s="97"/>
    </row>
    <row r="1711" spans="13:25" x14ac:dyDescent="0.2">
      <c r="M1711" s="55"/>
      <c r="Y1711" s="97"/>
    </row>
    <row r="1712" spans="13:25" x14ac:dyDescent="0.2">
      <c r="M1712" s="55"/>
      <c r="Y1712" s="97"/>
    </row>
    <row r="1713" spans="13:25" x14ac:dyDescent="0.2">
      <c r="M1713" s="55"/>
      <c r="Y1713" s="97"/>
    </row>
    <row r="1714" spans="13:25" x14ac:dyDescent="0.2">
      <c r="M1714" s="55"/>
      <c r="Y1714" s="97"/>
    </row>
    <row r="1715" spans="13:25" x14ac:dyDescent="0.2">
      <c r="M1715" s="55"/>
      <c r="Y1715" s="97"/>
    </row>
    <row r="1716" spans="13:25" x14ac:dyDescent="0.2">
      <c r="M1716" s="55"/>
      <c r="Y1716" s="97"/>
    </row>
    <row r="1717" spans="13:25" x14ac:dyDescent="0.2">
      <c r="M1717" s="55"/>
      <c r="Y1717" s="97"/>
    </row>
    <row r="1718" spans="13:25" x14ac:dyDescent="0.2">
      <c r="M1718" s="55"/>
      <c r="Y1718" s="97"/>
    </row>
    <row r="1719" spans="13:25" x14ac:dyDescent="0.2">
      <c r="M1719" s="55"/>
      <c r="Y1719" s="97"/>
    </row>
    <row r="1720" spans="13:25" x14ac:dyDescent="0.2">
      <c r="M1720" s="55"/>
      <c r="Y1720" s="97"/>
    </row>
    <row r="1721" spans="13:25" x14ac:dyDescent="0.2">
      <c r="M1721" s="55"/>
      <c r="Y1721" s="97"/>
    </row>
    <row r="1722" spans="13:25" x14ac:dyDescent="0.2">
      <c r="M1722" s="55"/>
      <c r="Y1722" s="97"/>
    </row>
    <row r="1723" spans="13:25" x14ac:dyDescent="0.2">
      <c r="M1723" s="55"/>
      <c r="Y1723" s="97"/>
    </row>
    <row r="1724" spans="13:25" x14ac:dyDescent="0.2">
      <c r="M1724" s="55"/>
      <c r="Y1724" s="97"/>
    </row>
    <row r="1725" spans="13:25" x14ac:dyDescent="0.2">
      <c r="M1725" s="55"/>
      <c r="Y1725" s="97"/>
    </row>
    <row r="1726" spans="13:25" x14ac:dyDescent="0.2">
      <c r="M1726" s="55"/>
      <c r="Y1726" s="97"/>
    </row>
    <row r="1727" spans="13:25" x14ac:dyDescent="0.2">
      <c r="M1727" s="55"/>
      <c r="Y1727" s="97"/>
    </row>
    <row r="1728" spans="13:25" x14ac:dyDescent="0.2">
      <c r="M1728" s="55"/>
      <c r="Y1728" s="97"/>
    </row>
    <row r="1729" spans="13:25" x14ac:dyDescent="0.2">
      <c r="M1729" s="55"/>
      <c r="Y1729" s="97"/>
    </row>
    <row r="1730" spans="13:25" x14ac:dyDescent="0.2">
      <c r="M1730" s="55"/>
      <c r="Y1730" s="97"/>
    </row>
    <row r="1731" spans="13:25" x14ac:dyDescent="0.2">
      <c r="M1731" s="55"/>
      <c r="Y1731" s="97"/>
    </row>
    <row r="1732" spans="13:25" x14ac:dyDescent="0.2">
      <c r="M1732" s="55"/>
      <c r="Y1732" s="97"/>
    </row>
    <row r="1733" spans="13:25" x14ac:dyDescent="0.2">
      <c r="M1733" s="55"/>
      <c r="Y1733" s="97"/>
    </row>
    <row r="1734" spans="13:25" x14ac:dyDescent="0.2">
      <c r="M1734" s="55"/>
      <c r="Y1734" s="97"/>
    </row>
    <row r="1735" spans="13:25" x14ac:dyDescent="0.2">
      <c r="M1735" s="55"/>
      <c r="Y1735" s="97"/>
    </row>
    <row r="1736" spans="13:25" x14ac:dyDescent="0.2">
      <c r="M1736" s="55"/>
      <c r="Y1736" s="97"/>
    </row>
    <row r="1737" spans="13:25" x14ac:dyDescent="0.2">
      <c r="M1737" s="55"/>
      <c r="Y1737" s="97"/>
    </row>
    <row r="1738" spans="13:25" x14ac:dyDescent="0.2">
      <c r="M1738" s="55"/>
      <c r="Y1738" s="97"/>
    </row>
    <row r="1739" spans="13:25" x14ac:dyDescent="0.2">
      <c r="M1739" s="55"/>
      <c r="Y1739" s="97"/>
    </row>
    <row r="1740" spans="13:25" x14ac:dyDescent="0.2">
      <c r="M1740" s="55"/>
      <c r="Y1740" s="97"/>
    </row>
    <row r="1741" spans="13:25" x14ac:dyDescent="0.2">
      <c r="M1741" s="55"/>
      <c r="Y1741" s="97"/>
    </row>
    <row r="1742" spans="13:25" x14ac:dyDescent="0.2">
      <c r="M1742" s="55"/>
      <c r="Y1742" s="97"/>
    </row>
    <row r="1743" spans="13:25" x14ac:dyDescent="0.2">
      <c r="M1743" s="55"/>
      <c r="Y1743" s="97"/>
    </row>
    <row r="1744" spans="13:25" x14ac:dyDescent="0.2">
      <c r="M1744" s="55"/>
      <c r="Y1744" s="97"/>
    </row>
    <row r="1745" spans="13:25" x14ac:dyDescent="0.2">
      <c r="M1745" s="55"/>
      <c r="Y1745" s="97"/>
    </row>
    <row r="1746" spans="13:25" x14ac:dyDescent="0.2">
      <c r="M1746" s="55"/>
      <c r="Y1746" s="97"/>
    </row>
    <row r="1747" spans="13:25" x14ac:dyDescent="0.2">
      <c r="M1747" s="55"/>
      <c r="Y1747" s="97"/>
    </row>
    <row r="1748" spans="13:25" x14ac:dyDescent="0.2">
      <c r="M1748" s="55"/>
      <c r="Y1748" s="97"/>
    </row>
    <row r="1749" spans="13:25" x14ac:dyDescent="0.2">
      <c r="M1749" s="55"/>
      <c r="Y1749" s="97"/>
    </row>
    <row r="1750" spans="13:25" x14ac:dyDescent="0.2">
      <c r="M1750" s="55"/>
      <c r="Y1750" s="97"/>
    </row>
    <row r="1751" spans="13:25" x14ac:dyDescent="0.2">
      <c r="M1751" s="55"/>
      <c r="Y1751" s="97"/>
    </row>
    <row r="1752" spans="13:25" x14ac:dyDescent="0.2">
      <c r="M1752" s="55"/>
      <c r="Y1752" s="97"/>
    </row>
    <row r="1753" spans="13:25" x14ac:dyDescent="0.2">
      <c r="M1753" s="55"/>
      <c r="Y1753" s="97"/>
    </row>
    <row r="1754" spans="13:25" x14ac:dyDescent="0.2">
      <c r="M1754" s="55"/>
      <c r="Y1754" s="97"/>
    </row>
    <row r="1755" spans="13:25" x14ac:dyDescent="0.2">
      <c r="M1755" s="55"/>
      <c r="Y1755" s="97"/>
    </row>
    <row r="1756" spans="13:25" x14ac:dyDescent="0.2">
      <c r="M1756" s="55"/>
      <c r="Y1756" s="97"/>
    </row>
    <row r="1757" spans="13:25" x14ac:dyDescent="0.2">
      <c r="M1757" s="55"/>
      <c r="Y1757" s="97"/>
    </row>
    <row r="1758" spans="13:25" x14ac:dyDescent="0.2">
      <c r="M1758" s="55"/>
      <c r="Y1758" s="97"/>
    </row>
    <row r="1759" spans="13:25" x14ac:dyDescent="0.2">
      <c r="M1759" s="55"/>
      <c r="Y1759" s="97"/>
    </row>
    <row r="1760" spans="13:25" x14ac:dyDescent="0.2">
      <c r="M1760" s="55"/>
      <c r="Y1760" s="97"/>
    </row>
    <row r="1761" spans="13:25" x14ac:dyDescent="0.2">
      <c r="M1761" s="55"/>
      <c r="Y1761" s="97"/>
    </row>
    <row r="1762" spans="13:25" x14ac:dyDescent="0.2">
      <c r="M1762" s="55"/>
      <c r="Y1762" s="97"/>
    </row>
    <row r="1763" spans="13:25" x14ac:dyDescent="0.2">
      <c r="M1763" s="55"/>
      <c r="Y1763" s="97"/>
    </row>
    <row r="1764" spans="13:25" x14ac:dyDescent="0.2">
      <c r="M1764" s="55"/>
      <c r="Y1764" s="97"/>
    </row>
    <row r="1765" spans="13:25" x14ac:dyDescent="0.2">
      <c r="M1765" s="55"/>
      <c r="Y1765" s="97"/>
    </row>
    <row r="1766" spans="13:25" x14ac:dyDescent="0.2">
      <c r="M1766" s="55"/>
      <c r="Y1766" s="97"/>
    </row>
    <row r="1767" spans="13:25" x14ac:dyDescent="0.2">
      <c r="M1767" s="55"/>
      <c r="Y1767" s="97"/>
    </row>
    <row r="1768" spans="13:25" x14ac:dyDescent="0.2">
      <c r="M1768" s="55"/>
      <c r="Y1768" s="97"/>
    </row>
    <row r="1769" spans="13:25" x14ac:dyDescent="0.2">
      <c r="M1769" s="55"/>
      <c r="Y1769" s="97"/>
    </row>
    <row r="1770" spans="13:25" x14ac:dyDescent="0.2">
      <c r="M1770" s="55"/>
      <c r="Y1770" s="97"/>
    </row>
    <row r="1771" spans="13:25" x14ac:dyDescent="0.2">
      <c r="M1771" s="55"/>
      <c r="Y1771" s="97"/>
    </row>
    <row r="1772" spans="13:25" x14ac:dyDescent="0.2">
      <c r="M1772" s="55"/>
      <c r="Y1772" s="97"/>
    </row>
    <row r="1773" spans="13:25" x14ac:dyDescent="0.2">
      <c r="M1773" s="55"/>
      <c r="Y1773" s="97"/>
    </row>
    <row r="1774" spans="13:25" x14ac:dyDescent="0.2">
      <c r="M1774" s="55"/>
      <c r="Y1774" s="97"/>
    </row>
    <row r="1775" spans="13:25" x14ac:dyDescent="0.2">
      <c r="M1775" s="55"/>
      <c r="Y1775" s="97"/>
    </row>
    <row r="1776" spans="13:25" x14ac:dyDescent="0.2">
      <c r="M1776" s="55"/>
      <c r="Y1776" s="97"/>
    </row>
    <row r="1777" spans="13:25" x14ac:dyDescent="0.2">
      <c r="M1777" s="55"/>
      <c r="Y1777" s="97"/>
    </row>
    <row r="1778" spans="13:25" x14ac:dyDescent="0.2">
      <c r="M1778" s="55"/>
      <c r="Y1778" s="97"/>
    </row>
    <row r="1779" spans="13:25" x14ac:dyDescent="0.2">
      <c r="M1779" s="55"/>
      <c r="Y1779" s="97"/>
    </row>
    <row r="1780" spans="13:25" x14ac:dyDescent="0.2">
      <c r="M1780" s="55"/>
      <c r="Y1780" s="97"/>
    </row>
    <row r="1781" spans="13:25" x14ac:dyDescent="0.2">
      <c r="M1781" s="55"/>
      <c r="Y1781" s="97"/>
    </row>
    <row r="1782" spans="13:25" x14ac:dyDescent="0.2">
      <c r="M1782" s="55"/>
      <c r="Y1782" s="97"/>
    </row>
    <row r="1783" spans="13:25" x14ac:dyDescent="0.2">
      <c r="M1783" s="55"/>
      <c r="Y1783" s="97"/>
    </row>
    <row r="1784" spans="13:25" x14ac:dyDescent="0.2">
      <c r="M1784" s="55"/>
      <c r="Y1784" s="97"/>
    </row>
    <row r="1785" spans="13:25" x14ac:dyDescent="0.2">
      <c r="M1785" s="55"/>
      <c r="Y1785" s="97"/>
    </row>
    <row r="1786" spans="13:25" x14ac:dyDescent="0.2">
      <c r="M1786" s="55"/>
      <c r="Y1786" s="97"/>
    </row>
    <row r="1787" spans="13:25" x14ac:dyDescent="0.2">
      <c r="M1787" s="55"/>
      <c r="Y1787" s="97"/>
    </row>
    <row r="1788" spans="13:25" x14ac:dyDescent="0.2">
      <c r="M1788" s="55"/>
      <c r="Y1788" s="97"/>
    </row>
    <row r="1789" spans="13:25" x14ac:dyDescent="0.2">
      <c r="M1789" s="55"/>
      <c r="Y1789" s="97"/>
    </row>
    <row r="1790" spans="13:25" x14ac:dyDescent="0.2">
      <c r="M1790" s="55"/>
      <c r="Y1790" s="97"/>
    </row>
    <row r="1791" spans="13:25" x14ac:dyDescent="0.2">
      <c r="M1791" s="55"/>
      <c r="Y1791" s="97"/>
    </row>
    <row r="1792" spans="13:25" x14ac:dyDescent="0.2">
      <c r="M1792" s="55"/>
      <c r="Y1792" s="97"/>
    </row>
    <row r="1793" spans="13:25" x14ac:dyDescent="0.2">
      <c r="M1793" s="55"/>
      <c r="Y1793" s="97"/>
    </row>
    <row r="1794" spans="13:25" x14ac:dyDescent="0.2">
      <c r="M1794" s="55"/>
      <c r="Y1794" s="97"/>
    </row>
    <row r="1795" spans="13:25" x14ac:dyDescent="0.2">
      <c r="M1795" s="55"/>
      <c r="Y1795" s="97"/>
    </row>
    <row r="1796" spans="13:25" x14ac:dyDescent="0.2">
      <c r="M1796" s="55"/>
      <c r="Y1796" s="97"/>
    </row>
    <row r="1797" spans="13:25" x14ac:dyDescent="0.2">
      <c r="M1797" s="55"/>
      <c r="Y1797" s="97"/>
    </row>
    <row r="1798" spans="13:25" x14ac:dyDescent="0.2">
      <c r="M1798" s="55"/>
      <c r="Y1798" s="97"/>
    </row>
    <row r="1799" spans="13:25" x14ac:dyDescent="0.2">
      <c r="M1799" s="55"/>
      <c r="Y1799" s="97"/>
    </row>
    <row r="1800" spans="13:25" x14ac:dyDescent="0.2">
      <c r="M1800" s="55"/>
      <c r="Y1800" s="97"/>
    </row>
    <row r="1801" spans="13:25" x14ac:dyDescent="0.2">
      <c r="M1801" s="55"/>
      <c r="Y1801" s="97"/>
    </row>
    <row r="1802" spans="13:25" x14ac:dyDescent="0.2">
      <c r="M1802" s="55"/>
      <c r="Y1802" s="97"/>
    </row>
    <row r="1803" spans="13:25" x14ac:dyDescent="0.2">
      <c r="M1803" s="55"/>
      <c r="Y1803" s="97"/>
    </row>
    <row r="1804" spans="13:25" x14ac:dyDescent="0.2">
      <c r="M1804" s="55"/>
      <c r="Y1804" s="97"/>
    </row>
    <row r="1805" spans="13:25" x14ac:dyDescent="0.2">
      <c r="M1805" s="55"/>
      <c r="Y1805" s="97"/>
    </row>
    <row r="1806" spans="13:25" x14ac:dyDescent="0.2">
      <c r="M1806" s="55"/>
      <c r="Y1806" s="97"/>
    </row>
    <row r="1807" spans="13:25" x14ac:dyDescent="0.2">
      <c r="M1807" s="55"/>
      <c r="Y1807" s="97"/>
    </row>
    <row r="1808" spans="13:25" x14ac:dyDescent="0.2">
      <c r="M1808" s="55"/>
      <c r="Y1808" s="97"/>
    </row>
    <row r="1809" spans="13:25" x14ac:dyDescent="0.2">
      <c r="M1809" s="55"/>
      <c r="Y1809" s="97"/>
    </row>
    <row r="1810" spans="13:25" x14ac:dyDescent="0.2">
      <c r="M1810" s="55"/>
      <c r="Y1810" s="97"/>
    </row>
    <row r="1811" spans="13:25" x14ac:dyDescent="0.2">
      <c r="M1811" s="55"/>
      <c r="Y1811" s="97"/>
    </row>
    <row r="1812" spans="13:25" x14ac:dyDescent="0.2">
      <c r="M1812" s="55"/>
      <c r="Y1812" s="97"/>
    </row>
    <row r="1813" spans="13:25" x14ac:dyDescent="0.2">
      <c r="M1813" s="55"/>
      <c r="Y1813" s="97"/>
    </row>
    <row r="1814" spans="13:25" x14ac:dyDescent="0.2">
      <c r="M1814" s="55"/>
      <c r="Y1814" s="97"/>
    </row>
    <row r="1815" spans="13:25" x14ac:dyDescent="0.2">
      <c r="M1815" s="55"/>
      <c r="Y1815" s="97"/>
    </row>
    <row r="1816" spans="13:25" x14ac:dyDescent="0.2">
      <c r="M1816" s="55"/>
      <c r="Y1816" s="97"/>
    </row>
    <row r="1817" spans="13:25" x14ac:dyDescent="0.2">
      <c r="M1817" s="55"/>
      <c r="Y1817" s="97"/>
    </row>
    <row r="1818" spans="13:25" x14ac:dyDescent="0.2">
      <c r="M1818" s="55"/>
      <c r="Y1818" s="97"/>
    </row>
    <row r="1819" spans="13:25" x14ac:dyDescent="0.2">
      <c r="M1819" s="55"/>
      <c r="Y1819" s="97"/>
    </row>
    <row r="1820" spans="13:25" x14ac:dyDescent="0.2">
      <c r="M1820" s="55"/>
      <c r="Y1820" s="97"/>
    </row>
    <row r="1821" spans="13:25" x14ac:dyDescent="0.2">
      <c r="M1821" s="55"/>
      <c r="Y1821" s="97"/>
    </row>
    <row r="1822" spans="13:25" x14ac:dyDescent="0.2">
      <c r="M1822" s="55"/>
      <c r="Y1822" s="97"/>
    </row>
    <row r="1823" spans="13:25" x14ac:dyDescent="0.2">
      <c r="M1823" s="55"/>
      <c r="Y1823" s="97"/>
    </row>
    <row r="1824" spans="13:25" x14ac:dyDescent="0.2">
      <c r="M1824" s="55"/>
      <c r="Y1824" s="97"/>
    </row>
    <row r="1825" spans="13:25" x14ac:dyDescent="0.2">
      <c r="M1825" s="55"/>
      <c r="Y1825" s="97"/>
    </row>
    <row r="1826" spans="13:25" x14ac:dyDescent="0.2">
      <c r="M1826" s="55"/>
      <c r="Y1826" s="97"/>
    </row>
    <row r="1827" spans="13:25" x14ac:dyDescent="0.2">
      <c r="M1827" s="55"/>
      <c r="Y1827" s="97"/>
    </row>
    <row r="1828" spans="13:25" x14ac:dyDescent="0.2">
      <c r="M1828" s="55"/>
      <c r="Y1828" s="97"/>
    </row>
    <row r="1829" spans="13:25" x14ac:dyDescent="0.2">
      <c r="M1829" s="55"/>
      <c r="Y1829" s="97"/>
    </row>
    <row r="1830" spans="13:25" x14ac:dyDescent="0.2">
      <c r="M1830" s="55"/>
      <c r="Y1830" s="97"/>
    </row>
    <row r="1831" spans="13:25" x14ac:dyDescent="0.2">
      <c r="M1831" s="55"/>
      <c r="Y1831" s="97"/>
    </row>
    <row r="1832" spans="13:25" x14ac:dyDescent="0.2">
      <c r="M1832" s="55"/>
      <c r="Y1832" s="97"/>
    </row>
    <row r="1833" spans="13:25" x14ac:dyDescent="0.2">
      <c r="M1833" s="55"/>
      <c r="Y1833" s="97"/>
    </row>
    <row r="1834" spans="13:25" x14ac:dyDescent="0.2">
      <c r="M1834" s="55"/>
      <c r="Y1834" s="97"/>
    </row>
    <row r="1835" spans="13:25" x14ac:dyDescent="0.2">
      <c r="M1835" s="55"/>
      <c r="Y1835" s="97"/>
    </row>
    <row r="1836" spans="13:25" x14ac:dyDescent="0.2">
      <c r="M1836" s="55"/>
      <c r="Y1836" s="97"/>
    </row>
    <row r="1837" spans="13:25" x14ac:dyDescent="0.2">
      <c r="M1837" s="55"/>
      <c r="Y1837" s="97"/>
    </row>
    <row r="1838" spans="13:25" x14ac:dyDescent="0.2">
      <c r="M1838" s="55"/>
      <c r="Y1838" s="97"/>
    </row>
    <row r="1839" spans="13:25" x14ac:dyDescent="0.2">
      <c r="M1839" s="55"/>
      <c r="Y1839" s="97"/>
    </row>
    <row r="1840" spans="13:25" x14ac:dyDescent="0.2">
      <c r="M1840" s="55"/>
      <c r="Y1840" s="97"/>
    </row>
    <row r="1841" spans="13:25" x14ac:dyDescent="0.2">
      <c r="M1841" s="55"/>
      <c r="Y1841" s="97"/>
    </row>
    <row r="1842" spans="13:25" x14ac:dyDescent="0.2">
      <c r="M1842" s="55"/>
      <c r="Y1842" s="97"/>
    </row>
    <row r="1843" spans="13:25" x14ac:dyDescent="0.2">
      <c r="M1843" s="55"/>
      <c r="Y1843" s="97"/>
    </row>
    <row r="1844" spans="13:25" x14ac:dyDescent="0.2">
      <c r="M1844" s="55"/>
      <c r="Y1844" s="97"/>
    </row>
    <row r="1845" spans="13:25" x14ac:dyDescent="0.2">
      <c r="M1845" s="55"/>
      <c r="Y1845" s="97"/>
    </row>
    <row r="1846" spans="13:25" x14ac:dyDescent="0.2">
      <c r="M1846" s="55"/>
      <c r="Y1846" s="97"/>
    </row>
    <row r="1847" spans="13:25" x14ac:dyDescent="0.2">
      <c r="M1847" s="55"/>
      <c r="Y1847" s="97"/>
    </row>
    <row r="1848" spans="13:25" x14ac:dyDescent="0.2">
      <c r="M1848" s="55"/>
      <c r="Y1848" s="97"/>
    </row>
    <row r="1849" spans="13:25" x14ac:dyDescent="0.2">
      <c r="M1849" s="55"/>
      <c r="Y1849" s="97"/>
    </row>
    <row r="1850" spans="13:25" x14ac:dyDescent="0.2">
      <c r="M1850" s="55"/>
      <c r="Y1850" s="97"/>
    </row>
    <row r="1851" spans="13:25" x14ac:dyDescent="0.2">
      <c r="M1851" s="55"/>
      <c r="Y1851" s="97"/>
    </row>
    <row r="1852" spans="13:25" x14ac:dyDescent="0.2">
      <c r="M1852" s="55"/>
      <c r="Y1852" s="97"/>
    </row>
    <row r="1853" spans="13:25" x14ac:dyDescent="0.2">
      <c r="M1853" s="55"/>
      <c r="Y1853" s="97"/>
    </row>
    <row r="1854" spans="13:25" x14ac:dyDescent="0.2">
      <c r="M1854" s="55"/>
      <c r="Y1854" s="97"/>
    </row>
    <row r="1855" spans="13:25" x14ac:dyDescent="0.2">
      <c r="M1855" s="55"/>
      <c r="Y1855" s="97"/>
    </row>
    <row r="1856" spans="13:25" x14ac:dyDescent="0.2">
      <c r="M1856" s="55"/>
      <c r="Y1856" s="97"/>
    </row>
    <row r="1857" spans="13:25" x14ac:dyDescent="0.2">
      <c r="M1857" s="55"/>
      <c r="Y1857" s="97"/>
    </row>
    <row r="1858" spans="13:25" x14ac:dyDescent="0.2">
      <c r="M1858" s="55"/>
      <c r="Y1858" s="97"/>
    </row>
    <row r="1859" spans="13:25" x14ac:dyDescent="0.2">
      <c r="M1859" s="55"/>
      <c r="Y1859" s="97"/>
    </row>
    <row r="1860" spans="13:25" x14ac:dyDescent="0.2">
      <c r="M1860" s="55"/>
      <c r="Y1860" s="97"/>
    </row>
    <row r="1861" spans="13:25" x14ac:dyDescent="0.2">
      <c r="M1861" s="55"/>
      <c r="Y1861" s="97"/>
    </row>
    <row r="1862" spans="13:25" x14ac:dyDescent="0.2">
      <c r="M1862" s="55"/>
      <c r="Y1862" s="97"/>
    </row>
    <row r="1863" spans="13:25" x14ac:dyDescent="0.2">
      <c r="M1863" s="55"/>
      <c r="Y1863" s="97"/>
    </row>
    <row r="1864" spans="13:25" x14ac:dyDescent="0.2">
      <c r="M1864" s="55"/>
      <c r="Y1864" s="97"/>
    </row>
    <row r="1865" spans="13:25" x14ac:dyDescent="0.2">
      <c r="M1865" s="55"/>
      <c r="Y1865" s="97"/>
    </row>
    <row r="1866" spans="13:25" x14ac:dyDescent="0.2">
      <c r="M1866" s="55"/>
      <c r="Y1866" s="97"/>
    </row>
    <row r="1867" spans="13:25" x14ac:dyDescent="0.2">
      <c r="M1867" s="55"/>
      <c r="Y1867" s="97"/>
    </row>
    <row r="1868" spans="13:25" x14ac:dyDescent="0.2">
      <c r="M1868" s="55"/>
      <c r="Y1868" s="97"/>
    </row>
    <row r="1869" spans="13:25" x14ac:dyDescent="0.2">
      <c r="M1869" s="55"/>
      <c r="Y1869" s="97"/>
    </row>
    <row r="1870" spans="13:25" x14ac:dyDescent="0.2">
      <c r="M1870" s="55"/>
      <c r="Y1870" s="97"/>
    </row>
    <row r="1871" spans="13:25" x14ac:dyDescent="0.2">
      <c r="M1871" s="55"/>
      <c r="Y1871" s="97"/>
    </row>
    <row r="1872" spans="13:25" x14ac:dyDescent="0.2">
      <c r="M1872" s="55"/>
      <c r="Y1872" s="97"/>
    </row>
    <row r="1873" spans="13:25" x14ac:dyDescent="0.2">
      <c r="M1873" s="55"/>
      <c r="Y1873" s="97"/>
    </row>
    <row r="1874" spans="13:25" x14ac:dyDescent="0.2">
      <c r="M1874" s="55"/>
      <c r="Y1874" s="97"/>
    </row>
    <row r="1875" spans="13:25" x14ac:dyDescent="0.2">
      <c r="M1875" s="55"/>
      <c r="Y1875" s="97"/>
    </row>
    <row r="1876" spans="13:25" x14ac:dyDescent="0.2">
      <c r="M1876" s="55"/>
      <c r="Y1876" s="97"/>
    </row>
    <row r="1877" spans="13:25" x14ac:dyDescent="0.2">
      <c r="M1877" s="55"/>
      <c r="Y1877" s="97"/>
    </row>
    <row r="1878" spans="13:25" x14ac:dyDescent="0.2">
      <c r="M1878" s="55"/>
      <c r="Y1878" s="97"/>
    </row>
    <row r="1879" spans="13:25" x14ac:dyDescent="0.2">
      <c r="M1879" s="55"/>
      <c r="Y1879" s="97"/>
    </row>
    <row r="1880" spans="13:25" x14ac:dyDescent="0.2">
      <c r="M1880" s="55"/>
      <c r="Y1880" s="97"/>
    </row>
    <row r="1881" spans="13:25" x14ac:dyDescent="0.2">
      <c r="M1881" s="55"/>
      <c r="Y1881" s="97"/>
    </row>
    <row r="1882" spans="13:25" x14ac:dyDescent="0.2">
      <c r="M1882" s="55"/>
      <c r="Y1882" s="97"/>
    </row>
    <row r="1883" spans="13:25" x14ac:dyDescent="0.2">
      <c r="M1883" s="55"/>
      <c r="Y1883" s="97"/>
    </row>
    <row r="1884" spans="13:25" x14ac:dyDescent="0.2">
      <c r="M1884" s="55"/>
      <c r="Y1884" s="97"/>
    </row>
    <row r="1885" spans="13:25" x14ac:dyDescent="0.2">
      <c r="M1885" s="55"/>
      <c r="Y1885" s="97"/>
    </row>
    <row r="1886" spans="13:25" x14ac:dyDescent="0.2">
      <c r="M1886" s="55"/>
      <c r="Y1886" s="97"/>
    </row>
    <row r="1887" spans="13:25" x14ac:dyDescent="0.2">
      <c r="M1887" s="55"/>
      <c r="Y1887" s="97"/>
    </row>
    <row r="1888" spans="13:25" x14ac:dyDescent="0.2">
      <c r="M1888" s="55"/>
      <c r="Y1888" s="97"/>
    </row>
    <row r="1889" spans="13:25" x14ac:dyDescent="0.2">
      <c r="M1889" s="55"/>
      <c r="Y1889" s="97"/>
    </row>
    <row r="1890" spans="13:25" x14ac:dyDescent="0.2">
      <c r="M1890" s="55"/>
      <c r="Y1890" s="97"/>
    </row>
    <row r="1891" spans="13:25" x14ac:dyDescent="0.2">
      <c r="M1891" s="55"/>
      <c r="Y1891" s="97"/>
    </row>
    <row r="1892" spans="13:25" x14ac:dyDescent="0.2">
      <c r="M1892" s="55"/>
      <c r="Y1892" s="97"/>
    </row>
    <row r="1893" spans="13:25" x14ac:dyDescent="0.2">
      <c r="M1893" s="55"/>
      <c r="Y1893" s="97"/>
    </row>
    <row r="1894" spans="13:25" x14ac:dyDescent="0.2">
      <c r="M1894" s="55"/>
      <c r="Y1894" s="97"/>
    </row>
    <row r="1895" spans="13:25" x14ac:dyDescent="0.2">
      <c r="M1895" s="55"/>
      <c r="Y1895" s="97"/>
    </row>
    <row r="1896" spans="13:25" x14ac:dyDescent="0.2">
      <c r="M1896" s="55"/>
      <c r="Y1896" s="97"/>
    </row>
    <row r="1897" spans="13:25" x14ac:dyDescent="0.2">
      <c r="M1897" s="55"/>
      <c r="Y1897" s="97"/>
    </row>
    <row r="1898" spans="13:25" x14ac:dyDescent="0.2">
      <c r="M1898" s="55"/>
      <c r="Y1898" s="97"/>
    </row>
    <row r="1899" spans="13:25" x14ac:dyDescent="0.2">
      <c r="M1899" s="55"/>
      <c r="Y1899" s="97"/>
    </row>
    <row r="1900" spans="13:25" x14ac:dyDescent="0.2">
      <c r="M1900" s="55"/>
      <c r="Y1900" s="97"/>
    </row>
    <row r="1901" spans="13:25" x14ac:dyDescent="0.2">
      <c r="M1901" s="55"/>
      <c r="Y1901" s="97"/>
    </row>
    <row r="1902" spans="13:25" x14ac:dyDescent="0.2">
      <c r="M1902" s="55"/>
      <c r="Y1902" s="97"/>
    </row>
    <row r="1903" spans="13:25" x14ac:dyDescent="0.2">
      <c r="M1903" s="55"/>
      <c r="Y1903" s="97"/>
    </row>
    <row r="1904" spans="13:25" x14ac:dyDescent="0.2">
      <c r="M1904" s="55"/>
      <c r="Y1904" s="97"/>
    </row>
    <row r="1905" spans="13:25" x14ac:dyDescent="0.2">
      <c r="M1905" s="55"/>
      <c r="Y1905" s="97"/>
    </row>
    <row r="1906" spans="13:25" x14ac:dyDescent="0.2">
      <c r="M1906" s="55"/>
      <c r="Y1906" s="97"/>
    </row>
    <row r="1907" spans="13:25" x14ac:dyDescent="0.2">
      <c r="M1907" s="55"/>
      <c r="Y1907" s="97"/>
    </row>
    <row r="1908" spans="13:25" x14ac:dyDescent="0.2">
      <c r="M1908" s="55"/>
      <c r="Y1908" s="97"/>
    </row>
    <row r="1909" spans="13:25" x14ac:dyDescent="0.2">
      <c r="M1909" s="55"/>
      <c r="Y1909" s="97"/>
    </row>
    <row r="1910" spans="13:25" x14ac:dyDescent="0.2">
      <c r="M1910" s="55"/>
      <c r="Y1910" s="97"/>
    </row>
    <row r="1911" spans="13:25" x14ac:dyDescent="0.2">
      <c r="M1911" s="55"/>
      <c r="Y1911" s="97"/>
    </row>
    <row r="1912" spans="13:25" x14ac:dyDescent="0.2">
      <c r="M1912" s="55"/>
      <c r="Y1912" s="97"/>
    </row>
    <row r="1913" spans="13:25" x14ac:dyDescent="0.2">
      <c r="M1913" s="55"/>
      <c r="Y1913" s="97"/>
    </row>
    <row r="1914" spans="13:25" x14ac:dyDescent="0.2">
      <c r="M1914" s="55"/>
      <c r="Y1914" s="97"/>
    </row>
    <row r="1915" spans="13:25" x14ac:dyDescent="0.2">
      <c r="M1915" s="55"/>
      <c r="Y1915" s="97"/>
    </row>
    <row r="1916" spans="13:25" x14ac:dyDescent="0.2">
      <c r="M1916" s="55"/>
      <c r="Y1916" s="97"/>
    </row>
    <row r="1917" spans="13:25" x14ac:dyDescent="0.2">
      <c r="M1917" s="55"/>
      <c r="Y1917" s="97"/>
    </row>
    <row r="1918" spans="13:25" x14ac:dyDescent="0.2">
      <c r="M1918" s="55"/>
      <c r="Y1918" s="97"/>
    </row>
    <row r="1919" spans="13:25" x14ac:dyDescent="0.2">
      <c r="M1919" s="55"/>
      <c r="Y1919" s="97"/>
    </row>
    <row r="1920" spans="13:25" x14ac:dyDescent="0.2">
      <c r="M1920" s="55"/>
      <c r="Y1920" s="97"/>
    </row>
    <row r="1921" spans="13:25" x14ac:dyDescent="0.2">
      <c r="M1921" s="55"/>
      <c r="Y1921" s="97"/>
    </row>
    <row r="1922" spans="13:25" x14ac:dyDescent="0.2">
      <c r="M1922" s="55"/>
      <c r="Y1922" s="97"/>
    </row>
    <row r="1923" spans="13:25" x14ac:dyDescent="0.2">
      <c r="M1923" s="55"/>
      <c r="Y1923" s="97"/>
    </row>
    <row r="1924" spans="13:25" x14ac:dyDescent="0.2">
      <c r="M1924" s="55"/>
      <c r="Y1924" s="97"/>
    </row>
    <row r="1925" spans="13:25" x14ac:dyDescent="0.2">
      <c r="M1925" s="55"/>
      <c r="Y1925" s="97"/>
    </row>
    <row r="1926" spans="13:25" x14ac:dyDescent="0.2">
      <c r="M1926" s="55"/>
      <c r="Y1926" s="97"/>
    </row>
    <row r="1927" spans="13:25" x14ac:dyDescent="0.2">
      <c r="M1927" s="55"/>
      <c r="Y1927" s="97"/>
    </row>
    <row r="1928" spans="13:25" x14ac:dyDescent="0.2">
      <c r="M1928" s="55"/>
      <c r="Y1928" s="97"/>
    </row>
    <row r="1929" spans="13:25" x14ac:dyDescent="0.2">
      <c r="M1929" s="55"/>
      <c r="Y1929" s="97"/>
    </row>
    <row r="1930" spans="13:25" x14ac:dyDescent="0.2">
      <c r="M1930" s="55"/>
      <c r="Y1930" s="97"/>
    </row>
    <row r="1931" spans="13:25" x14ac:dyDescent="0.2">
      <c r="M1931" s="55"/>
      <c r="Y1931" s="97"/>
    </row>
    <row r="1932" spans="13:25" x14ac:dyDescent="0.2">
      <c r="M1932" s="55"/>
      <c r="Y1932" s="97"/>
    </row>
    <row r="1933" spans="13:25" x14ac:dyDescent="0.2">
      <c r="M1933" s="55"/>
      <c r="Y1933" s="97"/>
    </row>
    <row r="1934" spans="13:25" x14ac:dyDescent="0.2">
      <c r="M1934" s="55"/>
      <c r="Y1934" s="97"/>
    </row>
    <row r="1935" spans="13:25" x14ac:dyDescent="0.2">
      <c r="M1935" s="55"/>
      <c r="Y1935" s="97"/>
    </row>
    <row r="1936" spans="13:25" x14ac:dyDescent="0.2">
      <c r="M1936" s="55"/>
      <c r="Y1936" s="97"/>
    </row>
    <row r="1937" spans="13:25" x14ac:dyDescent="0.2">
      <c r="M1937" s="55"/>
      <c r="Y1937" s="97"/>
    </row>
    <row r="1938" spans="13:25" x14ac:dyDescent="0.2">
      <c r="M1938" s="55"/>
      <c r="Y1938" s="97"/>
    </row>
    <row r="1939" spans="13:25" x14ac:dyDescent="0.2">
      <c r="M1939" s="55"/>
      <c r="Y1939" s="97"/>
    </row>
    <row r="1940" spans="13:25" x14ac:dyDescent="0.2">
      <c r="M1940" s="55"/>
      <c r="Y1940" s="97"/>
    </row>
    <row r="1941" spans="13:25" x14ac:dyDescent="0.2">
      <c r="M1941" s="55"/>
      <c r="Y1941" s="97"/>
    </row>
    <row r="1942" spans="13:25" x14ac:dyDescent="0.2">
      <c r="M1942" s="55"/>
      <c r="Y1942" s="97"/>
    </row>
    <row r="1943" spans="13:25" x14ac:dyDescent="0.2">
      <c r="M1943" s="55"/>
      <c r="Y1943" s="97"/>
    </row>
    <row r="1944" spans="13:25" x14ac:dyDescent="0.2">
      <c r="M1944" s="55"/>
      <c r="Y1944" s="97"/>
    </row>
    <row r="1945" spans="13:25" x14ac:dyDescent="0.2">
      <c r="M1945" s="55"/>
      <c r="Y1945" s="97"/>
    </row>
    <row r="1946" spans="13:25" x14ac:dyDescent="0.2">
      <c r="M1946" s="55"/>
      <c r="Y1946" s="97"/>
    </row>
    <row r="1947" spans="13:25" x14ac:dyDescent="0.2">
      <c r="M1947" s="55"/>
      <c r="Y1947" s="97"/>
    </row>
    <row r="1948" spans="13:25" x14ac:dyDescent="0.2">
      <c r="M1948" s="55"/>
      <c r="Y1948" s="97"/>
    </row>
    <row r="1949" spans="13:25" x14ac:dyDescent="0.2">
      <c r="M1949" s="55"/>
      <c r="Y1949" s="97"/>
    </row>
    <row r="1950" spans="13:25" x14ac:dyDescent="0.2">
      <c r="M1950" s="55"/>
      <c r="Y1950" s="97"/>
    </row>
    <row r="1951" spans="13:25" x14ac:dyDescent="0.2">
      <c r="M1951" s="55"/>
      <c r="Y1951" s="97"/>
    </row>
    <row r="1952" spans="13:25" x14ac:dyDescent="0.2">
      <c r="M1952" s="55"/>
      <c r="Y1952" s="97"/>
    </row>
    <row r="1953" spans="13:25" x14ac:dyDescent="0.2">
      <c r="M1953" s="55"/>
      <c r="Y1953" s="97"/>
    </row>
    <row r="1954" spans="13:25" x14ac:dyDescent="0.2">
      <c r="M1954" s="55"/>
      <c r="Y1954" s="97"/>
    </row>
    <row r="1955" spans="13:25" x14ac:dyDescent="0.2">
      <c r="M1955" s="55"/>
      <c r="Y1955" s="97"/>
    </row>
    <row r="1956" spans="13:25" x14ac:dyDescent="0.2">
      <c r="M1956" s="55"/>
      <c r="Y1956" s="97"/>
    </row>
    <row r="1957" spans="13:25" x14ac:dyDescent="0.2">
      <c r="M1957" s="55"/>
      <c r="Y1957" s="97"/>
    </row>
    <row r="1958" spans="13:25" x14ac:dyDescent="0.2">
      <c r="M1958" s="55"/>
      <c r="Y1958" s="97"/>
    </row>
    <row r="1959" spans="13:25" x14ac:dyDescent="0.2">
      <c r="M1959" s="55"/>
      <c r="Y1959" s="97"/>
    </row>
    <row r="1960" spans="13:25" x14ac:dyDescent="0.2">
      <c r="M1960" s="55"/>
      <c r="Y1960" s="97"/>
    </row>
    <row r="1961" spans="13:25" x14ac:dyDescent="0.2">
      <c r="M1961" s="55"/>
      <c r="Y1961" s="97"/>
    </row>
    <row r="1962" spans="13:25" x14ac:dyDescent="0.2">
      <c r="M1962" s="55"/>
      <c r="Y1962" s="97"/>
    </row>
    <row r="1963" spans="13:25" x14ac:dyDescent="0.2">
      <c r="M1963" s="55"/>
      <c r="Y1963" s="97"/>
    </row>
    <row r="1964" spans="13:25" x14ac:dyDescent="0.2">
      <c r="M1964" s="55"/>
      <c r="Y1964" s="97"/>
    </row>
    <row r="1965" spans="13:25" x14ac:dyDescent="0.2">
      <c r="M1965" s="55"/>
      <c r="Y1965" s="97"/>
    </row>
    <row r="1966" spans="13:25" x14ac:dyDescent="0.2">
      <c r="M1966" s="55"/>
      <c r="Y1966" s="97"/>
    </row>
    <row r="1967" spans="13:25" x14ac:dyDescent="0.2">
      <c r="M1967" s="55"/>
      <c r="Y1967" s="97"/>
    </row>
    <row r="1968" spans="13:25" x14ac:dyDescent="0.2">
      <c r="M1968" s="55"/>
      <c r="Y1968" s="97"/>
    </row>
    <row r="1969" spans="13:25" x14ac:dyDescent="0.2">
      <c r="M1969" s="55"/>
      <c r="Y1969" s="97"/>
    </row>
    <row r="1970" spans="13:25" x14ac:dyDescent="0.2">
      <c r="M1970" s="55"/>
      <c r="Y1970" s="97"/>
    </row>
    <row r="1971" spans="13:25" x14ac:dyDescent="0.2">
      <c r="M1971" s="55"/>
      <c r="Y1971" s="97"/>
    </row>
    <row r="1972" spans="13:25" x14ac:dyDescent="0.2">
      <c r="M1972" s="55"/>
      <c r="Y1972" s="97"/>
    </row>
    <row r="1973" spans="13:25" x14ac:dyDescent="0.2">
      <c r="M1973" s="55"/>
      <c r="Y1973" s="97"/>
    </row>
    <row r="1974" spans="13:25" x14ac:dyDescent="0.2">
      <c r="M1974" s="55"/>
      <c r="Y1974" s="97"/>
    </row>
    <row r="1975" spans="13:25" x14ac:dyDescent="0.2">
      <c r="M1975" s="55"/>
      <c r="Y1975" s="97"/>
    </row>
    <row r="1976" spans="13:25" x14ac:dyDescent="0.2">
      <c r="M1976" s="55"/>
      <c r="Y1976" s="97"/>
    </row>
    <row r="1977" spans="13:25" x14ac:dyDescent="0.2">
      <c r="M1977" s="55"/>
      <c r="Y1977" s="97"/>
    </row>
    <row r="1978" spans="13:25" x14ac:dyDescent="0.2">
      <c r="M1978" s="55"/>
      <c r="Y1978" s="97"/>
    </row>
    <row r="1979" spans="13:25" x14ac:dyDescent="0.2">
      <c r="M1979" s="55"/>
      <c r="Y1979" s="97"/>
    </row>
    <row r="1980" spans="13:25" x14ac:dyDescent="0.2">
      <c r="M1980" s="55"/>
      <c r="Y1980" s="97"/>
    </row>
    <row r="1981" spans="13:25" x14ac:dyDescent="0.2">
      <c r="M1981" s="55"/>
      <c r="Y1981" s="97"/>
    </row>
    <row r="1982" spans="13:25" x14ac:dyDescent="0.2">
      <c r="M1982" s="55"/>
      <c r="Y1982" s="97"/>
    </row>
    <row r="1983" spans="13:25" x14ac:dyDescent="0.2">
      <c r="M1983" s="55"/>
      <c r="Y1983" s="97"/>
    </row>
    <row r="1984" spans="13:25" x14ac:dyDescent="0.2">
      <c r="M1984" s="55"/>
      <c r="Y1984" s="97"/>
    </row>
    <row r="1985" spans="13:25" x14ac:dyDescent="0.2">
      <c r="M1985" s="55"/>
      <c r="Y1985" s="97"/>
    </row>
    <row r="1986" spans="13:25" x14ac:dyDescent="0.2">
      <c r="M1986" s="55"/>
      <c r="Y1986" s="97"/>
    </row>
    <row r="1987" spans="13:25" x14ac:dyDescent="0.2">
      <c r="M1987" s="55"/>
      <c r="Y1987" s="97"/>
    </row>
    <row r="1988" spans="13:25" x14ac:dyDescent="0.2">
      <c r="M1988" s="55"/>
      <c r="Y1988" s="97"/>
    </row>
    <row r="1989" spans="13:25" x14ac:dyDescent="0.2">
      <c r="M1989" s="55"/>
      <c r="Y1989" s="97"/>
    </row>
    <row r="1990" spans="13:25" x14ac:dyDescent="0.2">
      <c r="M1990" s="55"/>
      <c r="Y1990" s="97"/>
    </row>
    <row r="1991" spans="13:25" x14ac:dyDescent="0.2">
      <c r="M1991" s="55"/>
      <c r="Y1991" s="97"/>
    </row>
    <row r="1992" spans="13:25" x14ac:dyDescent="0.2">
      <c r="M1992" s="55"/>
      <c r="Y1992" s="97"/>
    </row>
    <row r="1993" spans="13:25" x14ac:dyDescent="0.2">
      <c r="M1993" s="55"/>
      <c r="Y1993" s="97"/>
    </row>
    <row r="1994" spans="13:25" x14ac:dyDescent="0.2">
      <c r="M1994" s="55"/>
      <c r="Y1994" s="97"/>
    </row>
    <row r="1995" spans="13:25" x14ac:dyDescent="0.2">
      <c r="M1995" s="55"/>
      <c r="Y1995" s="97"/>
    </row>
    <row r="1996" spans="13:25" x14ac:dyDescent="0.2">
      <c r="M1996" s="55"/>
      <c r="Y1996" s="97"/>
    </row>
    <row r="1997" spans="13:25" x14ac:dyDescent="0.2">
      <c r="M1997" s="55"/>
      <c r="Y1997" s="97"/>
    </row>
    <row r="1998" spans="13:25" x14ac:dyDescent="0.2">
      <c r="M1998" s="55"/>
      <c r="Y1998" s="97"/>
    </row>
    <row r="1999" spans="13:25" x14ac:dyDescent="0.2">
      <c r="M1999" s="55"/>
      <c r="Y1999" s="97"/>
    </row>
    <row r="2000" spans="13:25" x14ac:dyDescent="0.2">
      <c r="M2000" s="55"/>
      <c r="Y2000" s="97"/>
    </row>
    <row r="2001" spans="13:25" x14ac:dyDescent="0.2">
      <c r="M2001" s="55"/>
      <c r="Y2001" s="97"/>
    </row>
    <row r="2002" spans="13:25" x14ac:dyDescent="0.2">
      <c r="M2002" s="55"/>
      <c r="Y2002" s="97"/>
    </row>
    <row r="2003" spans="13:25" x14ac:dyDescent="0.2">
      <c r="M2003" s="55"/>
      <c r="Y2003" s="97"/>
    </row>
    <row r="2004" spans="13:25" x14ac:dyDescent="0.2">
      <c r="M2004" s="55"/>
      <c r="Y2004" s="97"/>
    </row>
    <row r="2005" spans="13:25" x14ac:dyDescent="0.2">
      <c r="M2005" s="55"/>
      <c r="Y2005" s="97"/>
    </row>
    <row r="2006" spans="13:25" x14ac:dyDescent="0.2">
      <c r="M2006" s="55"/>
      <c r="Y2006" s="97"/>
    </row>
    <row r="2007" spans="13:25" x14ac:dyDescent="0.2">
      <c r="M2007" s="55"/>
      <c r="Y2007" s="97"/>
    </row>
    <row r="2008" spans="13:25" x14ac:dyDescent="0.2">
      <c r="M2008" s="55"/>
      <c r="Y2008" s="97"/>
    </row>
    <row r="2009" spans="13:25" x14ac:dyDescent="0.2">
      <c r="M2009" s="55"/>
      <c r="Y2009" s="97"/>
    </row>
    <row r="2010" spans="13:25" x14ac:dyDescent="0.2">
      <c r="M2010" s="55"/>
      <c r="Y2010" s="97"/>
    </row>
    <row r="2011" spans="13:25" x14ac:dyDescent="0.2">
      <c r="M2011" s="55"/>
      <c r="Y2011" s="97"/>
    </row>
    <row r="2012" spans="13:25" x14ac:dyDescent="0.2">
      <c r="M2012" s="55"/>
      <c r="Y2012" s="97"/>
    </row>
    <row r="2013" spans="13:25" x14ac:dyDescent="0.2">
      <c r="M2013" s="55"/>
      <c r="Y2013" s="97"/>
    </row>
    <row r="2014" spans="13:25" x14ac:dyDescent="0.2">
      <c r="M2014" s="55"/>
      <c r="Y2014" s="97"/>
    </row>
    <row r="2015" spans="13:25" x14ac:dyDescent="0.2">
      <c r="M2015" s="55"/>
      <c r="Y2015" s="97"/>
    </row>
    <row r="2016" spans="13:25" x14ac:dyDescent="0.2">
      <c r="M2016" s="55"/>
      <c r="Y2016" s="97"/>
    </row>
    <row r="2017" spans="13:25" x14ac:dyDescent="0.2">
      <c r="M2017" s="55"/>
      <c r="Y2017" s="97"/>
    </row>
    <row r="2018" spans="13:25" x14ac:dyDescent="0.2">
      <c r="M2018" s="55"/>
      <c r="Y2018" s="97"/>
    </row>
    <row r="2019" spans="13:25" x14ac:dyDescent="0.2">
      <c r="M2019" s="55"/>
      <c r="Y2019" s="97"/>
    </row>
    <row r="2020" spans="13:25" x14ac:dyDescent="0.2">
      <c r="M2020" s="55"/>
      <c r="Y2020" s="97"/>
    </row>
    <row r="2021" spans="13:25" x14ac:dyDescent="0.2">
      <c r="M2021" s="55"/>
      <c r="Y2021" s="97"/>
    </row>
    <row r="2022" spans="13:25" x14ac:dyDescent="0.2">
      <c r="M2022" s="55"/>
      <c r="Y2022" s="97"/>
    </row>
    <row r="2023" spans="13:25" x14ac:dyDescent="0.2">
      <c r="M2023" s="55"/>
      <c r="Y2023" s="97"/>
    </row>
    <row r="2024" spans="13:25" x14ac:dyDescent="0.2">
      <c r="M2024" s="55"/>
      <c r="Y2024" s="97"/>
    </row>
    <row r="2025" spans="13:25" x14ac:dyDescent="0.2">
      <c r="M2025" s="55"/>
      <c r="Y2025" s="97"/>
    </row>
    <row r="2026" spans="13:25" x14ac:dyDescent="0.2">
      <c r="M2026" s="55"/>
      <c r="Y2026" s="97"/>
    </row>
    <row r="2027" spans="13:25" x14ac:dyDescent="0.2">
      <c r="M2027" s="55"/>
      <c r="Y2027" s="97"/>
    </row>
    <row r="2028" spans="13:25" x14ac:dyDescent="0.2">
      <c r="M2028" s="55"/>
      <c r="Y2028" s="97"/>
    </row>
    <row r="2029" spans="13:25" x14ac:dyDescent="0.2">
      <c r="M2029" s="55"/>
      <c r="Y2029" s="97"/>
    </row>
    <row r="2030" spans="13:25" x14ac:dyDescent="0.2">
      <c r="M2030" s="55"/>
      <c r="Y2030" s="97"/>
    </row>
    <row r="2031" spans="13:25" x14ac:dyDescent="0.2">
      <c r="M2031" s="55"/>
      <c r="Y2031" s="97"/>
    </row>
    <row r="2032" spans="13:25" x14ac:dyDescent="0.2">
      <c r="M2032" s="55"/>
      <c r="Y2032" s="97"/>
    </row>
    <row r="2033" spans="13:25" x14ac:dyDescent="0.2">
      <c r="M2033" s="55"/>
      <c r="Y2033" s="97"/>
    </row>
    <row r="2034" spans="13:25" x14ac:dyDescent="0.2">
      <c r="M2034" s="55"/>
      <c r="Y2034" s="97"/>
    </row>
    <row r="2035" spans="13:25" x14ac:dyDescent="0.2">
      <c r="M2035" s="55"/>
      <c r="Y2035" s="97"/>
    </row>
    <row r="2036" spans="13:25" x14ac:dyDescent="0.2">
      <c r="M2036" s="55"/>
      <c r="Y2036" s="97"/>
    </row>
    <row r="2037" spans="13:25" x14ac:dyDescent="0.2">
      <c r="M2037" s="55"/>
      <c r="Y2037" s="97"/>
    </row>
    <row r="2038" spans="13:25" x14ac:dyDescent="0.2">
      <c r="M2038" s="55"/>
      <c r="Y2038" s="97"/>
    </row>
    <row r="2039" spans="13:25" x14ac:dyDescent="0.2">
      <c r="M2039" s="55"/>
      <c r="Y2039" s="97"/>
    </row>
    <row r="2040" spans="13:25" x14ac:dyDescent="0.2">
      <c r="M2040" s="55"/>
      <c r="Y2040" s="97"/>
    </row>
    <row r="2041" spans="13:25" x14ac:dyDescent="0.2">
      <c r="M2041" s="55"/>
      <c r="Y2041" s="97"/>
    </row>
    <row r="2042" spans="13:25" x14ac:dyDescent="0.2">
      <c r="M2042" s="55"/>
      <c r="Y2042" s="97"/>
    </row>
    <row r="2043" spans="13:25" x14ac:dyDescent="0.2">
      <c r="M2043" s="55"/>
      <c r="Y2043" s="97"/>
    </row>
    <row r="2044" spans="13:25" x14ac:dyDescent="0.2">
      <c r="M2044" s="55"/>
      <c r="Y2044" s="97"/>
    </row>
    <row r="2045" spans="13:25" x14ac:dyDescent="0.2">
      <c r="M2045" s="55"/>
      <c r="Y2045" s="97"/>
    </row>
    <row r="2046" spans="13:25" x14ac:dyDescent="0.2">
      <c r="M2046" s="55"/>
      <c r="Y2046" s="97"/>
    </row>
    <row r="2047" spans="13:25" x14ac:dyDescent="0.2">
      <c r="M2047" s="55"/>
      <c r="Y2047" s="97"/>
    </row>
    <row r="2048" spans="13:25" x14ac:dyDescent="0.2">
      <c r="M2048" s="55"/>
      <c r="Y2048" s="97"/>
    </row>
    <row r="2049" spans="13:25" x14ac:dyDescent="0.2">
      <c r="M2049" s="55"/>
      <c r="Y2049" s="97"/>
    </row>
    <row r="2050" spans="13:25" x14ac:dyDescent="0.2">
      <c r="M2050" s="55"/>
      <c r="Y2050" s="97"/>
    </row>
    <row r="2051" spans="13:25" x14ac:dyDescent="0.2">
      <c r="M2051" s="55"/>
      <c r="Y2051" s="97"/>
    </row>
    <row r="2052" spans="13:25" x14ac:dyDescent="0.2">
      <c r="M2052" s="55"/>
      <c r="Y2052" s="97"/>
    </row>
    <row r="2053" spans="13:25" x14ac:dyDescent="0.2">
      <c r="M2053" s="55"/>
      <c r="Y2053" s="97"/>
    </row>
    <row r="2054" spans="13:25" x14ac:dyDescent="0.2">
      <c r="M2054" s="55"/>
      <c r="Y2054" s="97"/>
    </row>
    <row r="2055" spans="13:25" x14ac:dyDescent="0.2">
      <c r="M2055" s="55"/>
      <c r="Y2055" s="97"/>
    </row>
    <row r="2056" spans="13:25" x14ac:dyDescent="0.2">
      <c r="M2056" s="55"/>
      <c r="Y2056" s="97"/>
    </row>
    <row r="2057" spans="13:25" x14ac:dyDescent="0.2">
      <c r="M2057" s="55"/>
      <c r="Y2057" s="97"/>
    </row>
    <row r="2058" spans="13:25" x14ac:dyDescent="0.2">
      <c r="M2058" s="55"/>
      <c r="Y2058" s="97"/>
    </row>
    <row r="2059" spans="13:25" x14ac:dyDescent="0.2">
      <c r="M2059" s="55"/>
      <c r="Y2059" s="97"/>
    </row>
    <row r="2060" spans="13:25" x14ac:dyDescent="0.2">
      <c r="M2060" s="55"/>
      <c r="Y2060" s="97"/>
    </row>
    <row r="2061" spans="13:25" x14ac:dyDescent="0.2">
      <c r="M2061" s="55"/>
      <c r="Y2061" s="97"/>
    </row>
    <row r="2062" spans="13:25" x14ac:dyDescent="0.2">
      <c r="M2062" s="55"/>
      <c r="Y2062" s="97"/>
    </row>
    <row r="2063" spans="13:25" x14ac:dyDescent="0.2">
      <c r="M2063" s="55"/>
      <c r="Y2063" s="97"/>
    </row>
    <row r="2064" spans="13:25" x14ac:dyDescent="0.2">
      <c r="M2064" s="55"/>
      <c r="Y2064" s="97"/>
    </row>
    <row r="2065" spans="13:25" x14ac:dyDescent="0.2">
      <c r="M2065" s="55"/>
      <c r="Y2065" s="97"/>
    </row>
    <row r="2066" spans="13:25" x14ac:dyDescent="0.2">
      <c r="M2066" s="55"/>
      <c r="Y2066" s="97"/>
    </row>
    <row r="2067" spans="13:25" x14ac:dyDescent="0.2">
      <c r="M2067" s="55"/>
      <c r="Y2067" s="97"/>
    </row>
    <row r="2068" spans="13:25" x14ac:dyDescent="0.2">
      <c r="M2068" s="55"/>
      <c r="Y2068" s="97"/>
    </row>
    <row r="2069" spans="13:25" x14ac:dyDescent="0.2">
      <c r="M2069" s="55"/>
      <c r="Y2069" s="97"/>
    </row>
    <row r="2070" spans="13:25" x14ac:dyDescent="0.2">
      <c r="M2070" s="55"/>
      <c r="Y2070" s="97"/>
    </row>
    <row r="2071" spans="13:25" x14ac:dyDescent="0.2">
      <c r="M2071" s="55"/>
      <c r="Y2071" s="97"/>
    </row>
    <row r="2072" spans="13:25" x14ac:dyDescent="0.2">
      <c r="M2072" s="55"/>
      <c r="Y2072" s="97"/>
    </row>
    <row r="2073" spans="13:25" x14ac:dyDescent="0.2">
      <c r="M2073" s="55"/>
      <c r="Y2073" s="97"/>
    </row>
    <row r="2074" spans="13:25" x14ac:dyDescent="0.2">
      <c r="M2074" s="55"/>
      <c r="Y2074" s="97"/>
    </row>
    <row r="2075" spans="13:25" x14ac:dyDescent="0.2">
      <c r="M2075" s="55"/>
      <c r="Y2075" s="97"/>
    </row>
    <row r="2076" spans="13:25" x14ac:dyDescent="0.2">
      <c r="M2076" s="55"/>
      <c r="Y2076" s="97"/>
    </row>
    <row r="2077" spans="13:25" x14ac:dyDescent="0.2">
      <c r="M2077" s="55"/>
      <c r="Y2077" s="97"/>
    </row>
    <row r="2078" spans="13:25" x14ac:dyDescent="0.2">
      <c r="M2078" s="55"/>
      <c r="Y2078" s="97"/>
    </row>
    <row r="2079" spans="13:25" x14ac:dyDescent="0.2">
      <c r="M2079" s="55"/>
      <c r="Y2079" s="97"/>
    </row>
    <row r="2080" spans="13:25" x14ac:dyDescent="0.2">
      <c r="M2080" s="55"/>
      <c r="Y2080" s="97"/>
    </row>
    <row r="2081" spans="13:25" x14ac:dyDescent="0.2">
      <c r="M2081" s="55"/>
      <c r="Y2081" s="97"/>
    </row>
    <row r="2082" spans="13:25" x14ac:dyDescent="0.2">
      <c r="M2082" s="55"/>
      <c r="Y2082" s="97"/>
    </row>
    <row r="2083" spans="13:25" x14ac:dyDescent="0.2">
      <c r="M2083" s="55"/>
      <c r="Y2083" s="97"/>
    </row>
    <row r="2084" spans="13:25" x14ac:dyDescent="0.2">
      <c r="M2084" s="55"/>
      <c r="Y2084" s="97"/>
    </row>
    <row r="2085" spans="13:25" x14ac:dyDescent="0.2">
      <c r="M2085" s="55"/>
      <c r="Y2085" s="97"/>
    </row>
    <row r="2086" spans="13:25" x14ac:dyDescent="0.2">
      <c r="M2086" s="55"/>
      <c r="Y2086" s="97"/>
    </row>
    <row r="2087" spans="13:25" x14ac:dyDescent="0.2">
      <c r="M2087" s="55"/>
      <c r="Y2087" s="97"/>
    </row>
    <row r="2088" spans="13:25" x14ac:dyDescent="0.2">
      <c r="M2088" s="55"/>
      <c r="Y2088" s="97"/>
    </row>
    <row r="2089" spans="13:25" x14ac:dyDescent="0.2">
      <c r="M2089" s="55"/>
      <c r="Y2089" s="97"/>
    </row>
    <row r="2090" spans="13:25" x14ac:dyDescent="0.2">
      <c r="M2090" s="55"/>
      <c r="Y2090" s="97"/>
    </row>
    <row r="2091" spans="13:25" x14ac:dyDescent="0.2">
      <c r="M2091" s="55"/>
      <c r="Y2091" s="97"/>
    </row>
    <row r="2092" spans="13:25" x14ac:dyDescent="0.2">
      <c r="M2092" s="55"/>
      <c r="Y2092" s="97"/>
    </row>
    <row r="2093" spans="13:25" x14ac:dyDescent="0.2">
      <c r="M2093" s="55"/>
      <c r="Y2093" s="97"/>
    </row>
    <row r="2094" spans="13:25" x14ac:dyDescent="0.2">
      <c r="M2094" s="55"/>
      <c r="Y2094" s="97"/>
    </row>
    <row r="2095" spans="13:25" x14ac:dyDescent="0.2">
      <c r="M2095" s="55"/>
      <c r="Y2095" s="97"/>
    </row>
    <row r="2096" spans="13:25" x14ac:dyDescent="0.2">
      <c r="M2096" s="55"/>
      <c r="Y2096" s="97"/>
    </row>
    <row r="2097" spans="13:25" x14ac:dyDescent="0.2">
      <c r="M2097" s="55"/>
      <c r="Y2097" s="97"/>
    </row>
    <row r="2098" spans="13:25" x14ac:dyDescent="0.2">
      <c r="M2098" s="55"/>
      <c r="Y2098" s="97"/>
    </row>
    <row r="2099" spans="13:25" x14ac:dyDescent="0.2">
      <c r="M2099" s="55"/>
      <c r="Y2099" s="97"/>
    </row>
    <row r="2100" spans="13:25" x14ac:dyDescent="0.2">
      <c r="M2100" s="55"/>
      <c r="Y2100" s="97"/>
    </row>
    <row r="2101" spans="13:25" x14ac:dyDescent="0.2">
      <c r="M2101" s="55"/>
      <c r="Y2101" s="97"/>
    </row>
    <row r="2102" spans="13:25" x14ac:dyDescent="0.2">
      <c r="M2102" s="55"/>
      <c r="Y2102" s="97"/>
    </row>
    <row r="2103" spans="13:25" x14ac:dyDescent="0.2">
      <c r="M2103" s="55"/>
      <c r="Y2103" s="97"/>
    </row>
    <row r="2104" spans="13:25" x14ac:dyDescent="0.2">
      <c r="M2104" s="55"/>
      <c r="Y2104" s="97"/>
    </row>
    <row r="2105" spans="13:25" x14ac:dyDescent="0.2">
      <c r="M2105" s="55"/>
      <c r="Y2105" s="97"/>
    </row>
    <row r="2106" spans="13:25" x14ac:dyDescent="0.2">
      <c r="M2106" s="55"/>
      <c r="Y2106" s="97"/>
    </row>
    <row r="2107" spans="13:25" x14ac:dyDescent="0.2">
      <c r="M2107" s="55"/>
      <c r="Y2107" s="97"/>
    </row>
    <row r="2108" spans="13:25" x14ac:dyDescent="0.2">
      <c r="M2108" s="55"/>
      <c r="Y2108" s="97"/>
    </row>
    <row r="2109" spans="13:25" x14ac:dyDescent="0.2">
      <c r="M2109" s="55"/>
      <c r="Y2109" s="97"/>
    </row>
    <row r="2110" spans="13:25" x14ac:dyDescent="0.2">
      <c r="M2110" s="55"/>
      <c r="Y2110" s="97"/>
    </row>
    <row r="2111" spans="13:25" x14ac:dyDescent="0.2">
      <c r="M2111" s="55"/>
      <c r="Y2111" s="97"/>
    </row>
    <row r="2112" spans="13:25" x14ac:dyDescent="0.2">
      <c r="M2112" s="55"/>
      <c r="Y2112" s="97"/>
    </row>
    <row r="2113" spans="13:25" x14ac:dyDescent="0.2">
      <c r="M2113" s="55"/>
      <c r="Y2113" s="97"/>
    </row>
    <row r="2114" spans="13:25" x14ac:dyDescent="0.2">
      <c r="M2114" s="55"/>
      <c r="Y2114" s="97"/>
    </row>
    <row r="2115" spans="13:25" x14ac:dyDescent="0.2">
      <c r="M2115" s="55"/>
      <c r="Y2115" s="97"/>
    </row>
    <row r="2116" spans="13:25" x14ac:dyDescent="0.2">
      <c r="M2116" s="55"/>
      <c r="Y2116" s="97"/>
    </row>
    <row r="2117" spans="13:25" x14ac:dyDescent="0.2">
      <c r="M2117" s="55"/>
      <c r="Y2117" s="97"/>
    </row>
    <row r="2118" spans="13:25" x14ac:dyDescent="0.2">
      <c r="M2118" s="55"/>
      <c r="Y2118" s="97"/>
    </row>
    <row r="2119" spans="13:25" x14ac:dyDescent="0.2">
      <c r="M2119" s="55"/>
      <c r="Y2119" s="97"/>
    </row>
    <row r="2120" spans="13:25" x14ac:dyDescent="0.2">
      <c r="M2120" s="55"/>
      <c r="Y2120" s="97"/>
    </row>
    <row r="2121" spans="13:25" x14ac:dyDescent="0.2">
      <c r="M2121" s="55"/>
      <c r="Y2121" s="97"/>
    </row>
    <row r="2122" spans="13:25" x14ac:dyDescent="0.2">
      <c r="M2122" s="55"/>
      <c r="Y2122" s="97"/>
    </row>
    <row r="2123" spans="13:25" x14ac:dyDescent="0.2">
      <c r="M2123" s="55"/>
      <c r="Y2123" s="97"/>
    </row>
    <row r="2124" spans="13:25" x14ac:dyDescent="0.2">
      <c r="M2124" s="55"/>
      <c r="Y2124" s="97"/>
    </row>
    <row r="2125" spans="13:25" x14ac:dyDescent="0.2">
      <c r="M2125" s="55"/>
      <c r="Y2125" s="97"/>
    </row>
    <row r="2126" spans="13:25" x14ac:dyDescent="0.2">
      <c r="M2126" s="55"/>
      <c r="Y2126" s="97"/>
    </row>
    <row r="2127" spans="13:25" x14ac:dyDescent="0.2">
      <c r="M2127" s="55"/>
      <c r="Y2127" s="97"/>
    </row>
    <row r="2128" spans="13:25" x14ac:dyDescent="0.2">
      <c r="M2128" s="55"/>
      <c r="Y2128" s="97"/>
    </row>
    <row r="2129" spans="13:25" x14ac:dyDescent="0.2">
      <c r="M2129" s="55"/>
      <c r="Y2129" s="97"/>
    </row>
    <row r="2130" spans="13:25" x14ac:dyDescent="0.2">
      <c r="M2130" s="55"/>
      <c r="Y2130" s="97"/>
    </row>
    <row r="2131" spans="13:25" x14ac:dyDescent="0.2">
      <c r="M2131" s="55"/>
      <c r="Y2131" s="97"/>
    </row>
    <row r="2132" spans="13:25" x14ac:dyDescent="0.2">
      <c r="M2132" s="55"/>
      <c r="Y2132" s="97"/>
    </row>
    <row r="2133" spans="13:25" x14ac:dyDescent="0.2">
      <c r="M2133" s="55"/>
      <c r="Y2133" s="97"/>
    </row>
    <row r="2134" spans="13:25" x14ac:dyDescent="0.2">
      <c r="M2134" s="55"/>
      <c r="Y2134" s="97"/>
    </row>
    <row r="2135" spans="13:25" x14ac:dyDescent="0.2">
      <c r="M2135" s="55"/>
      <c r="Y2135" s="97"/>
    </row>
    <row r="2136" spans="13:25" x14ac:dyDescent="0.2">
      <c r="M2136" s="55"/>
      <c r="Y2136" s="97"/>
    </row>
    <row r="2137" spans="13:25" x14ac:dyDescent="0.2">
      <c r="M2137" s="55"/>
      <c r="Y2137" s="97"/>
    </row>
    <row r="2138" spans="13:25" x14ac:dyDescent="0.2">
      <c r="M2138" s="55"/>
      <c r="Y2138" s="97"/>
    </row>
    <row r="2139" spans="13:25" x14ac:dyDescent="0.2">
      <c r="M2139" s="55"/>
      <c r="Y2139" s="97"/>
    </row>
    <row r="2140" spans="13:25" x14ac:dyDescent="0.2">
      <c r="M2140" s="55"/>
      <c r="Y2140" s="97"/>
    </row>
    <row r="2141" spans="13:25" x14ac:dyDescent="0.2">
      <c r="M2141" s="55"/>
      <c r="Y2141" s="97"/>
    </row>
    <row r="2142" spans="13:25" x14ac:dyDescent="0.2">
      <c r="M2142" s="55"/>
      <c r="Y2142" s="97"/>
    </row>
    <row r="2143" spans="13:25" x14ac:dyDescent="0.2">
      <c r="M2143" s="55"/>
      <c r="Y2143" s="97"/>
    </row>
    <row r="2144" spans="13:25" x14ac:dyDescent="0.2">
      <c r="M2144" s="55"/>
      <c r="Y2144" s="97"/>
    </row>
    <row r="2145" spans="13:25" x14ac:dyDescent="0.2">
      <c r="M2145" s="55"/>
      <c r="Y2145" s="97"/>
    </row>
    <row r="2146" spans="13:25" x14ac:dyDescent="0.2">
      <c r="M2146" s="55"/>
      <c r="Y2146" s="97"/>
    </row>
    <row r="2147" spans="13:25" x14ac:dyDescent="0.2">
      <c r="M2147" s="55"/>
      <c r="Y2147" s="97"/>
    </row>
    <row r="2148" spans="13:25" x14ac:dyDescent="0.2">
      <c r="M2148" s="55"/>
      <c r="Y2148" s="97"/>
    </row>
    <row r="2149" spans="13:25" x14ac:dyDescent="0.2">
      <c r="M2149" s="55"/>
      <c r="Y2149" s="97"/>
    </row>
    <row r="2150" spans="13:25" x14ac:dyDescent="0.2">
      <c r="M2150" s="55"/>
      <c r="Y2150" s="97"/>
    </row>
    <row r="2151" spans="13:25" x14ac:dyDescent="0.2">
      <c r="M2151" s="55"/>
      <c r="Y2151" s="97"/>
    </row>
    <row r="2152" spans="13:25" x14ac:dyDescent="0.2">
      <c r="M2152" s="55"/>
      <c r="Y2152" s="97"/>
    </row>
    <row r="2153" spans="13:25" x14ac:dyDescent="0.2">
      <c r="M2153" s="55"/>
      <c r="Y2153" s="97"/>
    </row>
    <row r="2154" spans="13:25" x14ac:dyDescent="0.2">
      <c r="M2154" s="55"/>
      <c r="Y2154" s="97"/>
    </row>
    <row r="2155" spans="13:25" x14ac:dyDescent="0.2">
      <c r="M2155" s="55"/>
      <c r="Y2155" s="97"/>
    </row>
    <row r="2156" spans="13:25" x14ac:dyDescent="0.2">
      <c r="M2156" s="55"/>
      <c r="Y2156" s="97"/>
    </row>
    <row r="2157" spans="13:25" x14ac:dyDescent="0.2">
      <c r="M2157" s="55"/>
      <c r="Y2157" s="97"/>
    </row>
    <row r="2158" spans="13:25" x14ac:dyDescent="0.2">
      <c r="M2158" s="55"/>
      <c r="Y2158" s="97"/>
    </row>
    <row r="2159" spans="13:25" x14ac:dyDescent="0.2">
      <c r="M2159" s="55"/>
      <c r="Y2159" s="97"/>
    </row>
    <row r="2160" spans="13:25" x14ac:dyDescent="0.2">
      <c r="M2160" s="55"/>
      <c r="Y2160" s="97"/>
    </row>
    <row r="2161" spans="13:25" x14ac:dyDescent="0.2">
      <c r="M2161" s="55"/>
      <c r="Y2161" s="97"/>
    </row>
    <row r="2162" spans="13:25" x14ac:dyDescent="0.2">
      <c r="M2162" s="55"/>
      <c r="Y2162" s="97"/>
    </row>
    <row r="2163" spans="13:25" x14ac:dyDescent="0.2">
      <c r="M2163" s="55"/>
      <c r="Y2163" s="97"/>
    </row>
    <row r="2164" spans="13:25" x14ac:dyDescent="0.2">
      <c r="M2164" s="55"/>
      <c r="Y2164" s="97"/>
    </row>
    <row r="2165" spans="13:25" x14ac:dyDescent="0.2">
      <c r="M2165" s="55"/>
      <c r="Y2165" s="97"/>
    </row>
    <row r="2166" spans="13:25" x14ac:dyDescent="0.2">
      <c r="M2166" s="55"/>
      <c r="Y2166" s="97"/>
    </row>
    <row r="2167" spans="13:25" x14ac:dyDescent="0.2">
      <c r="M2167" s="55"/>
      <c r="Y2167" s="97"/>
    </row>
    <row r="2168" spans="13:25" x14ac:dyDescent="0.2">
      <c r="M2168" s="55"/>
      <c r="Y2168" s="97"/>
    </row>
    <row r="2169" spans="13:25" x14ac:dyDescent="0.2">
      <c r="M2169" s="55"/>
      <c r="Y2169" s="97"/>
    </row>
    <row r="2170" spans="13:25" x14ac:dyDescent="0.2">
      <c r="M2170" s="55"/>
      <c r="Y2170" s="97"/>
    </row>
    <row r="2171" spans="13:25" x14ac:dyDescent="0.2">
      <c r="M2171" s="55"/>
      <c r="Y2171" s="97"/>
    </row>
    <row r="2172" spans="13:25" x14ac:dyDescent="0.2">
      <c r="M2172" s="55"/>
      <c r="Y2172" s="97"/>
    </row>
    <row r="2173" spans="13:25" x14ac:dyDescent="0.2">
      <c r="M2173" s="55"/>
      <c r="Y2173" s="97"/>
    </row>
    <row r="2174" spans="13:25" x14ac:dyDescent="0.2">
      <c r="M2174" s="55"/>
      <c r="Y2174" s="97"/>
    </row>
    <row r="2175" spans="13:25" x14ac:dyDescent="0.2">
      <c r="M2175" s="55"/>
      <c r="Y2175" s="97"/>
    </row>
    <row r="2176" spans="13:25" x14ac:dyDescent="0.2">
      <c r="M2176" s="55"/>
      <c r="Y2176" s="97"/>
    </row>
    <row r="2177" spans="13:25" x14ac:dyDescent="0.2">
      <c r="M2177" s="55"/>
      <c r="Y2177" s="97"/>
    </row>
    <row r="2178" spans="13:25" x14ac:dyDescent="0.2">
      <c r="M2178" s="55"/>
      <c r="Y2178" s="97"/>
    </row>
    <row r="2179" spans="13:25" x14ac:dyDescent="0.2">
      <c r="M2179" s="55"/>
      <c r="Y2179" s="97"/>
    </row>
    <row r="2180" spans="13:25" x14ac:dyDescent="0.2">
      <c r="M2180" s="55"/>
      <c r="Y2180" s="97"/>
    </row>
    <row r="2181" spans="13:25" x14ac:dyDescent="0.2">
      <c r="M2181" s="55"/>
      <c r="Y2181" s="97"/>
    </row>
    <row r="2182" spans="13:25" x14ac:dyDescent="0.2">
      <c r="M2182" s="55"/>
      <c r="Y2182" s="97"/>
    </row>
    <row r="2183" spans="13:25" x14ac:dyDescent="0.2">
      <c r="M2183" s="55"/>
      <c r="Y2183" s="97"/>
    </row>
    <row r="2184" spans="13:25" x14ac:dyDescent="0.2">
      <c r="M2184" s="55"/>
      <c r="Y2184" s="97"/>
    </row>
    <row r="2185" spans="13:25" x14ac:dyDescent="0.2">
      <c r="M2185" s="55"/>
      <c r="Y2185" s="97"/>
    </row>
    <row r="2186" spans="13:25" x14ac:dyDescent="0.2">
      <c r="M2186" s="55"/>
      <c r="Y2186" s="97"/>
    </row>
    <row r="2187" spans="13:25" x14ac:dyDescent="0.2">
      <c r="M2187" s="55"/>
      <c r="Y2187" s="97"/>
    </row>
    <row r="2188" spans="13:25" x14ac:dyDescent="0.2">
      <c r="M2188" s="55"/>
      <c r="Y2188" s="97"/>
    </row>
    <row r="2189" spans="13:25" x14ac:dyDescent="0.2">
      <c r="M2189" s="55"/>
      <c r="Y2189" s="97"/>
    </row>
    <row r="2190" spans="13:25" x14ac:dyDescent="0.2">
      <c r="M2190" s="55"/>
      <c r="Y2190" s="97"/>
    </row>
    <row r="2191" spans="13:25" x14ac:dyDescent="0.2">
      <c r="M2191" s="55"/>
      <c r="Y2191" s="97"/>
    </row>
    <row r="2192" spans="13:25" x14ac:dyDescent="0.2">
      <c r="M2192" s="55"/>
      <c r="Y2192" s="97"/>
    </row>
    <row r="2193" spans="13:25" x14ac:dyDescent="0.2">
      <c r="M2193" s="55"/>
      <c r="Y2193" s="97"/>
    </row>
    <row r="2194" spans="13:25" x14ac:dyDescent="0.2">
      <c r="M2194" s="55"/>
      <c r="Y2194" s="97"/>
    </row>
    <row r="2195" spans="13:25" x14ac:dyDescent="0.2">
      <c r="M2195" s="55"/>
      <c r="Y2195" s="97"/>
    </row>
    <row r="2196" spans="13:25" x14ac:dyDescent="0.2">
      <c r="M2196" s="55"/>
      <c r="Y2196" s="97"/>
    </row>
    <row r="2197" spans="13:25" x14ac:dyDescent="0.2">
      <c r="M2197" s="55"/>
      <c r="Y2197" s="97"/>
    </row>
    <row r="2198" spans="13:25" x14ac:dyDescent="0.2">
      <c r="M2198" s="55"/>
      <c r="Y2198" s="97"/>
    </row>
    <row r="2199" spans="13:25" x14ac:dyDescent="0.2">
      <c r="M2199" s="55"/>
      <c r="Y2199" s="97"/>
    </row>
    <row r="2200" spans="13:25" x14ac:dyDescent="0.2">
      <c r="M2200" s="55"/>
      <c r="Y2200" s="97"/>
    </row>
    <row r="2201" spans="13:25" x14ac:dyDescent="0.2">
      <c r="M2201" s="55"/>
      <c r="Y2201" s="97"/>
    </row>
    <row r="2202" spans="13:25" x14ac:dyDescent="0.2">
      <c r="M2202" s="55"/>
      <c r="Y2202" s="97"/>
    </row>
    <row r="2203" spans="13:25" x14ac:dyDescent="0.2">
      <c r="M2203" s="55"/>
      <c r="Y2203" s="97"/>
    </row>
    <row r="2204" spans="13:25" x14ac:dyDescent="0.2">
      <c r="M2204" s="55"/>
      <c r="Y2204" s="97"/>
    </row>
    <row r="2205" spans="13:25" x14ac:dyDescent="0.2">
      <c r="M2205" s="55"/>
      <c r="Y2205" s="97"/>
    </row>
    <row r="2206" spans="13:25" x14ac:dyDescent="0.2">
      <c r="M2206" s="55"/>
      <c r="Y2206" s="97"/>
    </row>
    <row r="2207" spans="13:25" x14ac:dyDescent="0.2">
      <c r="M2207" s="55"/>
      <c r="Y2207" s="97"/>
    </row>
    <row r="2208" spans="13:25" x14ac:dyDescent="0.2">
      <c r="M2208" s="55"/>
      <c r="Y2208" s="97"/>
    </row>
    <row r="2209" spans="13:25" x14ac:dyDescent="0.2">
      <c r="M2209" s="55"/>
      <c r="Y2209" s="97"/>
    </row>
    <row r="2210" spans="13:25" x14ac:dyDescent="0.2">
      <c r="M2210" s="55"/>
      <c r="Y2210" s="97"/>
    </row>
    <row r="2211" spans="13:25" x14ac:dyDescent="0.2">
      <c r="M2211" s="55"/>
      <c r="Y2211" s="97"/>
    </row>
    <row r="2212" spans="13:25" x14ac:dyDescent="0.2">
      <c r="M2212" s="55"/>
      <c r="Y2212" s="97"/>
    </row>
    <row r="2213" spans="13:25" x14ac:dyDescent="0.2">
      <c r="M2213" s="55"/>
      <c r="Y2213" s="97"/>
    </row>
    <row r="2214" spans="13:25" x14ac:dyDescent="0.2">
      <c r="M2214" s="55"/>
      <c r="Y2214" s="97"/>
    </row>
    <row r="2215" spans="13:25" x14ac:dyDescent="0.2">
      <c r="M2215" s="55"/>
      <c r="Y2215" s="97"/>
    </row>
    <row r="2216" spans="13:25" x14ac:dyDescent="0.2">
      <c r="M2216" s="55"/>
      <c r="Y2216" s="97"/>
    </row>
    <row r="2217" spans="13:25" x14ac:dyDescent="0.2">
      <c r="M2217" s="55"/>
      <c r="Y2217" s="97"/>
    </row>
    <row r="2218" spans="13:25" x14ac:dyDescent="0.2">
      <c r="M2218" s="55"/>
      <c r="Y2218" s="97"/>
    </row>
    <row r="2219" spans="13:25" x14ac:dyDescent="0.2">
      <c r="M2219" s="55"/>
      <c r="Y2219" s="97"/>
    </row>
    <row r="2220" spans="13:25" x14ac:dyDescent="0.2">
      <c r="M2220" s="55"/>
      <c r="Y2220" s="97"/>
    </row>
    <row r="2221" spans="13:25" x14ac:dyDescent="0.2">
      <c r="M2221" s="55"/>
      <c r="Y2221" s="97"/>
    </row>
    <row r="2222" spans="13:25" x14ac:dyDescent="0.2">
      <c r="M2222" s="55"/>
      <c r="Y2222" s="97"/>
    </row>
    <row r="2223" spans="13:25" x14ac:dyDescent="0.2">
      <c r="M2223" s="55"/>
      <c r="Y2223" s="97"/>
    </row>
    <row r="2224" spans="13:25" x14ac:dyDescent="0.2">
      <c r="M2224" s="55"/>
      <c r="Y2224" s="97"/>
    </row>
    <row r="2225" spans="13:25" x14ac:dyDescent="0.2">
      <c r="M2225" s="55"/>
      <c r="Y2225" s="97"/>
    </row>
    <row r="2226" spans="13:25" x14ac:dyDescent="0.2">
      <c r="M2226" s="55"/>
      <c r="Y2226" s="97"/>
    </row>
    <row r="2227" spans="13:25" x14ac:dyDescent="0.2">
      <c r="M2227" s="55"/>
      <c r="Y2227" s="97"/>
    </row>
    <row r="2228" spans="13:25" x14ac:dyDescent="0.2">
      <c r="M2228" s="55"/>
      <c r="Y2228" s="97"/>
    </row>
    <row r="2229" spans="13:25" x14ac:dyDescent="0.2">
      <c r="M2229" s="55"/>
      <c r="Y2229" s="97"/>
    </row>
    <row r="2230" spans="13:25" x14ac:dyDescent="0.2">
      <c r="M2230" s="55"/>
      <c r="Y2230" s="97"/>
    </row>
    <row r="2231" spans="13:25" x14ac:dyDescent="0.2">
      <c r="M2231" s="55"/>
      <c r="Y2231" s="97"/>
    </row>
    <row r="2232" spans="13:25" x14ac:dyDescent="0.2">
      <c r="M2232" s="55"/>
      <c r="Y2232" s="97"/>
    </row>
    <row r="2233" spans="13:25" x14ac:dyDescent="0.2">
      <c r="M2233" s="55"/>
      <c r="Y2233" s="97"/>
    </row>
    <row r="2234" spans="13:25" x14ac:dyDescent="0.2">
      <c r="M2234" s="55"/>
      <c r="Y2234" s="97"/>
    </row>
    <row r="2235" spans="13:25" x14ac:dyDescent="0.2">
      <c r="M2235" s="55"/>
      <c r="Y2235" s="97"/>
    </row>
    <row r="2236" spans="13:25" x14ac:dyDescent="0.2">
      <c r="M2236" s="55"/>
      <c r="Y2236" s="97"/>
    </row>
    <row r="2237" spans="13:25" x14ac:dyDescent="0.2">
      <c r="M2237" s="55"/>
      <c r="Y2237" s="97"/>
    </row>
    <row r="2238" spans="13:25" x14ac:dyDescent="0.2">
      <c r="M2238" s="55"/>
      <c r="Y2238" s="97"/>
    </row>
    <row r="2239" spans="13:25" x14ac:dyDescent="0.2">
      <c r="M2239" s="55"/>
      <c r="Y2239" s="97"/>
    </row>
    <row r="2240" spans="13:25" x14ac:dyDescent="0.2">
      <c r="M2240" s="55"/>
      <c r="Y2240" s="97"/>
    </row>
    <row r="2241" spans="13:25" x14ac:dyDescent="0.2">
      <c r="M2241" s="55"/>
      <c r="Y2241" s="97"/>
    </row>
    <row r="2242" spans="13:25" x14ac:dyDescent="0.2">
      <c r="M2242" s="55"/>
      <c r="Y2242" s="97"/>
    </row>
    <row r="2243" spans="13:25" x14ac:dyDescent="0.2">
      <c r="M2243" s="55"/>
      <c r="Y2243" s="97"/>
    </row>
    <row r="2244" spans="13:25" x14ac:dyDescent="0.2">
      <c r="M2244" s="55"/>
      <c r="Y2244" s="97"/>
    </row>
    <row r="2245" spans="13:25" x14ac:dyDescent="0.2">
      <c r="M2245" s="55"/>
      <c r="Y2245" s="97"/>
    </row>
    <row r="2246" spans="13:25" x14ac:dyDescent="0.2">
      <c r="M2246" s="55"/>
      <c r="Y2246" s="97"/>
    </row>
    <row r="2247" spans="13:25" x14ac:dyDescent="0.2">
      <c r="M2247" s="55"/>
      <c r="Y2247" s="97"/>
    </row>
    <row r="2248" spans="13:25" x14ac:dyDescent="0.2">
      <c r="M2248" s="55"/>
      <c r="Y2248" s="97"/>
    </row>
    <row r="2249" spans="13:25" x14ac:dyDescent="0.2">
      <c r="M2249" s="55"/>
      <c r="Y2249" s="97"/>
    </row>
    <row r="2250" spans="13:25" x14ac:dyDescent="0.2">
      <c r="M2250" s="55"/>
      <c r="Y2250" s="97"/>
    </row>
    <row r="2251" spans="13:25" x14ac:dyDescent="0.2">
      <c r="M2251" s="55"/>
      <c r="Y2251" s="97"/>
    </row>
    <row r="2252" spans="13:25" x14ac:dyDescent="0.2">
      <c r="M2252" s="55"/>
      <c r="Y2252" s="97"/>
    </row>
    <row r="2253" spans="13:25" x14ac:dyDescent="0.2">
      <c r="M2253" s="55"/>
      <c r="Y2253" s="97"/>
    </row>
    <row r="2254" spans="13:25" x14ac:dyDescent="0.2">
      <c r="M2254" s="55"/>
      <c r="Y2254" s="97"/>
    </row>
    <row r="2255" spans="13:25" x14ac:dyDescent="0.2">
      <c r="M2255" s="55"/>
      <c r="Y2255" s="97"/>
    </row>
    <row r="2256" spans="13:25" x14ac:dyDescent="0.2">
      <c r="M2256" s="55"/>
      <c r="Y2256" s="97"/>
    </row>
    <row r="2257" spans="13:25" x14ac:dyDescent="0.2">
      <c r="M2257" s="55"/>
      <c r="Y2257" s="97"/>
    </row>
    <row r="2258" spans="13:25" x14ac:dyDescent="0.2">
      <c r="M2258" s="55"/>
      <c r="Y2258" s="97"/>
    </row>
    <row r="2259" spans="13:25" x14ac:dyDescent="0.2">
      <c r="M2259" s="55"/>
      <c r="Y2259" s="97"/>
    </row>
    <row r="2260" spans="13:25" x14ac:dyDescent="0.2">
      <c r="M2260" s="55"/>
      <c r="Y2260" s="97"/>
    </row>
    <row r="2261" spans="13:25" x14ac:dyDescent="0.2">
      <c r="M2261" s="55"/>
      <c r="Y2261" s="97"/>
    </row>
    <row r="2262" spans="13:25" x14ac:dyDescent="0.2">
      <c r="M2262" s="55"/>
      <c r="Y2262" s="97"/>
    </row>
    <row r="2263" spans="13:25" x14ac:dyDescent="0.2">
      <c r="M2263" s="55"/>
      <c r="Y2263" s="97"/>
    </row>
    <row r="2264" spans="13:25" x14ac:dyDescent="0.2">
      <c r="M2264" s="55"/>
      <c r="Y2264" s="97"/>
    </row>
    <row r="2265" spans="13:25" x14ac:dyDescent="0.2">
      <c r="M2265" s="55"/>
      <c r="Y2265" s="97"/>
    </row>
    <row r="2266" spans="13:25" x14ac:dyDescent="0.2">
      <c r="M2266" s="55"/>
      <c r="Y2266" s="97"/>
    </row>
    <row r="2267" spans="13:25" x14ac:dyDescent="0.2">
      <c r="M2267" s="55"/>
      <c r="Y2267" s="97"/>
    </row>
    <row r="2268" spans="13:25" x14ac:dyDescent="0.2">
      <c r="M2268" s="55"/>
      <c r="Y2268" s="97"/>
    </row>
    <row r="2269" spans="13:25" x14ac:dyDescent="0.2">
      <c r="M2269" s="55"/>
      <c r="Y2269" s="97"/>
    </row>
    <row r="2270" spans="13:25" x14ac:dyDescent="0.2">
      <c r="M2270" s="55"/>
      <c r="Y2270" s="97"/>
    </row>
    <row r="2271" spans="13:25" x14ac:dyDescent="0.2">
      <c r="M2271" s="55"/>
      <c r="Y2271" s="97"/>
    </row>
    <row r="2272" spans="13:25" x14ac:dyDescent="0.2">
      <c r="M2272" s="55"/>
      <c r="Y2272" s="97"/>
    </row>
    <row r="2273" spans="13:25" x14ac:dyDescent="0.2">
      <c r="M2273" s="55"/>
      <c r="Y2273" s="97"/>
    </row>
    <row r="2274" spans="13:25" x14ac:dyDescent="0.2">
      <c r="M2274" s="55"/>
      <c r="Y2274" s="97"/>
    </row>
    <row r="2275" spans="13:25" x14ac:dyDescent="0.2">
      <c r="M2275" s="55"/>
      <c r="Y2275" s="97"/>
    </row>
    <row r="2276" spans="13:25" x14ac:dyDescent="0.2">
      <c r="M2276" s="55"/>
      <c r="Y2276" s="97"/>
    </row>
    <row r="2277" spans="13:25" x14ac:dyDescent="0.2">
      <c r="M2277" s="55"/>
      <c r="Y2277" s="97"/>
    </row>
    <row r="2278" spans="13:25" x14ac:dyDescent="0.2">
      <c r="M2278" s="55"/>
      <c r="Y2278" s="97"/>
    </row>
    <row r="2279" spans="13:25" x14ac:dyDescent="0.2">
      <c r="M2279" s="55"/>
      <c r="Y2279" s="97"/>
    </row>
    <row r="2280" spans="13:25" x14ac:dyDescent="0.2">
      <c r="M2280" s="55"/>
      <c r="Y2280" s="97"/>
    </row>
    <row r="2281" spans="13:25" x14ac:dyDescent="0.2">
      <c r="M2281" s="55"/>
      <c r="Y2281" s="97"/>
    </row>
    <row r="2282" spans="13:25" x14ac:dyDescent="0.2">
      <c r="M2282" s="55"/>
      <c r="Y2282" s="97"/>
    </row>
    <row r="2283" spans="13:25" x14ac:dyDescent="0.2">
      <c r="M2283" s="55"/>
      <c r="Y2283" s="97"/>
    </row>
    <row r="2284" spans="13:25" x14ac:dyDescent="0.2">
      <c r="M2284" s="55"/>
      <c r="Y2284" s="97"/>
    </row>
    <row r="2285" spans="13:25" x14ac:dyDescent="0.2">
      <c r="M2285" s="55"/>
      <c r="Y2285" s="97"/>
    </row>
    <row r="2286" spans="13:25" x14ac:dyDescent="0.2">
      <c r="M2286" s="55"/>
      <c r="Y2286" s="97"/>
    </row>
    <row r="2287" spans="13:25" x14ac:dyDescent="0.2">
      <c r="M2287" s="55"/>
      <c r="Y2287" s="97"/>
    </row>
    <row r="2288" spans="13:25" x14ac:dyDescent="0.2">
      <c r="M2288" s="55"/>
      <c r="Y2288" s="97"/>
    </row>
    <row r="2289" spans="13:25" x14ac:dyDescent="0.2">
      <c r="M2289" s="55"/>
      <c r="Y2289" s="97"/>
    </row>
    <row r="2290" spans="13:25" x14ac:dyDescent="0.2">
      <c r="M2290" s="55"/>
      <c r="Y2290" s="97"/>
    </row>
    <row r="2291" spans="13:25" x14ac:dyDescent="0.2">
      <c r="M2291" s="55"/>
      <c r="Y2291" s="97"/>
    </row>
    <row r="2292" spans="13:25" x14ac:dyDescent="0.2">
      <c r="M2292" s="55"/>
      <c r="Y2292" s="97"/>
    </row>
    <row r="2293" spans="13:25" x14ac:dyDescent="0.2">
      <c r="M2293" s="55"/>
      <c r="Y2293" s="97"/>
    </row>
    <row r="2294" spans="13:25" x14ac:dyDescent="0.2">
      <c r="M2294" s="55"/>
      <c r="Y2294" s="97"/>
    </row>
    <row r="2295" spans="13:25" x14ac:dyDescent="0.2">
      <c r="M2295" s="55"/>
      <c r="Y2295" s="97"/>
    </row>
    <row r="2296" spans="13:25" x14ac:dyDescent="0.2">
      <c r="M2296" s="55"/>
      <c r="Y2296" s="97"/>
    </row>
    <row r="2297" spans="13:25" x14ac:dyDescent="0.2">
      <c r="M2297" s="55"/>
      <c r="Y2297" s="97"/>
    </row>
    <row r="2298" spans="13:25" x14ac:dyDescent="0.2">
      <c r="M2298" s="55"/>
      <c r="Y2298" s="97"/>
    </row>
    <row r="2299" spans="13:25" x14ac:dyDescent="0.2">
      <c r="M2299" s="55"/>
      <c r="Y2299" s="97"/>
    </row>
    <row r="2300" spans="13:25" x14ac:dyDescent="0.2">
      <c r="M2300" s="55"/>
      <c r="Y2300" s="97"/>
    </row>
    <row r="2301" spans="13:25" x14ac:dyDescent="0.2">
      <c r="M2301" s="55"/>
      <c r="Y2301" s="97"/>
    </row>
    <row r="2302" spans="13:25" x14ac:dyDescent="0.2">
      <c r="M2302" s="55"/>
      <c r="Y2302" s="97"/>
    </row>
    <row r="2303" spans="13:25" x14ac:dyDescent="0.2">
      <c r="M2303" s="55"/>
      <c r="Y2303" s="97"/>
    </row>
    <row r="2304" spans="13:25" x14ac:dyDescent="0.2">
      <c r="M2304" s="55"/>
      <c r="Y2304" s="97"/>
    </row>
    <row r="2305" spans="13:25" x14ac:dyDescent="0.2">
      <c r="M2305" s="55"/>
      <c r="Y2305" s="97"/>
    </row>
    <row r="2306" spans="13:25" x14ac:dyDescent="0.2">
      <c r="M2306" s="55"/>
      <c r="Y2306" s="97"/>
    </row>
    <row r="2307" spans="13:25" x14ac:dyDescent="0.2">
      <c r="M2307" s="55"/>
      <c r="Y2307" s="97"/>
    </row>
    <row r="2308" spans="13:25" x14ac:dyDescent="0.2">
      <c r="M2308" s="55"/>
      <c r="Y2308" s="97"/>
    </row>
    <row r="2309" spans="13:25" x14ac:dyDescent="0.2">
      <c r="M2309" s="55"/>
      <c r="Y2309" s="97"/>
    </row>
    <row r="2310" spans="13:25" x14ac:dyDescent="0.2">
      <c r="M2310" s="55"/>
      <c r="Y2310" s="97"/>
    </row>
    <row r="2311" spans="13:25" x14ac:dyDescent="0.2">
      <c r="M2311" s="55"/>
      <c r="Y2311" s="97"/>
    </row>
    <row r="2312" spans="13:25" x14ac:dyDescent="0.2">
      <c r="M2312" s="55"/>
      <c r="Y2312" s="97"/>
    </row>
    <row r="2313" spans="13:25" x14ac:dyDescent="0.2">
      <c r="M2313" s="55"/>
      <c r="Y2313" s="97"/>
    </row>
    <row r="2314" spans="13:25" x14ac:dyDescent="0.2">
      <c r="M2314" s="55"/>
      <c r="Y2314" s="97"/>
    </row>
    <row r="2315" spans="13:25" x14ac:dyDescent="0.2">
      <c r="M2315" s="55"/>
      <c r="Y2315" s="97"/>
    </row>
    <row r="2316" spans="13:25" x14ac:dyDescent="0.2">
      <c r="M2316" s="55"/>
      <c r="Y2316" s="97"/>
    </row>
    <row r="2317" spans="13:25" x14ac:dyDescent="0.2">
      <c r="M2317" s="55"/>
      <c r="Y2317" s="97"/>
    </row>
    <row r="2318" spans="13:25" x14ac:dyDescent="0.2">
      <c r="M2318" s="55"/>
      <c r="Y2318" s="97"/>
    </row>
    <row r="2319" spans="13:25" x14ac:dyDescent="0.2">
      <c r="M2319" s="55"/>
      <c r="Y2319" s="97"/>
    </row>
    <row r="2320" spans="13:25" x14ac:dyDescent="0.2">
      <c r="M2320" s="55"/>
      <c r="Y2320" s="97"/>
    </row>
    <row r="2321" spans="13:25" x14ac:dyDescent="0.2">
      <c r="M2321" s="55"/>
      <c r="Y2321" s="97"/>
    </row>
    <row r="2322" spans="13:25" x14ac:dyDescent="0.2">
      <c r="M2322" s="55"/>
      <c r="Y2322" s="97"/>
    </row>
    <row r="2323" spans="13:25" x14ac:dyDescent="0.2">
      <c r="M2323" s="55"/>
      <c r="Y2323" s="97"/>
    </row>
    <row r="2324" spans="13:25" x14ac:dyDescent="0.2">
      <c r="M2324" s="55"/>
      <c r="Y2324" s="97"/>
    </row>
    <row r="2325" spans="13:25" x14ac:dyDescent="0.2">
      <c r="M2325" s="55"/>
      <c r="Y2325" s="97"/>
    </row>
    <row r="2326" spans="13:25" x14ac:dyDescent="0.2">
      <c r="M2326" s="55"/>
      <c r="Y2326" s="97"/>
    </row>
    <row r="2327" spans="13:25" x14ac:dyDescent="0.2">
      <c r="M2327" s="55"/>
      <c r="Y2327" s="97"/>
    </row>
    <row r="2328" spans="13:25" x14ac:dyDescent="0.2">
      <c r="M2328" s="55"/>
      <c r="Y2328" s="97"/>
    </row>
    <row r="2329" spans="13:25" x14ac:dyDescent="0.2">
      <c r="M2329" s="55"/>
      <c r="Y2329" s="97"/>
    </row>
    <row r="2330" spans="13:25" x14ac:dyDescent="0.2">
      <c r="M2330" s="55"/>
      <c r="Y2330" s="97"/>
    </row>
    <row r="2331" spans="13:25" x14ac:dyDescent="0.2">
      <c r="M2331" s="55"/>
      <c r="Y2331" s="97"/>
    </row>
    <row r="2332" spans="13:25" x14ac:dyDescent="0.2">
      <c r="M2332" s="55"/>
      <c r="Y2332" s="97"/>
    </row>
    <row r="2333" spans="13:25" x14ac:dyDescent="0.2">
      <c r="M2333" s="55"/>
      <c r="Y2333" s="97"/>
    </row>
    <row r="2334" spans="13:25" x14ac:dyDescent="0.2">
      <c r="M2334" s="55"/>
      <c r="Y2334" s="97"/>
    </row>
    <row r="2335" spans="13:25" x14ac:dyDescent="0.2">
      <c r="M2335" s="55"/>
      <c r="Y2335" s="97"/>
    </row>
    <row r="2336" spans="13:25" x14ac:dyDescent="0.2">
      <c r="M2336" s="55"/>
      <c r="Y2336" s="97"/>
    </row>
    <row r="2337" spans="13:25" x14ac:dyDescent="0.2">
      <c r="M2337" s="55"/>
      <c r="Y2337" s="97"/>
    </row>
    <row r="2338" spans="13:25" x14ac:dyDescent="0.2">
      <c r="M2338" s="55"/>
      <c r="Y2338" s="97"/>
    </row>
    <row r="2339" spans="13:25" x14ac:dyDescent="0.2">
      <c r="M2339" s="55"/>
      <c r="Y2339" s="97"/>
    </row>
    <row r="2340" spans="13:25" x14ac:dyDescent="0.2">
      <c r="M2340" s="55"/>
      <c r="Y2340" s="97"/>
    </row>
    <row r="2341" spans="13:25" x14ac:dyDescent="0.2">
      <c r="M2341" s="55"/>
      <c r="Y2341" s="97"/>
    </row>
    <row r="2342" spans="13:25" x14ac:dyDescent="0.2">
      <c r="M2342" s="55"/>
      <c r="Y2342" s="97"/>
    </row>
    <row r="2343" spans="13:25" x14ac:dyDescent="0.2">
      <c r="M2343" s="55"/>
      <c r="Y2343" s="97"/>
    </row>
    <row r="2344" spans="13:25" x14ac:dyDescent="0.2">
      <c r="M2344" s="55"/>
      <c r="Y2344" s="97"/>
    </row>
    <row r="2345" spans="13:25" x14ac:dyDescent="0.2">
      <c r="M2345" s="55"/>
      <c r="Y2345" s="97"/>
    </row>
    <row r="2346" spans="13:25" x14ac:dyDescent="0.2">
      <c r="M2346" s="55"/>
      <c r="Y2346" s="97"/>
    </row>
    <row r="2347" spans="13:25" x14ac:dyDescent="0.2">
      <c r="M2347" s="55"/>
      <c r="Y2347" s="97"/>
    </row>
    <row r="2348" spans="13:25" x14ac:dyDescent="0.2">
      <c r="M2348" s="55"/>
      <c r="Y2348" s="97"/>
    </row>
    <row r="2349" spans="13:25" x14ac:dyDescent="0.2">
      <c r="M2349" s="55"/>
      <c r="Y2349" s="97"/>
    </row>
    <row r="2350" spans="13:25" x14ac:dyDescent="0.2">
      <c r="M2350" s="55"/>
      <c r="Y2350" s="97"/>
    </row>
    <row r="2351" spans="13:25" x14ac:dyDescent="0.2">
      <c r="M2351" s="55"/>
      <c r="Y2351" s="97"/>
    </row>
    <row r="2352" spans="13:25" x14ac:dyDescent="0.2">
      <c r="M2352" s="55"/>
      <c r="Y2352" s="97"/>
    </row>
    <row r="2353" spans="13:25" x14ac:dyDescent="0.2">
      <c r="M2353" s="55"/>
      <c r="Y2353" s="97"/>
    </row>
    <row r="2354" spans="13:25" x14ac:dyDescent="0.2">
      <c r="M2354" s="55"/>
      <c r="Y2354" s="97"/>
    </row>
    <row r="2355" spans="13:25" x14ac:dyDescent="0.2">
      <c r="M2355" s="55"/>
      <c r="Y2355" s="97"/>
    </row>
    <row r="2356" spans="13:25" x14ac:dyDescent="0.2">
      <c r="M2356" s="55"/>
      <c r="Y2356" s="97"/>
    </row>
    <row r="2357" spans="13:25" x14ac:dyDescent="0.2">
      <c r="M2357" s="55"/>
      <c r="Y2357" s="97"/>
    </row>
    <row r="2358" spans="13:25" x14ac:dyDescent="0.2">
      <c r="M2358" s="55"/>
      <c r="Y2358" s="97"/>
    </row>
    <row r="2359" spans="13:25" x14ac:dyDescent="0.2">
      <c r="M2359" s="55"/>
      <c r="Y2359" s="97"/>
    </row>
    <row r="2360" spans="13:25" x14ac:dyDescent="0.2">
      <c r="M2360" s="55"/>
      <c r="Y2360" s="97"/>
    </row>
    <row r="2361" spans="13:25" x14ac:dyDescent="0.2">
      <c r="M2361" s="55"/>
      <c r="Y2361" s="97"/>
    </row>
    <row r="2362" spans="13:25" x14ac:dyDescent="0.2">
      <c r="M2362" s="55"/>
      <c r="Y2362" s="97"/>
    </row>
    <row r="2363" spans="13:25" x14ac:dyDescent="0.2">
      <c r="M2363" s="55"/>
      <c r="Y2363" s="97"/>
    </row>
    <row r="2364" spans="13:25" x14ac:dyDescent="0.2">
      <c r="M2364" s="55"/>
      <c r="Y2364" s="97"/>
    </row>
    <row r="2365" spans="13:25" x14ac:dyDescent="0.2">
      <c r="M2365" s="55"/>
      <c r="Y2365" s="97"/>
    </row>
    <row r="2366" spans="13:25" x14ac:dyDescent="0.2">
      <c r="M2366" s="55"/>
      <c r="Y2366" s="97"/>
    </row>
    <row r="2367" spans="13:25" x14ac:dyDescent="0.2">
      <c r="M2367" s="55"/>
      <c r="Y2367" s="97"/>
    </row>
    <row r="2368" spans="13:25" x14ac:dyDescent="0.2">
      <c r="M2368" s="55"/>
      <c r="Y2368" s="97"/>
    </row>
    <row r="2369" spans="13:25" x14ac:dyDescent="0.2">
      <c r="M2369" s="55"/>
      <c r="Y2369" s="97"/>
    </row>
    <row r="2370" spans="13:25" x14ac:dyDescent="0.2">
      <c r="M2370" s="55"/>
      <c r="Y2370" s="97"/>
    </row>
    <row r="2371" spans="13:25" x14ac:dyDescent="0.2">
      <c r="M2371" s="55"/>
      <c r="Y2371" s="97"/>
    </row>
    <row r="2372" spans="13:25" x14ac:dyDescent="0.2">
      <c r="M2372" s="55"/>
      <c r="Y2372" s="97"/>
    </row>
    <row r="2373" spans="13:25" x14ac:dyDescent="0.2">
      <c r="M2373" s="55"/>
      <c r="Y2373" s="97"/>
    </row>
    <row r="2374" spans="13:25" x14ac:dyDescent="0.2">
      <c r="M2374" s="55"/>
      <c r="Y2374" s="97"/>
    </row>
    <row r="2375" spans="13:25" x14ac:dyDescent="0.2">
      <c r="M2375" s="55"/>
      <c r="Y2375" s="97"/>
    </row>
    <row r="2376" spans="13:25" x14ac:dyDescent="0.2">
      <c r="M2376" s="55"/>
      <c r="Y2376" s="97"/>
    </row>
    <row r="2377" spans="13:25" x14ac:dyDescent="0.2">
      <c r="M2377" s="55"/>
      <c r="Y2377" s="97"/>
    </row>
    <row r="2378" spans="13:25" x14ac:dyDescent="0.2">
      <c r="M2378" s="55"/>
      <c r="Y2378" s="97"/>
    </row>
    <row r="2379" spans="13:25" x14ac:dyDescent="0.2">
      <c r="M2379" s="55"/>
      <c r="Y2379" s="97"/>
    </row>
    <row r="2380" spans="13:25" x14ac:dyDescent="0.2">
      <c r="M2380" s="55"/>
      <c r="Y2380" s="97"/>
    </row>
    <row r="2381" spans="13:25" x14ac:dyDescent="0.2">
      <c r="M2381" s="55"/>
      <c r="Y2381" s="97"/>
    </row>
    <row r="2382" spans="13:25" x14ac:dyDescent="0.2">
      <c r="M2382" s="55"/>
      <c r="Y2382" s="97"/>
    </row>
    <row r="2383" spans="13:25" x14ac:dyDescent="0.2">
      <c r="M2383" s="55"/>
      <c r="Y2383" s="97"/>
    </row>
    <row r="2384" spans="13:25" x14ac:dyDescent="0.2">
      <c r="M2384" s="55"/>
      <c r="Y2384" s="97"/>
    </row>
    <row r="2385" spans="13:25" x14ac:dyDescent="0.2">
      <c r="M2385" s="55"/>
      <c r="Y2385" s="97"/>
    </row>
    <row r="2386" spans="13:25" x14ac:dyDescent="0.2">
      <c r="M2386" s="55"/>
      <c r="Y2386" s="97"/>
    </row>
    <row r="2387" spans="13:25" x14ac:dyDescent="0.2">
      <c r="M2387" s="55"/>
      <c r="Y2387" s="97"/>
    </row>
    <row r="2388" spans="13:25" x14ac:dyDescent="0.2">
      <c r="M2388" s="55"/>
      <c r="Y2388" s="97"/>
    </row>
    <row r="2389" spans="13:25" x14ac:dyDescent="0.2">
      <c r="M2389" s="55"/>
      <c r="Y2389" s="97"/>
    </row>
    <row r="2390" spans="13:25" x14ac:dyDescent="0.2">
      <c r="M2390" s="55"/>
      <c r="Y2390" s="97"/>
    </row>
    <row r="2391" spans="13:25" x14ac:dyDescent="0.2">
      <c r="M2391" s="55"/>
      <c r="Y2391" s="97"/>
    </row>
    <row r="2392" spans="13:25" x14ac:dyDescent="0.2">
      <c r="M2392" s="55"/>
      <c r="Y2392" s="97"/>
    </row>
    <row r="2393" spans="13:25" x14ac:dyDescent="0.2">
      <c r="M2393" s="55"/>
      <c r="Y2393" s="97"/>
    </row>
    <row r="2394" spans="13:25" x14ac:dyDescent="0.2">
      <c r="M2394" s="55"/>
      <c r="Y2394" s="97"/>
    </row>
    <row r="2395" spans="13:25" x14ac:dyDescent="0.2">
      <c r="M2395" s="55"/>
      <c r="Y2395" s="97"/>
    </row>
    <row r="2396" spans="13:25" x14ac:dyDescent="0.2">
      <c r="M2396" s="55"/>
      <c r="Y2396" s="97"/>
    </row>
    <row r="2397" spans="13:25" x14ac:dyDescent="0.2">
      <c r="M2397" s="55"/>
      <c r="Y2397" s="97"/>
    </row>
    <row r="2398" spans="13:25" x14ac:dyDescent="0.2">
      <c r="M2398" s="55"/>
      <c r="Y2398" s="97"/>
    </row>
    <row r="2399" spans="13:25" x14ac:dyDescent="0.2">
      <c r="M2399" s="55"/>
      <c r="Y2399" s="97"/>
    </row>
    <row r="2400" spans="13:25" x14ac:dyDescent="0.2">
      <c r="M2400" s="55"/>
      <c r="Y2400" s="97"/>
    </row>
    <row r="2401" spans="13:25" x14ac:dyDescent="0.2">
      <c r="M2401" s="55"/>
      <c r="Y2401" s="97"/>
    </row>
    <row r="2402" spans="13:25" x14ac:dyDescent="0.2">
      <c r="M2402" s="55"/>
      <c r="Y2402" s="97"/>
    </row>
    <row r="2403" spans="13:25" x14ac:dyDescent="0.2">
      <c r="M2403" s="55"/>
      <c r="Y2403" s="97"/>
    </row>
    <row r="2404" spans="13:25" x14ac:dyDescent="0.2">
      <c r="M2404" s="55"/>
      <c r="Y2404" s="97"/>
    </row>
    <row r="2405" spans="13:25" x14ac:dyDescent="0.2">
      <c r="M2405" s="55"/>
      <c r="Y2405" s="97"/>
    </row>
    <row r="2406" spans="13:25" x14ac:dyDescent="0.2">
      <c r="M2406" s="55"/>
      <c r="Y2406" s="97"/>
    </row>
    <row r="2407" spans="13:25" x14ac:dyDescent="0.2">
      <c r="M2407" s="55"/>
      <c r="Y2407" s="97"/>
    </row>
    <row r="2408" spans="13:25" x14ac:dyDescent="0.2">
      <c r="M2408" s="55"/>
      <c r="Y2408" s="97"/>
    </row>
    <row r="2409" spans="13:25" x14ac:dyDescent="0.2">
      <c r="M2409" s="55"/>
      <c r="Y2409" s="97"/>
    </row>
    <row r="2410" spans="13:25" x14ac:dyDescent="0.2">
      <c r="M2410" s="55"/>
      <c r="Y2410" s="97"/>
    </row>
    <row r="2411" spans="13:25" x14ac:dyDescent="0.2">
      <c r="M2411" s="55"/>
      <c r="Y2411" s="97"/>
    </row>
    <row r="2412" spans="13:25" x14ac:dyDescent="0.2">
      <c r="M2412" s="55"/>
      <c r="Y2412" s="97"/>
    </row>
    <row r="2413" spans="13:25" x14ac:dyDescent="0.2">
      <c r="M2413" s="55"/>
      <c r="Y2413" s="97"/>
    </row>
    <row r="2414" spans="13:25" x14ac:dyDescent="0.2">
      <c r="M2414" s="55"/>
      <c r="Y2414" s="97"/>
    </row>
    <row r="2415" spans="13:25" x14ac:dyDescent="0.2">
      <c r="M2415" s="55"/>
      <c r="Y2415" s="97"/>
    </row>
    <row r="2416" spans="13:25" x14ac:dyDescent="0.2">
      <c r="M2416" s="55"/>
      <c r="Y2416" s="97"/>
    </row>
    <row r="2417" spans="13:25" x14ac:dyDescent="0.2">
      <c r="M2417" s="55"/>
      <c r="Y2417" s="97"/>
    </row>
    <row r="2418" spans="13:25" x14ac:dyDescent="0.2">
      <c r="M2418" s="55"/>
      <c r="Y2418" s="97"/>
    </row>
    <row r="2419" spans="13:25" x14ac:dyDescent="0.2">
      <c r="M2419" s="55"/>
      <c r="Y2419" s="97"/>
    </row>
    <row r="2420" spans="13:25" x14ac:dyDescent="0.2">
      <c r="M2420" s="55"/>
      <c r="Y2420" s="97"/>
    </row>
    <row r="2421" spans="13:25" x14ac:dyDescent="0.2">
      <c r="M2421" s="55"/>
      <c r="Y2421" s="97"/>
    </row>
    <row r="2422" spans="13:25" x14ac:dyDescent="0.2">
      <c r="M2422" s="55"/>
      <c r="Y2422" s="97"/>
    </row>
    <row r="2423" spans="13:25" x14ac:dyDescent="0.2">
      <c r="M2423" s="55"/>
      <c r="Y2423" s="97"/>
    </row>
    <row r="2424" spans="13:25" x14ac:dyDescent="0.2">
      <c r="M2424" s="55"/>
      <c r="Y2424" s="97"/>
    </row>
    <row r="2425" spans="13:25" x14ac:dyDescent="0.2">
      <c r="M2425" s="55"/>
      <c r="Y2425" s="97"/>
    </row>
    <row r="2426" spans="13:25" x14ac:dyDescent="0.2">
      <c r="M2426" s="55"/>
      <c r="Y2426" s="97"/>
    </row>
    <row r="2427" spans="13:25" x14ac:dyDescent="0.2">
      <c r="M2427" s="55"/>
      <c r="Y2427" s="97"/>
    </row>
    <row r="2428" spans="13:25" x14ac:dyDescent="0.2">
      <c r="M2428" s="55"/>
      <c r="Y2428" s="97"/>
    </row>
    <row r="2429" spans="13:25" x14ac:dyDescent="0.2">
      <c r="M2429" s="55"/>
      <c r="Y2429" s="97"/>
    </row>
    <row r="2430" spans="13:25" x14ac:dyDescent="0.2">
      <c r="M2430" s="55"/>
      <c r="Y2430" s="97"/>
    </row>
    <row r="2431" spans="13:25" x14ac:dyDescent="0.2">
      <c r="M2431" s="55"/>
      <c r="Y2431" s="97"/>
    </row>
    <row r="2432" spans="13:25" x14ac:dyDescent="0.2">
      <c r="M2432" s="55"/>
      <c r="Y2432" s="97"/>
    </row>
    <row r="2433" spans="13:25" x14ac:dyDescent="0.2">
      <c r="M2433" s="55"/>
      <c r="Y2433" s="97"/>
    </row>
    <row r="2434" spans="13:25" x14ac:dyDescent="0.2">
      <c r="M2434" s="55"/>
      <c r="Y2434" s="97"/>
    </row>
    <row r="2435" spans="13:25" x14ac:dyDescent="0.2">
      <c r="M2435" s="55"/>
      <c r="Y2435" s="97"/>
    </row>
    <row r="2436" spans="13:25" x14ac:dyDescent="0.2">
      <c r="M2436" s="55"/>
      <c r="Y2436" s="97"/>
    </row>
    <row r="2437" spans="13:25" x14ac:dyDescent="0.2">
      <c r="M2437" s="55"/>
      <c r="Y2437" s="97"/>
    </row>
    <row r="2438" spans="13:25" x14ac:dyDescent="0.2">
      <c r="M2438" s="55"/>
      <c r="Y2438" s="97"/>
    </row>
    <row r="2439" spans="13:25" x14ac:dyDescent="0.2">
      <c r="M2439" s="55"/>
      <c r="Y2439" s="97"/>
    </row>
    <row r="2440" spans="13:25" x14ac:dyDescent="0.2">
      <c r="M2440" s="55"/>
      <c r="Y2440" s="97"/>
    </row>
    <row r="2441" spans="13:25" x14ac:dyDescent="0.2">
      <c r="M2441" s="55"/>
      <c r="Y2441" s="97"/>
    </row>
    <row r="2442" spans="13:25" x14ac:dyDescent="0.2">
      <c r="M2442" s="55"/>
      <c r="Y2442" s="97"/>
    </row>
    <row r="2443" spans="13:25" x14ac:dyDescent="0.2">
      <c r="M2443" s="55"/>
      <c r="Y2443" s="97"/>
    </row>
    <row r="2444" spans="13:25" x14ac:dyDescent="0.2">
      <c r="M2444" s="55"/>
      <c r="Y2444" s="97"/>
    </row>
    <row r="2445" spans="13:25" x14ac:dyDescent="0.2">
      <c r="M2445" s="55"/>
      <c r="Y2445" s="97"/>
    </row>
    <row r="2446" spans="13:25" x14ac:dyDescent="0.2">
      <c r="M2446" s="55"/>
      <c r="Y2446" s="97"/>
    </row>
    <row r="2447" spans="13:25" x14ac:dyDescent="0.2">
      <c r="M2447" s="55"/>
      <c r="Y2447" s="97"/>
    </row>
    <row r="2448" spans="13:25" x14ac:dyDescent="0.2">
      <c r="M2448" s="55"/>
      <c r="Y2448" s="97"/>
    </row>
    <row r="2449" spans="13:25" x14ac:dyDescent="0.2">
      <c r="M2449" s="55"/>
      <c r="Y2449" s="97"/>
    </row>
    <row r="2450" spans="13:25" x14ac:dyDescent="0.2">
      <c r="M2450" s="55"/>
      <c r="Y2450" s="97"/>
    </row>
    <row r="2451" spans="13:25" x14ac:dyDescent="0.2">
      <c r="M2451" s="55"/>
      <c r="Y2451" s="97"/>
    </row>
    <row r="2452" spans="13:25" x14ac:dyDescent="0.2">
      <c r="M2452" s="55"/>
      <c r="Y2452" s="97"/>
    </row>
    <row r="2453" spans="13:25" x14ac:dyDescent="0.2">
      <c r="M2453" s="55"/>
      <c r="Y2453" s="97"/>
    </row>
    <row r="2454" spans="13:25" x14ac:dyDescent="0.2">
      <c r="M2454" s="55"/>
      <c r="Y2454" s="97"/>
    </row>
    <row r="2455" spans="13:25" x14ac:dyDescent="0.2">
      <c r="M2455" s="55"/>
      <c r="Y2455" s="97"/>
    </row>
    <row r="2456" spans="13:25" x14ac:dyDescent="0.2">
      <c r="M2456" s="55"/>
      <c r="Y2456" s="97"/>
    </row>
    <row r="2457" spans="13:25" x14ac:dyDescent="0.2">
      <c r="M2457" s="55"/>
      <c r="Y2457" s="97"/>
    </row>
    <row r="2458" spans="13:25" x14ac:dyDescent="0.2">
      <c r="M2458" s="55"/>
      <c r="Y2458" s="97"/>
    </row>
    <row r="2459" spans="13:25" x14ac:dyDescent="0.2">
      <c r="M2459" s="55"/>
      <c r="Y2459" s="97"/>
    </row>
    <row r="2460" spans="13:25" x14ac:dyDescent="0.2">
      <c r="M2460" s="55"/>
      <c r="Y2460" s="97"/>
    </row>
    <row r="2461" spans="13:25" x14ac:dyDescent="0.2">
      <c r="M2461" s="55"/>
      <c r="Y2461" s="97"/>
    </row>
    <row r="2462" spans="13:25" x14ac:dyDescent="0.2">
      <c r="M2462" s="55"/>
      <c r="Y2462" s="97"/>
    </row>
    <row r="2463" spans="13:25" x14ac:dyDescent="0.2">
      <c r="M2463" s="55"/>
      <c r="Y2463" s="97"/>
    </row>
    <row r="2464" spans="13:25" x14ac:dyDescent="0.2">
      <c r="M2464" s="55"/>
      <c r="Y2464" s="97"/>
    </row>
    <row r="2465" spans="13:25" x14ac:dyDescent="0.2">
      <c r="M2465" s="55"/>
      <c r="Y2465" s="97"/>
    </row>
    <row r="2466" spans="13:25" x14ac:dyDescent="0.2">
      <c r="M2466" s="55"/>
      <c r="Y2466" s="97"/>
    </row>
    <row r="2467" spans="13:25" x14ac:dyDescent="0.2">
      <c r="M2467" s="55"/>
      <c r="Y2467" s="97"/>
    </row>
    <row r="2468" spans="13:25" x14ac:dyDescent="0.2">
      <c r="M2468" s="55"/>
      <c r="Y2468" s="97"/>
    </row>
    <row r="2469" spans="13:25" x14ac:dyDescent="0.2">
      <c r="M2469" s="55"/>
      <c r="Y2469" s="97"/>
    </row>
    <row r="2470" spans="13:25" x14ac:dyDescent="0.2">
      <c r="M2470" s="55"/>
      <c r="Y2470" s="97"/>
    </row>
    <row r="2471" spans="13:25" x14ac:dyDescent="0.2">
      <c r="M2471" s="55"/>
      <c r="Y2471" s="97"/>
    </row>
    <row r="2472" spans="13:25" x14ac:dyDescent="0.2">
      <c r="M2472" s="55"/>
      <c r="Y2472" s="97"/>
    </row>
    <row r="2473" spans="13:25" x14ac:dyDescent="0.2">
      <c r="M2473" s="55"/>
      <c r="Y2473" s="97"/>
    </row>
    <row r="2474" spans="13:25" x14ac:dyDescent="0.2">
      <c r="M2474" s="55"/>
      <c r="Y2474" s="97"/>
    </row>
    <row r="2475" spans="13:25" x14ac:dyDescent="0.2">
      <c r="M2475" s="55"/>
      <c r="Y2475" s="97"/>
    </row>
    <row r="2476" spans="13:25" x14ac:dyDescent="0.2">
      <c r="M2476" s="55"/>
      <c r="Y2476" s="97"/>
    </row>
    <row r="2477" spans="13:25" x14ac:dyDescent="0.2">
      <c r="M2477" s="55"/>
      <c r="Y2477" s="97"/>
    </row>
    <row r="2478" spans="13:25" x14ac:dyDescent="0.2">
      <c r="M2478" s="55"/>
      <c r="Y2478" s="97"/>
    </row>
    <row r="2479" spans="13:25" x14ac:dyDescent="0.2">
      <c r="M2479" s="55"/>
      <c r="Y2479" s="97"/>
    </row>
    <row r="2480" spans="13:25" x14ac:dyDescent="0.2">
      <c r="M2480" s="55"/>
      <c r="Y2480" s="97"/>
    </row>
    <row r="2481" spans="13:25" x14ac:dyDescent="0.2">
      <c r="M2481" s="55"/>
      <c r="Y2481" s="97"/>
    </row>
    <row r="2482" spans="13:25" x14ac:dyDescent="0.2">
      <c r="M2482" s="55"/>
      <c r="Y2482" s="97"/>
    </row>
    <row r="2483" spans="13:25" x14ac:dyDescent="0.2">
      <c r="M2483" s="55"/>
      <c r="Y2483" s="97"/>
    </row>
    <row r="2484" spans="13:25" x14ac:dyDescent="0.2">
      <c r="M2484" s="55"/>
      <c r="Y2484" s="97"/>
    </row>
    <row r="2485" spans="13:25" x14ac:dyDescent="0.2">
      <c r="M2485" s="55"/>
      <c r="Y2485" s="97"/>
    </row>
    <row r="2486" spans="13:25" x14ac:dyDescent="0.2">
      <c r="M2486" s="55"/>
      <c r="Y2486" s="97"/>
    </row>
    <row r="2487" spans="13:25" x14ac:dyDescent="0.2">
      <c r="M2487" s="55"/>
      <c r="Y2487" s="97"/>
    </row>
    <row r="2488" spans="13:25" x14ac:dyDescent="0.2">
      <c r="M2488" s="55"/>
      <c r="Y2488" s="97"/>
    </row>
    <row r="2489" spans="13:25" x14ac:dyDescent="0.2">
      <c r="M2489" s="55"/>
      <c r="Y2489" s="97"/>
    </row>
    <row r="2490" spans="13:25" x14ac:dyDescent="0.2">
      <c r="M2490" s="55"/>
      <c r="Y2490" s="97"/>
    </row>
    <row r="2491" spans="13:25" x14ac:dyDescent="0.2">
      <c r="M2491" s="55"/>
      <c r="Y2491" s="97"/>
    </row>
    <row r="2492" spans="13:25" x14ac:dyDescent="0.2">
      <c r="M2492" s="55"/>
      <c r="Y2492" s="97"/>
    </row>
    <row r="2493" spans="13:25" x14ac:dyDescent="0.2">
      <c r="M2493" s="55"/>
      <c r="Y2493" s="97"/>
    </row>
    <row r="2494" spans="13:25" x14ac:dyDescent="0.2">
      <c r="M2494" s="55"/>
      <c r="Y2494" s="97"/>
    </row>
    <row r="2495" spans="13:25" x14ac:dyDescent="0.2">
      <c r="M2495" s="55"/>
      <c r="Y2495" s="97"/>
    </row>
    <row r="2496" spans="13:25" x14ac:dyDescent="0.2">
      <c r="M2496" s="55"/>
      <c r="Y2496" s="97"/>
    </row>
    <row r="2497" spans="13:25" x14ac:dyDescent="0.2">
      <c r="M2497" s="55"/>
      <c r="Y2497" s="97"/>
    </row>
    <row r="2498" spans="13:25" x14ac:dyDescent="0.2">
      <c r="M2498" s="55"/>
      <c r="Y2498" s="97"/>
    </row>
    <row r="2499" spans="13:25" x14ac:dyDescent="0.2">
      <c r="M2499" s="55"/>
      <c r="Y2499" s="97"/>
    </row>
    <row r="2500" spans="13:25" x14ac:dyDescent="0.2">
      <c r="M2500" s="55"/>
      <c r="Y2500" s="97"/>
    </row>
    <row r="2501" spans="13:25" x14ac:dyDescent="0.2">
      <c r="M2501" s="55"/>
      <c r="Y2501" s="97"/>
    </row>
    <row r="2502" spans="13:25" x14ac:dyDescent="0.2">
      <c r="M2502" s="55"/>
      <c r="Y2502" s="97"/>
    </row>
    <row r="2503" spans="13:25" x14ac:dyDescent="0.2">
      <c r="M2503" s="55"/>
      <c r="Y2503" s="97"/>
    </row>
    <row r="2504" spans="13:25" x14ac:dyDescent="0.2">
      <c r="M2504" s="55"/>
      <c r="Y2504" s="97"/>
    </row>
    <row r="2505" spans="13:25" x14ac:dyDescent="0.2">
      <c r="M2505" s="55"/>
      <c r="Y2505" s="97"/>
    </row>
    <row r="2506" spans="13:25" x14ac:dyDescent="0.2">
      <c r="M2506" s="55"/>
      <c r="Y2506" s="97"/>
    </row>
    <row r="2507" spans="13:25" x14ac:dyDescent="0.2">
      <c r="M2507" s="55"/>
      <c r="Y2507" s="97"/>
    </row>
    <row r="2508" spans="13:25" x14ac:dyDescent="0.2">
      <c r="M2508" s="55"/>
      <c r="Y2508" s="97"/>
    </row>
    <row r="2509" spans="13:25" x14ac:dyDescent="0.2">
      <c r="M2509" s="55"/>
      <c r="Y2509" s="97"/>
    </row>
    <row r="2510" spans="13:25" x14ac:dyDescent="0.2">
      <c r="M2510" s="55"/>
      <c r="Y2510" s="97"/>
    </row>
    <row r="2511" spans="13:25" x14ac:dyDescent="0.2">
      <c r="M2511" s="55"/>
      <c r="Y2511" s="97"/>
    </row>
    <row r="2512" spans="13:25" x14ac:dyDescent="0.2">
      <c r="M2512" s="55"/>
      <c r="Y2512" s="97"/>
    </row>
    <row r="2513" spans="13:25" x14ac:dyDescent="0.2">
      <c r="M2513" s="55"/>
      <c r="Y2513" s="97"/>
    </row>
    <row r="2514" spans="13:25" x14ac:dyDescent="0.2">
      <c r="M2514" s="55"/>
      <c r="Y2514" s="97"/>
    </row>
    <row r="2515" spans="13:25" x14ac:dyDescent="0.2">
      <c r="M2515" s="55"/>
      <c r="Y2515" s="97"/>
    </row>
    <row r="2516" spans="13:25" x14ac:dyDescent="0.2">
      <c r="M2516" s="55"/>
      <c r="Y2516" s="97"/>
    </row>
    <row r="2517" spans="13:25" x14ac:dyDescent="0.2">
      <c r="M2517" s="55"/>
      <c r="Y2517" s="97"/>
    </row>
    <row r="2518" spans="13:25" x14ac:dyDescent="0.2">
      <c r="M2518" s="55"/>
      <c r="Y2518" s="97"/>
    </row>
    <row r="2519" spans="13:25" x14ac:dyDescent="0.2">
      <c r="M2519" s="55"/>
      <c r="Y2519" s="97"/>
    </row>
    <row r="2520" spans="13:25" x14ac:dyDescent="0.2">
      <c r="M2520" s="55"/>
      <c r="Y2520" s="97"/>
    </row>
    <row r="2521" spans="13:25" x14ac:dyDescent="0.2">
      <c r="M2521" s="55"/>
      <c r="Y2521" s="97"/>
    </row>
    <row r="2522" spans="13:25" x14ac:dyDescent="0.2">
      <c r="M2522" s="55"/>
      <c r="Y2522" s="97"/>
    </row>
    <row r="2523" spans="13:25" x14ac:dyDescent="0.2">
      <c r="M2523" s="55"/>
      <c r="Y2523" s="97"/>
    </row>
    <row r="2524" spans="13:25" x14ac:dyDescent="0.2">
      <c r="M2524" s="55"/>
      <c r="Y2524" s="97"/>
    </row>
    <row r="2525" spans="13:25" x14ac:dyDescent="0.2">
      <c r="M2525" s="55"/>
      <c r="Y2525" s="97"/>
    </row>
    <row r="2526" spans="13:25" x14ac:dyDescent="0.2">
      <c r="M2526" s="55"/>
      <c r="Y2526" s="97"/>
    </row>
    <row r="2527" spans="13:25" x14ac:dyDescent="0.2">
      <c r="M2527" s="55"/>
      <c r="Y2527" s="97"/>
    </row>
    <row r="2528" spans="13:25" x14ac:dyDescent="0.2">
      <c r="M2528" s="55"/>
      <c r="Y2528" s="97"/>
    </row>
    <row r="2529" spans="13:25" x14ac:dyDescent="0.2">
      <c r="M2529" s="55"/>
      <c r="Y2529" s="97"/>
    </row>
    <row r="2530" spans="13:25" x14ac:dyDescent="0.2">
      <c r="M2530" s="55"/>
      <c r="Y2530" s="97"/>
    </row>
    <row r="2531" spans="13:25" x14ac:dyDescent="0.2">
      <c r="M2531" s="55"/>
      <c r="Y2531" s="97"/>
    </row>
    <row r="2532" spans="13:25" x14ac:dyDescent="0.2">
      <c r="M2532" s="55"/>
      <c r="Y2532" s="97"/>
    </row>
    <row r="2533" spans="13:25" x14ac:dyDescent="0.2">
      <c r="M2533" s="55"/>
      <c r="Y2533" s="97"/>
    </row>
    <row r="2534" spans="13:25" x14ac:dyDescent="0.2">
      <c r="M2534" s="55"/>
      <c r="Y2534" s="97"/>
    </row>
    <row r="2535" spans="13:25" x14ac:dyDescent="0.2">
      <c r="M2535" s="55"/>
      <c r="Y2535" s="97"/>
    </row>
    <row r="2536" spans="13:25" x14ac:dyDescent="0.2">
      <c r="M2536" s="55"/>
      <c r="Y2536" s="97"/>
    </row>
    <row r="2537" spans="13:25" x14ac:dyDescent="0.2">
      <c r="M2537" s="55"/>
      <c r="Y2537" s="97"/>
    </row>
    <row r="2538" spans="13:25" x14ac:dyDescent="0.2">
      <c r="M2538" s="55"/>
      <c r="Y2538" s="97"/>
    </row>
    <row r="2539" spans="13:25" x14ac:dyDescent="0.2">
      <c r="M2539" s="55"/>
      <c r="Y2539" s="97"/>
    </row>
    <row r="2540" spans="13:25" x14ac:dyDescent="0.2">
      <c r="M2540" s="55"/>
      <c r="Y2540" s="97"/>
    </row>
    <row r="2541" spans="13:25" x14ac:dyDescent="0.2">
      <c r="M2541" s="55"/>
      <c r="Y2541" s="97"/>
    </row>
    <row r="2542" spans="13:25" x14ac:dyDescent="0.2">
      <c r="M2542" s="55"/>
      <c r="Y2542" s="97"/>
    </row>
    <row r="2543" spans="13:25" x14ac:dyDescent="0.2">
      <c r="M2543" s="55"/>
      <c r="Y2543" s="97"/>
    </row>
    <row r="2544" spans="13:25" x14ac:dyDescent="0.2">
      <c r="M2544" s="55"/>
      <c r="Y2544" s="97"/>
    </row>
    <row r="2545" spans="13:25" x14ac:dyDescent="0.2">
      <c r="M2545" s="55"/>
      <c r="Y2545" s="97"/>
    </row>
    <row r="2546" spans="13:25" x14ac:dyDescent="0.2">
      <c r="M2546" s="55"/>
      <c r="Y2546" s="97"/>
    </row>
    <row r="2547" spans="13:25" x14ac:dyDescent="0.2">
      <c r="M2547" s="55"/>
      <c r="Y2547" s="97"/>
    </row>
    <row r="2548" spans="13:25" x14ac:dyDescent="0.2">
      <c r="M2548" s="55"/>
      <c r="Y2548" s="97"/>
    </row>
    <row r="2549" spans="13:25" x14ac:dyDescent="0.2">
      <c r="M2549" s="55"/>
      <c r="Y2549" s="97"/>
    </row>
    <row r="2550" spans="13:25" x14ac:dyDescent="0.2">
      <c r="M2550" s="55"/>
      <c r="Y2550" s="97"/>
    </row>
    <row r="2551" spans="13:25" x14ac:dyDescent="0.2">
      <c r="M2551" s="55"/>
      <c r="Y2551" s="97"/>
    </row>
    <row r="2552" spans="13:25" x14ac:dyDescent="0.2">
      <c r="M2552" s="55"/>
      <c r="Y2552" s="97"/>
    </row>
    <row r="2553" spans="13:25" x14ac:dyDescent="0.2">
      <c r="M2553" s="55"/>
      <c r="Y2553" s="97"/>
    </row>
    <row r="2554" spans="13:25" x14ac:dyDescent="0.2">
      <c r="M2554" s="55"/>
      <c r="Y2554" s="97"/>
    </row>
    <row r="2555" spans="13:25" x14ac:dyDescent="0.2">
      <c r="M2555" s="55"/>
      <c r="Y2555" s="97"/>
    </row>
    <row r="2556" spans="13:25" x14ac:dyDescent="0.2">
      <c r="M2556" s="55"/>
      <c r="Y2556" s="97"/>
    </row>
    <row r="2557" spans="13:25" x14ac:dyDescent="0.2">
      <c r="M2557" s="55"/>
      <c r="Y2557" s="97"/>
    </row>
    <row r="2558" spans="13:25" x14ac:dyDescent="0.2">
      <c r="M2558" s="55"/>
      <c r="Y2558" s="97"/>
    </row>
    <row r="2559" spans="13:25" x14ac:dyDescent="0.2">
      <c r="M2559" s="55"/>
      <c r="Y2559" s="97"/>
    </row>
    <row r="2560" spans="13:25" x14ac:dyDescent="0.2">
      <c r="M2560" s="55"/>
      <c r="Y2560" s="97"/>
    </row>
    <row r="2561" spans="13:25" x14ac:dyDescent="0.2">
      <c r="M2561" s="55"/>
      <c r="Y2561" s="97"/>
    </row>
    <row r="2562" spans="13:25" x14ac:dyDescent="0.2">
      <c r="M2562" s="55"/>
      <c r="Y2562" s="97"/>
    </row>
    <row r="2563" spans="13:25" x14ac:dyDescent="0.2">
      <c r="M2563" s="55"/>
      <c r="Y2563" s="97"/>
    </row>
    <row r="2564" spans="13:25" x14ac:dyDescent="0.2">
      <c r="M2564" s="55"/>
      <c r="Y2564" s="97"/>
    </row>
    <row r="2565" spans="13:25" x14ac:dyDescent="0.2">
      <c r="M2565" s="55"/>
      <c r="Y2565" s="97"/>
    </row>
    <row r="2566" spans="13:25" x14ac:dyDescent="0.2">
      <c r="M2566" s="55"/>
      <c r="Y2566" s="97"/>
    </row>
    <row r="2567" spans="13:25" x14ac:dyDescent="0.2">
      <c r="M2567" s="55"/>
      <c r="Y2567" s="97"/>
    </row>
    <row r="2568" spans="13:25" x14ac:dyDescent="0.2">
      <c r="M2568" s="55"/>
      <c r="Y2568" s="97"/>
    </row>
    <row r="2569" spans="13:25" x14ac:dyDescent="0.2">
      <c r="M2569" s="55"/>
      <c r="Y2569" s="97"/>
    </row>
    <row r="2570" spans="13:25" x14ac:dyDescent="0.2">
      <c r="M2570" s="55"/>
      <c r="Y2570" s="97"/>
    </row>
    <row r="2571" spans="13:25" x14ac:dyDescent="0.2">
      <c r="M2571" s="55"/>
      <c r="Y2571" s="97"/>
    </row>
    <row r="2572" spans="13:25" x14ac:dyDescent="0.2">
      <c r="M2572" s="55"/>
      <c r="Y2572" s="97"/>
    </row>
    <row r="2573" spans="13:25" x14ac:dyDescent="0.2">
      <c r="M2573" s="55"/>
      <c r="Y2573" s="97"/>
    </row>
    <row r="2574" spans="13:25" x14ac:dyDescent="0.2">
      <c r="M2574" s="55"/>
      <c r="Y2574" s="97"/>
    </row>
    <row r="2575" spans="13:25" x14ac:dyDescent="0.2">
      <c r="M2575" s="55"/>
      <c r="Y2575" s="97"/>
    </row>
    <row r="2576" spans="13:25" x14ac:dyDescent="0.2">
      <c r="M2576" s="55"/>
      <c r="Y2576" s="97"/>
    </row>
    <row r="2577" spans="13:25" x14ac:dyDescent="0.2">
      <c r="M2577" s="55"/>
      <c r="Y2577" s="97"/>
    </row>
    <row r="2578" spans="13:25" x14ac:dyDescent="0.2">
      <c r="M2578" s="55"/>
      <c r="Y2578" s="97"/>
    </row>
    <row r="2579" spans="13:25" x14ac:dyDescent="0.2">
      <c r="M2579" s="55"/>
      <c r="Y2579" s="97"/>
    </row>
    <row r="2580" spans="13:25" x14ac:dyDescent="0.2">
      <c r="M2580" s="55"/>
      <c r="Y2580" s="97"/>
    </row>
    <row r="2581" spans="13:25" x14ac:dyDescent="0.2">
      <c r="M2581" s="55"/>
      <c r="Y2581" s="97"/>
    </row>
    <row r="2582" spans="13:25" x14ac:dyDescent="0.2">
      <c r="M2582" s="55"/>
      <c r="Y2582" s="97"/>
    </row>
    <row r="2583" spans="13:25" x14ac:dyDescent="0.2">
      <c r="M2583" s="55"/>
      <c r="Y2583" s="97"/>
    </row>
    <row r="2584" spans="13:25" x14ac:dyDescent="0.2">
      <c r="M2584" s="55"/>
      <c r="Y2584" s="97"/>
    </row>
    <row r="2585" spans="13:25" x14ac:dyDescent="0.2">
      <c r="M2585" s="55"/>
      <c r="Y2585" s="97"/>
    </row>
    <row r="2586" spans="13:25" x14ac:dyDescent="0.2">
      <c r="M2586" s="55"/>
      <c r="Y2586" s="97"/>
    </row>
    <row r="2587" spans="13:25" x14ac:dyDescent="0.2">
      <c r="M2587" s="55"/>
      <c r="Y2587" s="97"/>
    </row>
    <row r="2588" spans="13:25" x14ac:dyDescent="0.2">
      <c r="M2588" s="55"/>
      <c r="Y2588" s="97"/>
    </row>
    <row r="2589" spans="13:25" x14ac:dyDescent="0.2">
      <c r="M2589" s="55"/>
      <c r="Y2589" s="97"/>
    </row>
    <row r="2590" spans="13:25" x14ac:dyDescent="0.2">
      <c r="M2590" s="55"/>
      <c r="Y2590" s="97"/>
    </row>
    <row r="2591" spans="13:25" x14ac:dyDescent="0.2">
      <c r="M2591" s="55"/>
      <c r="Y2591" s="97"/>
    </row>
    <row r="2592" spans="13:25" x14ac:dyDescent="0.2">
      <c r="M2592" s="55"/>
      <c r="Y2592" s="97"/>
    </row>
    <row r="2593" spans="13:25" x14ac:dyDescent="0.2">
      <c r="M2593" s="55"/>
      <c r="Y2593" s="97"/>
    </row>
    <row r="2594" spans="13:25" x14ac:dyDescent="0.2">
      <c r="M2594" s="55"/>
      <c r="Y2594" s="97"/>
    </row>
    <row r="2595" spans="13:25" x14ac:dyDescent="0.2">
      <c r="M2595" s="55"/>
      <c r="Y2595" s="97"/>
    </row>
    <row r="2596" spans="13:25" x14ac:dyDescent="0.2">
      <c r="M2596" s="55"/>
      <c r="Y2596" s="97"/>
    </row>
    <row r="2597" spans="13:25" x14ac:dyDescent="0.2">
      <c r="M2597" s="55"/>
      <c r="Y2597" s="97"/>
    </row>
    <row r="2598" spans="13:25" x14ac:dyDescent="0.2">
      <c r="M2598" s="55"/>
      <c r="Y2598" s="97"/>
    </row>
    <row r="2599" spans="13:25" x14ac:dyDescent="0.2">
      <c r="M2599" s="55"/>
      <c r="Y2599" s="97"/>
    </row>
    <row r="2600" spans="13:25" x14ac:dyDescent="0.2">
      <c r="M2600" s="55"/>
      <c r="Y2600" s="97"/>
    </row>
    <row r="2601" spans="13:25" x14ac:dyDescent="0.2">
      <c r="M2601" s="55"/>
      <c r="Y2601" s="97"/>
    </row>
    <row r="2602" spans="13:25" x14ac:dyDescent="0.2">
      <c r="M2602" s="55"/>
      <c r="Y2602" s="97"/>
    </row>
    <row r="2603" spans="13:25" x14ac:dyDescent="0.2">
      <c r="M2603" s="55"/>
      <c r="Y2603" s="97"/>
    </row>
    <row r="2604" spans="13:25" x14ac:dyDescent="0.2">
      <c r="M2604" s="55"/>
      <c r="Y2604" s="97"/>
    </row>
    <row r="2605" spans="13:25" x14ac:dyDescent="0.2">
      <c r="M2605" s="55"/>
      <c r="Y2605" s="97"/>
    </row>
    <row r="2606" spans="13:25" x14ac:dyDescent="0.2">
      <c r="M2606" s="55"/>
      <c r="Y2606" s="97"/>
    </row>
    <row r="2607" spans="13:25" x14ac:dyDescent="0.2">
      <c r="M2607" s="55"/>
      <c r="Y2607" s="97"/>
    </row>
    <row r="2608" spans="13:25" x14ac:dyDescent="0.2">
      <c r="M2608" s="55"/>
      <c r="Y2608" s="97"/>
    </row>
    <row r="2609" spans="13:25" x14ac:dyDescent="0.2">
      <c r="M2609" s="55"/>
      <c r="Y2609" s="97"/>
    </row>
    <row r="2610" spans="13:25" x14ac:dyDescent="0.2">
      <c r="M2610" s="55"/>
      <c r="Y2610" s="97"/>
    </row>
    <row r="2611" spans="13:25" x14ac:dyDescent="0.2">
      <c r="M2611" s="55"/>
      <c r="Y2611" s="97"/>
    </row>
    <row r="2612" spans="13:25" x14ac:dyDescent="0.2">
      <c r="M2612" s="55"/>
      <c r="Y2612" s="97"/>
    </row>
    <row r="2613" spans="13:25" x14ac:dyDescent="0.2">
      <c r="M2613" s="55"/>
      <c r="Y2613" s="97"/>
    </row>
    <row r="2614" spans="13:25" x14ac:dyDescent="0.2">
      <c r="M2614" s="55"/>
      <c r="Y2614" s="97"/>
    </row>
    <row r="2615" spans="13:25" x14ac:dyDescent="0.2">
      <c r="M2615" s="55"/>
      <c r="Y2615" s="97"/>
    </row>
    <row r="2616" spans="13:25" x14ac:dyDescent="0.2">
      <c r="M2616" s="55"/>
      <c r="Y2616" s="97"/>
    </row>
    <row r="2617" spans="13:25" x14ac:dyDescent="0.2">
      <c r="M2617" s="55"/>
      <c r="Y2617" s="97"/>
    </row>
    <row r="2618" spans="13:25" x14ac:dyDescent="0.2">
      <c r="M2618" s="55"/>
      <c r="Y2618" s="97"/>
    </row>
    <row r="2619" spans="13:25" x14ac:dyDescent="0.2">
      <c r="M2619" s="55"/>
      <c r="Y2619" s="97"/>
    </row>
    <row r="2620" spans="13:25" x14ac:dyDescent="0.2">
      <c r="M2620" s="55"/>
      <c r="Y2620" s="97"/>
    </row>
    <row r="2621" spans="13:25" x14ac:dyDescent="0.2">
      <c r="M2621" s="55"/>
      <c r="Y2621" s="97"/>
    </row>
    <row r="2622" spans="13:25" x14ac:dyDescent="0.2">
      <c r="M2622" s="55"/>
      <c r="Y2622" s="97"/>
    </row>
    <row r="2623" spans="13:25" x14ac:dyDescent="0.2">
      <c r="M2623" s="55"/>
      <c r="Y2623" s="97"/>
    </row>
    <row r="2624" spans="13:25" x14ac:dyDescent="0.2">
      <c r="M2624" s="55"/>
      <c r="Y2624" s="97"/>
    </row>
    <row r="2625" spans="13:25" x14ac:dyDescent="0.2">
      <c r="M2625" s="55"/>
      <c r="Y2625" s="97"/>
    </row>
    <row r="2626" spans="13:25" x14ac:dyDescent="0.2">
      <c r="M2626" s="55"/>
      <c r="Y2626" s="97"/>
    </row>
    <row r="2627" spans="13:25" x14ac:dyDescent="0.2">
      <c r="M2627" s="55"/>
      <c r="Y2627" s="97"/>
    </row>
    <row r="2628" spans="13:25" x14ac:dyDescent="0.2">
      <c r="M2628" s="55"/>
      <c r="Y2628" s="97"/>
    </row>
    <row r="2629" spans="13:25" x14ac:dyDescent="0.2">
      <c r="M2629" s="55"/>
      <c r="Y2629" s="97"/>
    </row>
    <row r="2630" spans="13:25" x14ac:dyDescent="0.2">
      <c r="M2630" s="55"/>
      <c r="Y2630" s="97"/>
    </row>
    <row r="2631" spans="13:25" x14ac:dyDescent="0.2">
      <c r="M2631" s="55"/>
      <c r="Y2631" s="97"/>
    </row>
    <row r="2632" spans="13:25" x14ac:dyDescent="0.2">
      <c r="M2632" s="55"/>
      <c r="Y2632" s="97"/>
    </row>
    <row r="2633" spans="13:25" x14ac:dyDescent="0.2">
      <c r="M2633" s="55"/>
      <c r="Y2633" s="97"/>
    </row>
    <row r="2634" spans="13:25" x14ac:dyDescent="0.2">
      <c r="M2634" s="55"/>
      <c r="Y2634" s="97"/>
    </row>
    <row r="2635" spans="13:25" x14ac:dyDescent="0.2">
      <c r="M2635" s="55"/>
      <c r="Y2635" s="97"/>
    </row>
    <row r="2636" spans="13:25" x14ac:dyDescent="0.2">
      <c r="M2636" s="55"/>
      <c r="Y2636" s="97"/>
    </row>
    <row r="2637" spans="13:25" x14ac:dyDescent="0.2">
      <c r="M2637" s="55"/>
      <c r="Y2637" s="97"/>
    </row>
    <row r="2638" spans="13:25" x14ac:dyDescent="0.2">
      <c r="M2638" s="55"/>
      <c r="Y2638" s="97"/>
    </row>
    <row r="2639" spans="13:25" x14ac:dyDescent="0.2">
      <c r="M2639" s="55"/>
      <c r="Y2639" s="97"/>
    </row>
    <row r="2640" spans="13:25" x14ac:dyDescent="0.2">
      <c r="M2640" s="55"/>
      <c r="Y2640" s="97"/>
    </row>
    <row r="2641" spans="13:25" x14ac:dyDescent="0.2">
      <c r="M2641" s="55"/>
      <c r="Y2641" s="97"/>
    </row>
    <row r="2642" spans="13:25" x14ac:dyDescent="0.2">
      <c r="M2642" s="55"/>
      <c r="Y2642" s="97"/>
    </row>
    <row r="2643" spans="13:25" x14ac:dyDescent="0.2">
      <c r="M2643" s="55"/>
      <c r="Y2643" s="97"/>
    </row>
    <row r="2644" spans="13:25" x14ac:dyDescent="0.2">
      <c r="M2644" s="55"/>
      <c r="Y2644" s="97"/>
    </row>
    <row r="2645" spans="13:25" x14ac:dyDescent="0.2">
      <c r="M2645" s="55"/>
      <c r="Y2645" s="97"/>
    </row>
    <row r="2646" spans="13:25" x14ac:dyDescent="0.2">
      <c r="M2646" s="55"/>
      <c r="Y2646" s="97"/>
    </row>
    <row r="2647" spans="13:25" x14ac:dyDescent="0.2">
      <c r="M2647" s="55"/>
      <c r="Y2647" s="97"/>
    </row>
    <row r="2648" spans="13:25" x14ac:dyDescent="0.2">
      <c r="M2648" s="55"/>
      <c r="Y2648" s="97"/>
    </row>
    <row r="2649" spans="13:25" x14ac:dyDescent="0.2">
      <c r="M2649" s="55"/>
      <c r="Y2649" s="97"/>
    </row>
    <row r="2650" spans="13:25" x14ac:dyDescent="0.2">
      <c r="M2650" s="55"/>
      <c r="Y2650" s="97"/>
    </row>
    <row r="2651" spans="13:25" x14ac:dyDescent="0.2">
      <c r="M2651" s="55"/>
      <c r="Y2651" s="97"/>
    </row>
    <row r="2652" spans="13:25" x14ac:dyDescent="0.2">
      <c r="M2652" s="55"/>
      <c r="Y2652" s="97"/>
    </row>
    <row r="2653" spans="13:25" x14ac:dyDescent="0.2">
      <c r="M2653" s="55"/>
      <c r="Y2653" s="97"/>
    </row>
    <row r="2654" spans="13:25" x14ac:dyDescent="0.2">
      <c r="M2654" s="55"/>
      <c r="Y2654" s="97"/>
    </row>
    <row r="2655" spans="13:25" x14ac:dyDescent="0.2">
      <c r="M2655" s="55"/>
      <c r="Y2655" s="97"/>
    </row>
    <row r="2656" spans="13:25" x14ac:dyDescent="0.2">
      <c r="M2656" s="55"/>
      <c r="Y2656" s="97"/>
    </row>
    <row r="2657" spans="13:25" x14ac:dyDescent="0.2">
      <c r="M2657" s="55"/>
      <c r="Y2657" s="97"/>
    </row>
    <row r="2658" spans="13:25" x14ac:dyDescent="0.2">
      <c r="M2658" s="55"/>
      <c r="Y2658" s="97"/>
    </row>
    <row r="2659" spans="13:25" x14ac:dyDescent="0.2">
      <c r="M2659" s="55"/>
      <c r="Y2659" s="97"/>
    </row>
    <row r="2660" spans="13:25" x14ac:dyDescent="0.2">
      <c r="M2660" s="55"/>
      <c r="Y2660" s="97"/>
    </row>
    <row r="2661" spans="13:25" x14ac:dyDescent="0.2">
      <c r="M2661" s="55"/>
      <c r="Y2661" s="97"/>
    </row>
    <row r="2662" spans="13:25" x14ac:dyDescent="0.2">
      <c r="M2662" s="55"/>
      <c r="Y2662" s="97"/>
    </row>
    <row r="2663" spans="13:25" x14ac:dyDescent="0.2">
      <c r="M2663" s="55"/>
      <c r="Y2663" s="97"/>
    </row>
    <row r="2664" spans="13:25" x14ac:dyDescent="0.2">
      <c r="M2664" s="55"/>
      <c r="Y2664" s="97"/>
    </row>
    <row r="2665" spans="13:25" x14ac:dyDescent="0.2">
      <c r="M2665" s="55"/>
      <c r="Y2665" s="97"/>
    </row>
    <row r="2666" spans="13:25" x14ac:dyDescent="0.2">
      <c r="M2666" s="55"/>
      <c r="Y2666" s="97"/>
    </row>
    <row r="2667" spans="13:25" x14ac:dyDescent="0.2">
      <c r="M2667" s="55"/>
      <c r="Y2667" s="97"/>
    </row>
    <row r="2668" spans="13:25" x14ac:dyDescent="0.2">
      <c r="M2668" s="55"/>
      <c r="Y2668" s="97"/>
    </row>
    <row r="2669" spans="13:25" x14ac:dyDescent="0.2">
      <c r="M2669" s="55"/>
      <c r="Y2669" s="97"/>
    </row>
    <row r="2670" spans="13:25" x14ac:dyDescent="0.2">
      <c r="M2670" s="55"/>
      <c r="Y2670" s="97"/>
    </row>
    <row r="2671" spans="13:25" x14ac:dyDescent="0.2">
      <c r="M2671" s="55"/>
      <c r="Y2671" s="97"/>
    </row>
    <row r="2672" spans="13:25" x14ac:dyDescent="0.2">
      <c r="M2672" s="55"/>
      <c r="Y2672" s="97"/>
    </row>
    <row r="2673" spans="13:25" x14ac:dyDescent="0.2">
      <c r="M2673" s="55"/>
      <c r="Y2673" s="97"/>
    </row>
    <row r="2674" spans="13:25" x14ac:dyDescent="0.2">
      <c r="M2674" s="55"/>
      <c r="Y2674" s="97"/>
    </row>
    <row r="2675" spans="13:25" x14ac:dyDescent="0.2">
      <c r="M2675" s="55"/>
      <c r="Y2675" s="97"/>
    </row>
    <row r="2676" spans="13:25" x14ac:dyDescent="0.2">
      <c r="M2676" s="55"/>
      <c r="Y2676" s="97"/>
    </row>
    <row r="2677" spans="13:25" x14ac:dyDescent="0.2">
      <c r="M2677" s="55"/>
      <c r="Y2677" s="97"/>
    </row>
    <row r="2678" spans="13:25" x14ac:dyDescent="0.2">
      <c r="M2678" s="55"/>
      <c r="Y2678" s="97"/>
    </row>
    <row r="2679" spans="13:25" x14ac:dyDescent="0.2">
      <c r="M2679" s="55"/>
      <c r="Y2679" s="97"/>
    </row>
    <row r="2680" spans="13:25" x14ac:dyDescent="0.2">
      <c r="M2680" s="55"/>
      <c r="Y2680" s="97"/>
    </row>
    <row r="2681" spans="13:25" x14ac:dyDescent="0.2">
      <c r="M2681" s="55"/>
      <c r="Y2681" s="97"/>
    </row>
    <row r="2682" spans="13:25" x14ac:dyDescent="0.2">
      <c r="M2682" s="55"/>
      <c r="Y2682" s="97"/>
    </row>
    <row r="2683" spans="13:25" x14ac:dyDescent="0.2">
      <c r="M2683" s="55"/>
      <c r="Y2683" s="97"/>
    </row>
    <row r="2684" spans="13:25" x14ac:dyDescent="0.2">
      <c r="M2684" s="55"/>
      <c r="Y2684" s="97"/>
    </row>
    <row r="2685" spans="13:25" x14ac:dyDescent="0.2">
      <c r="M2685" s="55"/>
      <c r="Y2685" s="97"/>
    </row>
    <row r="2686" spans="13:25" x14ac:dyDescent="0.2">
      <c r="M2686" s="55"/>
      <c r="Y2686" s="97"/>
    </row>
    <row r="2687" spans="13:25" x14ac:dyDescent="0.2">
      <c r="M2687" s="55"/>
      <c r="Y2687" s="97"/>
    </row>
    <row r="2688" spans="13:25" x14ac:dyDescent="0.2">
      <c r="M2688" s="55"/>
      <c r="Y2688" s="97"/>
    </row>
    <row r="2689" spans="13:25" x14ac:dyDescent="0.2">
      <c r="M2689" s="55"/>
      <c r="Y2689" s="97"/>
    </row>
    <row r="2690" spans="13:25" x14ac:dyDescent="0.2">
      <c r="M2690" s="55"/>
      <c r="Y2690" s="97"/>
    </row>
    <row r="2691" spans="13:25" x14ac:dyDescent="0.2">
      <c r="M2691" s="55"/>
      <c r="Y2691" s="97"/>
    </row>
    <row r="2692" spans="13:25" x14ac:dyDescent="0.2">
      <c r="M2692" s="55"/>
      <c r="Y2692" s="97"/>
    </row>
    <row r="2693" spans="13:25" x14ac:dyDescent="0.2">
      <c r="M2693" s="55"/>
      <c r="Y2693" s="97"/>
    </row>
    <row r="2694" spans="13:25" x14ac:dyDescent="0.2">
      <c r="M2694" s="55"/>
      <c r="Y2694" s="97"/>
    </row>
    <row r="2695" spans="13:25" x14ac:dyDescent="0.2">
      <c r="M2695" s="55"/>
      <c r="Y2695" s="97"/>
    </row>
    <row r="2696" spans="13:25" x14ac:dyDescent="0.2">
      <c r="M2696" s="55"/>
      <c r="Y2696" s="97"/>
    </row>
    <row r="2697" spans="13:25" x14ac:dyDescent="0.2">
      <c r="M2697" s="55"/>
      <c r="Y2697" s="97"/>
    </row>
    <row r="2698" spans="13:25" x14ac:dyDescent="0.2">
      <c r="M2698" s="55"/>
      <c r="Y2698" s="97"/>
    </row>
    <row r="2699" spans="13:25" x14ac:dyDescent="0.2">
      <c r="M2699" s="55"/>
      <c r="Y2699" s="97"/>
    </row>
    <row r="2700" spans="13:25" x14ac:dyDescent="0.2">
      <c r="M2700" s="55"/>
      <c r="Y2700" s="97"/>
    </row>
    <row r="2701" spans="13:25" x14ac:dyDescent="0.2">
      <c r="M2701" s="55"/>
      <c r="Y2701" s="97"/>
    </row>
    <row r="2702" spans="13:25" x14ac:dyDescent="0.2">
      <c r="M2702" s="55"/>
      <c r="Y2702" s="97"/>
    </row>
    <row r="2703" spans="13:25" x14ac:dyDescent="0.2">
      <c r="M2703" s="55"/>
      <c r="Y2703" s="97"/>
    </row>
    <row r="2704" spans="13:25" x14ac:dyDescent="0.2">
      <c r="M2704" s="55"/>
      <c r="Y2704" s="97"/>
    </row>
    <row r="2705" spans="13:25" x14ac:dyDescent="0.2">
      <c r="M2705" s="55"/>
      <c r="Y2705" s="97"/>
    </row>
    <row r="2706" spans="13:25" x14ac:dyDescent="0.2">
      <c r="M2706" s="55"/>
      <c r="Y2706" s="97"/>
    </row>
    <row r="2707" spans="13:25" x14ac:dyDescent="0.2">
      <c r="M2707" s="55"/>
      <c r="Y2707" s="97"/>
    </row>
    <row r="2708" spans="13:25" x14ac:dyDescent="0.2">
      <c r="M2708" s="55"/>
      <c r="Y2708" s="97"/>
    </row>
    <row r="2709" spans="13:25" x14ac:dyDescent="0.2">
      <c r="M2709" s="55"/>
      <c r="Y2709" s="97"/>
    </row>
    <row r="2710" spans="13:25" x14ac:dyDescent="0.2">
      <c r="M2710" s="55"/>
      <c r="Y2710" s="97"/>
    </row>
    <row r="2711" spans="13:25" x14ac:dyDescent="0.2">
      <c r="M2711" s="55"/>
      <c r="Y2711" s="97"/>
    </row>
    <row r="2712" spans="13:25" x14ac:dyDescent="0.2">
      <c r="M2712" s="55"/>
      <c r="Y2712" s="97"/>
    </row>
    <row r="2713" spans="13:25" x14ac:dyDescent="0.2">
      <c r="M2713" s="55"/>
      <c r="Y2713" s="97"/>
    </row>
    <row r="2714" spans="13:25" x14ac:dyDescent="0.2">
      <c r="M2714" s="55"/>
      <c r="Y2714" s="97"/>
    </row>
    <row r="2715" spans="13:25" x14ac:dyDescent="0.2">
      <c r="M2715" s="55"/>
      <c r="Y2715" s="97"/>
    </row>
    <row r="2716" spans="13:25" x14ac:dyDescent="0.2">
      <c r="M2716" s="55"/>
      <c r="Y2716" s="97"/>
    </row>
    <row r="2717" spans="13:25" x14ac:dyDescent="0.2">
      <c r="M2717" s="55"/>
      <c r="Y2717" s="97"/>
    </row>
    <row r="2718" spans="13:25" x14ac:dyDescent="0.2">
      <c r="M2718" s="55"/>
      <c r="Y2718" s="97"/>
    </row>
    <row r="2719" spans="13:25" x14ac:dyDescent="0.2">
      <c r="M2719" s="55"/>
      <c r="Y2719" s="97"/>
    </row>
    <row r="2720" spans="13:25" x14ac:dyDescent="0.2">
      <c r="M2720" s="55"/>
      <c r="Y2720" s="97"/>
    </row>
    <row r="2721" spans="13:25" x14ac:dyDescent="0.2">
      <c r="M2721" s="55"/>
      <c r="Y2721" s="97"/>
    </row>
    <row r="2722" spans="13:25" x14ac:dyDescent="0.2">
      <c r="M2722" s="55"/>
      <c r="Y2722" s="97"/>
    </row>
    <row r="2723" spans="13:25" x14ac:dyDescent="0.2">
      <c r="M2723" s="55"/>
      <c r="Y2723" s="97"/>
    </row>
    <row r="2724" spans="13:25" x14ac:dyDescent="0.2">
      <c r="M2724" s="55"/>
      <c r="Y2724" s="97"/>
    </row>
    <row r="2725" spans="13:25" x14ac:dyDescent="0.2">
      <c r="M2725" s="55"/>
      <c r="Y2725" s="97"/>
    </row>
    <row r="2726" spans="13:25" x14ac:dyDescent="0.2">
      <c r="M2726" s="55"/>
      <c r="Y2726" s="97"/>
    </row>
    <row r="2727" spans="13:25" x14ac:dyDescent="0.2">
      <c r="M2727" s="55"/>
      <c r="Y2727" s="97"/>
    </row>
    <row r="2728" spans="13:25" x14ac:dyDescent="0.2">
      <c r="M2728" s="55"/>
      <c r="Y2728" s="97"/>
    </row>
    <row r="2729" spans="13:25" x14ac:dyDescent="0.2">
      <c r="M2729" s="55"/>
      <c r="Y2729" s="97"/>
    </row>
    <row r="2730" spans="13:25" x14ac:dyDescent="0.2">
      <c r="M2730" s="55"/>
      <c r="Y2730" s="97"/>
    </row>
    <row r="2731" spans="13:25" x14ac:dyDescent="0.2">
      <c r="M2731" s="55"/>
      <c r="Y2731" s="97"/>
    </row>
    <row r="2732" spans="13:25" x14ac:dyDescent="0.2">
      <c r="M2732" s="55"/>
      <c r="Y2732" s="97"/>
    </row>
    <row r="2733" spans="13:25" x14ac:dyDescent="0.2">
      <c r="M2733" s="55"/>
      <c r="Y2733" s="97"/>
    </row>
    <row r="2734" spans="13:25" x14ac:dyDescent="0.2">
      <c r="M2734" s="55"/>
      <c r="Y2734" s="97"/>
    </row>
    <row r="2735" spans="13:25" x14ac:dyDescent="0.2">
      <c r="M2735" s="55"/>
      <c r="Y2735" s="97"/>
    </row>
    <row r="2736" spans="13:25" x14ac:dyDescent="0.2">
      <c r="M2736" s="55"/>
      <c r="Y2736" s="97"/>
    </row>
    <row r="2737" spans="13:25" x14ac:dyDescent="0.2">
      <c r="M2737" s="55"/>
      <c r="Y2737" s="97"/>
    </row>
    <row r="2738" spans="13:25" x14ac:dyDescent="0.2">
      <c r="M2738" s="55"/>
      <c r="Y2738" s="97"/>
    </row>
    <row r="2739" spans="13:25" x14ac:dyDescent="0.2">
      <c r="M2739" s="55"/>
      <c r="Y2739" s="97"/>
    </row>
    <row r="2740" spans="13:25" x14ac:dyDescent="0.2">
      <c r="M2740" s="55"/>
      <c r="Y2740" s="97"/>
    </row>
    <row r="2741" spans="13:25" x14ac:dyDescent="0.2">
      <c r="M2741" s="55"/>
      <c r="Y2741" s="97"/>
    </row>
    <row r="2742" spans="13:25" x14ac:dyDescent="0.2">
      <c r="M2742" s="55"/>
      <c r="Y2742" s="97"/>
    </row>
    <row r="2743" spans="13:25" x14ac:dyDescent="0.2">
      <c r="M2743" s="55"/>
      <c r="Y2743" s="97"/>
    </row>
    <row r="2744" spans="13:25" x14ac:dyDescent="0.2">
      <c r="M2744" s="55"/>
      <c r="Y2744" s="97"/>
    </row>
    <row r="2745" spans="13:25" x14ac:dyDescent="0.2">
      <c r="M2745" s="55"/>
      <c r="Y2745" s="97"/>
    </row>
    <row r="2746" spans="13:25" x14ac:dyDescent="0.2">
      <c r="M2746" s="55"/>
      <c r="Y2746" s="97"/>
    </row>
    <row r="2747" spans="13:25" x14ac:dyDescent="0.2">
      <c r="M2747" s="55"/>
      <c r="Y2747" s="97"/>
    </row>
    <row r="2748" spans="13:25" x14ac:dyDescent="0.2">
      <c r="M2748" s="55"/>
      <c r="Y2748" s="97"/>
    </row>
    <row r="2749" spans="13:25" x14ac:dyDescent="0.2">
      <c r="M2749" s="55"/>
      <c r="Y2749" s="97"/>
    </row>
    <row r="2750" spans="13:25" x14ac:dyDescent="0.2">
      <c r="M2750" s="55"/>
      <c r="Y2750" s="97"/>
    </row>
    <row r="2751" spans="13:25" x14ac:dyDescent="0.2">
      <c r="M2751" s="55"/>
      <c r="Y2751" s="97"/>
    </row>
    <row r="2752" spans="13:25" x14ac:dyDescent="0.2">
      <c r="M2752" s="55"/>
      <c r="Y2752" s="97"/>
    </row>
    <row r="2753" spans="13:25" x14ac:dyDescent="0.2">
      <c r="M2753" s="55"/>
      <c r="Y2753" s="97"/>
    </row>
    <row r="2754" spans="13:25" x14ac:dyDescent="0.2">
      <c r="M2754" s="55"/>
      <c r="Y2754" s="97"/>
    </row>
    <row r="2755" spans="13:25" x14ac:dyDescent="0.2">
      <c r="M2755" s="55"/>
      <c r="Y2755" s="97"/>
    </row>
    <row r="2756" spans="13:25" x14ac:dyDescent="0.2">
      <c r="M2756" s="55"/>
      <c r="Y2756" s="97"/>
    </row>
    <row r="2757" spans="13:25" x14ac:dyDescent="0.2">
      <c r="M2757" s="55"/>
      <c r="Y2757" s="97"/>
    </row>
    <row r="2758" spans="13:25" x14ac:dyDescent="0.2">
      <c r="M2758" s="55"/>
      <c r="Y2758" s="97"/>
    </row>
    <row r="2759" spans="13:25" x14ac:dyDescent="0.2">
      <c r="M2759" s="55"/>
      <c r="Y2759" s="97"/>
    </row>
    <row r="2760" spans="13:25" x14ac:dyDescent="0.2">
      <c r="M2760" s="55"/>
      <c r="Y2760" s="97"/>
    </row>
    <row r="2761" spans="13:25" x14ac:dyDescent="0.2">
      <c r="M2761" s="55"/>
      <c r="Y2761" s="97"/>
    </row>
    <row r="2762" spans="13:25" x14ac:dyDescent="0.2">
      <c r="M2762" s="55"/>
      <c r="Y2762" s="97"/>
    </row>
    <row r="2763" spans="13:25" x14ac:dyDescent="0.2">
      <c r="M2763" s="55"/>
      <c r="Y2763" s="97"/>
    </row>
    <row r="2764" spans="13:25" x14ac:dyDescent="0.2">
      <c r="M2764" s="55"/>
      <c r="Y2764" s="97"/>
    </row>
    <row r="2765" spans="13:25" x14ac:dyDescent="0.2">
      <c r="M2765" s="55"/>
      <c r="Y2765" s="97"/>
    </row>
    <row r="2766" spans="13:25" x14ac:dyDescent="0.2">
      <c r="M2766" s="55"/>
      <c r="Y2766" s="97"/>
    </row>
    <row r="2767" spans="13:25" x14ac:dyDescent="0.2">
      <c r="M2767" s="55"/>
      <c r="Y2767" s="97"/>
    </row>
    <row r="2768" spans="13:25" x14ac:dyDescent="0.2">
      <c r="M2768" s="55"/>
      <c r="Y2768" s="97"/>
    </row>
    <row r="2769" spans="13:25" x14ac:dyDescent="0.2">
      <c r="M2769" s="55"/>
      <c r="Y2769" s="97"/>
    </row>
    <row r="2770" spans="13:25" x14ac:dyDescent="0.2">
      <c r="M2770" s="55"/>
      <c r="Y2770" s="97"/>
    </row>
    <row r="2771" spans="13:25" x14ac:dyDescent="0.2">
      <c r="M2771" s="55"/>
      <c r="Y2771" s="97"/>
    </row>
    <row r="2772" spans="13:25" x14ac:dyDescent="0.2">
      <c r="M2772" s="55"/>
      <c r="Y2772" s="97"/>
    </row>
    <row r="2773" spans="13:25" x14ac:dyDescent="0.2">
      <c r="M2773" s="55"/>
      <c r="Y2773" s="97"/>
    </row>
    <row r="2774" spans="13:25" x14ac:dyDescent="0.2">
      <c r="M2774" s="55"/>
      <c r="Y2774" s="97"/>
    </row>
    <row r="2775" spans="13:25" x14ac:dyDescent="0.2">
      <c r="M2775" s="55"/>
      <c r="Y2775" s="97"/>
    </row>
    <row r="2776" spans="13:25" x14ac:dyDescent="0.2">
      <c r="M2776" s="55"/>
      <c r="Y2776" s="97"/>
    </row>
    <row r="2777" spans="13:25" x14ac:dyDescent="0.2">
      <c r="M2777" s="55"/>
      <c r="Y2777" s="97"/>
    </row>
    <row r="2778" spans="13:25" x14ac:dyDescent="0.2">
      <c r="M2778" s="55"/>
      <c r="Y2778" s="97"/>
    </row>
    <row r="2779" spans="13:25" x14ac:dyDescent="0.2">
      <c r="M2779" s="55"/>
      <c r="Y2779" s="97"/>
    </row>
    <row r="2780" spans="13:25" x14ac:dyDescent="0.2">
      <c r="M2780" s="55"/>
      <c r="Y2780" s="97"/>
    </row>
    <row r="2781" spans="13:25" x14ac:dyDescent="0.2">
      <c r="M2781" s="55"/>
      <c r="Y2781" s="97"/>
    </row>
    <row r="2782" spans="13:25" x14ac:dyDescent="0.2">
      <c r="M2782" s="55"/>
      <c r="Y2782" s="97"/>
    </row>
    <row r="2783" spans="13:25" x14ac:dyDescent="0.2">
      <c r="M2783" s="55"/>
      <c r="Y2783" s="97"/>
    </row>
    <row r="2784" spans="13:25" x14ac:dyDescent="0.2">
      <c r="M2784" s="55"/>
      <c r="Y2784" s="97"/>
    </row>
    <row r="2785" spans="13:25" x14ac:dyDescent="0.2">
      <c r="M2785" s="55"/>
      <c r="Y2785" s="97"/>
    </row>
    <row r="2786" spans="13:25" x14ac:dyDescent="0.2">
      <c r="M2786" s="55"/>
      <c r="Y2786" s="97"/>
    </row>
    <row r="2787" spans="13:25" x14ac:dyDescent="0.2">
      <c r="M2787" s="55"/>
      <c r="Y2787" s="97"/>
    </row>
    <row r="2788" spans="13:25" x14ac:dyDescent="0.2">
      <c r="M2788" s="55"/>
      <c r="Y2788" s="97"/>
    </row>
    <row r="2789" spans="13:25" x14ac:dyDescent="0.2">
      <c r="M2789" s="55"/>
      <c r="Y2789" s="97"/>
    </row>
    <row r="2790" spans="13:25" x14ac:dyDescent="0.2">
      <c r="M2790" s="55"/>
      <c r="Y2790" s="97"/>
    </row>
    <row r="2791" spans="13:25" x14ac:dyDescent="0.2">
      <c r="M2791" s="55"/>
      <c r="Y2791" s="97"/>
    </row>
    <row r="2792" spans="13:25" x14ac:dyDescent="0.2">
      <c r="M2792" s="55"/>
      <c r="Y2792" s="97"/>
    </row>
    <row r="2793" spans="13:25" x14ac:dyDescent="0.2">
      <c r="M2793" s="55"/>
      <c r="Y2793" s="97"/>
    </row>
    <row r="2794" spans="13:25" x14ac:dyDescent="0.2">
      <c r="M2794" s="55"/>
      <c r="Y2794" s="97"/>
    </row>
    <row r="2795" spans="13:25" x14ac:dyDescent="0.2">
      <c r="M2795" s="55"/>
      <c r="Y2795" s="97"/>
    </row>
    <row r="2796" spans="13:25" x14ac:dyDescent="0.2">
      <c r="M2796" s="55"/>
      <c r="Y2796" s="97"/>
    </row>
    <row r="2797" spans="13:25" x14ac:dyDescent="0.2">
      <c r="M2797" s="55"/>
      <c r="Y2797" s="97"/>
    </row>
    <row r="2798" spans="13:25" x14ac:dyDescent="0.2">
      <c r="M2798" s="55"/>
      <c r="Y2798" s="97"/>
    </row>
    <row r="2799" spans="13:25" x14ac:dyDescent="0.2">
      <c r="M2799" s="55"/>
      <c r="Y2799" s="97"/>
    </row>
    <row r="2800" spans="13:25" x14ac:dyDescent="0.2">
      <c r="M2800" s="55"/>
      <c r="Y2800" s="97"/>
    </row>
    <row r="2801" spans="13:25" x14ac:dyDescent="0.2">
      <c r="M2801" s="55"/>
      <c r="Y2801" s="97"/>
    </row>
    <row r="2802" spans="13:25" x14ac:dyDescent="0.2">
      <c r="M2802" s="55"/>
      <c r="Y2802" s="97"/>
    </row>
    <row r="2803" spans="13:25" x14ac:dyDescent="0.2">
      <c r="M2803" s="55"/>
      <c r="Y2803" s="97"/>
    </row>
    <row r="2804" spans="13:25" x14ac:dyDescent="0.2">
      <c r="M2804" s="55"/>
      <c r="Y2804" s="97"/>
    </row>
    <row r="2805" spans="13:25" x14ac:dyDescent="0.2">
      <c r="M2805" s="55"/>
      <c r="Y2805" s="97"/>
    </row>
    <row r="2806" spans="13:25" x14ac:dyDescent="0.2">
      <c r="M2806" s="55"/>
      <c r="Y2806" s="97"/>
    </row>
    <row r="2807" spans="13:25" x14ac:dyDescent="0.2">
      <c r="M2807" s="55"/>
      <c r="Y2807" s="97"/>
    </row>
    <row r="2808" spans="13:25" x14ac:dyDescent="0.2">
      <c r="M2808" s="55"/>
      <c r="Y2808" s="97"/>
    </row>
    <row r="2809" spans="13:25" x14ac:dyDescent="0.2">
      <c r="M2809" s="55"/>
      <c r="Y2809" s="97"/>
    </row>
    <row r="2810" spans="13:25" x14ac:dyDescent="0.2">
      <c r="M2810" s="55"/>
      <c r="Y2810" s="97"/>
    </row>
    <row r="2811" spans="13:25" x14ac:dyDescent="0.2">
      <c r="M2811" s="55"/>
      <c r="Y2811" s="97"/>
    </row>
    <row r="2812" spans="13:25" x14ac:dyDescent="0.2">
      <c r="M2812" s="55"/>
      <c r="Y2812" s="97"/>
    </row>
    <row r="2813" spans="13:25" x14ac:dyDescent="0.2">
      <c r="M2813" s="55"/>
      <c r="Y2813" s="97"/>
    </row>
    <row r="2814" spans="13:25" x14ac:dyDescent="0.2">
      <c r="M2814" s="55"/>
      <c r="Y2814" s="97"/>
    </row>
    <row r="2815" spans="13:25" x14ac:dyDescent="0.2">
      <c r="M2815" s="55"/>
      <c r="Y2815" s="97"/>
    </row>
    <row r="2816" spans="13:25" x14ac:dyDescent="0.2">
      <c r="M2816" s="55"/>
      <c r="Y2816" s="97"/>
    </row>
    <row r="2817" spans="13:25" x14ac:dyDescent="0.2">
      <c r="M2817" s="55"/>
      <c r="Y2817" s="97"/>
    </row>
    <row r="2818" spans="13:25" x14ac:dyDescent="0.2">
      <c r="M2818" s="55"/>
      <c r="Y2818" s="97"/>
    </row>
    <row r="2819" spans="13:25" x14ac:dyDescent="0.2">
      <c r="M2819" s="55"/>
      <c r="Y2819" s="97"/>
    </row>
    <row r="2820" spans="13:25" x14ac:dyDescent="0.2">
      <c r="M2820" s="55"/>
      <c r="Y2820" s="97"/>
    </row>
    <row r="2821" spans="13:25" x14ac:dyDescent="0.2">
      <c r="M2821" s="55"/>
      <c r="Y2821" s="97"/>
    </row>
    <row r="2822" spans="13:25" x14ac:dyDescent="0.2">
      <c r="M2822" s="55"/>
      <c r="Y2822" s="97"/>
    </row>
    <row r="2823" spans="13:25" x14ac:dyDescent="0.2">
      <c r="M2823" s="55"/>
      <c r="Y2823" s="97"/>
    </row>
    <row r="2824" spans="13:25" x14ac:dyDescent="0.2">
      <c r="M2824" s="55"/>
      <c r="Y2824" s="97"/>
    </row>
    <row r="2825" spans="13:25" x14ac:dyDescent="0.2">
      <c r="M2825" s="55"/>
      <c r="Y2825" s="97"/>
    </row>
    <row r="2826" spans="13:25" x14ac:dyDescent="0.2">
      <c r="M2826" s="55"/>
      <c r="Y2826" s="97"/>
    </row>
    <row r="2827" spans="13:25" x14ac:dyDescent="0.2">
      <c r="M2827" s="55"/>
      <c r="Y2827" s="97"/>
    </row>
    <row r="2828" spans="13:25" x14ac:dyDescent="0.2">
      <c r="M2828" s="55"/>
      <c r="Y2828" s="97"/>
    </row>
    <row r="2829" spans="13:25" x14ac:dyDescent="0.2">
      <c r="M2829" s="55"/>
      <c r="Y2829" s="97"/>
    </row>
    <row r="2830" spans="13:25" x14ac:dyDescent="0.2">
      <c r="M2830" s="55"/>
      <c r="Y2830" s="97"/>
    </row>
    <row r="2831" spans="13:25" x14ac:dyDescent="0.2">
      <c r="M2831" s="55"/>
      <c r="Y2831" s="97"/>
    </row>
    <row r="2832" spans="13:25" x14ac:dyDescent="0.2">
      <c r="M2832" s="55"/>
      <c r="Y2832" s="97"/>
    </row>
    <row r="2833" spans="13:25" x14ac:dyDescent="0.2">
      <c r="M2833" s="55"/>
      <c r="Y2833" s="97"/>
    </row>
    <row r="2834" spans="13:25" x14ac:dyDescent="0.2">
      <c r="M2834" s="55"/>
      <c r="Y2834" s="97"/>
    </row>
    <row r="2835" spans="13:25" x14ac:dyDescent="0.2">
      <c r="M2835" s="55"/>
      <c r="Y2835" s="97"/>
    </row>
    <row r="2836" spans="13:25" x14ac:dyDescent="0.2">
      <c r="M2836" s="55"/>
      <c r="Y2836" s="97"/>
    </row>
    <row r="2837" spans="13:25" x14ac:dyDescent="0.2">
      <c r="M2837" s="55"/>
      <c r="Y2837" s="97"/>
    </row>
    <row r="2838" spans="13:25" x14ac:dyDescent="0.2">
      <c r="M2838" s="55"/>
      <c r="Y2838" s="97"/>
    </row>
    <row r="2839" spans="13:25" x14ac:dyDescent="0.2">
      <c r="M2839" s="55"/>
      <c r="Y2839" s="97"/>
    </row>
    <row r="2840" spans="13:25" x14ac:dyDescent="0.2">
      <c r="M2840" s="55"/>
      <c r="Y2840" s="97"/>
    </row>
    <row r="2841" spans="13:25" x14ac:dyDescent="0.2">
      <c r="M2841" s="55"/>
      <c r="Y2841" s="97"/>
    </row>
    <row r="2842" spans="13:25" x14ac:dyDescent="0.2">
      <c r="M2842" s="55"/>
      <c r="Y2842" s="97"/>
    </row>
    <row r="2843" spans="13:25" x14ac:dyDescent="0.2">
      <c r="M2843" s="55"/>
      <c r="Y2843" s="97"/>
    </row>
    <row r="2844" spans="13:25" x14ac:dyDescent="0.2">
      <c r="M2844" s="55"/>
      <c r="Y2844" s="97"/>
    </row>
    <row r="2845" spans="13:25" x14ac:dyDescent="0.2">
      <c r="M2845" s="55"/>
      <c r="Y2845" s="97"/>
    </row>
    <row r="2846" spans="13:25" x14ac:dyDescent="0.2">
      <c r="M2846" s="55"/>
      <c r="Y2846" s="97"/>
    </row>
    <row r="2847" spans="13:25" x14ac:dyDescent="0.2">
      <c r="M2847" s="55"/>
      <c r="Y2847" s="97"/>
    </row>
    <row r="2848" spans="13:25" x14ac:dyDescent="0.2">
      <c r="M2848" s="55"/>
      <c r="Y2848" s="97"/>
    </row>
    <row r="2849" spans="13:25" x14ac:dyDescent="0.2">
      <c r="M2849" s="55"/>
      <c r="Y2849" s="97"/>
    </row>
    <row r="2850" spans="13:25" x14ac:dyDescent="0.2">
      <c r="M2850" s="55"/>
      <c r="Y2850" s="97"/>
    </row>
    <row r="2851" spans="13:25" x14ac:dyDescent="0.2">
      <c r="M2851" s="55"/>
      <c r="Y2851" s="97"/>
    </row>
    <row r="2852" spans="13:25" x14ac:dyDescent="0.2">
      <c r="M2852" s="55"/>
      <c r="Y2852" s="97"/>
    </row>
    <row r="2853" spans="13:25" x14ac:dyDescent="0.2">
      <c r="M2853" s="55"/>
      <c r="Y2853" s="97"/>
    </row>
    <row r="2854" spans="13:25" x14ac:dyDescent="0.2">
      <c r="M2854" s="55"/>
      <c r="Y2854" s="97"/>
    </row>
    <row r="2855" spans="13:25" x14ac:dyDescent="0.2">
      <c r="M2855" s="55"/>
      <c r="Y2855" s="97"/>
    </row>
    <row r="2856" spans="13:25" x14ac:dyDescent="0.2">
      <c r="M2856" s="55"/>
      <c r="Y2856" s="97"/>
    </row>
    <row r="2857" spans="13:25" x14ac:dyDescent="0.2">
      <c r="M2857" s="55"/>
      <c r="Y2857" s="97"/>
    </row>
    <row r="2858" spans="13:25" x14ac:dyDescent="0.2">
      <c r="M2858" s="55"/>
      <c r="Y2858" s="97"/>
    </row>
    <row r="2859" spans="13:25" x14ac:dyDescent="0.2">
      <c r="M2859" s="55"/>
      <c r="Y2859" s="97"/>
    </row>
    <row r="2860" spans="13:25" x14ac:dyDescent="0.2">
      <c r="M2860" s="55"/>
      <c r="Y2860" s="97"/>
    </row>
    <row r="2861" spans="13:25" x14ac:dyDescent="0.2">
      <c r="M2861" s="55"/>
      <c r="Y2861" s="97"/>
    </row>
    <row r="2862" spans="13:25" x14ac:dyDescent="0.2">
      <c r="M2862" s="55"/>
      <c r="Y2862" s="97"/>
    </row>
    <row r="2863" spans="13:25" x14ac:dyDescent="0.2">
      <c r="M2863" s="55"/>
      <c r="Y2863" s="97"/>
    </row>
    <row r="2864" spans="13:25" x14ac:dyDescent="0.2">
      <c r="M2864" s="55"/>
      <c r="Y2864" s="97"/>
    </row>
    <row r="2865" spans="13:25" x14ac:dyDescent="0.2">
      <c r="M2865" s="55"/>
      <c r="Y2865" s="97"/>
    </row>
    <row r="2866" spans="13:25" x14ac:dyDescent="0.2">
      <c r="M2866" s="55"/>
      <c r="Y2866" s="97"/>
    </row>
    <row r="2867" spans="13:25" x14ac:dyDescent="0.2">
      <c r="M2867" s="55"/>
      <c r="Y2867" s="97"/>
    </row>
    <row r="2868" spans="13:25" x14ac:dyDescent="0.2">
      <c r="M2868" s="55"/>
      <c r="Y2868" s="97"/>
    </row>
    <row r="2869" spans="13:25" x14ac:dyDescent="0.2">
      <c r="M2869" s="55"/>
      <c r="Y2869" s="97"/>
    </row>
    <row r="2870" spans="13:25" x14ac:dyDescent="0.2">
      <c r="M2870" s="55"/>
      <c r="Y2870" s="97"/>
    </row>
    <row r="2871" spans="13:25" x14ac:dyDescent="0.2">
      <c r="M2871" s="55"/>
      <c r="Y2871" s="97"/>
    </row>
    <row r="2872" spans="13:25" x14ac:dyDescent="0.2">
      <c r="M2872" s="55"/>
      <c r="Y2872" s="97"/>
    </row>
    <row r="2873" spans="13:25" x14ac:dyDescent="0.2">
      <c r="M2873" s="55"/>
      <c r="Y2873" s="97"/>
    </row>
    <row r="2874" spans="13:25" x14ac:dyDescent="0.2">
      <c r="M2874" s="55"/>
      <c r="Y2874" s="97"/>
    </row>
    <row r="2875" spans="13:25" x14ac:dyDescent="0.2">
      <c r="M2875" s="55"/>
      <c r="Y2875" s="97"/>
    </row>
    <row r="2876" spans="13:25" x14ac:dyDescent="0.2">
      <c r="M2876" s="55"/>
      <c r="Y2876" s="97"/>
    </row>
    <row r="2877" spans="13:25" x14ac:dyDescent="0.2">
      <c r="M2877" s="55"/>
      <c r="Y2877" s="97"/>
    </row>
    <row r="2878" spans="13:25" x14ac:dyDescent="0.2">
      <c r="M2878" s="55"/>
      <c r="Y2878" s="97"/>
    </row>
    <row r="2879" spans="13:25" x14ac:dyDescent="0.2">
      <c r="M2879" s="55"/>
      <c r="Y2879" s="97"/>
    </row>
    <row r="2880" spans="13:25" x14ac:dyDescent="0.2">
      <c r="M2880" s="55"/>
      <c r="Y2880" s="97"/>
    </row>
    <row r="2881" spans="13:25" x14ac:dyDescent="0.2">
      <c r="M2881" s="55"/>
      <c r="Y2881" s="97"/>
    </row>
    <row r="2882" spans="13:25" x14ac:dyDescent="0.2">
      <c r="M2882" s="55"/>
      <c r="Y2882" s="97"/>
    </row>
    <row r="2883" spans="13:25" x14ac:dyDescent="0.2">
      <c r="M2883" s="55"/>
      <c r="Y2883" s="97"/>
    </row>
    <row r="2884" spans="13:25" x14ac:dyDescent="0.2">
      <c r="M2884" s="55"/>
      <c r="Y2884" s="97"/>
    </row>
    <row r="2885" spans="13:25" x14ac:dyDescent="0.2">
      <c r="M2885" s="55"/>
      <c r="Y2885" s="97"/>
    </row>
    <row r="2886" spans="13:25" x14ac:dyDescent="0.2">
      <c r="M2886" s="55"/>
      <c r="Y2886" s="97"/>
    </row>
    <row r="2887" spans="13:25" x14ac:dyDescent="0.2">
      <c r="M2887" s="55"/>
      <c r="Y2887" s="97"/>
    </row>
    <row r="2888" spans="13:25" x14ac:dyDescent="0.2">
      <c r="M2888" s="55"/>
      <c r="Y2888" s="97"/>
    </row>
    <row r="2889" spans="13:25" x14ac:dyDescent="0.2">
      <c r="M2889" s="55"/>
      <c r="Y2889" s="97"/>
    </row>
    <row r="2890" spans="13:25" x14ac:dyDescent="0.2">
      <c r="M2890" s="55"/>
      <c r="Y2890" s="97"/>
    </row>
    <row r="2891" spans="13:25" x14ac:dyDescent="0.2">
      <c r="M2891" s="55"/>
      <c r="Y2891" s="97"/>
    </row>
    <row r="2892" spans="13:25" x14ac:dyDescent="0.2">
      <c r="M2892" s="55"/>
      <c r="Y2892" s="97"/>
    </row>
    <row r="2893" spans="13:25" x14ac:dyDescent="0.2">
      <c r="M2893" s="55"/>
      <c r="Y2893" s="97"/>
    </row>
    <row r="2894" spans="13:25" x14ac:dyDescent="0.2">
      <c r="M2894" s="55"/>
      <c r="Y2894" s="97"/>
    </row>
    <row r="2895" spans="13:25" x14ac:dyDescent="0.2">
      <c r="M2895" s="55"/>
      <c r="Y2895" s="97"/>
    </row>
    <row r="2896" spans="13:25" x14ac:dyDescent="0.2">
      <c r="M2896" s="55"/>
      <c r="Y2896" s="97"/>
    </row>
    <row r="2897" spans="13:25" x14ac:dyDescent="0.2">
      <c r="M2897" s="55"/>
      <c r="Y2897" s="97"/>
    </row>
    <row r="2898" spans="13:25" x14ac:dyDescent="0.2">
      <c r="M2898" s="55"/>
      <c r="Y2898" s="97"/>
    </row>
    <row r="2899" spans="13:25" x14ac:dyDescent="0.2">
      <c r="M2899" s="55"/>
      <c r="Y2899" s="97"/>
    </row>
    <row r="2900" spans="13:25" x14ac:dyDescent="0.2">
      <c r="M2900" s="55"/>
      <c r="Y2900" s="97"/>
    </row>
    <row r="2901" spans="13:25" x14ac:dyDescent="0.2">
      <c r="M2901" s="55"/>
      <c r="Y2901" s="97"/>
    </row>
    <row r="2902" spans="13:25" x14ac:dyDescent="0.2">
      <c r="M2902" s="55"/>
      <c r="Y2902" s="97"/>
    </row>
    <row r="2903" spans="13:25" x14ac:dyDescent="0.2">
      <c r="M2903" s="55"/>
      <c r="Y2903" s="97"/>
    </row>
    <row r="2904" spans="13:25" x14ac:dyDescent="0.2">
      <c r="M2904" s="55"/>
      <c r="Y2904" s="97"/>
    </row>
    <row r="2905" spans="13:25" x14ac:dyDescent="0.2">
      <c r="M2905" s="55"/>
      <c r="Y2905" s="97"/>
    </row>
    <row r="2906" spans="13:25" x14ac:dyDescent="0.2">
      <c r="M2906" s="55"/>
      <c r="Y2906" s="97"/>
    </row>
    <row r="2907" spans="13:25" x14ac:dyDescent="0.2">
      <c r="M2907" s="55"/>
      <c r="Y2907" s="97"/>
    </row>
    <row r="2908" spans="13:25" x14ac:dyDescent="0.2">
      <c r="M2908" s="55"/>
      <c r="Y2908" s="97"/>
    </row>
    <row r="2909" spans="13:25" x14ac:dyDescent="0.2">
      <c r="M2909" s="55"/>
      <c r="Y2909" s="97"/>
    </row>
    <row r="2910" spans="13:25" x14ac:dyDescent="0.2">
      <c r="M2910" s="55"/>
      <c r="Y2910" s="97"/>
    </row>
    <row r="2911" spans="13:25" x14ac:dyDescent="0.2">
      <c r="M2911" s="55"/>
      <c r="Y2911" s="97"/>
    </row>
    <row r="2912" spans="13:25" x14ac:dyDescent="0.2">
      <c r="M2912" s="55"/>
      <c r="Y2912" s="97"/>
    </row>
    <row r="2913" spans="13:25" x14ac:dyDescent="0.2">
      <c r="M2913" s="55"/>
      <c r="Y2913" s="97"/>
    </row>
    <row r="2914" spans="13:25" x14ac:dyDescent="0.2">
      <c r="M2914" s="55"/>
      <c r="Y2914" s="97"/>
    </row>
    <row r="2915" spans="13:25" x14ac:dyDescent="0.2">
      <c r="M2915" s="55"/>
      <c r="Y2915" s="97"/>
    </row>
    <row r="2916" spans="13:25" x14ac:dyDescent="0.2">
      <c r="M2916" s="55"/>
      <c r="Y2916" s="97"/>
    </row>
    <row r="2917" spans="13:25" x14ac:dyDescent="0.2">
      <c r="M2917" s="55"/>
      <c r="Y2917" s="97"/>
    </row>
    <row r="2918" spans="13:25" x14ac:dyDescent="0.2">
      <c r="M2918" s="55"/>
      <c r="Y2918" s="97"/>
    </row>
    <row r="2919" spans="13:25" x14ac:dyDescent="0.2">
      <c r="M2919" s="55"/>
      <c r="Y2919" s="97"/>
    </row>
    <row r="2920" spans="13:25" x14ac:dyDescent="0.2">
      <c r="M2920" s="55"/>
      <c r="Y2920" s="97"/>
    </row>
    <row r="2921" spans="13:25" x14ac:dyDescent="0.2">
      <c r="M2921" s="55"/>
      <c r="Y2921" s="97"/>
    </row>
    <row r="2922" spans="13:25" x14ac:dyDescent="0.2">
      <c r="M2922" s="55"/>
      <c r="Y2922" s="97"/>
    </row>
    <row r="2923" spans="13:25" x14ac:dyDescent="0.2">
      <c r="M2923" s="55"/>
      <c r="Y2923" s="97"/>
    </row>
    <row r="2924" spans="13:25" x14ac:dyDescent="0.2">
      <c r="M2924" s="55"/>
      <c r="Y2924" s="97"/>
    </row>
    <row r="2925" spans="13:25" x14ac:dyDescent="0.2">
      <c r="M2925" s="55"/>
      <c r="Y2925" s="97"/>
    </row>
    <row r="2926" spans="13:25" x14ac:dyDescent="0.2">
      <c r="M2926" s="55"/>
      <c r="Y2926" s="97"/>
    </row>
    <row r="2927" spans="13:25" x14ac:dyDescent="0.2">
      <c r="M2927" s="55"/>
      <c r="Y2927" s="97"/>
    </row>
    <row r="2928" spans="13:25" x14ac:dyDescent="0.2">
      <c r="M2928" s="55"/>
      <c r="Y2928" s="97"/>
    </row>
    <row r="2929" spans="13:25" x14ac:dyDescent="0.2">
      <c r="M2929" s="55"/>
      <c r="Y2929" s="97"/>
    </row>
    <row r="2930" spans="13:25" x14ac:dyDescent="0.2">
      <c r="M2930" s="55"/>
      <c r="Y2930" s="97"/>
    </row>
    <row r="2931" spans="13:25" x14ac:dyDescent="0.2">
      <c r="M2931" s="55"/>
      <c r="Y2931" s="97"/>
    </row>
    <row r="2932" spans="13:25" x14ac:dyDescent="0.2">
      <c r="M2932" s="55"/>
      <c r="Y2932" s="97"/>
    </row>
    <row r="2933" spans="13:25" x14ac:dyDescent="0.2">
      <c r="M2933" s="55"/>
      <c r="Y2933" s="97"/>
    </row>
    <row r="2934" spans="13:25" x14ac:dyDescent="0.2">
      <c r="M2934" s="55"/>
      <c r="Y2934" s="97"/>
    </row>
    <row r="2935" spans="13:25" x14ac:dyDescent="0.2">
      <c r="M2935" s="55"/>
      <c r="Y2935" s="97"/>
    </row>
    <row r="2936" spans="13:25" x14ac:dyDescent="0.2">
      <c r="M2936" s="55"/>
      <c r="Y2936" s="97"/>
    </row>
    <row r="2937" spans="13:25" x14ac:dyDescent="0.2">
      <c r="M2937" s="55"/>
      <c r="Y2937" s="97"/>
    </row>
    <row r="2938" spans="13:25" x14ac:dyDescent="0.2">
      <c r="M2938" s="55"/>
      <c r="Y2938" s="97"/>
    </row>
    <row r="2939" spans="13:25" x14ac:dyDescent="0.2">
      <c r="M2939" s="55"/>
      <c r="Y2939" s="97"/>
    </row>
    <row r="2940" spans="13:25" x14ac:dyDescent="0.2">
      <c r="M2940" s="55"/>
      <c r="Y2940" s="97"/>
    </row>
    <row r="2941" spans="13:25" x14ac:dyDescent="0.2">
      <c r="M2941" s="55"/>
      <c r="Y2941" s="97"/>
    </row>
    <row r="2942" spans="13:25" x14ac:dyDescent="0.2">
      <c r="M2942" s="55"/>
      <c r="Y2942" s="97"/>
    </row>
    <row r="2943" spans="13:25" x14ac:dyDescent="0.2">
      <c r="M2943" s="55"/>
      <c r="Y2943" s="97"/>
    </row>
    <row r="2944" spans="13:25" x14ac:dyDescent="0.2">
      <c r="M2944" s="55"/>
      <c r="Y2944" s="97"/>
    </row>
    <row r="2945" spans="13:25" x14ac:dyDescent="0.2">
      <c r="M2945" s="55"/>
      <c r="Y2945" s="97"/>
    </row>
    <row r="2946" spans="13:25" x14ac:dyDescent="0.2">
      <c r="M2946" s="55"/>
      <c r="Y2946" s="97"/>
    </row>
    <row r="2947" spans="13:25" x14ac:dyDescent="0.2">
      <c r="M2947" s="55"/>
      <c r="Y2947" s="97"/>
    </row>
    <row r="2948" spans="13:25" x14ac:dyDescent="0.2">
      <c r="M2948" s="55"/>
      <c r="Y2948" s="97"/>
    </row>
    <row r="2949" spans="13:25" x14ac:dyDescent="0.2">
      <c r="M2949" s="55"/>
      <c r="Y2949" s="97"/>
    </row>
    <row r="2950" spans="13:25" x14ac:dyDescent="0.2">
      <c r="M2950" s="55"/>
      <c r="Y2950" s="97"/>
    </row>
    <row r="2951" spans="13:25" x14ac:dyDescent="0.2">
      <c r="M2951" s="55"/>
      <c r="Y2951" s="97"/>
    </row>
    <row r="2952" spans="13:25" x14ac:dyDescent="0.2">
      <c r="M2952" s="55"/>
      <c r="Y2952" s="97"/>
    </row>
    <row r="2953" spans="13:25" x14ac:dyDescent="0.2">
      <c r="M2953" s="55"/>
      <c r="Y2953" s="97"/>
    </row>
    <row r="2954" spans="13:25" x14ac:dyDescent="0.2">
      <c r="M2954" s="55"/>
      <c r="Y2954" s="97"/>
    </row>
    <row r="2955" spans="13:25" x14ac:dyDescent="0.2">
      <c r="M2955" s="55"/>
      <c r="Y2955" s="97"/>
    </row>
    <row r="2956" spans="13:25" x14ac:dyDescent="0.2">
      <c r="M2956" s="55"/>
      <c r="Y2956" s="97"/>
    </row>
    <row r="2957" spans="13:25" x14ac:dyDescent="0.2">
      <c r="M2957" s="55"/>
      <c r="Y2957" s="97"/>
    </row>
    <row r="2958" spans="13:25" x14ac:dyDescent="0.2">
      <c r="M2958" s="55"/>
      <c r="Y2958" s="97"/>
    </row>
    <row r="2959" spans="13:25" x14ac:dyDescent="0.2">
      <c r="M2959" s="55"/>
      <c r="Y2959" s="97"/>
    </row>
    <row r="2960" spans="13:25" x14ac:dyDescent="0.2">
      <c r="M2960" s="55"/>
      <c r="Y2960" s="97"/>
    </row>
    <row r="2961" spans="13:25" x14ac:dyDescent="0.2">
      <c r="M2961" s="55"/>
      <c r="Y2961" s="97"/>
    </row>
    <row r="2962" spans="13:25" x14ac:dyDescent="0.2">
      <c r="M2962" s="55"/>
      <c r="Y2962" s="97"/>
    </row>
    <row r="2963" spans="13:25" x14ac:dyDescent="0.2">
      <c r="M2963" s="55"/>
      <c r="Y2963" s="97"/>
    </row>
    <row r="2964" spans="13:25" x14ac:dyDescent="0.2">
      <c r="M2964" s="55"/>
      <c r="Y2964" s="97"/>
    </row>
    <row r="2965" spans="13:25" x14ac:dyDescent="0.2">
      <c r="M2965" s="55"/>
      <c r="Y2965" s="97"/>
    </row>
    <row r="2966" spans="13:25" x14ac:dyDescent="0.2">
      <c r="M2966" s="55"/>
      <c r="Y2966" s="97"/>
    </row>
    <row r="2967" spans="13:25" x14ac:dyDescent="0.2">
      <c r="M2967" s="55"/>
      <c r="Y2967" s="97"/>
    </row>
    <row r="2968" spans="13:25" x14ac:dyDescent="0.2">
      <c r="M2968" s="55"/>
      <c r="Y2968" s="97"/>
    </row>
    <row r="2969" spans="13:25" x14ac:dyDescent="0.2">
      <c r="M2969" s="55"/>
      <c r="Y2969" s="97"/>
    </row>
    <row r="2970" spans="13:25" x14ac:dyDescent="0.2">
      <c r="M2970" s="55"/>
      <c r="Y2970" s="97"/>
    </row>
    <row r="2971" spans="13:25" x14ac:dyDescent="0.2">
      <c r="M2971" s="55"/>
      <c r="Y2971" s="97"/>
    </row>
    <row r="2972" spans="13:25" x14ac:dyDescent="0.2">
      <c r="M2972" s="55"/>
      <c r="Y2972" s="97"/>
    </row>
    <row r="2973" spans="13:25" x14ac:dyDescent="0.2">
      <c r="M2973" s="55"/>
      <c r="Y2973" s="97"/>
    </row>
    <row r="2974" spans="13:25" x14ac:dyDescent="0.2">
      <c r="M2974" s="55"/>
      <c r="Y2974" s="97"/>
    </row>
    <row r="2975" spans="13:25" x14ac:dyDescent="0.2">
      <c r="M2975" s="55"/>
      <c r="Y2975" s="97"/>
    </row>
    <row r="2976" spans="13:25" x14ac:dyDescent="0.2">
      <c r="M2976" s="55"/>
      <c r="Y2976" s="97"/>
    </row>
    <row r="2977" spans="13:25" x14ac:dyDescent="0.2">
      <c r="M2977" s="55"/>
      <c r="Y2977" s="97"/>
    </row>
    <row r="2978" spans="13:25" x14ac:dyDescent="0.2">
      <c r="M2978" s="55"/>
      <c r="Y2978" s="97"/>
    </row>
    <row r="2979" spans="13:25" x14ac:dyDescent="0.2">
      <c r="M2979" s="55"/>
      <c r="Y2979" s="97"/>
    </row>
    <row r="2980" spans="13:25" x14ac:dyDescent="0.2">
      <c r="M2980" s="55"/>
      <c r="Y2980" s="97"/>
    </row>
    <row r="2981" spans="13:25" x14ac:dyDescent="0.2">
      <c r="M2981" s="55"/>
      <c r="Y2981" s="97"/>
    </row>
    <row r="2982" spans="13:25" x14ac:dyDescent="0.2">
      <c r="M2982" s="55"/>
      <c r="Y2982" s="97"/>
    </row>
    <row r="2983" spans="13:25" x14ac:dyDescent="0.2">
      <c r="M2983" s="55"/>
      <c r="Y2983" s="97"/>
    </row>
    <row r="2984" spans="13:25" x14ac:dyDescent="0.2">
      <c r="M2984" s="55"/>
      <c r="Y2984" s="97"/>
    </row>
    <row r="2985" spans="13:25" x14ac:dyDescent="0.2">
      <c r="M2985" s="55"/>
      <c r="Y2985" s="97"/>
    </row>
    <row r="2986" spans="13:25" x14ac:dyDescent="0.2">
      <c r="M2986" s="55"/>
      <c r="Y2986" s="97"/>
    </row>
    <row r="2987" spans="13:25" x14ac:dyDescent="0.2">
      <c r="M2987" s="55"/>
      <c r="Y2987" s="97"/>
    </row>
    <row r="2988" spans="13:25" x14ac:dyDescent="0.2">
      <c r="M2988" s="55"/>
      <c r="Y2988" s="97"/>
    </row>
    <row r="2989" spans="13:25" x14ac:dyDescent="0.2">
      <c r="M2989" s="55"/>
      <c r="Y2989" s="97"/>
    </row>
    <row r="2990" spans="13:25" x14ac:dyDescent="0.2">
      <c r="M2990" s="55"/>
      <c r="Y2990" s="97"/>
    </row>
    <row r="2991" spans="13:25" x14ac:dyDescent="0.2">
      <c r="M2991" s="55"/>
      <c r="Y2991" s="97"/>
    </row>
    <row r="2992" spans="13:25" x14ac:dyDescent="0.2">
      <c r="M2992" s="55"/>
      <c r="Y2992" s="97"/>
    </row>
    <row r="2993" spans="13:25" x14ac:dyDescent="0.2">
      <c r="M2993" s="55"/>
      <c r="Y2993" s="97"/>
    </row>
    <row r="2994" spans="13:25" x14ac:dyDescent="0.2">
      <c r="M2994" s="55"/>
      <c r="Y2994" s="97"/>
    </row>
    <row r="2995" spans="13:25" x14ac:dyDescent="0.2">
      <c r="M2995" s="55"/>
      <c r="Y2995" s="97"/>
    </row>
    <row r="2996" spans="13:25" x14ac:dyDescent="0.2">
      <c r="M2996" s="55"/>
      <c r="Y2996" s="97"/>
    </row>
    <row r="2997" spans="13:25" x14ac:dyDescent="0.2">
      <c r="M2997" s="55"/>
      <c r="Y2997" s="97"/>
    </row>
    <row r="2998" spans="13:25" x14ac:dyDescent="0.2">
      <c r="M2998" s="55"/>
      <c r="Y2998" s="97"/>
    </row>
    <row r="2999" spans="13:25" x14ac:dyDescent="0.2">
      <c r="M2999" s="55"/>
      <c r="Y2999" s="97"/>
    </row>
    <row r="3000" spans="13:25" x14ac:dyDescent="0.2">
      <c r="M3000" s="55"/>
      <c r="Y3000" s="97"/>
    </row>
    <row r="3001" spans="13:25" x14ac:dyDescent="0.2">
      <c r="M3001" s="55"/>
      <c r="Y3001" s="97"/>
    </row>
    <row r="3002" spans="13:25" x14ac:dyDescent="0.2">
      <c r="M3002" s="55"/>
      <c r="Y3002" s="97"/>
    </row>
    <row r="3003" spans="13:25" x14ac:dyDescent="0.2">
      <c r="M3003" s="55"/>
      <c r="Y3003" s="97"/>
    </row>
    <row r="3004" spans="13:25" x14ac:dyDescent="0.2">
      <c r="M3004" s="55"/>
      <c r="Y3004" s="97"/>
    </row>
    <row r="3005" spans="13:25" x14ac:dyDescent="0.2">
      <c r="M3005" s="55"/>
      <c r="Y3005" s="97"/>
    </row>
    <row r="3006" spans="13:25" x14ac:dyDescent="0.2">
      <c r="M3006" s="55"/>
      <c r="Y3006" s="97"/>
    </row>
    <row r="3007" spans="13:25" x14ac:dyDescent="0.2">
      <c r="M3007" s="55"/>
      <c r="Y3007" s="97"/>
    </row>
    <row r="3008" spans="13:25" x14ac:dyDescent="0.2">
      <c r="M3008" s="55"/>
      <c r="Y3008" s="97"/>
    </row>
    <row r="3009" spans="13:25" x14ac:dyDescent="0.2">
      <c r="M3009" s="55"/>
      <c r="Y3009" s="97"/>
    </row>
    <row r="3010" spans="13:25" x14ac:dyDescent="0.2">
      <c r="M3010" s="55"/>
      <c r="Y3010" s="97"/>
    </row>
    <row r="3011" spans="13:25" x14ac:dyDescent="0.2">
      <c r="M3011" s="55"/>
      <c r="Y3011" s="97"/>
    </row>
    <row r="3012" spans="13:25" x14ac:dyDescent="0.2">
      <c r="M3012" s="55"/>
      <c r="Y3012" s="97"/>
    </row>
    <row r="3013" spans="13:25" x14ac:dyDescent="0.2">
      <c r="M3013" s="55"/>
      <c r="Y3013" s="97"/>
    </row>
    <row r="3014" spans="13:25" x14ac:dyDescent="0.2">
      <c r="M3014" s="55"/>
      <c r="Y3014" s="97"/>
    </row>
    <row r="3015" spans="13:25" x14ac:dyDescent="0.2">
      <c r="M3015" s="55"/>
      <c r="Y3015" s="97"/>
    </row>
    <row r="3016" spans="13:25" x14ac:dyDescent="0.2">
      <c r="M3016" s="55"/>
      <c r="Y3016" s="97"/>
    </row>
    <row r="3017" spans="13:25" x14ac:dyDescent="0.2">
      <c r="M3017" s="55"/>
      <c r="Y3017" s="97"/>
    </row>
    <row r="3018" spans="13:25" x14ac:dyDescent="0.2">
      <c r="M3018" s="55"/>
      <c r="Y3018" s="97"/>
    </row>
    <row r="3019" spans="13:25" x14ac:dyDescent="0.2">
      <c r="M3019" s="55"/>
      <c r="Y3019" s="97"/>
    </row>
    <row r="3020" spans="13:25" x14ac:dyDescent="0.2">
      <c r="M3020" s="55"/>
      <c r="Y3020" s="97"/>
    </row>
    <row r="3021" spans="13:25" x14ac:dyDescent="0.2">
      <c r="M3021" s="55"/>
      <c r="Y3021" s="97"/>
    </row>
    <row r="3022" spans="13:25" x14ac:dyDescent="0.2">
      <c r="M3022" s="55"/>
      <c r="Y3022" s="97"/>
    </row>
    <row r="3023" spans="13:25" x14ac:dyDescent="0.2">
      <c r="M3023" s="55"/>
      <c r="Y3023" s="97"/>
    </row>
    <row r="3024" spans="13:25" x14ac:dyDescent="0.2">
      <c r="M3024" s="55"/>
      <c r="Y3024" s="97"/>
    </row>
    <row r="3025" spans="13:25" x14ac:dyDescent="0.2">
      <c r="M3025" s="55"/>
      <c r="Y3025" s="97"/>
    </row>
    <row r="3026" spans="13:25" x14ac:dyDescent="0.2">
      <c r="M3026" s="55"/>
      <c r="Y3026" s="97"/>
    </row>
    <row r="3027" spans="13:25" x14ac:dyDescent="0.2">
      <c r="M3027" s="55"/>
      <c r="Y3027" s="97"/>
    </row>
    <row r="3028" spans="13:25" x14ac:dyDescent="0.2">
      <c r="M3028" s="55"/>
      <c r="Y3028" s="97"/>
    </row>
    <row r="3029" spans="13:25" x14ac:dyDescent="0.2">
      <c r="M3029" s="55"/>
      <c r="Y3029" s="97"/>
    </row>
    <row r="3030" spans="13:25" x14ac:dyDescent="0.2">
      <c r="M3030" s="55"/>
      <c r="Y3030" s="97"/>
    </row>
    <row r="3031" spans="13:25" x14ac:dyDescent="0.2">
      <c r="M3031" s="55"/>
      <c r="Y3031" s="97"/>
    </row>
    <row r="3032" spans="13:25" x14ac:dyDescent="0.2">
      <c r="M3032" s="55"/>
      <c r="Y3032" s="97"/>
    </row>
    <row r="3033" spans="13:25" x14ac:dyDescent="0.2">
      <c r="M3033" s="55"/>
      <c r="Y3033" s="97"/>
    </row>
    <row r="3034" spans="13:25" x14ac:dyDescent="0.2">
      <c r="M3034" s="55"/>
      <c r="Y3034" s="97"/>
    </row>
    <row r="3035" spans="13:25" x14ac:dyDescent="0.2">
      <c r="M3035" s="55"/>
      <c r="Y3035" s="97"/>
    </row>
    <row r="3036" spans="13:25" x14ac:dyDescent="0.2">
      <c r="M3036" s="55"/>
      <c r="Y3036" s="97"/>
    </row>
    <row r="3037" spans="13:25" x14ac:dyDescent="0.2">
      <c r="M3037" s="55"/>
      <c r="Y3037" s="97"/>
    </row>
    <row r="3038" spans="13:25" x14ac:dyDescent="0.2">
      <c r="M3038" s="55"/>
      <c r="Y3038" s="97"/>
    </row>
    <row r="3039" spans="13:25" x14ac:dyDescent="0.2">
      <c r="M3039" s="55"/>
      <c r="Y3039" s="97"/>
    </row>
    <row r="3040" spans="13:25" x14ac:dyDescent="0.2">
      <c r="M3040" s="55"/>
      <c r="Y3040" s="97"/>
    </row>
    <row r="3041" spans="13:25" x14ac:dyDescent="0.2">
      <c r="M3041" s="55"/>
      <c r="Y3041" s="97"/>
    </row>
    <row r="3042" spans="13:25" x14ac:dyDescent="0.2">
      <c r="M3042" s="55"/>
      <c r="Y3042" s="97"/>
    </row>
    <row r="3043" spans="13:25" x14ac:dyDescent="0.2">
      <c r="M3043" s="55"/>
      <c r="Y3043" s="97"/>
    </row>
    <row r="3044" spans="13:25" x14ac:dyDescent="0.2">
      <c r="M3044" s="55"/>
      <c r="Y3044" s="97"/>
    </row>
    <row r="3045" spans="13:25" x14ac:dyDescent="0.2">
      <c r="M3045" s="55"/>
      <c r="Y3045" s="97"/>
    </row>
    <row r="3046" spans="13:25" x14ac:dyDescent="0.2">
      <c r="M3046" s="55"/>
      <c r="Y3046" s="97"/>
    </row>
    <row r="3047" spans="13:25" x14ac:dyDescent="0.2">
      <c r="M3047" s="55"/>
      <c r="Y3047" s="97"/>
    </row>
    <row r="3048" spans="13:25" x14ac:dyDescent="0.2">
      <c r="M3048" s="55"/>
      <c r="Y3048" s="97"/>
    </row>
    <row r="3049" spans="13:25" x14ac:dyDescent="0.2">
      <c r="M3049" s="55"/>
      <c r="Y3049" s="97"/>
    </row>
    <row r="3050" spans="13:25" x14ac:dyDescent="0.2">
      <c r="M3050" s="55"/>
      <c r="Y3050" s="97"/>
    </row>
    <row r="3051" spans="13:25" x14ac:dyDescent="0.2">
      <c r="M3051" s="55"/>
      <c r="Y3051" s="97"/>
    </row>
    <row r="3052" spans="13:25" x14ac:dyDescent="0.2">
      <c r="M3052" s="55"/>
      <c r="Y3052" s="97"/>
    </row>
    <row r="3053" spans="13:25" x14ac:dyDescent="0.2">
      <c r="M3053" s="55"/>
      <c r="Y3053" s="97"/>
    </row>
    <row r="3054" spans="13:25" x14ac:dyDescent="0.2">
      <c r="M3054" s="55"/>
      <c r="Y3054" s="97"/>
    </row>
    <row r="3055" spans="13:25" x14ac:dyDescent="0.2">
      <c r="M3055" s="55"/>
      <c r="Y3055" s="97"/>
    </row>
    <row r="3056" spans="13:25" x14ac:dyDescent="0.2">
      <c r="M3056" s="55"/>
      <c r="Y3056" s="97"/>
    </row>
    <row r="3057" spans="13:25" x14ac:dyDescent="0.2">
      <c r="M3057" s="55"/>
      <c r="Y3057" s="97"/>
    </row>
    <row r="3058" spans="13:25" x14ac:dyDescent="0.2">
      <c r="M3058" s="55"/>
      <c r="Y3058" s="97"/>
    </row>
    <row r="3059" spans="13:25" x14ac:dyDescent="0.2">
      <c r="M3059" s="55"/>
      <c r="Y3059" s="97"/>
    </row>
    <row r="3060" spans="13:25" x14ac:dyDescent="0.2">
      <c r="M3060" s="55"/>
      <c r="Y3060" s="97"/>
    </row>
    <row r="3061" spans="13:25" x14ac:dyDescent="0.2">
      <c r="M3061" s="55"/>
      <c r="Y3061" s="97"/>
    </row>
    <row r="3062" spans="13:25" x14ac:dyDescent="0.2">
      <c r="M3062" s="55"/>
      <c r="Y3062" s="97"/>
    </row>
    <row r="3063" spans="13:25" x14ac:dyDescent="0.2">
      <c r="M3063" s="55"/>
      <c r="Y3063" s="97"/>
    </row>
    <row r="3064" spans="13:25" x14ac:dyDescent="0.2">
      <c r="M3064" s="55"/>
      <c r="Y3064" s="97"/>
    </row>
    <row r="3065" spans="13:25" x14ac:dyDescent="0.2">
      <c r="M3065" s="55"/>
      <c r="Y3065" s="97"/>
    </row>
    <row r="3066" spans="13:25" x14ac:dyDescent="0.2">
      <c r="M3066" s="55"/>
      <c r="Y3066" s="97"/>
    </row>
    <row r="3067" spans="13:25" x14ac:dyDescent="0.2">
      <c r="M3067" s="55"/>
      <c r="Y3067" s="97"/>
    </row>
    <row r="3068" spans="13:25" x14ac:dyDescent="0.2">
      <c r="M3068" s="55"/>
      <c r="Y3068" s="97"/>
    </row>
    <row r="3069" spans="13:25" x14ac:dyDescent="0.2">
      <c r="M3069" s="55"/>
      <c r="Y3069" s="97"/>
    </row>
    <row r="3070" spans="13:25" x14ac:dyDescent="0.2">
      <c r="M3070" s="55"/>
      <c r="Y3070" s="97"/>
    </row>
    <row r="3071" spans="13:25" x14ac:dyDescent="0.2">
      <c r="M3071" s="55"/>
      <c r="Y3071" s="97"/>
    </row>
    <row r="3072" spans="13:25" x14ac:dyDescent="0.2">
      <c r="M3072" s="55"/>
      <c r="Y3072" s="97"/>
    </row>
    <row r="3073" spans="13:25" x14ac:dyDescent="0.2">
      <c r="M3073" s="55"/>
      <c r="Y3073" s="97"/>
    </row>
    <row r="3074" spans="13:25" x14ac:dyDescent="0.2">
      <c r="M3074" s="55"/>
      <c r="Y3074" s="97"/>
    </row>
    <row r="3075" spans="13:25" x14ac:dyDescent="0.2">
      <c r="M3075" s="55"/>
      <c r="Y3075" s="97"/>
    </row>
    <row r="3076" spans="13:25" x14ac:dyDescent="0.2">
      <c r="M3076" s="55"/>
      <c r="Y3076" s="97"/>
    </row>
    <row r="3077" spans="13:25" x14ac:dyDescent="0.2">
      <c r="M3077" s="55"/>
      <c r="Y3077" s="97"/>
    </row>
    <row r="3078" spans="13:25" x14ac:dyDescent="0.2">
      <c r="M3078" s="55"/>
      <c r="Y3078" s="97"/>
    </row>
    <row r="3079" spans="13:25" x14ac:dyDescent="0.2">
      <c r="M3079" s="55"/>
      <c r="Y3079" s="97"/>
    </row>
    <row r="3080" spans="13:25" x14ac:dyDescent="0.2">
      <c r="M3080" s="55"/>
      <c r="Y3080" s="97"/>
    </row>
    <row r="3081" spans="13:25" x14ac:dyDescent="0.2">
      <c r="M3081" s="55"/>
      <c r="Y3081" s="97"/>
    </row>
    <row r="3082" spans="13:25" x14ac:dyDescent="0.2">
      <c r="M3082" s="55"/>
      <c r="Y3082" s="97"/>
    </row>
    <row r="3083" spans="13:25" x14ac:dyDescent="0.2">
      <c r="M3083" s="55"/>
      <c r="Y3083" s="97"/>
    </row>
    <row r="3084" spans="13:25" x14ac:dyDescent="0.2">
      <c r="M3084" s="55"/>
      <c r="Y3084" s="97"/>
    </row>
    <row r="3085" spans="13:25" x14ac:dyDescent="0.2">
      <c r="M3085" s="55"/>
      <c r="Y3085" s="97"/>
    </row>
    <row r="3086" spans="13:25" x14ac:dyDescent="0.2">
      <c r="M3086" s="55"/>
      <c r="Y3086" s="97"/>
    </row>
    <row r="3087" spans="13:25" x14ac:dyDescent="0.2">
      <c r="M3087" s="55"/>
      <c r="Y3087" s="97"/>
    </row>
    <row r="3088" spans="13:25" x14ac:dyDescent="0.2">
      <c r="M3088" s="55"/>
      <c r="Y3088" s="97"/>
    </row>
    <row r="3089" spans="13:25" x14ac:dyDescent="0.2">
      <c r="M3089" s="55"/>
      <c r="Y3089" s="97"/>
    </row>
    <row r="3090" spans="13:25" x14ac:dyDescent="0.2">
      <c r="M3090" s="55"/>
      <c r="Y3090" s="97"/>
    </row>
    <row r="3091" spans="13:25" x14ac:dyDescent="0.2">
      <c r="M3091" s="55"/>
      <c r="Y3091" s="97"/>
    </row>
    <row r="3092" spans="13:25" x14ac:dyDescent="0.2">
      <c r="M3092" s="55"/>
      <c r="Y3092" s="97"/>
    </row>
    <row r="3093" spans="13:25" x14ac:dyDescent="0.2">
      <c r="M3093" s="55"/>
      <c r="Y3093" s="97"/>
    </row>
    <row r="3094" spans="13:25" x14ac:dyDescent="0.2">
      <c r="M3094" s="55"/>
      <c r="Y3094" s="97"/>
    </row>
    <row r="3095" spans="13:25" x14ac:dyDescent="0.2">
      <c r="M3095" s="55"/>
      <c r="Y3095" s="97"/>
    </row>
    <row r="3096" spans="13:25" x14ac:dyDescent="0.2">
      <c r="M3096" s="55"/>
      <c r="Y3096" s="97"/>
    </row>
    <row r="3097" spans="13:25" x14ac:dyDescent="0.2">
      <c r="M3097" s="55"/>
      <c r="Y3097" s="97"/>
    </row>
    <row r="3098" spans="13:25" x14ac:dyDescent="0.2">
      <c r="M3098" s="55"/>
      <c r="Y3098" s="97"/>
    </row>
    <row r="3099" spans="13:25" x14ac:dyDescent="0.2">
      <c r="M3099" s="55"/>
      <c r="Y3099" s="97"/>
    </row>
    <row r="3100" spans="13:25" x14ac:dyDescent="0.2">
      <c r="M3100" s="55"/>
      <c r="Y3100" s="97"/>
    </row>
    <row r="3101" spans="13:25" x14ac:dyDescent="0.2">
      <c r="M3101" s="55"/>
      <c r="Y3101" s="97"/>
    </row>
    <row r="3102" spans="13:25" x14ac:dyDescent="0.2">
      <c r="M3102" s="55"/>
      <c r="Y3102" s="97"/>
    </row>
    <row r="3103" spans="13:25" x14ac:dyDescent="0.2">
      <c r="M3103" s="55"/>
      <c r="Y3103" s="97"/>
    </row>
    <row r="3104" spans="13:25" x14ac:dyDescent="0.2">
      <c r="M3104" s="55"/>
      <c r="Y3104" s="97"/>
    </row>
    <row r="3105" spans="13:25" x14ac:dyDescent="0.2">
      <c r="M3105" s="55"/>
      <c r="Y3105" s="97"/>
    </row>
    <row r="3106" spans="13:25" x14ac:dyDescent="0.2">
      <c r="M3106" s="55"/>
      <c r="Y3106" s="97"/>
    </row>
    <row r="3107" spans="13:25" x14ac:dyDescent="0.2">
      <c r="M3107" s="55"/>
      <c r="Y3107" s="97"/>
    </row>
    <row r="3108" spans="13:25" x14ac:dyDescent="0.2">
      <c r="M3108" s="55"/>
      <c r="Y3108" s="97"/>
    </row>
    <row r="3109" spans="13:25" x14ac:dyDescent="0.2">
      <c r="M3109" s="55"/>
      <c r="Y3109" s="97"/>
    </row>
    <row r="3110" spans="13:25" x14ac:dyDescent="0.2">
      <c r="M3110" s="55"/>
      <c r="Y3110" s="97"/>
    </row>
    <row r="3111" spans="13:25" x14ac:dyDescent="0.2">
      <c r="M3111" s="55"/>
      <c r="Y3111" s="97"/>
    </row>
    <row r="3112" spans="13:25" x14ac:dyDescent="0.2">
      <c r="M3112" s="55"/>
      <c r="Y3112" s="97"/>
    </row>
    <row r="3113" spans="13:25" x14ac:dyDescent="0.2">
      <c r="M3113" s="55"/>
      <c r="Y3113" s="97"/>
    </row>
    <row r="3114" spans="13:25" x14ac:dyDescent="0.2">
      <c r="M3114" s="55"/>
      <c r="Y3114" s="97"/>
    </row>
    <row r="3115" spans="13:25" x14ac:dyDescent="0.2">
      <c r="M3115" s="55"/>
      <c r="Y3115" s="97"/>
    </row>
    <row r="3116" spans="13:25" x14ac:dyDescent="0.2">
      <c r="M3116" s="55"/>
      <c r="Y3116" s="97"/>
    </row>
    <row r="3117" spans="13:25" x14ac:dyDescent="0.2">
      <c r="M3117" s="55"/>
      <c r="Y3117" s="97"/>
    </row>
    <row r="3118" spans="13:25" x14ac:dyDescent="0.2">
      <c r="M3118" s="55"/>
      <c r="Y3118" s="97"/>
    </row>
    <row r="3119" spans="13:25" x14ac:dyDescent="0.2">
      <c r="M3119" s="55"/>
      <c r="Y3119" s="97"/>
    </row>
    <row r="3120" spans="13:25" x14ac:dyDescent="0.2">
      <c r="M3120" s="55"/>
      <c r="Y3120" s="97"/>
    </row>
    <row r="3121" spans="13:25" x14ac:dyDescent="0.2">
      <c r="M3121" s="55"/>
      <c r="Y3121" s="97"/>
    </row>
    <row r="3122" spans="13:25" x14ac:dyDescent="0.2">
      <c r="M3122" s="55"/>
      <c r="Y3122" s="97"/>
    </row>
    <row r="3123" spans="13:25" x14ac:dyDescent="0.2">
      <c r="M3123" s="55"/>
      <c r="Y3123" s="97"/>
    </row>
    <row r="3124" spans="13:25" x14ac:dyDescent="0.2">
      <c r="M3124" s="55"/>
      <c r="Y3124" s="97"/>
    </row>
    <row r="3125" spans="13:25" x14ac:dyDescent="0.2">
      <c r="M3125" s="55"/>
      <c r="Y3125" s="97"/>
    </row>
    <row r="3126" spans="13:25" x14ac:dyDescent="0.2">
      <c r="M3126" s="55"/>
      <c r="Y3126" s="97"/>
    </row>
    <row r="3127" spans="13:25" x14ac:dyDescent="0.2">
      <c r="M3127" s="55"/>
      <c r="Y3127" s="97"/>
    </row>
    <row r="3128" spans="13:25" x14ac:dyDescent="0.2">
      <c r="M3128" s="55"/>
      <c r="Y3128" s="97"/>
    </row>
    <row r="3129" spans="13:25" x14ac:dyDescent="0.2">
      <c r="M3129" s="55"/>
      <c r="Y3129" s="97"/>
    </row>
    <row r="3130" spans="13:25" x14ac:dyDescent="0.2">
      <c r="M3130" s="55"/>
      <c r="Y3130" s="97"/>
    </row>
    <row r="3131" spans="13:25" x14ac:dyDescent="0.2">
      <c r="M3131" s="55"/>
      <c r="Y3131" s="97"/>
    </row>
    <row r="3132" spans="13:25" x14ac:dyDescent="0.2">
      <c r="M3132" s="55"/>
      <c r="Y3132" s="97"/>
    </row>
    <row r="3133" spans="13:25" x14ac:dyDescent="0.2">
      <c r="M3133" s="55"/>
      <c r="Y3133" s="97"/>
    </row>
    <row r="3134" spans="13:25" x14ac:dyDescent="0.2">
      <c r="M3134" s="55"/>
      <c r="Y3134" s="97"/>
    </row>
    <row r="3135" spans="13:25" x14ac:dyDescent="0.2">
      <c r="M3135" s="55"/>
      <c r="Y3135" s="97"/>
    </row>
    <row r="3136" spans="13:25" x14ac:dyDescent="0.2">
      <c r="M3136" s="55"/>
      <c r="Y3136" s="97"/>
    </row>
    <row r="3137" spans="13:25" x14ac:dyDescent="0.2">
      <c r="M3137" s="55"/>
      <c r="Y3137" s="97"/>
    </row>
    <row r="3138" spans="13:25" x14ac:dyDescent="0.2">
      <c r="M3138" s="55"/>
      <c r="Y3138" s="97"/>
    </row>
    <row r="3139" spans="13:25" x14ac:dyDescent="0.2">
      <c r="M3139" s="55"/>
      <c r="Y3139" s="97"/>
    </row>
    <row r="3140" spans="13:25" x14ac:dyDescent="0.2">
      <c r="M3140" s="55"/>
      <c r="Y3140" s="97"/>
    </row>
    <row r="3141" spans="13:25" x14ac:dyDescent="0.2">
      <c r="M3141" s="55"/>
      <c r="Y3141" s="97"/>
    </row>
    <row r="3142" spans="13:25" x14ac:dyDescent="0.2">
      <c r="M3142" s="55"/>
      <c r="Y3142" s="97"/>
    </row>
    <row r="3143" spans="13:25" x14ac:dyDescent="0.2">
      <c r="M3143" s="55"/>
      <c r="Y3143" s="97"/>
    </row>
    <row r="3144" spans="13:25" x14ac:dyDescent="0.2">
      <c r="M3144" s="55"/>
      <c r="Y3144" s="97"/>
    </row>
    <row r="3145" spans="13:25" x14ac:dyDescent="0.2">
      <c r="M3145" s="55"/>
      <c r="Y3145" s="97"/>
    </row>
    <row r="3146" spans="13:25" x14ac:dyDescent="0.2">
      <c r="M3146" s="55"/>
      <c r="Y3146" s="97"/>
    </row>
    <row r="3147" spans="13:25" x14ac:dyDescent="0.2">
      <c r="M3147" s="55"/>
      <c r="Y3147" s="97"/>
    </row>
    <row r="3148" spans="13:25" x14ac:dyDescent="0.2">
      <c r="M3148" s="55"/>
      <c r="Y3148" s="97"/>
    </row>
    <row r="3149" spans="13:25" x14ac:dyDescent="0.2">
      <c r="M3149" s="55"/>
      <c r="Y3149" s="97"/>
    </row>
    <row r="3150" spans="13:25" x14ac:dyDescent="0.2">
      <c r="M3150" s="55"/>
      <c r="Y3150" s="97"/>
    </row>
    <row r="3151" spans="13:25" x14ac:dyDescent="0.2">
      <c r="M3151" s="55"/>
      <c r="Y3151" s="97"/>
    </row>
    <row r="3152" spans="13:25" x14ac:dyDescent="0.2">
      <c r="M3152" s="55"/>
      <c r="Y3152" s="97"/>
    </row>
    <row r="3153" spans="13:25" x14ac:dyDescent="0.2">
      <c r="M3153" s="55"/>
      <c r="Y3153" s="97"/>
    </row>
    <row r="3154" spans="13:25" x14ac:dyDescent="0.2">
      <c r="M3154" s="55"/>
      <c r="Y3154" s="97"/>
    </row>
    <row r="3155" spans="13:25" x14ac:dyDescent="0.2">
      <c r="M3155" s="55"/>
      <c r="Y3155" s="97"/>
    </row>
    <row r="3156" spans="13:25" x14ac:dyDescent="0.2">
      <c r="M3156" s="55"/>
      <c r="Y3156" s="97"/>
    </row>
    <row r="3157" spans="13:25" x14ac:dyDescent="0.2">
      <c r="M3157" s="55"/>
      <c r="Y3157" s="97"/>
    </row>
    <row r="3158" spans="13:25" x14ac:dyDescent="0.2">
      <c r="M3158" s="55"/>
      <c r="Y3158" s="97"/>
    </row>
    <row r="3159" spans="13:25" x14ac:dyDescent="0.2">
      <c r="M3159" s="55"/>
      <c r="Y3159" s="97"/>
    </row>
    <row r="3160" spans="13:25" x14ac:dyDescent="0.2">
      <c r="M3160" s="55"/>
      <c r="Y3160" s="97"/>
    </row>
    <row r="3161" spans="13:25" x14ac:dyDescent="0.2">
      <c r="M3161" s="55"/>
      <c r="Y3161" s="97"/>
    </row>
    <row r="3162" spans="13:25" x14ac:dyDescent="0.2">
      <c r="M3162" s="55"/>
      <c r="Y3162" s="97"/>
    </row>
    <row r="3163" spans="13:25" x14ac:dyDescent="0.2">
      <c r="M3163" s="55"/>
      <c r="Y3163" s="97"/>
    </row>
    <row r="3164" spans="13:25" x14ac:dyDescent="0.2">
      <c r="M3164" s="55"/>
      <c r="Y3164" s="97"/>
    </row>
    <row r="3165" spans="13:25" x14ac:dyDescent="0.2">
      <c r="M3165" s="55"/>
      <c r="Y3165" s="97"/>
    </row>
    <row r="3166" spans="13:25" x14ac:dyDescent="0.2">
      <c r="M3166" s="55"/>
      <c r="Y3166" s="97"/>
    </row>
    <row r="3167" spans="13:25" x14ac:dyDescent="0.2">
      <c r="M3167" s="55"/>
      <c r="Y3167" s="97"/>
    </row>
    <row r="3168" spans="13:25" x14ac:dyDescent="0.2">
      <c r="M3168" s="55"/>
      <c r="Y3168" s="97"/>
    </row>
    <row r="3169" spans="13:25" x14ac:dyDescent="0.2">
      <c r="M3169" s="55"/>
      <c r="Y3169" s="97"/>
    </row>
    <row r="3170" spans="13:25" x14ac:dyDescent="0.2">
      <c r="M3170" s="55"/>
      <c r="Y3170" s="97"/>
    </row>
    <row r="3171" spans="13:25" x14ac:dyDescent="0.2">
      <c r="M3171" s="55"/>
      <c r="Y3171" s="97"/>
    </row>
    <row r="3172" spans="13:25" x14ac:dyDescent="0.2">
      <c r="M3172" s="55"/>
      <c r="Y3172" s="97"/>
    </row>
    <row r="3173" spans="13:25" x14ac:dyDescent="0.2">
      <c r="M3173" s="55"/>
      <c r="Y3173" s="97"/>
    </row>
    <row r="3174" spans="13:25" x14ac:dyDescent="0.2">
      <c r="M3174" s="55"/>
      <c r="Y3174" s="97"/>
    </row>
    <row r="3175" spans="13:25" x14ac:dyDescent="0.2">
      <c r="M3175" s="55"/>
      <c r="Y3175" s="97"/>
    </row>
    <row r="3176" spans="13:25" x14ac:dyDescent="0.2">
      <c r="M3176" s="55"/>
      <c r="Y3176" s="97"/>
    </row>
    <row r="3177" spans="13:25" x14ac:dyDescent="0.2">
      <c r="M3177" s="55"/>
      <c r="Y3177" s="97"/>
    </row>
    <row r="3178" spans="13:25" x14ac:dyDescent="0.2">
      <c r="M3178" s="55"/>
      <c r="Y3178" s="97"/>
    </row>
    <row r="3179" spans="13:25" x14ac:dyDescent="0.2">
      <c r="M3179" s="55"/>
      <c r="Y3179" s="97"/>
    </row>
    <row r="3180" spans="13:25" x14ac:dyDescent="0.2">
      <c r="M3180" s="55"/>
      <c r="Y3180" s="97"/>
    </row>
    <row r="3181" spans="13:25" x14ac:dyDescent="0.2">
      <c r="M3181" s="55"/>
      <c r="Y3181" s="97"/>
    </row>
    <row r="3182" spans="13:25" x14ac:dyDescent="0.2">
      <c r="M3182" s="55"/>
      <c r="Y3182" s="97"/>
    </row>
    <row r="3183" spans="13:25" x14ac:dyDescent="0.2">
      <c r="M3183" s="55"/>
      <c r="Y3183" s="97"/>
    </row>
    <row r="3184" spans="13:25" x14ac:dyDescent="0.2">
      <c r="M3184" s="55"/>
      <c r="Y3184" s="97"/>
    </row>
    <row r="3185" spans="13:25" x14ac:dyDescent="0.2">
      <c r="M3185" s="55"/>
      <c r="Y3185" s="97"/>
    </row>
    <row r="3186" spans="13:25" x14ac:dyDescent="0.2">
      <c r="M3186" s="55"/>
      <c r="Y3186" s="97"/>
    </row>
    <row r="3187" spans="13:25" x14ac:dyDescent="0.2">
      <c r="M3187" s="55"/>
      <c r="Y3187" s="97"/>
    </row>
    <row r="3188" spans="13:25" x14ac:dyDescent="0.2">
      <c r="M3188" s="55"/>
      <c r="Y3188" s="97"/>
    </row>
    <row r="3189" spans="13:25" x14ac:dyDescent="0.2">
      <c r="M3189" s="55"/>
      <c r="Y3189" s="97"/>
    </row>
    <row r="3190" spans="13:25" x14ac:dyDescent="0.2">
      <c r="M3190" s="55"/>
      <c r="Y3190" s="97"/>
    </row>
    <row r="3191" spans="13:25" x14ac:dyDescent="0.2">
      <c r="M3191" s="55"/>
      <c r="Y3191" s="97"/>
    </row>
    <row r="3192" spans="13:25" x14ac:dyDescent="0.2">
      <c r="M3192" s="55"/>
      <c r="Y3192" s="97"/>
    </row>
    <row r="3193" spans="13:25" x14ac:dyDescent="0.2">
      <c r="M3193" s="55"/>
      <c r="Y3193" s="97"/>
    </row>
    <row r="3194" spans="13:25" x14ac:dyDescent="0.2">
      <c r="M3194" s="55"/>
      <c r="Y3194" s="97"/>
    </row>
    <row r="3195" spans="13:25" x14ac:dyDescent="0.2">
      <c r="M3195" s="55"/>
      <c r="Y3195" s="97"/>
    </row>
    <row r="3196" spans="13:25" x14ac:dyDescent="0.2">
      <c r="M3196" s="55"/>
      <c r="Y3196" s="97"/>
    </row>
    <row r="3197" spans="13:25" x14ac:dyDescent="0.2">
      <c r="M3197" s="55"/>
      <c r="Y3197" s="97"/>
    </row>
    <row r="3198" spans="13:25" x14ac:dyDescent="0.2">
      <c r="M3198" s="55"/>
      <c r="Y3198" s="97"/>
    </row>
    <row r="3199" spans="13:25" x14ac:dyDescent="0.2">
      <c r="M3199" s="55"/>
      <c r="Y3199" s="97"/>
    </row>
    <row r="3200" spans="13:25" x14ac:dyDescent="0.2">
      <c r="M3200" s="55"/>
      <c r="Y3200" s="97"/>
    </row>
    <row r="3201" spans="13:25" x14ac:dyDescent="0.2">
      <c r="M3201" s="55"/>
      <c r="Y3201" s="97"/>
    </row>
    <row r="3202" spans="13:25" x14ac:dyDescent="0.2">
      <c r="M3202" s="55"/>
      <c r="Y3202" s="97"/>
    </row>
    <row r="3203" spans="13:25" x14ac:dyDescent="0.2">
      <c r="M3203" s="55"/>
      <c r="Y3203" s="97"/>
    </row>
    <row r="3204" spans="13:25" x14ac:dyDescent="0.2">
      <c r="M3204" s="55"/>
      <c r="Y3204" s="97"/>
    </row>
    <row r="3205" spans="13:25" x14ac:dyDescent="0.2">
      <c r="M3205" s="55"/>
      <c r="Y3205" s="97"/>
    </row>
    <row r="3206" spans="13:25" x14ac:dyDescent="0.2">
      <c r="M3206" s="55"/>
      <c r="Y3206" s="97"/>
    </row>
    <row r="3207" spans="13:25" x14ac:dyDescent="0.2">
      <c r="M3207" s="55"/>
      <c r="Y3207" s="97"/>
    </row>
    <row r="3208" spans="13:25" x14ac:dyDescent="0.2">
      <c r="M3208" s="55"/>
      <c r="Y3208" s="97"/>
    </row>
    <row r="3209" spans="13:25" x14ac:dyDescent="0.2">
      <c r="M3209" s="55"/>
      <c r="Y3209" s="97"/>
    </row>
    <row r="3210" spans="13:25" x14ac:dyDescent="0.2">
      <c r="M3210" s="55"/>
      <c r="Y3210" s="97"/>
    </row>
    <row r="3211" spans="13:25" x14ac:dyDescent="0.2">
      <c r="M3211" s="55"/>
      <c r="Y3211" s="97"/>
    </row>
    <row r="3212" spans="13:25" x14ac:dyDescent="0.2">
      <c r="M3212" s="55"/>
      <c r="Y3212" s="97"/>
    </row>
    <row r="3213" spans="13:25" x14ac:dyDescent="0.2">
      <c r="M3213" s="55"/>
      <c r="Y3213" s="97"/>
    </row>
    <row r="3214" spans="13:25" x14ac:dyDescent="0.2">
      <c r="M3214" s="55"/>
      <c r="Y3214" s="97"/>
    </row>
    <row r="3215" spans="13:25" x14ac:dyDescent="0.2">
      <c r="M3215" s="55"/>
      <c r="Y3215" s="97"/>
    </row>
    <row r="3216" spans="13:25" x14ac:dyDescent="0.2">
      <c r="M3216" s="55"/>
      <c r="Y3216" s="97"/>
    </row>
    <row r="3217" spans="13:25" x14ac:dyDescent="0.2">
      <c r="M3217" s="55"/>
      <c r="Y3217" s="97"/>
    </row>
    <row r="3218" spans="13:25" x14ac:dyDescent="0.2">
      <c r="M3218" s="55"/>
      <c r="Y3218" s="97"/>
    </row>
    <row r="3219" spans="13:25" x14ac:dyDescent="0.2">
      <c r="M3219" s="55"/>
      <c r="Y3219" s="97"/>
    </row>
    <row r="3220" spans="13:25" x14ac:dyDescent="0.2">
      <c r="M3220" s="55"/>
      <c r="Y3220" s="97"/>
    </row>
    <row r="3221" spans="13:25" x14ac:dyDescent="0.2">
      <c r="M3221" s="55"/>
      <c r="Y3221" s="97"/>
    </row>
    <row r="3222" spans="13:25" x14ac:dyDescent="0.2">
      <c r="M3222" s="55"/>
      <c r="Y3222" s="97"/>
    </row>
    <row r="3223" spans="13:25" x14ac:dyDescent="0.2">
      <c r="M3223" s="55"/>
      <c r="Y3223" s="97"/>
    </row>
    <row r="3224" spans="13:25" x14ac:dyDescent="0.2">
      <c r="M3224" s="55"/>
      <c r="Y3224" s="97"/>
    </row>
    <row r="3225" spans="13:25" x14ac:dyDescent="0.2">
      <c r="M3225" s="55"/>
      <c r="Y3225" s="97"/>
    </row>
    <row r="3226" spans="13:25" x14ac:dyDescent="0.2">
      <c r="M3226" s="55"/>
      <c r="Y3226" s="97"/>
    </row>
    <row r="3227" spans="13:25" x14ac:dyDescent="0.2">
      <c r="M3227" s="55"/>
      <c r="Y3227" s="97"/>
    </row>
    <row r="3228" spans="13:25" x14ac:dyDescent="0.2">
      <c r="M3228" s="55"/>
      <c r="Y3228" s="97"/>
    </row>
    <row r="3229" spans="13:25" x14ac:dyDescent="0.2">
      <c r="M3229" s="55"/>
      <c r="Y3229" s="97"/>
    </row>
    <row r="3230" spans="13:25" x14ac:dyDescent="0.2">
      <c r="M3230" s="55"/>
      <c r="Y3230" s="97"/>
    </row>
    <row r="3231" spans="13:25" x14ac:dyDescent="0.2">
      <c r="M3231" s="55"/>
      <c r="Y3231" s="97"/>
    </row>
    <row r="3232" spans="13:25" x14ac:dyDescent="0.2">
      <c r="M3232" s="55"/>
      <c r="Y3232" s="97"/>
    </row>
    <row r="3233" spans="13:25" x14ac:dyDescent="0.2">
      <c r="M3233" s="55"/>
      <c r="Y3233" s="97"/>
    </row>
    <row r="3234" spans="13:25" x14ac:dyDescent="0.2">
      <c r="M3234" s="55"/>
      <c r="Y3234" s="97"/>
    </row>
    <row r="3235" spans="13:25" x14ac:dyDescent="0.2">
      <c r="M3235" s="55"/>
      <c r="Y3235" s="97"/>
    </row>
    <row r="3236" spans="13:25" x14ac:dyDescent="0.2">
      <c r="M3236" s="55"/>
      <c r="Y3236" s="97"/>
    </row>
    <row r="3237" spans="13:25" x14ac:dyDescent="0.2">
      <c r="M3237" s="55"/>
      <c r="Y3237" s="97"/>
    </row>
    <row r="3238" spans="13:25" x14ac:dyDescent="0.2">
      <c r="M3238" s="55"/>
      <c r="Y3238" s="97"/>
    </row>
    <row r="3239" spans="13:25" x14ac:dyDescent="0.2">
      <c r="M3239" s="55"/>
      <c r="Y3239" s="97"/>
    </row>
    <row r="3240" spans="13:25" x14ac:dyDescent="0.2">
      <c r="M3240" s="55"/>
      <c r="Y3240" s="97"/>
    </row>
    <row r="3241" spans="13:25" x14ac:dyDescent="0.2">
      <c r="M3241" s="55"/>
      <c r="Y3241" s="97"/>
    </row>
    <row r="3242" spans="13:25" x14ac:dyDescent="0.2">
      <c r="M3242" s="55"/>
      <c r="Y3242" s="97"/>
    </row>
    <row r="3243" spans="13:25" x14ac:dyDescent="0.2">
      <c r="M3243" s="55"/>
      <c r="Y3243" s="97"/>
    </row>
    <row r="3244" spans="13:25" x14ac:dyDescent="0.2">
      <c r="M3244" s="55"/>
      <c r="Y3244" s="97"/>
    </row>
    <row r="3245" spans="13:25" x14ac:dyDescent="0.2">
      <c r="M3245" s="55"/>
      <c r="Y3245" s="97"/>
    </row>
    <row r="3246" spans="13:25" x14ac:dyDescent="0.2">
      <c r="M3246" s="55"/>
      <c r="Y3246" s="97"/>
    </row>
    <row r="3247" spans="13:25" x14ac:dyDescent="0.2">
      <c r="M3247" s="55"/>
      <c r="Y3247" s="97"/>
    </row>
    <row r="3248" spans="13:25" x14ac:dyDescent="0.2">
      <c r="M3248" s="55"/>
      <c r="Y3248" s="97"/>
    </row>
    <row r="3249" spans="13:25" x14ac:dyDescent="0.2">
      <c r="M3249" s="55"/>
      <c r="Y3249" s="97"/>
    </row>
    <row r="3250" spans="13:25" x14ac:dyDescent="0.2">
      <c r="M3250" s="55"/>
      <c r="Y3250" s="97"/>
    </row>
    <row r="3251" spans="13:25" x14ac:dyDescent="0.2">
      <c r="M3251" s="55"/>
      <c r="Y3251" s="97"/>
    </row>
    <row r="3252" spans="13:25" x14ac:dyDescent="0.2">
      <c r="M3252" s="55"/>
      <c r="Y3252" s="97"/>
    </row>
    <row r="3253" spans="13:25" x14ac:dyDescent="0.2">
      <c r="M3253" s="55"/>
      <c r="Y3253" s="97"/>
    </row>
    <row r="3254" spans="13:25" x14ac:dyDescent="0.2">
      <c r="M3254" s="55"/>
      <c r="Y3254" s="97"/>
    </row>
    <row r="3255" spans="13:25" x14ac:dyDescent="0.2">
      <c r="M3255" s="55"/>
      <c r="Y3255" s="97"/>
    </row>
    <row r="3256" spans="13:25" x14ac:dyDescent="0.2">
      <c r="M3256" s="55"/>
      <c r="Y3256" s="97"/>
    </row>
    <row r="3257" spans="13:25" x14ac:dyDescent="0.2">
      <c r="M3257" s="55"/>
      <c r="Y3257" s="97"/>
    </row>
    <row r="3258" spans="13:25" x14ac:dyDescent="0.2">
      <c r="M3258" s="55"/>
      <c r="Y3258" s="97"/>
    </row>
    <row r="3259" spans="13:25" x14ac:dyDescent="0.2">
      <c r="M3259" s="55"/>
      <c r="Y3259" s="97"/>
    </row>
    <row r="3260" spans="13:25" x14ac:dyDescent="0.2">
      <c r="M3260" s="55"/>
      <c r="Y3260" s="97"/>
    </row>
    <row r="3261" spans="13:25" x14ac:dyDescent="0.2">
      <c r="M3261" s="55"/>
      <c r="Y3261" s="97"/>
    </row>
    <row r="3262" spans="13:25" x14ac:dyDescent="0.2">
      <c r="M3262" s="55"/>
      <c r="Y3262" s="97"/>
    </row>
    <row r="3263" spans="13:25" x14ac:dyDescent="0.2">
      <c r="M3263" s="55"/>
      <c r="Y3263" s="97"/>
    </row>
    <row r="3264" spans="13:25" x14ac:dyDescent="0.2">
      <c r="M3264" s="55"/>
      <c r="Y3264" s="97"/>
    </row>
    <row r="3265" spans="13:25" x14ac:dyDescent="0.2">
      <c r="M3265" s="55"/>
      <c r="Y3265" s="97"/>
    </row>
    <row r="3266" spans="13:25" x14ac:dyDescent="0.2">
      <c r="M3266" s="55"/>
      <c r="Y3266" s="97"/>
    </row>
    <row r="3267" spans="13:25" x14ac:dyDescent="0.2">
      <c r="M3267" s="55"/>
      <c r="Y3267" s="97"/>
    </row>
    <row r="3268" spans="13:25" x14ac:dyDescent="0.2">
      <c r="M3268" s="55"/>
      <c r="Y3268" s="97"/>
    </row>
    <row r="3269" spans="13:25" x14ac:dyDescent="0.2">
      <c r="M3269" s="55"/>
      <c r="Y3269" s="97"/>
    </row>
    <row r="3270" spans="13:25" x14ac:dyDescent="0.2">
      <c r="M3270" s="55"/>
      <c r="Y3270" s="97"/>
    </row>
    <row r="3271" spans="13:25" x14ac:dyDescent="0.2">
      <c r="M3271" s="55"/>
      <c r="Y3271" s="97"/>
    </row>
    <row r="3272" spans="13:25" x14ac:dyDescent="0.2">
      <c r="M3272" s="55"/>
      <c r="Y3272" s="97"/>
    </row>
    <row r="3273" spans="13:25" x14ac:dyDescent="0.2">
      <c r="M3273" s="55"/>
      <c r="Y3273" s="97"/>
    </row>
    <row r="3274" spans="13:25" x14ac:dyDescent="0.2">
      <c r="M3274" s="55"/>
      <c r="Y3274" s="97"/>
    </row>
    <row r="3275" spans="13:25" x14ac:dyDescent="0.2">
      <c r="M3275" s="55"/>
      <c r="Y3275" s="97"/>
    </row>
    <row r="3276" spans="13:25" x14ac:dyDescent="0.2">
      <c r="M3276" s="55"/>
      <c r="Y3276" s="97"/>
    </row>
    <row r="3277" spans="13:25" x14ac:dyDescent="0.2">
      <c r="M3277" s="55"/>
      <c r="Y3277" s="97"/>
    </row>
    <row r="3278" spans="13:25" x14ac:dyDescent="0.2">
      <c r="M3278" s="55"/>
      <c r="Y3278" s="97"/>
    </row>
    <row r="3279" spans="13:25" x14ac:dyDescent="0.2">
      <c r="M3279" s="55"/>
      <c r="Y3279" s="97"/>
    </row>
    <row r="3280" spans="13:25" x14ac:dyDescent="0.2">
      <c r="M3280" s="55"/>
      <c r="Y3280" s="97"/>
    </row>
    <row r="3281" spans="13:25" x14ac:dyDescent="0.2">
      <c r="M3281" s="55"/>
      <c r="Y3281" s="97"/>
    </row>
    <row r="3282" spans="13:25" x14ac:dyDescent="0.2">
      <c r="M3282" s="55"/>
      <c r="Y3282" s="97"/>
    </row>
    <row r="3283" spans="13:25" x14ac:dyDescent="0.2">
      <c r="M3283" s="55"/>
      <c r="Y3283" s="97"/>
    </row>
    <row r="3284" spans="13:25" x14ac:dyDescent="0.2">
      <c r="M3284" s="55"/>
      <c r="Y3284" s="97"/>
    </row>
    <row r="3285" spans="13:25" x14ac:dyDescent="0.2">
      <c r="M3285" s="55"/>
      <c r="Y3285" s="97"/>
    </row>
    <row r="3286" spans="13:25" x14ac:dyDescent="0.2">
      <c r="M3286" s="55"/>
      <c r="Y3286" s="97"/>
    </row>
    <row r="3287" spans="13:25" x14ac:dyDescent="0.2">
      <c r="M3287" s="55"/>
      <c r="Y3287" s="97"/>
    </row>
    <row r="3288" spans="13:25" x14ac:dyDescent="0.2">
      <c r="M3288" s="55"/>
      <c r="Y3288" s="97"/>
    </row>
    <row r="3289" spans="13:25" x14ac:dyDescent="0.2">
      <c r="M3289" s="55"/>
      <c r="Y3289" s="97"/>
    </row>
    <row r="3290" spans="13:25" x14ac:dyDescent="0.2">
      <c r="M3290" s="55"/>
      <c r="Y3290" s="97"/>
    </row>
    <row r="3291" spans="13:25" x14ac:dyDescent="0.2">
      <c r="M3291" s="55"/>
      <c r="Y3291" s="97"/>
    </row>
    <row r="3292" spans="13:25" x14ac:dyDescent="0.2">
      <c r="M3292" s="55"/>
      <c r="Y3292" s="97"/>
    </row>
    <row r="3293" spans="13:25" x14ac:dyDescent="0.2">
      <c r="M3293" s="55"/>
      <c r="Y3293" s="97"/>
    </row>
    <row r="3294" spans="13:25" x14ac:dyDescent="0.2">
      <c r="M3294" s="55"/>
      <c r="Y3294" s="97"/>
    </row>
    <row r="3295" spans="13:25" x14ac:dyDescent="0.2">
      <c r="M3295" s="55"/>
      <c r="Y3295" s="97"/>
    </row>
    <row r="3296" spans="13:25" x14ac:dyDescent="0.2">
      <c r="M3296" s="55"/>
      <c r="Y3296" s="97"/>
    </row>
    <row r="3297" spans="13:25" x14ac:dyDescent="0.2">
      <c r="M3297" s="55"/>
      <c r="Y3297" s="97"/>
    </row>
    <row r="3298" spans="13:25" x14ac:dyDescent="0.2">
      <c r="M3298" s="55"/>
      <c r="Y3298" s="97"/>
    </row>
    <row r="3299" spans="13:25" x14ac:dyDescent="0.2">
      <c r="M3299" s="55"/>
      <c r="Y3299" s="97"/>
    </row>
    <row r="3300" spans="13:25" x14ac:dyDescent="0.2">
      <c r="M3300" s="55"/>
      <c r="Y3300" s="97"/>
    </row>
    <row r="3301" spans="13:25" x14ac:dyDescent="0.2">
      <c r="M3301" s="55"/>
      <c r="Y3301" s="97"/>
    </row>
    <row r="3302" spans="13:25" x14ac:dyDescent="0.2">
      <c r="M3302" s="55"/>
      <c r="Y3302" s="97"/>
    </row>
    <row r="3303" spans="13:25" x14ac:dyDescent="0.2">
      <c r="M3303" s="55"/>
      <c r="Y3303" s="97"/>
    </row>
    <row r="3304" spans="13:25" x14ac:dyDescent="0.2">
      <c r="M3304" s="55"/>
      <c r="Y3304" s="97"/>
    </row>
    <row r="3305" spans="13:25" x14ac:dyDescent="0.2">
      <c r="M3305" s="55"/>
      <c r="Y3305" s="97"/>
    </row>
    <row r="3306" spans="13:25" x14ac:dyDescent="0.2">
      <c r="M3306" s="55"/>
      <c r="Y3306" s="97"/>
    </row>
    <row r="3307" spans="13:25" x14ac:dyDescent="0.2">
      <c r="M3307" s="55"/>
      <c r="Y3307" s="97"/>
    </row>
    <row r="3308" spans="13:25" x14ac:dyDescent="0.2">
      <c r="M3308" s="55"/>
      <c r="Y3308" s="97"/>
    </row>
    <row r="3309" spans="13:25" x14ac:dyDescent="0.2">
      <c r="M3309" s="55"/>
      <c r="Y3309" s="97"/>
    </row>
    <row r="3310" spans="13:25" x14ac:dyDescent="0.2">
      <c r="M3310" s="55"/>
      <c r="Y3310" s="97"/>
    </row>
    <row r="3311" spans="13:25" x14ac:dyDescent="0.2">
      <c r="M3311" s="55"/>
      <c r="Y3311" s="97"/>
    </row>
    <row r="3312" spans="13:25" x14ac:dyDescent="0.2">
      <c r="M3312" s="55"/>
      <c r="Y3312" s="97"/>
    </row>
    <row r="3313" spans="13:25" x14ac:dyDescent="0.2">
      <c r="M3313" s="55"/>
      <c r="Y3313" s="97"/>
    </row>
    <row r="3314" spans="13:25" x14ac:dyDescent="0.2">
      <c r="M3314" s="55"/>
      <c r="Y3314" s="97"/>
    </row>
    <row r="3315" spans="13:25" x14ac:dyDescent="0.2">
      <c r="M3315" s="55"/>
      <c r="Y3315" s="97"/>
    </row>
    <row r="3316" spans="13:25" x14ac:dyDescent="0.2">
      <c r="M3316" s="55"/>
      <c r="Y3316" s="97"/>
    </row>
    <row r="3317" spans="13:25" x14ac:dyDescent="0.2">
      <c r="M3317" s="55"/>
      <c r="Y3317" s="97"/>
    </row>
    <row r="3318" spans="13:25" x14ac:dyDescent="0.2">
      <c r="M3318" s="55"/>
      <c r="Y3318" s="97"/>
    </row>
    <row r="3319" spans="13:25" x14ac:dyDescent="0.2">
      <c r="M3319" s="55"/>
      <c r="Y3319" s="97"/>
    </row>
    <row r="3320" spans="13:25" x14ac:dyDescent="0.2">
      <c r="M3320" s="55"/>
      <c r="Y3320" s="97"/>
    </row>
    <row r="3321" spans="13:25" x14ac:dyDescent="0.2">
      <c r="M3321" s="55"/>
      <c r="Y3321" s="97"/>
    </row>
    <row r="3322" spans="13:25" x14ac:dyDescent="0.2">
      <c r="M3322" s="55"/>
      <c r="Y3322" s="97"/>
    </row>
    <row r="3323" spans="13:25" x14ac:dyDescent="0.2">
      <c r="M3323" s="55"/>
      <c r="Y3323" s="97"/>
    </row>
    <row r="3324" spans="13:25" x14ac:dyDescent="0.2">
      <c r="M3324" s="55"/>
      <c r="Y3324" s="97"/>
    </row>
    <row r="3325" spans="13:25" x14ac:dyDescent="0.2">
      <c r="M3325" s="55"/>
      <c r="Y3325" s="97"/>
    </row>
    <row r="3326" spans="13:25" x14ac:dyDescent="0.2">
      <c r="M3326" s="55"/>
      <c r="Y3326" s="97"/>
    </row>
    <row r="3327" spans="13:25" x14ac:dyDescent="0.2">
      <c r="M3327" s="55"/>
      <c r="Y3327" s="97"/>
    </row>
    <row r="3328" spans="13:25" x14ac:dyDescent="0.2">
      <c r="M3328" s="55"/>
      <c r="Y3328" s="97"/>
    </row>
    <row r="3329" spans="13:25" x14ac:dyDescent="0.2">
      <c r="M3329" s="55"/>
      <c r="Y3329" s="97"/>
    </row>
    <row r="3330" spans="13:25" x14ac:dyDescent="0.2">
      <c r="M3330" s="55"/>
      <c r="Y3330" s="97"/>
    </row>
    <row r="3331" spans="13:25" x14ac:dyDescent="0.2">
      <c r="M3331" s="55"/>
      <c r="Y3331" s="97"/>
    </row>
    <row r="3332" spans="13:25" x14ac:dyDescent="0.2">
      <c r="M3332" s="55"/>
      <c r="Y3332" s="97"/>
    </row>
    <row r="3333" spans="13:25" x14ac:dyDescent="0.2">
      <c r="M3333" s="55"/>
      <c r="Y3333" s="97"/>
    </row>
    <row r="3334" spans="13:25" x14ac:dyDescent="0.2">
      <c r="M3334" s="55"/>
      <c r="Y3334" s="97"/>
    </row>
    <row r="3335" spans="13:25" x14ac:dyDescent="0.2">
      <c r="M3335" s="55"/>
      <c r="Y3335" s="97"/>
    </row>
    <row r="3336" spans="13:25" x14ac:dyDescent="0.2">
      <c r="M3336" s="55"/>
      <c r="Y3336" s="97"/>
    </row>
    <row r="3337" spans="13:25" x14ac:dyDescent="0.2">
      <c r="M3337" s="55"/>
      <c r="Y3337" s="97"/>
    </row>
    <row r="3338" spans="13:25" x14ac:dyDescent="0.2">
      <c r="M3338" s="55"/>
      <c r="Y3338" s="97"/>
    </row>
    <row r="3339" spans="13:25" x14ac:dyDescent="0.2">
      <c r="M3339" s="55"/>
      <c r="Y3339" s="97"/>
    </row>
    <row r="3340" spans="13:25" x14ac:dyDescent="0.2">
      <c r="M3340" s="55"/>
      <c r="Y3340" s="97"/>
    </row>
    <row r="3341" spans="13:25" x14ac:dyDescent="0.2">
      <c r="M3341" s="55"/>
      <c r="Y3341" s="97"/>
    </row>
    <row r="3342" spans="13:25" x14ac:dyDescent="0.2">
      <c r="M3342" s="55"/>
      <c r="Y3342" s="97"/>
    </row>
    <row r="3343" spans="13:25" x14ac:dyDescent="0.2">
      <c r="M3343" s="55"/>
      <c r="Y3343" s="97"/>
    </row>
    <row r="3344" spans="13:25" x14ac:dyDescent="0.2">
      <c r="M3344" s="55"/>
      <c r="Y3344" s="97"/>
    </row>
    <row r="3345" spans="13:25" x14ac:dyDescent="0.2">
      <c r="M3345" s="55"/>
      <c r="Y3345" s="97"/>
    </row>
    <row r="3346" spans="13:25" x14ac:dyDescent="0.2">
      <c r="M3346" s="55"/>
      <c r="Y3346" s="97"/>
    </row>
    <row r="3347" spans="13:25" x14ac:dyDescent="0.2">
      <c r="M3347" s="55"/>
      <c r="Y3347" s="97"/>
    </row>
    <row r="3348" spans="13:25" x14ac:dyDescent="0.2">
      <c r="M3348" s="55"/>
      <c r="Y3348" s="97"/>
    </row>
    <row r="3349" spans="13:25" x14ac:dyDescent="0.2">
      <c r="M3349" s="55"/>
      <c r="Y3349" s="97"/>
    </row>
    <row r="3350" spans="13:25" x14ac:dyDescent="0.2">
      <c r="M3350" s="55"/>
      <c r="Y3350" s="97"/>
    </row>
    <row r="3351" spans="13:25" x14ac:dyDescent="0.2">
      <c r="M3351" s="55"/>
      <c r="Y3351" s="97"/>
    </row>
    <row r="3352" spans="13:25" x14ac:dyDescent="0.2">
      <c r="M3352" s="55"/>
      <c r="Y3352" s="97"/>
    </row>
    <row r="3353" spans="13:25" x14ac:dyDescent="0.2">
      <c r="M3353" s="55"/>
      <c r="Y3353" s="97"/>
    </row>
    <row r="3354" spans="13:25" x14ac:dyDescent="0.2">
      <c r="M3354" s="55"/>
      <c r="Y3354" s="97"/>
    </row>
    <row r="3355" spans="13:25" x14ac:dyDescent="0.2">
      <c r="M3355" s="55"/>
      <c r="Y3355" s="97"/>
    </row>
    <row r="3356" spans="13:25" x14ac:dyDescent="0.2">
      <c r="M3356" s="55"/>
      <c r="Y3356" s="97"/>
    </row>
    <row r="3357" spans="13:25" x14ac:dyDescent="0.2">
      <c r="M3357" s="55"/>
      <c r="Y3357" s="97"/>
    </row>
    <row r="3358" spans="13:25" x14ac:dyDescent="0.2">
      <c r="M3358" s="55"/>
      <c r="Y3358" s="97"/>
    </row>
    <row r="3359" spans="13:25" x14ac:dyDescent="0.2">
      <c r="M3359" s="55"/>
      <c r="Y3359" s="97"/>
    </row>
    <row r="3360" spans="13:25" x14ac:dyDescent="0.2">
      <c r="M3360" s="55"/>
      <c r="Y3360" s="97"/>
    </row>
    <row r="3361" spans="13:25" x14ac:dyDescent="0.2">
      <c r="M3361" s="55"/>
      <c r="Y3361" s="97"/>
    </row>
    <row r="3362" spans="13:25" x14ac:dyDescent="0.2">
      <c r="M3362" s="55"/>
      <c r="Y3362" s="97"/>
    </row>
    <row r="3363" spans="13:25" x14ac:dyDescent="0.2">
      <c r="M3363" s="55"/>
      <c r="Y3363" s="97"/>
    </row>
    <row r="3364" spans="13:25" x14ac:dyDescent="0.2">
      <c r="M3364" s="55"/>
      <c r="Y3364" s="97"/>
    </row>
    <row r="3365" spans="13:25" x14ac:dyDescent="0.2">
      <c r="M3365" s="55"/>
      <c r="Y3365" s="97"/>
    </row>
    <row r="3366" spans="13:25" x14ac:dyDescent="0.2">
      <c r="M3366" s="55"/>
      <c r="Y3366" s="97"/>
    </row>
    <row r="3367" spans="13:25" x14ac:dyDescent="0.2">
      <c r="M3367" s="55"/>
      <c r="Y3367" s="97"/>
    </row>
    <row r="3368" spans="13:25" x14ac:dyDescent="0.2">
      <c r="M3368" s="55"/>
      <c r="Y3368" s="97"/>
    </row>
    <row r="3369" spans="13:25" x14ac:dyDescent="0.2">
      <c r="M3369" s="55"/>
      <c r="Y3369" s="97"/>
    </row>
    <row r="3370" spans="13:25" x14ac:dyDescent="0.2">
      <c r="M3370" s="55"/>
      <c r="Y3370" s="97"/>
    </row>
    <row r="3371" spans="13:25" x14ac:dyDescent="0.2">
      <c r="M3371" s="55"/>
      <c r="Y3371" s="97"/>
    </row>
    <row r="3372" spans="13:25" x14ac:dyDescent="0.2">
      <c r="M3372" s="55"/>
      <c r="Y3372" s="97"/>
    </row>
    <row r="3373" spans="13:25" x14ac:dyDescent="0.2">
      <c r="M3373" s="55"/>
      <c r="Y3373" s="97"/>
    </row>
    <row r="3374" spans="13:25" x14ac:dyDescent="0.2">
      <c r="M3374" s="55"/>
      <c r="Y3374" s="97"/>
    </row>
    <row r="3375" spans="13:25" x14ac:dyDescent="0.2">
      <c r="M3375" s="55"/>
      <c r="Y3375" s="97"/>
    </row>
    <row r="3376" spans="13:25" x14ac:dyDescent="0.2">
      <c r="M3376" s="55"/>
      <c r="Y3376" s="97"/>
    </row>
    <row r="3377" spans="13:25" x14ac:dyDescent="0.2">
      <c r="M3377" s="55"/>
      <c r="Y3377" s="97"/>
    </row>
    <row r="3378" spans="13:25" x14ac:dyDescent="0.2">
      <c r="M3378" s="55"/>
      <c r="Y3378" s="97"/>
    </row>
    <row r="3379" spans="13:25" x14ac:dyDescent="0.2">
      <c r="M3379" s="55"/>
      <c r="Y3379" s="97"/>
    </row>
    <row r="3380" spans="13:25" x14ac:dyDescent="0.2">
      <c r="M3380" s="55"/>
      <c r="Y3380" s="97"/>
    </row>
    <row r="3381" spans="13:25" x14ac:dyDescent="0.2">
      <c r="M3381" s="55"/>
      <c r="Y3381" s="97"/>
    </row>
    <row r="3382" spans="13:25" x14ac:dyDescent="0.2">
      <c r="M3382" s="55"/>
      <c r="Y3382" s="97"/>
    </row>
    <row r="3383" spans="13:25" x14ac:dyDescent="0.2">
      <c r="M3383" s="55"/>
      <c r="Y3383" s="97"/>
    </row>
    <row r="3384" spans="13:25" x14ac:dyDescent="0.2">
      <c r="M3384" s="55"/>
      <c r="Y3384" s="97"/>
    </row>
    <row r="3385" spans="13:25" x14ac:dyDescent="0.2">
      <c r="M3385" s="55"/>
      <c r="Y3385" s="97"/>
    </row>
    <row r="3386" spans="13:25" x14ac:dyDescent="0.2">
      <c r="M3386" s="55"/>
      <c r="Y3386" s="97"/>
    </row>
    <row r="3387" spans="13:25" x14ac:dyDescent="0.2">
      <c r="M3387" s="55"/>
      <c r="Y3387" s="97"/>
    </row>
    <row r="3388" spans="13:25" x14ac:dyDescent="0.2">
      <c r="M3388" s="55"/>
      <c r="Y3388" s="97"/>
    </row>
    <row r="3389" spans="13:25" x14ac:dyDescent="0.2">
      <c r="M3389" s="55"/>
      <c r="Y3389" s="97"/>
    </row>
    <row r="3390" spans="13:25" x14ac:dyDescent="0.2">
      <c r="M3390" s="55"/>
      <c r="Y3390" s="97"/>
    </row>
    <row r="3391" spans="13:25" x14ac:dyDescent="0.2">
      <c r="M3391" s="55"/>
      <c r="Y3391" s="97"/>
    </row>
    <row r="3392" spans="13:25" x14ac:dyDescent="0.2">
      <c r="M3392" s="55"/>
      <c r="Y3392" s="97"/>
    </row>
    <row r="3393" spans="13:25" x14ac:dyDescent="0.2">
      <c r="M3393" s="55"/>
      <c r="Y3393" s="97"/>
    </row>
    <row r="3394" spans="13:25" x14ac:dyDescent="0.2">
      <c r="M3394" s="55"/>
      <c r="Y3394" s="97"/>
    </row>
    <row r="3395" spans="13:25" x14ac:dyDescent="0.2">
      <c r="M3395" s="55"/>
      <c r="Y3395" s="97"/>
    </row>
    <row r="3396" spans="13:25" x14ac:dyDescent="0.2">
      <c r="M3396" s="55"/>
      <c r="Y3396" s="97"/>
    </row>
    <row r="3397" spans="13:25" x14ac:dyDescent="0.2">
      <c r="M3397" s="55"/>
      <c r="Y3397" s="97"/>
    </row>
    <row r="3398" spans="13:25" x14ac:dyDescent="0.2">
      <c r="M3398" s="55"/>
      <c r="Y3398" s="97"/>
    </row>
    <row r="3399" spans="13:25" x14ac:dyDescent="0.2">
      <c r="M3399" s="55"/>
      <c r="Y3399" s="97"/>
    </row>
    <row r="3400" spans="13:25" x14ac:dyDescent="0.2">
      <c r="M3400" s="55"/>
      <c r="Y3400" s="97"/>
    </row>
    <row r="3401" spans="13:25" x14ac:dyDescent="0.2">
      <c r="M3401" s="55"/>
      <c r="Y3401" s="97"/>
    </row>
    <row r="3402" spans="13:25" x14ac:dyDescent="0.2">
      <c r="M3402" s="55"/>
      <c r="Y3402" s="97"/>
    </row>
    <row r="3403" spans="13:25" x14ac:dyDescent="0.2">
      <c r="M3403" s="55"/>
      <c r="Y3403" s="97"/>
    </row>
    <row r="3404" spans="13:25" x14ac:dyDescent="0.2">
      <c r="M3404" s="55"/>
      <c r="Y3404" s="97"/>
    </row>
    <row r="3405" spans="13:25" x14ac:dyDescent="0.2">
      <c r="M3405" s="55"/>
      <c r="Y3405" s="97"/>
    </row>
    <row r="3406" spans="13:25" x14ac:dyDescent="0.2">
      <c r="M3406" s="55"/>
      <c r="Y3406" s="97"/>
    </row>
    <row r="3407" spans="13:25" x14ac:dyDescent="0.2">
      <c r="M3407" s="55"/>
      <c r="Y3407" s="97"/>
    </row>
    <row r="3408" spans="13:25" x14ac:dyDescent="0.2">
      <c r="M3408" s="55"/>
      <c r="Y3408" s="97"/>
    </row>
    <row r="3409" spans="13:25" x14ac:dyDescent="0.2">
      <c r="M3409" s="55"/>
      <c r="Y3409" s="97"/>
    </row>
    <row r="3410" spans="13:25" x14ac:dyDescent="0.2">
      <c r="M3410" s="55"/>
      <c r="Y3410" s="97"/>
    </row>
    <row r="3411" spans="13:25" x14ac:dyDescent="0.2">
      <c r="M3411" s="55"/>
      <c r="Y3411" s="97"/>
    </row>
    <row r="3412" spans="13:25" x14ac:dyDescent="0.2">
      <c r="M3412" s="55"/>
      <c r="Y3412" s="97"/>
    </row>
    <row r="3413" spans="13:25" x14ac:dyDescent="0.2">
      <c r="M3413" s="55"/>
      <c r="Y3413" s="97"/>
    </row>
    <row r="3414" spans="13:25" x14ac:dyDescent="0.2">
      <c r="M3414" s="55"/>
      <c r="Y3414" s="97"/>
    </row>
    <row r="3415" spans="13:25" x14ac:dyDescent="0.2">
      <c r="M3415" s="55"/>
      <c r="Y3415" s="97"/>
    </row>
    <row r="3416" spans="13:25" x14ac:dyDescent="0.2">
      <c r="M3416" s="55"/>
      <c r="Y3416" s="97"/>
    </row>
    <row r="3417" spans="13:25" x14ac:dyDescent="0.2">
      <c r="M3417" s="55"/>
      <c r="Y3417" s="97"/>
    </row>
    <row r="3418" spans="13:25" x14ac:dyDescent="0.2">
      <c r="M3418" s="55"/>
      <c r="Y3418" s="97"/>
    </row>
    <row r="3419" spans="13:25" x14ac:dyDescent="0.2">
      <c r="M3419" s="55"/>
      <c r="Y3419" s="97"/>
    </row>
    <row r="3420" spans="13:25" x14ac:dyDescent="0.2">
      <c r="M3420" s="55"/>
      <c r="Y3420" s="97"/>
    </row>
    <row r="3421" spans="13:25" x14ac:dyDescent="0.2">
      <c r="M3421" s="55"/>
      <c r="Y3421" s="97"/>
    </row>
    <row r="3422" spans="13:25" x14ac:dyDescent="0.2">
      <c r="M3422" s="55"/>
      <c r="Y3422" s="97"/>
    </row>
    <row r="3423" spans="13:25" x14ac:dyDescent="0.2">
      <c r="M3423" s="55"/>
      <c r="Y3423" s="97"/>
    </row>
    <row r="3424" spans="13:25" x14ac:dyDescent="0.2">
      <c r="M3424" s="55"/>
      <c r="Y3424" s="97"/>
    </row>
    <row r="3425" spans="13:25" x14ac:dyDescent="0.2">
      <c r="M3425" s="55"/>
      <c r="Y3425" s="97"/>
    </row>
    <row r="3426" spans="13:25" x14ac:dyDescent="0.2">
      <c r="M3426" s="55"/>
      <c r="Y3426" s="97"/>
    </row>
    <row r="3427" spans="13:25" x14ac:dyDescent="0.2">
      <c r="M3427" s="55"/>
      <c r="Y3427" s="97"/>
    </row>
    <row r="3428" spans="13:25" x14ac:dyDescent="0.2">
      <c r="M3428" s="55"/>
      <c r="Y3428" s="97"/>
    </row>
    <row r="3429" spans="13:25" x14ac:dyDescent="0.2">
      <c r="M3429" s="55"/>
      <c r="Y3429" s="97"/>
    </row>
    <row r="3430" spans="13:25" x14ac:dyDescent="0.2">
      <c r="M3430" s="55"/>
      <c r="Y3430" s="97"/>
    </row>
    <row r="3431" spans="13:25" x14ac:dyDescent="0.2">
      <c r="M3431" s="55"/>
      <c r="Y3431" s="97"/>
    </row>
    <row r="3432" spans="13:25" x14ac:dyDescent="0.2">
      <c r="M3432" s="55"/>
      <c r="Y3432" s="97"/>
    </row>
    <row r="3433" spans="13:25" x14ac:dyDescent="0.2">
      <c r="M3433" s="55"/>
      <c r="Y3433" s="97"/>
    </row>
    <row r="3434" spans="13:25" x14ac:dyDescent="0.2">
      <c r="M3434" s="55"/>
      <c r="Y3434" s="97"/>
    </row>
    <row r="3435" spans="13:25" x14ac:dyDescent="0.2">
      <c r="M3435" s="55"/>
      <c r="Y3435" s="97"/>
    </row>
    <row r="3436" spans="13:25" x14ac:dyDescent="0.2">
      <c r="M3436" s="55"/>
      <c r="Y3436" s="97"/>
    </row>
    <row r="3437" spans="13:25" x14ac:dyDescent="0.2">
      <c r="M3437" s="55"/>
      <c r="Y3437" s="97"/>
    </row>
    <row r="3438" spans="13:25" x14ac:dyDescent="0.2">
      <c r="M3438" s="55"/>
      <c r="Y3438" s="97"/>
    </row>
    <row r="3439" spans="13:25" x14ac:dyDescent="0.2">
      <c r="M3439" s="55"/>
      <c r="Y3439" s="97"/>
    </row>
    <row r="3440" spans="13:25" x14ac:dyDescent="0.2">
      <c r="M3440" s="55"/>
      <c r="Y3440" s="97"/>
    </row>
    <row r="3441" spans="13:25" x14ac:dyDescent="0.2">
      <c r="M3441" s="55"/>
      <c r="Y3441" s="97"/>
    </row>
    <row r="3442" spans="13:25" x14ac:dyDescent="0.2">
      <c r="M3442" s="55"/>
      <c r="Y3442" s="97"/>
    </row>
    <row r="3443" spans="13:25" x14ac:dyDescent="0.2">
      <c r="M3443" s="55"/>
      <c r="Y3443" s="97"/>
    </row>
    <row r="3444" spans="13:25" x14ac:dyDescent="0.2">
      <c r="M3444" s="55"/>
      <c r="Y3444" s="97"/>
    </row>
    <row r="3445" spans="13:25" x14ac:dyDescent="0.2">
      <c r="M3445" s="55"/>
      <c r="Y3445" s="97"/>
    </row>
    <row r="3446" spans="13:25" x14ac:dyDescent="0.2">
      <c r="M3446" s="55"/>
      <c r="Y3446" s="97"/>
    </row>
    <row r="3447" spans="13:25" x14ac:dyDescent="0.2">
      <c r="M3447" s="55"/>
      <c r="Y3447" s="97"/>
    </row>
    <row r="3448" spans="13:25" x14ac:dyDescent="0.2">
      <c r="M3448" s="55"/>
      <c r="Y3448" s="97"/>
    </row>
    <row r="3449" spans="13:25" x14ac:dyDescent="0.2">
      <c r="M3449" s="55"/>
      <c r="Y3449" s="97"/>
    </row>
    <row r="3450" spans="13:25" x14ac:dyDescent="0.2">
      <c r="M3450" s="55"/>
      <c r="Y3450" s="97"/>
    </row>
    <row r="3451" spans="13:25" x14ac:dyDescent="0.2">
      <c r="M3451" s="55"/>
      <c r="Y3451" s="97"/>
    </row>
    <row r="3452" spans="13:25" x14ac:dyDescent="0.2">
      <c r="M3452" s="55"/>
      <c r="Y3452" s="97"/>
    </row>
    <row r="3453" spans="13:25" x14ac:dyDescent="0.2">
      <c r="M3453" s="55"/>
      <c r="Y3453" s="97"/>
    </row>
    <row r="3454" spans="13:25" x14ac:dyDescent="0.2">
      <c r="M3454" s="55"/>
      <c r="Y3454" s="97"/>
    </row>
    <row r="3455" spans="13:25" x14ac:dyDescent="0.2">
      <c r="M3455" s="55"/>
      <c r="Y3455" s="97"/>
    </row>
    <row r="3456" spans="13:25" x14ac:dyDescent="0.2">
      <c r="M3456" s="55"/>
      <c r="Y3456" s="97"/>
    </row>
    <row r="3457" spans="13:25" x14ac:dyDescent="0.2">
      <c r="M3457" s="55"/>
      <c r="Y3457" s="97"/>
    </row>
    <row r="3458" spans="13:25" x14ac:dyDescent="0.2">
      <c r="M3458" s="55"/>
      <c r="Y3458" s="97"/>
    </row>
    <row r="3459" spans="13:25" x14ac:dyDescent="0.2">
      <c r="M3459" s="55"/>
      <c r="Y3459" s="97"/>
    </row>
    <row r="3460" spans="13:25" x14ac:dyDescent="0.2">
      <c r="M3460" s="55"/>
      <c r="Y3460" s="97"/>
    </row>
    <row r="3461" spans="13:25" x14ac:dyDescent="0.2">
      <c r="M3461" s="55"/>
      <c r="Y3461" s="97"/>
    </row>
    <row r="3462" spans="13:25" x14ac:dyDescent="0.2">
      <c r="M3462" s="55"/>
      <c r="Y3462" s="97"/>
    </row>
    <row r="3463" spans="13:25" x14ac:dyDescent="0.2">
      <c r="M3463" s="55"/>
      <c r="Y3463" s="97"/>
    </row>
    <row r="3464" spans="13:25" x14ac:dyDescent="0.2">
      <c r="M3464" s="55"/>
      <c r="Y3464" s="97"/>
    </row>
    <row r="3465" spans="13:25" x14ac:dyDescent="0.2">
      <c r="M3465" s="55"/>
      <c r="Y3465" s="97"/>
    </row>
    <row r="3466" spans="13:25" x14ac:dyDescent="0.2">
      <c r="M3466" s="55"/>
      <c r="Y3466" s="97"/>
    </row>
    <row r="3467" spans="13:25" x14ac:dyDescent="0.2">
      <c r="M3467" s="55"/>
      <c r="Y3467" s="97"/>
    </row>
    <row r="3468" spans="13:25" x14ac:dyDescent="0.2">
      <c r="M3468" s="55"/>
      <c r="Y3468" s="97"/>
    </row>
    <row r="3469" spans="13:25" x14ac:dyDescent="0.2">
      <c r="M3469" s="55"/>
      <c r="Y3469" s="97"/>
    </row>
    <row r="3470" spans="13:25" x14ac:dyDescent="0.2">
      <c r="M3470" s="55"/>
      <c r="Y3470" s="97"/>
    </row>
    <row r="3471" spans="13:25" x14ac:dyDescent="0.2">
      <c r="M3471" s="55"/>
      <c r="Y3471" s="97"/>
    </row>
    <row r="3472" spans="13:25" x14ac:dyDescent="0.2">
      <c r="M3472" s="55"/>
      <c r="Y3472" s="97"/>
    </row>
    <row r="3473" spans="13:25" x14ac:dyDescent="0.2">
      <c r="M3473" s="55"/>
      <c r="Y3473" s="97"/>
    </row>
    <row r="3474" spans="13:25" x14ac:dyDescent="0.2">
      <c r="M3474" s="55"/>
      <c r="Y3474" s="97"/>
    </row>
    <row r="3475" spans="13:25" x14ac:dyDescent="0.2">
      <c r="M3475" s="55"/>
      <c r="Y3475" s="97"/>
    </row>
    <row r="3476" spans="13:25" x14ac:dyDescent="0.2">
      <c r="M3476" s="55"/>
      <c r="Y3476" s="97"/>
    </row>
    <row r="3477" spans="13:25" x14ac:dyDescent="0.2">
      <c r="M3477" s="55"/>
      <c r="Y3477" s="97"/>
    </row>
    <row r="3478" spans="13:25" x14ac:dyDescent="0.2">
      <c r="M3478" s="55"/>
      <c r="Y3478" s="97"/>
    </row>
    <row r="3479" spans="13:25" x14ac:dyDescent="0.2">
      <c r="M3479" s="55"/>
      <c r="Y3479" s="97"/>
    </row>
    <row r="3480" spans="13:25" x14ac:dyDescent="0.2">
      <c r="M3480" s="55"/>
      <c r="Y3480" s="97"/>
    </row>
    <row r="3481" spans="13:25" x14ac:dyDescent="0.2">
      <c r="M3481" s="55"/>
      <c r="Y3481" s="97"/>
    </row>
    <row r="3482" spans="13:25" x14ac:dyDescent="0.2">
      <c r="M3482" s="55"/>
      <c r="Y3482" s="97"/>
    </row>
    <row r="3483" spans="13:25" x14ac:dyDescent="0.2">
      <c r="M3483" s="55"/>
      <c r="Y3483" s="97"/>
    </row>
    <row r="3484" spans="13:25" x14ac:dyDescent="0.2">
      <c r="M3484" s="55"/>
      <c r="Y3484" s="97"/>
    </row>
    <row r="3485" spans="13:25" x14ac:dyDescent="0.2">
      <c r="M3485" s="55"/>
      <c r="Y3485" s="97"/>
    </row>
    <row r="3486" spans="13:25" x14ac:dyDescent="0.2">
      <c r="M3486" s="55"/>
      <c r="Y3486" s="97"/>
    </row>
    <row r="3487" spans="13:25" x14ac:dyDescent="0.2">
      <c r="M3487" s="55"/>
      <c r="Y3487" s="97"/>
    </row>
    <row r="3488" spans="13:25" x14ac:dyDescent="0.2">
      <c r="M3488" s="55"/>
      <c r="Y3488" s="97"/>
    </row>
    <row r="3489" spans="13:25" x14ac:dyDescent="0.2">
      <c r="M3489" s="55"/>
      <c r="Y3489" s="97"/>
    </row>
    <row r="3490" spans="13:25" x14ac:dyDescent="0.2">
      <c r="M3490" s="55"/>
      <c r="Y3490" s="97"/>
    </row>
    <row r="3491" spans="13:25" x14ac:dyDescent="0.2">
      <c r="M3491" s="55"/>
      <c r="Y3491" s="97"/>
    </row>
    <row r="3492" spans="13:25" x14ac:dyDescent="0.2">
      <c r="M3492" s="55"/>
      <c r="Y3492" s="97"/>
    </row>
    <row r="3493" spans="13:25" x14ac:dyDescent="0.2">
      <c r="M3493" s="55"/>
      <c r="Y3493" s="97"/>
    </row>
    <row r="3494" spans="13:25" x14ac:dyDescent="0.2">
      <c r="M3494" s="55"/>
      <c r="Y3494" s="97"/>
    </row>
    <row r="3495" spans="13:25" x14ac:dyDescent="0.2">
      <c r="M3495" s="55"/>
      <c r="Y3495" s="97"/>
    </row>
    <row r="3496" spans="13:25" x14ac:dyDescent="0.2">
      <c r="M3496" s="55"/>
      <c r="Y3496" s="97"/>
    </row>
    <row r="3497" spans="13:25" x14ac:dyDescent="0.2">
      <c r="M3497" s="55"/>
      <c r="Y3497" s="97"/>
    </row>
    <row r="3498" spans="13:25" x14ac:dyDescent="0.2">
      <c r="M3498" s="55"/>
      <c r="Y3498" s="97"/>
    </row>
    <row r="3499" spans="13:25" x14ac:dyDescent="0.2">
      <c r="M3499" s="55"/>
      <c r="Y3499" s="97"/>
    </row>
    <row r="3500" spans="13:25" x14ac:dyDescent="0.2">
      <c r="M3500" s="55"/>
      <c r="Y3500" s="97"/>
    </row>
    <row r="3501" spans="13:25" x14ac:dyDescent="0.2">
      <c r="M3501" s="55"/>
      <c r="Y3501" s="97"/>
    </row>
    <row r="3502" spans="13:25" x14ac:dyDescent="0.2">
      <c r="M3502" s="55"/>
      <c r="Y3502" s="97"/>
    </row>
    <row r="3503" spans="13:25" x14ac:dyDescent="0.2">
      <c r="M3503" s="55"/>
      <c r="Y3503" s="97"/>
    </row>
    <row r="3504" spans="13:25" x14ac:dyDescent="0.2">
      <c r="M3504" s="55"/>
      <c r="Y3504" s="97"/>
    </row>
    <row r="3505" spans="13:25" x14ac:dyDescent="0.2">
      <c r="M3505" s="55"/>
      <c r="Y3505" s="97"/>
    </row>
    <row r="3506" spans="13:25" x14ac:dyDescent="0.2">
      <c r="M3506" s="55"/>
      <c r="Y3506" s="97"/>
    </row>
    <row r="3507" spans="13:25" x14ac:dyDescent="0.2">
      <c r="M3507" s="55"/>
      <c r="Y3507" s="97"/>
    </row>
    <row r="3508" spans="13:25" x14ac:dyDescent="0.2">
      <c r="M3508" s="55"/>
      <c r="Y3508" s="97"/>
    </row>
    <row r="3509" spans="13:25" x14ac:dyDescent="0.2">
      <c r="M3509" s="55"/>
      <c r="Y3509" s="97"/>
    </row>
    <row r="3510" spans="13:25" x14ac:dyDescent="0.2">
      <c r="M3510" s="55"/>
      <c r="Y3510" s="97"/>
    </row>
    <row r="3511" spans="13:25" x14ac:dyDescent="0.2">
      <c r="M3511" s="55"/>
      <c r="Y3511" s="97"/>
    </row>
    <row r="3512" spans="13:25" x14ac:dyDescent="0.2">
      <c r="M3512" s="55"/>
      <c r="Y3512" s="97"/>
    </row>
    <row r="3513" spans="13:25" x14ac:dyDescent="0.2">
      <c r="M3513" s="55"/>
      <c r="Y3513" s="97"/>
    </row>
    <row r="3514" spans="13:25" x14ac:dyDescent="0.2">
      <c r="M3514" s="55"/>
      <c r="Y3514" s="97"/>
    </row>
    <row r="3515" spans="13:25" x14ac:dyDescent="0.2">
      <c r="M3515" s="55"/>
      <c r="Y3515" s="97"/>
    </row>
    <row r="3516" spans="13:25" x14ac:dyDescent="0.2">
      <c r="M3516" s="55"/>
      <c r="Y3516" s="97"/>
    </row>
    <row r="3517" spans="13:25" x14ac:dyDescent="0.2">
      <c r="M3517" s="55"/>
      <c r="Y3517" s="97"/>
    </row>
    <row r="3518" spans="13:25" x14ac:dyDescent="0.2">
      <c r="M3518" s="55"/>
      <c r="Y3518" s="97"/>
    </row>
    <row r="3519" spans="13:25" x14ac:dyDescent="0.2">
      <c r="M3519" s="55"/>
      <c r="Y3519" s="97"/>
    </row>
    <row r="3520" spans="13:25" x14ac:dyDescent="0.2">
      <c r="M3520" s="55"/>
      <c r="Y3520" s="97"/>
    </row>
    <row r="3521" spans="13:25" x14ac:dyDescent="0.2">
      <c r="M3521" s="55"/>
      <c r="Y3521" s="97"/>
    </row>
    <row r="3522" spans="13:25" x14ac:dyDescent="0.2">
      <c r="M3522" s="55"/>
      <c r="Y3522" s="97"/>
    </row>
    <row r="3523" spans="13:25" x14ac:dyDescent="0.2">
      <c r="M3523" s="55"/>
      <c r="Y3523" s="97"/>
    </row>
    <row r="3524" spans="13:25" x14ac:dyDescent="0.2">
      <c r="M3524" s="55"/>
      <c r="Y3524" s="97"/>
    </row>
    <row r="3525" spans="13:25" x14ac:dyDescent="0.2">
      <c r="M3525" s="55"/>
      <c r="Y3525" s="97"/>
    </row>
    <row r="3526" spans="13:25" x14ac:dyDescent="0.2">
      <c r="M3526" s="55"/>
      <c r="Y3526" s="97"/>
    </row>
    <row r="3527" spans="13:25" x14ac:dyDescent="0.2">
      <c r="M3527" s="55"/>
      <c r="Y3527" s="97"/>
    </row>
    <row r="3528" spans="13:25" x14ac:dyDescent="0.2">
      <c r="M3528" s="55"/>
      <c r="Y3528" s="97"/>
    </row>
    <row r="3529" spans="13:25" x14ac:dyDescent="0.2">
      <c r="M3529" s="55"/>
      <c r="Y3529" s="97"/>
    </row>
    <row r="3530" spans="13:25" x14ac:dyDescent="0.2">
      <c r="M3530" s="55"/>
      <c r="Y3530" s="97"/>
    </row>
    <row r="3531" spans="13:25" x14ac:dyDescent="0.2">
      <c r="M3531" s="55"/>
      <c r="Y3531" s="97"/>
    </row>
    <row r="3532" spans="13:25" x14ac:dyDescent="0.2">
      <c r="M3532" s="55"/>
      <c r="Y3532" s="97"/>
    </row>
    <row r="3533" spans="13:25" x14ac:dyDescent="0.2">
      <c r="M3533" s="55"/>
      <c r="Y3533" s="97"/>
    </row>
    <row r="3534" spans="13:25" x14ac:dyDescent="0.2">
      <c r="M3534" s="55"/>
      <c r="Y3534" s="97"/>
    </row>
    <row r="3535" spans="13:25" x14ac:dyDescent="0.2">
      <c r="M3535" s="55"/>
      <c r="Y3535" s="97"/>
    </row>
    <row r="3536" spans="13:25" x14ac:dyDescent="0.2">
      <c r="M3536" s="55"/>
      <c r="Y3536" s="97"/>
    </row>
    <row r="3537" spans="13:25" x14ac:dyDescent="0.2">
      <c r="M3537" s="55"/>
      <c r="Y3537" s="97"/>
    </row>
    <row r="3538" spans="13:25" x14ac:dyDescent="0.2">
      <c r="M3538" s="55"/>
      <c r="Y3538" s="97"/>
    </row>
    <row r="3539" spans="13:25" x14ac:dyDescent="0.2">
      <c r="M3539" s="55"/>
      <c r="Y3539" s="97"/>
    </row>
    <row r="3540" spans="13:25" x14ac:dyDescent="0.2">
      <c r="M3540" s="55"/>
      <c r="Y3540" s="97"/>
    </row>
    <row r="3541" spans="13:25" x14ac:dyDescent="0.2">
      <c r="M3541" s="55"/>
      <c r="Y3541" s="97"/>
    </row>
    <row r="3542" spans="13:25" x14ac:dyDescent="0.2">
      <c r="M3542" s="55"/>
      <c r="Y3542" s="97"/>
    </row>
    <row r="3543" spans="13:25" x14ac:dyDescent="0.2">
      <c r="M3543" s="55"/>
      <c r="Y3543" s="97"/>
    </row>
    <row r="3544" spans="13:25" x14ac:dyDescent="0.2">
      <c r="M3544" s="55"/>
      <c r="Y3544" s="97"/>
    </row>
    <row r="3545" spans="13:25" x14ac:dyDescent="0.2">
      <c r="M3545" s="55"/>
      <c r="Y3545" s="97"/>
    </row>
    <row r="3546" spans="13:25" x14ac:dyDescent="0.2">
      <c r="M3546" s="55"/>
      <c r="Y3546" s="97"/>
    </row>
    <row r="3547" spans="13:25" x14ac:dyDescent="0.2">
      <c r="M3547" s="55"/>
      <c r="Y3547" s="97"/>
    </row>
    <row r="3548" spans="13:25" x14ac:dyDescent="0.2">
      <c r="M3548" s="55"/>
      <c r="Y3548" s="97"/>
    </row>
    <row r="3549" spans="13:25" x14ac:dyDescent="0.2">
      <c r="M3549" s="55"/>
      <c r="Y3549" s="97"/>
    </row>
    <row r="3550" spans="13:25" x14ac:dyDescent="0.2">
      <c r="M3550" s="55"/>
      <c r="Y3550" s="97"/>
    </row>
    <row r="3551" spans="13:25" x14ac:dyDescent="0.2">
      <c r="M3551" s="55"/>
      <c r="Y3551" s="97"/>
    </row>
    <row r="3552" spans="13:25" x14ac:dyDescent="0.2">
      <c r="M3552" s="55"/>
      <c r="Y3552" s="97"/>
    </row>
    <row r="3553" spans="13:25" x14ac:dyDescent="0.2">
      <c r="M3553" s="55"/>
      <c r="Y3553" s="97"/>
    </row>
    <row r="3554" spans="13:25" x14ac:dyDescent="0.2">
      <c r="M3554" s="55"/>
      <c r="Y3554" s="97"/>
    </row>
    <row r="3555" spans="13:25" x14ac:dyDescent="0.2">
      <c r="M3555" s="55"/>
      <c r="Y3555" s="97"/>
    </row>
    <row r="3556" spans="13:25" x14ac:dyDescent="0.2">
      <c r="M3556" s="55"/>
      <c r="Y3556" s="97"/>
    </row>
    <row r="3557" spans="13:25" x14ac:dyDescent="0.2">
      <c r="M3557" s="55"/>
      <c r="Y3557" s="97"/>
    </row>
    <row r="3558" spans="13:25" x14ac:dyDescent="0.2">
      <c r="M3558" s="55"/>
      <c r="Y3558" s="97"/>
    </row>
    <row r="3559" spans="13:25" x14ac:dyDescent="0.2">
      <c r="M3559" s="55"/>
      <c r="Y3559" s="97"/>
    </row>
    <row r="3560" spans="13:25" x14ac:dyDescent="0.2">
      <c r="M3560" s="55"/>
      <c r="Y3560" s="97"/>
    </row>
    <row r="3561" spans="13:25" x14ac:dyDescent="0.2">
      <c r="M3561" s="55"/>
      <c r="Y3561" s="97"/>
    </row>
    <row r="3562" spans="13:25" x14ac:dyDescent="0.2">
      <c r="M3562" s="55"/>
      <c r="Y3562" s="97"/>
    </row>
    <row r="3563" spans="13:25" x14ac:dyDescent="0.2">
      <c r="M3563" s="55"/>
      <c r="Y3563" s="97"/>
    </row>
    <row r="3564" spans="13:25" x14ac:dyDescent="0.2">
      <c r="M3564" s="55"/>
      <c r="Y3564" s="97"/>
    </row>
    <row r="3565" spans="13:25" x14ac:dyDescent="0.2">
      <c r="M3565" s="55"/>
      <c r="Y3565" s="97"/>
    </row>
    <row r="3566" spans="13:25" x14ac:dyDescent="0.2">
      <c r="M3566" s="55"/>
      <c r="Y3566" s="97"/>
    </row>
    <row r="3567" spans="13:25" x14ac:dyDescent="0.2">
      <c r="M3567" s="55"/>
      <c r="Y3567" s="97"/>
    </row>
    <row r="3568" spans="13:25" x14ac:dyDescent="0.2">
      <c r="M3568" s="55"/>
      <c r="Y3568" s="97"/>
    </row>
    <row r="3569" spans="13:25" x14ac:dyDescent="0.2">
      <c r="M3569" s="55"/>
      <c r="Y3569" s="97"/>
    </row>
    <row r="3570" spans="13:25" x14ac:dyDescent="0.2">
      <c r="M3570" s="55"/>
      <c r="Y3570" s="97"/>
    </row>
    <row r="3571" spans="13:25" x14ac:dyDescent="0.2">
      <c r="M3571" s="55"/>
      <c r="Y3571" s="97"/>
    </row>
    <row r="3572" spans="13:25" x14ac:dyDescent="0.2">
      <c r="M3572" s="55"/>
      <c r="Y3572" s="97"/>
    </row>
    <row r="3573" spans="13:25" x14ac:dyDescent="0.2">
      <c r="M3573" s="55"/>
      <c r="Y3573" s="97"/>
    </row>
    <row r="3574" spans="13:25" x14ac:dyDescent="0.2">
      <c r="M3574" s="55"/>
      <c r="Y3574" s="97"/>
    </row>
    <row r="3575" spans="13:25" x14ac:dyDescent="0.2">
      <c r="M3575" s="55"/>
      <c r="Y3575" s="97"/>
    </row>
    <row r="3576" spans="13:25" x14ac:dyDescent="0.2">
      <c r="M3576" s="55"/>
      <c r="Y3576" s="97"/>
    </row>
    <row r="3577" spans="13:25" x14ac:dyDescent="0.2">
      <c r="M3577" s="55"/>
      <c r="Y3577" s="97"/>
    </row>
    <row r="3578" spans="13:25" x14ac:dyDescent="0.2">
      <c r="M3578" s="55"/>
      <c r="Y3578" s="97"/>
    </row>
    <row r="3579" spans="13:25" x14ac:dyDescent="0.2">
      <c r="M3579" s="55"/>
      <c r="Y3579" s="97"/>
    </row>
    <row r="3580" spans="13:25" x14ac:dyDescent="0.2">
      <c r="M3580" s="55"/>
      <c r="Y3580" s="97"/>
    </row>
    <row r="3581" spans="13:25" x14ac:dyDescent="0.2">
      <c r="M3581" s="55"/>
      <c r="Y3581" s="97"/>
    </row>
    <row r="3582" spans="13:25" x14ac:dyDescent="0.2">
      <c r="M3582" s="55"/>
      <c r="Y3582" s="97"/>
    </row>
    <row r="3583" spans="13:25" x14ac:dyDescent="0.2">
      <c r="M3583" s="55"/>
      <c r="Y3583" s="97"/>
    </row>
    <row r="3584" spans="13:25" x14ac:dyDescent="0.2">
      <c r="M3584" s="55"/>
      <c r="Y3584" s="97"/>
    </row>
    <row r="3585" spans="13:25" x14ac:dyDescent="0.2">
      <c r="M3585" s="55"/>
      <c r="Y3585" s="97"/>
    </row>
    <row r="3586" spans="13:25" x14ac:dyDescent="0.2">
      <c r="M3586" s="55"/>
      <c r="Y3586" s="97"/>
    </row>
    <row r="3587" spans="13:25" x14ac:dyDescent="0.2">
      <c r="M3587" s="55"/>
      <c r="Y3587" s="97"/>
    </row>
    <row r="3588" spans="13:25" x14ac:dyDescent="0.2">
      <c r="M3588" s="55"/>
      <c r="Y3588" s="97"/>
    </row>
    <row r="3589" spans="13:25" x14ac:dyDescent="0.2">
      <c r="M3589" s="55"/>
      <c r="Y3589" s="97"/>
    </row>
    <row r="3590" spans="13:25" x14ac:dyDescent="0.2">
      <c r="M3590" s="55"/>
      <c r="Y3590" s="97"/>
    </row>
    <row r="3591" spans="13:25" x14ac:dyDescent="0.2">
      <c r="M3591" s="55"/>
      <c r="Y3591" s="97"/>
    </row>
    <row r="3592" spans="13:25" x14ac:dyDescent="0.2">
      <c r="M3592" s="55"/>
      <c r="Y3592" s="97"/>
    </row>
    <row r="3593" spans="13:25" x14ac:dyDescent="0.2">
      <c r="M3593" s="55"/>
      <c r="Y3593" s="97"/>
    </row>
    <row r="3594" spans="13:25" x14ac:dyDescent="0.2">
      <c r="M3594" s="55"/>
      <c r="Y3594" s="97"/>
    </row>
    <row r="3595" spans="13:25" x14ac:dyDescent="0.2">
      <c r="M3595" s="55"/>
      <c r="Y3595" s="97"/>
    </row>
    <row r="3596" spans="13:25" x14ac:dyDescent="0.2">
      <c r="M3596" s="55"/>
      <c r="Y3596" s="97"/>
    </row>
    <row r="3597" spans="13:25" x14ac:dyDescent="0.2">
      <c r="M3597" s="55"/>
      <c r="Y3597" s="97"/>
    </row>
    <row r="3598" spans="13:25" x14ac:dyDescent="0.2">
      <c r="M3598" s="55"/>
      <c r="Y3598" s="97"/>
    </row>
    <row r="3599" spans="13:25" x14ac:dyDescent="0.2">
      <c r="M3599" s="55"/>
      <c r="Y3599" s="97"/>
    </row>
    <row r="3600" spans="13:25" x14ac:dyDescent="0.2">
      <c r="M3600" s="55"/>
      <c r="Y3600" s="97"/>
    </row>
    <row r="3601" spans="13:25" x14ac:dyDescent="0.2">
      <c r="M3601" s="55"/>
      <c r="Y3601" s="97"/>
    </row>
    <row r="3602" spans="13:25" x14ac:dyDescent="0.2">
      <c r="M3602" s="55"/>
      <c r="Y3602" s="97"/>
    </row>
    <row r="3603" spans="13:25" x14ac:dyDescent="0.2">
      <c r="M3603" s="55"/>
      <c r="Y3603" s="97"/>
    </row>
    <row r="3604" spans="13:25" x14ac:dyDescent="0.2">
      <c r="M3604" s="55"/>
      <c r="Y3604" s="97"/>
    </row>
    <row r="3605" spans="13:25" x14ac:dyDescent="0.2">
      <c r="M3605" s="55"/>
      <c r="Y3605" s="97"/>
    </row>
    <row r="3606" spans="13:25" x14ac:dyDescent="0.2">
      <c r="M3606" s="55"/>
      <c r="Y3606" s="97"/>
    </row>
    <row r="3607" spans="13:25" x14ac:dyDescent="0.2">
      <c r="M3607" s="55"/>
      <c r="Y3607" s="97"/>
    </row>
    <row r="3608" spans="13:25" x14ac:dyDescent="0.2">
      <c r="M3608" s="55"/>
      <c r="Y3608" s="97"/>
    </row>
    <row r="3609" spans="13:25" x14ac:dyDescent="0.2">
      <c r="M3609" s="55"/>
      <c r="Y3609" s="97"/>
    </row>
    <row r="3610" spans="13:25" x14ac:dyDescent="0.2">
      <c r="M3610" s="55"/>
      <c r="Y3610" s="97"/>
    </row>
    <row r="3611" spans="13:25" x14ac:dyDescent="0.2">
      <c r="M3611" s="55"/>
      <c r="Y3611" s="97"/>
    </row>
    <row r="3612" spans="13:25" x14ac:dyDescent="0.2">
      <c r="M3612" s="55"/>
      <c r="Y3612" s="97"/>
    </row>
    <row r="3613" spans="13:25" x14ac:dyDescent="0.2">
      <c r="M3613" s="55"/>
      <c r="Y3613" s="97"/>
    </row>
    <row r="3614" spans="13:25" x14ac:dyDescent="0.2">
      <c r="M3614" s="55"/>
      <c r="Y3614" s="97"/>
    </row>
    <row r="3615" spans="13:25" x14ac:dyDescent="0.2">
      <c r="M3615" s="55"/>
      <c r="Y3615" s="97"/>
    </row>
    <row r="3616" spans="13:25" x14ac:dyDescent="0.2">
      <c r="M3616" s="55"/>
      <c r="Y3616" s="97"/>
    </row>
    <row r="3617" spans="13:25" x14ac:dyDescent="0.2">
      <c r="M3617" s="55"/>
      <c r="Y3617" s="97"/>
    </row>
    <row r="3618" spans="13:25" x14ac:dyDescent="0.2">
      <c r="M3618" s="55"/>
      <c r="Y3618" s="97"/>
    </row>
    <row r="3619" spans="13:25" x14ac:dyDescent="0.2">
      <c r="M3619" s="55"/>
      <c r="Y3619" s="97"/>
    </row>
    <row r="3620" spans="13:25" x14ac:dyDescent="0.2">
      <c r="M3620" s="55"/>
      <c r="Y3620" s="97"/>
    </row>
    <row r="3621" spans="13:25" x14ac:dyDescent="0.2">
      <c r="M3621" s="55"/>
      <c r="Y3621" s="97"/>
    </row>
    <row r="3622" spans="13:25" x14ac:dyDescent="0.2">
      <c r="M3622" s="55"/>
      <c r="Y3622" s="97"/>
    </row>
    <row r="3623" spans="13:25" x14ac:dyDescent="0.2">
      <c r="M3623" s="55"/>
      <c r="Y3623" s="97"/>
    </row>
    <row r="3624" spans="13:25" x14ac:dyDescent="0.2">
      <c r="M3624" s="55"/>
      <c r="Y3624" s="97"/>
    </row>
    <row r="3625" spans="13:25" x14ac:dyDescent="0.2">
      <c r="M3625" s="55"/>
      <c r="Y3625" s="97"/>
    </row>
    <row r="3626" spans="13:25" x14ac:dyDescent="0.2">
      <c r="M3626" s="55"/>
      <c r="Y3626" s="97"/>
    </row>
    <row r="3627" spans="13:25" x14ac:dyDescent="0.2">
      <c r="M3627" s="55"/>
      <c r="Y3627" s="97"/>
    </row>
    <row r="3628" spans="13:25" x14ac:dyDescent="0.2">
      <c r="M3628" s="55"/>
      <c r="Y3628" s="97"/>
    </row>
    <row r="3629" spans="13:25" x14ac:dyDescent="0.2">
      <c r="M3629" s="55"/>
      <c r="Y3629" s="97"/>
    </row>
    <row r="3630" spans="13:25" x14ac:dyDescent="0.2">
      <c r="M3630" s="55"/>
      <c r="Y3630" s="97"/>
    </row>
    <row r="3631" spans="13:25" x14ac:dyDescent="0.2">
      <c r="M3631" s="55"/>
      <c r="Y3631" s="97"/>
    </row>
    <row r="3632" spans="13:25" x14ac:dyDescent="0.2">
      <c r="M3632" s="55"/>
      <c r="Y3632" s="97"/>
    </row>
    <row r="3633" spans="13:25" x14ac:dyDescent="0.2">
      <c r="M3633" s="55"/>
      <c r="Y3633" s="97"/>
    </row>
    <row r="3634" spans="13:25" x14ac:dyDescent="0.2">
      <c r="M3634" s="55"/>
      <c r="Y3634" s="97"/>
    </row>
    <row r="3635" spans="13:25" x14ac:dyDescent="0.2">
      <c r="M3635" s="55"/>
      <c r="Y3635" s="97"/>
    </row>
    <row r="3636" spans="13:25" x14ac:dyDescent="0.2">
      <c r="M3636" s="55"/>
      <c r="Y3636" s="97"/>
    </row>
    <row r="3637" spans="13:25" x14ac:dyDescent="0.2">
      <c r="M3637" s="55"/>
      <c r="Y3637" s="97"/>
    </row>
    <row r="3638" spans="13:25" x14ac:dyDescent="0.2">
      <c r="M3638" s="55"/>
      <c r="Y3638" s="97"/>
    </row>
    <row r="3639" spans="13:25" x14ac:dyDescent="0.2">
      <c r="M3639" s="55"/>
      <c r="Y3639" s="97"/>
    </row>
    <row r="3640" spans="13:25" x14ac:dyDescent="0.2">
      <c r="M3640" s="55"/>
      <c r="Y3640" s="97"/>
    </row>
    <row r="3641" spans="13:25" x14ac:dyDescent="0.2">
      <c r="M3641" s="55"/>
      <c r="Y3641" s="97"/>
    </row>
    <row r="3642" spans="13:25" x14ac:dyDescent="0.2">
      <c r="M3642" s="55"/>
      <c r="Y3642" s="97"/>
    </row>
    <row r="3643" spans="13:25" x14ac:dyDescent="0.2">
      <c r="M3643" s="55"/>
      <c r="Y3643" s="97"/>
    </row>
    <row r="3644" spans="13:25" x14ac:dyDescent="0.2">
      <c r="M3644" s="55"/>
      <c r="Y3644" s="97"/>
    </row>
    <row r="3645" spans="13:25" x14ac:dyDescent="0.2">
      <c r="M3645" s="55"/>
      <c r="Y3645" s="97"/>
    </row>
    <row r="3646" spans="13:25" x14ac:dyDescent="0.2">
      <c r="M3646" s="55"/>
      <c r="Y3646" s="97"/>
    </row>
    <row r="3647" spans="13:25" x14ac:dyDescent="0.2">
      <c r="M3647" s="55"/>
      <c r="Y3647" s="97"/>
    </row>
    <row r="3648" spans="13:25" x14ac:dyDescent="0.2">
      <c r="M3648" s="55"/>
      <c r="Y3648" s="97"/>
    </row>
    <row r="3649" spans="13:25" x14ac:dyDescent="0.2">
      <c r="M3649" s="55"/>
      <c r="Y3649" s="97"/>
    </row>
    <row r="3650" spans="13:25" x14ac:dyDescent="0.2">
      <c r="M3650" s="55"/>
      <c r="Y3650" s="97"/>
    </row>
    <row r="3651" spans="13:25" x14ac:dyDescent="0.2">
      <c r="M3651" s="55"/>
      <c r="Y3651" s="97"/>
    </row>
    <row r="3652" spans="13:25" x14ac:dyDescent="0.2">
      <c r="M3652" s="55"/>
      <c r="Y3652" s="97"/>
    </row>
    <row r="3653" spans="13:25" x14ac:dyDescent="0.2">
      <c r="M3653" s="55"/>
      <c r="Y3653" s="97"/>
    </row>
    <row r="3654" spans="13:25" x14ac:dyDescent="0.2">
      <c r="M3654" s="55"/>
      <c r="Y3654" s="97"/>
    </row>
    <row r="3655" spans="13:25" x14ac:dyDescent="0.2">
      <c r="M3655" s="55"/>
      <c r="Y3655" s="97"/>
    </row>
    <row r="3656" spans="13:25" x14ac:dyDescent="0.2">
      <c r="M3656" s="55"/>
      <c r="Y3656" s="97"/>
    </row>
    <row r="3657" spans="13:25" x14ac:dyDescent="0.2">
      <c r="M3657" s="55"/>
      <c r="Y3657" s="97"/>
    </row>
    <row r="3658" spans="13:25" x14ac:dyDescent="0.2">
      <c r="M3658" s="55"/>
      <c r="Y3658" s="97"/>
    </row>
    <row r="3659" spans="13:25" x14ac:dyDescent="0.2">
      <c r="M3659" s="55"/>
      <c r="Y3659" s="97"/>
    </row>
    <row r="3660" spans="13:25" x14ac:dyDescent="0.2">
      <c r="M3660" s="55"/>
      <c r="Y3660" s="97"/>
    </row>
    <row r="3661" spans="13:25" x14ac:dyDescent="0.2">
      <c r="M3661" s="55"/>
      <c r="Y3661" s="97"/>
    </row>
    <row r="3662" spans="13:25" x14ac:dyDescent="0.2">
      <c r="M3662" s="55"/>
      <c r="Y3662" s="97"/>
    </row>
    <row r="3663" spans="13:25" x14ac:dyDescent="0.2">
      <c r="M3663" s="55"/>
      <c r="Y3663" s="97"/>
    </row>
    <row r="3664" spans="13:25" x14ac:dyDescent="0.2">
      <c r="M3664" s="55"/>
      <c r="Y3664" s="97"/>
    </row>
    <row r="3665" spans="13:25" x14ac:dyDescent="0.2">
      <c r="M3665" s="55"/>
      <c r="Y3665" s="97"/>
    </row>
    <row r="3666" spans="13:25" x14ac:dyDescent="0.2">
      <c r="M3666" s="55"/>
      <c r="Y3666" s="97"/>
    </row>
    <row r="3667" spans="13:25" x14ac:dyDescent="0.2">
      <c r="M3667" s="55"/>
      <c r="Y3667" s="97"/>
    </row>
    <row r="3668" spans="13:25" x14ac:dyDescent="0.2">
      <c r="M3668" s="55"/>
      <c r="Y3668" s="97"/>
    </row>
    <row r="3669" spans="13:25" x14ac:dyDescent="0.2">
      <c r="M3669" s="55"/>
      <c r="Y3669" s="97"/>
    </row>
    <row r="3670" spans="13:25" x14ac:dyDescent="0.2">
      <c r="M3670" s="55"/>
      <c r="Y3670" s="97"/>
    </row>
    <row r="3671" spans="13:25" x14ac:dyDescent="0.2">
      <c r="M3671" s="55"/>
      <c r="Y3671" s="97"/>
    </row>
    <row r="3672" spans="13:25" x14ac:dyDescent="0.2">
      <c r="M3672" s="55"/>
      <c r="Y3672" s="97"/>
    </row>
    <row r="3673" spans="13:25" x14ac:dyDescent="0.2">
      <c r="M3673" s="55"/>
      <c r="Y3673" s="97"/>
    </row>
    <row r="3674" spans="13:25" x14ac:dyDescent="0.2">
      <c r="M3674" s="55"/>
      <c r="Y3674" s="97"/>
    </row>
    <row r="3675" spans="13:25" x14ac:dyDescent="0.2">
      <c r="M3675" s="55"/>
      <c r="Y3675" s="97"/>
    </row>
    <row r="3676" spans="13:25" x14ac:dyDescent="0.2">
      <c r="M3676" s="55"/>
      <c r="Y3676" s="97"/>
    </row>
    <row r="3677" spans="13:25" x14ac:dyDescent="0.2">
      <c r="M3677" s="55"/>
      <c r="Y3677" s="97"/>
    </row>
    <row r="3678" spans="13:25" x14ac:dyDescent="0.2">
      <c r="M3678" s="55"/>
      <c r="Y3678" s="97"/>
    </row>
    <row r="3679" spans="13:25" x14ac:dyDescent="0.2">
      <c r="M3679" s="55"/>
      <c r="Y3679" s="97"/>
    </row>
    <row r="3680" spans="13:25" x14ac:dyDescent="0.2">
      <c r="M3680" s="55"/>
      <c r="Y3680" s="97"/>
    </row>
    <row r="3681" spans="13:25" x14ac:dyDescent="0.2">
      <c r="M3681" s="55"/>
      <c r="Y3681" s="97"/>
    </row>
    <row r="3682" spans="13:25" x14ac:dyDescent="0.2">
      <c r="M3682" s="55"/>
      <c r="Y3682" s="97"/>
    </row>
    <row r="3683" spans="13:25" x14ac:dyDescent="0.2">
      <c r="M3683" s="55"/>
      <c r="Y3683" s="97"/>
    </row>
    <row r="3684" spans="13:25" x14ac:dyDescent="0.2">
      <c r="M3684" s="55"/>
      <c r="Y3684" s="97"/>
    </row>
    <row r="3685" spans="13:25" x14ac:dyDescent="0.2">
      <c r="M3685" s="55"/>
      <c r="Y3685" s="97"/>
    </row>
    <row r="3686" spans="13:25" x14ac:dyDescent="0.2">
      <c r="M3686" s="55"/>
      <c r="Y3686" s="97"/>
    </row>
    <row r="3687" spans="13:25" x14ac:dyDescent="0.2">
      <c r="M3687" s="55"/>
      <c r="Y3687" s="97"/>
    </row>
    <row r="3688" spans="13:25" x14ac:dyDescent="0.2">
      <c r="M3688" s="55"/>
      <c r="Y3688" s="97"/>
    </row>
    <row r="3689" spans="13:25" x14ac:dyDescent="0.2">
      <c r="M3689" s="55"/>
      <c r="Y3689" s="97"/>
    </row>
    <row r="3690" spans="13:25" x14ac:dyDescent="0.2">
      <c r="M3690" s="55"/>
      <c r="Y3690" s="97"/>
    </row>
    <row r="3691" spans="13:25" x14ac:dyDescent="0.2">
      <c r="M3691" s="55"/>
      <c r="Y3691" s="97"/>
    </row>
    <row r="3692" spans="13:25" x14ac:dyDescent="0.2">
      <c r="M3692" s="55"/>
      <c r="Y3692" s="97"/>
    </row>
    <row r="3693" spans="13:25" x14ac:dyDescent="0.2">
      <c r="M3693" s="55"/>
      <c r="Y3693" s="97"/>
    </row>
    <row r="3694" spans="13:25" x14ac:dyDescent="0.2">
      <c r="M3694" s="55"/>
      <c r="Y3694" s="97"/>
    </row>
    <row r="3695" spans="13:25" x14ac:dyDescent="0.2">
      <c r="M3695" s="55"/>
      <c r="Y3695" s="97"/>
    </row>
    <row r="3696" spans="13:25" x14ac:dyDescent="0.2">
      <c r="M3696" s="55"/>
      <c r="Y3696" s="97"/>
    </row>
    <row r="3697" spans="13:25" x14ac:dyDescent="0.2">
      <c r="M3697" s="55"/>
      <c r="Y3697" s="97"/>
    </row>
    <row r="3698" spans="13:25" x14ac:dyDescent="0.2">
      <c r="M3698" s="55"/>
      <c r="Y3698" s="97"/>
    </row>
    <row r="3699" spans="13:25" x14ac:dyDescent="0.2">
      <c r="M3699" s="55"/>
      <c r="Y3699" s="97"/>
    </row>
    <row r="3700" spans="13:25" x14ac:dyDescent="0.2">
      <c r="M3700" s="55"/>
      <c r="Y3700" s="97"/>
    </row>
    <row r="3701" spans="13:25" x14ac:dyDescent="0.2">
      <c r="M3701" s="55"/>
      <c r="Y3701" s="97"/>
    </row>
    <row r="3702" spans="13:25" x14ac:dyDescent="0.2">
      <c r="M3702" s="55"/>
      <c r="Y3702" s="97"/>
    </row>
    <row r="3703" spans="13:25" x14ac:dyDescent="0.2">
      <c r="M3703" s="55"/>
      <c r="Y3703" s="97"/>
    </row>
    <row r="3704" spans="13:25" x14ac:dyDescent="0.2">
      <c r="M3704" s="55"/>
      <c r="Y3704" s="97"/>
    </row>
    <row r="3705" spans="13:25" x14ac:dyDescent="0.2">
      <c r="M3705" s="55"/>
      <c r="Y3705" s="97"/>
    </row>
    <row r="3706" spans="13:25" x14ac:dyDescent="0.2">
      <c r="M3706" s="55"/>
      <c r="Y3706" s="97"/>
    </row>
    <row r="3707" spans="13:25" x14ac:dyDescent="0.2">
      <c r="M3707" s="55"/>
      <c r="Y3707" s="97"/>
    </row>
    <row r="3708" spans="13:25" x14ac:dyDescent="0.2">
      <c r="M3708" s="55"/>
      <c r="Y3708" s="97"/>
    </row>
    <row r="3709" spans="13:25" x14ac:dyDescent="0.2">
      <c r="M3709" s="55"/>
      <c r="Y3709" s="97"/>
    </row>
    <row r="3710" spans="13:25" x14ac:dyDescent="0.2">
      <c r="M3710" s="55"/>
      <c r="Y3710" s="97"/>
    </row>
    <row r="3711" spans="13:25" x14ac:dyDescent="0.2">
      <c r="M3711" s="55"/>
      <c r="Y3711" s="97"/>
    </row>
    <row r="3712" spans="13:25" x14ac:dyDescent="0.2">
      <c r="M3712" s="55"/>
      <c r="Y3712" s="97"/>
    </row>
    <row r="3713" spans="13:25" x14ac:dyDescent="0.2">
      <c r="M3713" s="55"/>
      <c r="Y3713" s="97"/>
    </row>
    <row r="3714" spans="13:25" x14ac:dyDescent="0.2">
      <c r="M3714" s="55"/>
      <c r="Y3714" s="97"/>
    </row>
    <row r="3715" spans="13:25" x14ac:dyDescent="0.2">
      <c r="M3715" s="55"/>
      <c r="Y3715" s="97"/>
    </row>
    <row r="3716" spans="13:25" x14ac:dyDescent="0.2">
      <c r="M3716" s="55"/>
      <c r="Y3716" s="97"/>
    </row>
    <row r="3717" spans="13:25" x14ac:dyDescent="0.2">
      <c r="M3717" s="55"/>
      <c r="Y3717" s="97"/>
    </row>
    <row r="3718" spans="13:25" x14ac:dyDescent="0.2">
      <c r="M3718" s="55"/>
      <c r="Y3718" s="97"/>
    </row>
    <row r="3719" spans="13:25" x14ac:dyDescent="0.2">
      <c r="M3719" s="55"/>
      <c r="Y3719" s="97"/>
    </row>
    <row r="3720" spans="13:25" x14ac:dyDescent="0.2">
      <c r="M3720" s="55"/>
      <c r="Y3720" s="97"/>
    </row>
    <row r="3721" spans="13:25" x14ac:dyDescent="0.2">
      <c r="M3721" s="55"/>
      <c r="Y3721" s="97"/>
    </row>
    <row r="3722" spans="13:25" x14ac:dyDescent="0.2">
      <c r="M3722" s="55"/>
      <c r="Y3722" s="97"/>
    </row>
    <row r="3723" spans="13:25" x14ac:dyDescent="0.2">
      <c r="M3723" s="55"/>
      <c r="Y3723" s="97"/>
    </row>
    <row r="3724" spans="13:25" x14ac:dyDescent="0.2">
      <c r="M3724" s="55"/>
      <c r="Y3724" s="97"/>
    </row>
    <row r="3725" spans="13:25" x14ac:dyDescent="0.2">
      <c r="M3725" s="55"/>
      <c r="Y3725" s="97"/>
    </row>
    <row r="3726" spans="13:25" x14ac:dyDescent="0.2">
      <c r="M3726" s="55"/>
      <c r="Y3726" s="97"/>
    </row>
    <row r="3727" spans="13:25" x14ac:dyDescent="0.2">
      <c r="M3727" s="55"/>
      <c r="Y3727" s="97"/>
    </row>
    <row r="3728" spans="13:25" x14ac:dyDescent="0.2">
      <c r="M3728" s="55"/>
      <c r="Y3728" s="97"/>
    </row>
    <row r="3729" spans="13:25" x14ac:dyDescent="0.2">
      <c r="M3729" s="55"/>
      <c r="Y3729" s="97"/>
    </row>
    <row r="3730" spans="13:25" x14ac:dyDescent="0.2">
      <c r="M3730" s="55"/>
      <c r="Y3730" s="97"/>
    </row>
    <row r="3731" spans="13:25" x14ac:dyDescent="0.2">
      <c r="M3731" s="55"/>
      <c r="Y3731" s="97"/>
    </row>
    <row r="3732" spans="13:25" x14ac:dyDescent="0.2">
      <c r="M3732" s="55"/>
      <c r="Y3732" s="97"/>
    </row>
    <row r="3733" spans="13:25" x14ac:dyDescent="0.2">
      <c r="M3733" s="55"/>
      <c r="Y3733" s="97"/>
    </row>
    <row r="3734" spans="13:25" x14ac:dyDescent="0.2">
      <c r="M3734" s="55"/>
      <c r="Y3734" s="97"/>
    </row>
    <row r="3735" spans="13:25" x14ac:dyDescent="0.2">
      <c r="M3735" s="55"/>
      <c r="Y3735" s="97"/>
    </row>
    <row r="3736" spans="13:25" x14ac:dyDescent="0.2">
      <c r="M3736" s="55"/>
      <c r="Y3736" s="97"/>
    </row>
    <row r="3737" spans="13:25" x14ac:dyDescent="0.2">
      <c r="M3737" s="55"/>
      <c r="Y3737" s="97"/>
    </row>
    <row r="3738" spans="13:25" x14ac:dyDescent="0.2">
      <c r="M3738" s="55"/>
      <c r="Y3738" s="97"/>
    </row>
    <row r="3739" spans="13:25" x14ac:dyDescent="0.2">
      <c r="M3739" s="55"/>
      <c r="Y3739" s="97"/>
    </row>
    <row r="3740" spans="13:25" x14ac:dyDescent="0.2">
      <c r="M3740" s="55"/>
      <c r="Y3740" s="97"/>
    </row>
    <row r="3741" spans="13:25" x14ac:dyDescent="0.2">
      <c r="M3741" s="55"/>
      <c r="Y3741" s="97"/>
    </row>
    <row r="3742" spans="13:25" x14ac:dyDescent="0.2">
      <c r="M3742" s="55"/>
      <c r="Y3742" s="97"/>
    </row>
    <row r="3743" spans="13:25" x14ac:dyDescent="0.2">
      <c r="M3743" s="55"/>
      <c r="Y3743" s="97"/>
    </row>
    <row r="3744" spans="13:25" x14ac:dyDescent="0.2">
      <c r="M3744" s="55"/>
      <c r="Y3744" s="97"/>
    </row>
    <row r="3745" spans="13:25" x14ac:dyDescent="0.2">
      <c r="M3745" s="55"/>
      <c r="Y3745" s="97"/>
    </row>
    <row r="3746" spans="13:25" x14ac:dyDescent="0.2">
      <c r="M3746" s="55"/>
      <c r="Y3746" s="97"/>
    </row>
    <row r="3747" spans="13:25" x14ac:dyDescent="0.2">
      <c r="M3747" s="55"/>
      <c r="Y3747" s="97"/>
    </row>
    <row r="3748" spans="13:25" x14ac:dyDescent="0.2">
      <c r="M3748" s="55"/>
      <c r="Y3748" s="97"/>
    </row>
    <row r="3749" spans="13:25" x14ac:dyDescent="0.2">
      <c r="M3749" s="55"/>
      <c r="Y3749" s="97"/>
    </row>
    <row r="3750" spans="13:25" x14ac:dyDescent="0.2">
      <c r="M3750" s="55"/>
      <c r="Y3750" s="97"/>
    </row>
    <row r="3751" spans="13:25" x14ac:dyDescent="0.2">
      <c r="M3751" s="55"/>
      <c r="Y3751" s="97"/>
    </row>
    <row r="3752" spans="13:25" x14ac:dyDescent="0.2">
      <c r="M3752" s="55"/>
      <c r="Y3752" s="97"/>
    </row>
    <row r="3753" spans="13:25" x14ac:dyDescent="0.2">
      <c r="M3753" s="55"/>
      <c r="Y3753" s="97"/>
    </row>
    <row r="3754" spans="13:25" x14ac:dyDescent="0.2">
      <c r="M3754" s="55"/>
      <c r="Y3754" s="97"/>
    </row>
    <row r="3755" spans="13:25" x14ac:dyDescent="0.2">
      <c r="M3755" s="55"/>
      <c r="Y3755" s="97"/>
    </row>
    <row r="3756" spans="13:25" x14ac:dyDescent="0.2">
      <c r="M3756" s="55"/>
      <c r="Y3756" s="97"/>
    </row>
    <row r="3757" spans="13:25" x14ac:dyDescent="0.2">
      <c r="M3757" s="55"/>
      <c r="Y3757" s="97"/>
    </row>
    <row r="3758" spans="13:25" x14ac:dyDescent="0.2">
      <c r="M3758" s="55"/>
      <c r="Y3758" s="97"/>
    </row>
    <row r="3759" spans="13:25" x14ac:dyDescent="0.2">
      <c r="M3759" s="55"/>
      <c r="Y3759" s="97"/>
    </row>
    <row r="3760" spans="13:25" x14ac:dyDescent="0.2">
      <c r="M3760" s="55"/>
      <c r="Y3760" s="97"/>
    </row>
    <row r="3761" spans="13:25" x14ac:dyDescent="0.2">
      <c r="M3761" s="55"/>
      <c r="Y3761" s="97"/>
    </row>
    <row r="3762" spans="13:25" x14ac:dyDescent="0.2">
      <c r="M3762" s="55"/>
      <c r="Y3762" s="97"/>
    </row>
    <row r="3763" spans="13:25" x14ac:dyDescent="0.2">
      <c r="M3763" s="55"/>
      <c r="Y3763" s="97"/>
    </row>
    <row r="3764" spans="13:25" x14ac:dyDescent="0.2">
      <c r="Y3764" s="97"/>
    </row>
    <row r="3765" spans="13:25" x14ac:dyDescent="0.2">
      <c r="Y3765" s="97"/>
    </row>
    <row r="3766" spans="13:25" x14ac:dyDescent="0.2">
      <c r="Y3766" s="97"/>
    </row>
    <row r="3767" spans="13:25" x14ac:dyDescent="0.2">
      <c r="Y3767" s="97"/>
    </row>
    <row r="3768" spans="13:25" x14ac:dyDescent="0.2">
      <c r="Y3768" s="97"/>
    </row>
    <row r="3769" spans="13:25" x14ac:dyDescent="0.2">
      <c r="Y3769" s="97"/>
    </row>
    <row r="3770" spans="13:25" x14ac:dyDescent="0.2">
      <c r="Y3770" s="97"/>
    </row>
    <row r="3771" spans="13:25" x14ac:dyDescent="0.2">
      <c r="Y3771" s="97"/>
    </row>
    <row r="3772" spans="13:25" x14ac:dyDescent="0.2">
      <c r="Y3772" s="97"/>
    </row>
    <row r="3773" spans="13:25" x14ac:dyDescent="0.2">
      <c r="Y3773" s="97"/>
    </row>
    <row r="3774" spans="13:25" x14ac:dyDescent="0.2">
      <c r="Y3774" s="97"/>
    </row>
    <row r="3775" spans="13:25" x14ac:dyDescent="0.2">
      <c r="Y3775" s="97"/>
    </row>
    <row r="3776" spans="13:25" x14ac:dyDescent="0.2">
      <c r="Y3776" s="97"/>
    </row>
    <row r="3777" spans="25:25" x14ac:dyDescent="0.2">
      <c r="Y3777" s="97"/>
    </row>
    <row r="3778" spans="25:25" x14ac:dyDescent="0.2">
      <c r="Y3778" s="97"/>
    </row>
    <row r="3779" spans="25:25" x14ac:dyDescent="0.2">
      <c r="Y3779" s="97"/>
    </row>
    <row r="3780" spans="25:25" x14ac:dyDescent="0.2">
      <c r="Y3780" s="97"/>
    </row>
    <row r="3781" spans="25:25" x14ac:dyDescent="0.2">
      <c r="Y3781" s="97"/>
    </row>
    <row r="3782" spans="25:25" x14ac:dyDescent="0.2">
      <c r="Y3782" s="97"/>
    </row>
    <row r="3783" spans="25:25" x14ac:dyDescent="0.2">
      <c r="Y3783" s="97"/>
    </row>
    <row r="3784" spans="25:25" x14ac:dyDescent="0.2">
      <c r="Y3784" s="97"/>
    </row>
    <row r="3785" spans="25:25" x14ac:dyDescent="0.2">
      <c r="Y3785" s="97"/>
    </row>
    <row r="3786" spans="25:25" x14ac:dyDescent="0.2">
      <c r="Y3786" s="97"/>
    </row>
    <row r="3787" spans="25:25" x14ac:dyDescent="0.2">
      <c r="Y3787" s="97"/>
    </row>
    <row r="3788" spans="25:25" x14ac:dyDescent="0.2">
      <c r="Y3788" s="97"/>
    </row>
    <row r="3789" spans="25:25" x14ac:dyDescent="0.2">
      <c r="Y3789" s="97"/>
    </row>
    <row r="3790" spans="25:25" x14ac:dyDescent="0.2">
      <c r="Y3790" s="97"/>
    </row>
    <row r="3791" spans="25:25" x14ac:dyDescent="0.2">
      <c r="Y3791" s="97"/>
    </row>
    <row r="3792" spans="25:25" x14ac:dyDescent="0.2">
      <c r="Y3792" s="97"/>
    </row>
    <row r="3793" spans="25:25" x14ac:dyDescent="0.2">
      <c r="Y3793" s="97"/>
    </row>
    <row r="3794" spans="25:25" x14ac:dyDescent="0.2">
      <c r="Y3794" s="97"/>
    </row>
    <row r="3795" spans="25:25" x14ac:dyDescent="0.2">
      <c r="Y3795" s="97"/>
    </row>
    <row r="3796" spans="25:25" x14ac:dyDescent="0.2">
      <c r="Y3796" s="97"/>
    </row>
    <row r="3797" spans="25:25" x14ac:dyDescent="0.2">
      <c r="Y3797" s="97"/>
    </row>
    <row r="3798" spans="25:25" x14ac:dyDescent="0.2">
      <c r="Y3798" s="97"/>
    </row>
    <row r="3799" spans="25:25" x14ac:dyDescent="0.2">
      <c r="Y3799" s="97"/>
    </row>
    <row r="3800" spans="25:25" x14ac:dyDescent="0.2">
      <c r="Y3800" s="97"/>
    </row>
    <row r="3801" spans="25:25" x14ac:dyDescent="0.2">
      <c r="Y3801" s="97"/>
    </row>
    <row r="3802" spans="25:25" x14ac:dyDescent="0.2">
      <c r="Y3802" s="97"/>
    </row>
    <row r="3803" spans="25:25" x14ac:dyDescent="0.2">
      <c r="Y3803" s="97"/>
    </row>
    <row r="3804" spans="25:25" x14ac:dyDescent="0.2">
      <c r="Y3804" s="97"/>
    </row>
    <row r="3805" spans="25:25" x14ac:dyDescent="0.2">
      <c r="Y3805" s="97"/>
    </row>
    <row r="3806" spans="25:25" x14ac:dyDescent="0.2">
      <c r="Y3806" s="97"/>
    </row>
    <row r="3807" spans="25:25" x14ac:dyDescent="0.2">
      <c r="Y3807" s="97"/>
    </row>
    <row r="3808" spans="25:25" x14ac:dyDescent="0.2">
      <c r="Y3808" s="97"/>
    </row>
    <row r="3809" spans="25:25" x14ac:dyDescent="0.2">
      <c r="Y3809" s="97"/>
    </row>
    <row r="3810" spans="25:25" x14ac:dyDescent="0.2">
      <c r="Y3810" s="97"/>
    </row>
    <row r="3811" spans="25:25" x14ac:dyDescent="0.2">
      <c r="Y3811" s="97"/>
    </row>
    <row r="3812" spans="25:25" x14ac:dyDescent="0.2">
      <c r="Y3812" s="97"/>
    </row>
    <row r="3813" spans="25:25" x14ac:dyDescent="0.2">
      <c r="Y3813" s="97"/>
    </row>
    <row r="3814" spans="25:25" x14ac:dyDescent="0.2">
      <c r="Y3814" s="97"/>
    </row>
    <row r="3815" spans="25:25" x14ac:dyDescent="0.2">
      <c r="Y3815" s="97"/>
    </row>
    <row r="3816" spans="25:25" x14ac:dyDescent="0.2">
      <c r="Y3816" s="97"/>
    </row>
    <row r="3817" spans="25:25" x14ac:dyDescent="0.2">
      <c r="Y3817" s="97"/>
    </row>
    <row r="3818" spans="25:25" x14ac:dyDescent="0.2">
      <c r="Y3818" s="97"/>
    </row>
    <row r="3819" spans="25:25" x14ac:dyDescent="0.2">
      <c r="Y3819" s="97"/>
    </row>
    <row r="3820" spans="25:25" x14ac:dyDescent="0.2">
      <c r="Y3820" s="97"/>
    </row>
    <row r="3821" spans="25:25" x14ac:dyDescent="0.2">
      <c r="Y3821" s="97"/>
    </row>
    <row r="3822" spans="25:25" x14ac:dyDescent="0.2">
      <c r="Y3822" s="97"/>
    </row>
    <row r="3823" spans="25:25" x14ac:dyDescent="0.2">
      <c r="Y3823" s="97"/>
    </row>
    <row r="3824" spans="25:25" x14ac:dyDescent="0.2">
      <c r="Y3824" s="97"/>
    </row>
    <row r="3825" spans="25:25" x14ac:dyDescent="0.2">
      <c r="Y3825" s="97"/>
    </row>
    <row r="3826" spans="25:25" x14ac:dyDescent="0.2">
      <c r="Y3826" s="97"/>
    </row>
    <row r="3827" spans="25:25" x14ac:dyDescent="0.2">
      <c r="Y3827" s="97"/>
    </row>
    <row r="3828" spans="25:25" x14ac:dyDescent="0.2">
      <c r="Y3828" s="97"/>
    </row>
    <row r="3829" spans="25:25" x14ac:dyDescent="0.2">
      <c r="Y3829" s="97"/>
    </row>
    <row r="3830" spans="25:25" x14ac:dyDescent="0.2">
      <c r="Y3830" s="97"/>
    </row>
    <row r="3831" spans="25:25" x14ac:dyDescent="0.2">
      <c r="Y3831" s="97"/>
    </row>
    <row r="3832" spans="25:25" x14ac:dyDescent="0.2">
      <c r="Y3832" s="97"/>
    </row>
    <row r="3833" spans="25:25" x14ac:dyDescent="0.2">
      <c r="Y3833" s="97"/>
    </row>
    <row r="3834" spans="25:25" x14ac:dyDescent="0.2">
      <c r="Y3834" s="97"/>
    </row>
    <row r="3835" spans="25:25" x14ac:dyDescent="0.2">
      <c r="Y3835" s="97"/>
    </row>
    <row r="3836" spans="25:25" x14ac:dyDescent="0.2">
      <c r="Y3836" s="97"/>
    </row>
    <row r="3837" spans="25:25" x14ac:dyDescent="0.2">
      <c r="Y3837" s="97"/>
    </row>
    <row r="3838" spans="25:25" x14ac:dyDescent="0.2">
      <c r="Y3838" s="97"/>
    </row>
    <row r="3839" spans="25:25" x14ac:dyDescent="0.2">
      <c r="Y3839" s="97"/>
    </row>
    <row r="3840" spans="25:25" x14ac:dyDescent="0.2">
      <c r="Y3840" s="97"/>
    </row>
    <row r="3841" spans="25:25" x14ac:dyDescent="0.2">
      <c r="Y3841" s="97"/>
    </row>
    <row r="3842" spans="25:25" x14ac:dyDescent="0.2">
      <c r="Y3842" s="97"/>
    </row>
    <row r="3843" spans="25:25" x14ac:dyDescent="0.2">
      <c r="Y3843" s="97"/>
    </row>
    <row r="3844" spans="25:25" x14ac:dyDescent="0.2">
      <c r="Y3844" s="97"/>
    </row>
    <row r="3845" spans="25:25" x14ac:dyDescent="0.2">
      <c r="Y3845" s="97"/>
    </row>
    <row r="3846" spans="25:25" x14ac:dyDescent="0.2">
      <c r="Y3846" s="97"/>
    </row>
    <row r="3847" spans="25:25" x14ac:dyDescent="0.2">
      <c r="Y3847" s="97"/>
    </row>
    <row r="3848" spans="25:25" x14ac:dyDescent="0.2">
      <c r="Y3848" s="97"/>
    </row>
    <row r="3849" spans="25:25" x14ac:dyDescent="0.2">
      <c r="Y3849" s="97"/>
    </row>
    <row r="3850" spans="25:25" x14ac:dyDescent="0.2">
      <c r="Y3850" s="97"/>
    </row>
    <row r="3851" spans="25:25" x14ac:dyDescent="0.2">
      <c r="Y3851" s="97"/>
    </row>
    <row r="3852" spans="25:25" x14ac:dyDescent="0.2">
      <c r="Y3852" s="97"/>
    </row>
    <row r="3853" spans="25:25" x14ac:dyDescent="0.2">
      <c r="Y3853" s="97"/>
    </row>
    <row r="3854" spans="25:25" x14ac:dyDescent="0.2">
      <c r="Y3854" s="97"/>
    </row>
    <row r="3855" spans="25:25" x14ac:dyDescent="0.2">
      <c r="Y3855" s="97"/>
    </row>
    <row r="3856" spans="25:25" x14ac:dyDescent="0.2">
      <c r="Y3856" s="97"/>
    </row>
    <row r="3857" spans="25:25" x14ac:dyDescent="0.2">
      <c r="Y3857" s="97"/>
    </row>
    <row r="3858" spans="25:25" x14ac:dyDescent="0.2">
      <c r="Y3858" s="97"/>
    </row>
    <row r="3859" spans="25:25" x14ac:dyDescent="0.2">
      <c r="Y3859" s="97"/>
    </row>
    <row r="3860" spans="25:25" x14ac:dyDescent="0.2">
      <c r="Y3860" s="97"/>
    </row>
    <row r="3861" spans="25:25" x14ac:dyDescent="0.2">
      <c r="Y3861" s="97"/>
    </row>
    <row r="3862" spans="25:25" x14ac:dyDescent="0.2">
      <c r="Y3862" s="97"/>
    </row>
    <row r="3863" spans="25:25" x14ac:dyDescent="0.2">
      <c r="Y3863" s="97"/>
    </row>
    <row r="3864" spans="25:25" x14ac:dyDescent="0.2">
      <c r="Y3864" s="97"/>
    </row>
    <row r="3865" spans="25:25" x14ac:dyDescent="0.2">
      <c r="Y3865" s="97"/>
    </row>
    <row r="3866" spans="25:25" x14ac:dyDescent="0.2">
      <c r="Y3866" s="97"/>
    </row>
    <row r="3867" spans="25:25" x14ac:dyDescent="0.2">
      <c r="Y3867" s="97"/>
    </row>
    <row r="3868" spans="25:25" x14ac:dyDescent="0.2">
      <c r="Y3868" s="97"/>
    </row>
    <row r="3869" spans="25:25" x14ac:dyDescent="0.2">
      <c r="Y3869" s="97"/>
    </row>
    <row r="3870" spans="25:25" x14ac:dyDescent="0.2">
      <c r="Y3870" s="97"/>
    </row>
    <row r="3871" spans="25:25" x14ac:dyDescent="0.2">
      <c r="Y3871" s="97"/>
    </row>
    <row r="3872" spans="25:25" x14ac:dyDescent="0.2">
      <c r="Y3872" s="97"/>
    </row>
    <row r="3873" spans="25:25" x14ac:dyDescent="0.2">
      <c r="Y3873" s="97"/>
    </row>
    <row r="3874" spans="25:25" x14ac:dyDescent="0.2">
      <c r="Y3874" s="97"/>
    </row>
    <row r="3875" spans="25:25" x14ac:dyDescent="0.2">
      <c r="Y3875" s="97"/>
    </row>
    <row r="3876" spans="25:25" x14ac:dyDescent="0.2">
      <c r="Y3876" s="97"/>
    </row>
    <row r="3877" spans="25:25" x14ac:dyDescent="0.2">
      <c r="Y3877" s="97"/>
    </row>
    <row r="3878" spans="25:25" x14ac:dyDescent="0.2">
      <c r="Y3878" s="97"/>
    </row>
    <row r="3879" spans="25:25" x14ac:dyDescent="0.2">
      <c r="Y3879" s="97"/>
    </row>
    <row r="3880" spans="25:25" x14ac:dyDescent="0.2">
      <c r="Y3880" s="97"/>
    </row>
    <row r="3881" spans="25:25" x14ac:dyDescent="0.2">
      <c r="Y3881" s="97"/>
    </row>
    <row r="3882" spans="25:25" x14ac:dyDescent="0.2">
      <c r="Y3882" s="97"/>
    </row>
    <row r="3883" spans="25:25" x14ac:dyDescent="0.2">
      <c r="Y3883" s="97"/>
    </row>
    <row r="3884" spans="25:25" x14ac:dyDescent="0.2">
      <c r="Y3884" s="97"/>
    </row>
    <row r="3885" spans="25:25" x14ac:dyDescent="0.2">
      <c r="Y3885" s="97"/>
    </row>
    <row r="3886" spans="25:25" x14ac:dyDescent="0.2">
      <c r="Y3886" s="97"/>
    </row>
    <row r="3887" spans="25:25" x14ac:dyDescent="0.2">
      <c r="Y3887" s="97"/>
    </row>
    <row r="3888" spans="25:25" x14ac:dyDescent="0.2">
      <c r="Y3888" s="97"/>
    </row>
    <row r="3889" spans="25:25" x14ac:dyDescent="0.2">
      <c r="Y3889" s="97"/>
    </row>
    <row r="3890" spans="25:25" x14ac:dyDescent="0.2">
      <c r="Y3890" s="97"/>
    </row>
    <row r="3891" spans="25:25" x14ac:dyDescent="0.2">
      <c r="Y3891" s="97"/>
    </row>
    <row r="3892" spans="25:25" x14ac:dyDescent="0.2">
      <c r="Y3892" s="97"/>
    </row>
    <row r="3893" spans="25:25" x14ac:dyDescent="0.2">
      <c r="Y3893" s="97"/>
    </row>
    <row r="3894" spans="25:25" x14ac:dyDescent="0.2">
      <c r="Y3894" s="97"/>
    </row>
    <row r="3895" spans="25:25" x14ac:dyDescent="0.2">
      <c r="Y3895" s="97"/>
    </row>
    <row r="3896" spans="25:25" x14ac:dyDescent="0.2">
      <c r="Y3896" s="97"/>
    </row>
    <row r="3897" spans="25:25" x14ac:dyDescent="0.2">
      <c r="Y3897" s="97"/>
    </row>
    <row r="3898" spans="25:25" x14ac:dyDescent="0.2">
      <c r="Y3898" s="97"/>
    </row>
    <row r="3899" spans="25:25" x14ac:dyDescent="0.2">
      <c r="Y3899" s="97"/>
    </row>
    <row r="3900" spans="25:25" x14ac:dyDescent="0.2">
      <c r="Y3900" s="97"/>
    </row>
    <row r="3901" spans="25:25" x14ac:dyDescent="0.2">
      <c r="Y3901" s="97"/>
    </row>
    <row r="3902" spans="25:25" x14ac:dyDescent="0.2">
      <c r="Y3902" s="97"/>
    </row>
    <row r="3903" spans="25:25" x14ac:dyDescent="0.2">
      <c r="Y3903" s="97"/>
    </row>
    <row r="3904" spans="25:25" x14ac:dyDescent="0.2">
      <c r="Y3904" s="97"/>
    </row>
    <row r="3905" spans="25:25" x14ac:dyDescent="0.2">
      <c r="Y3905" s="97"/>
    </row>
    <row r="3906" spans="25:25" x14ac:dyDescent="0.2">
      <c r="Y3906" s="97"/>
    </row>
    <row r="3907" spans="25:25" x14ac:dyDescent="0.2">
      <c r="Y3907" s="97"/>
    </row>
    <row r="3908" spans="25:25" x14ac:dyDescent="0.2">
      <c r="Y3908" s="97"/>
    </row>
    <row r="3909" spans="25:25" x14ac:dyDescent="0.2">
      <c r="Y3909" s="97"/>
    </row>
    <row r="3910" spans="25:25" x14ac:dyDescent="0.2">
      <c r="Y3910" s="97"/>
    </row>
    <row r="3911" spans="25:25" x14ac:dyDescent="0.2">
      <c r="Y3911" s="97"/>
    </row>
    <row r="3912" spans="25:25" x14ac:dyDescent="0.2">
      <c r="Y3912" s="97"/>
    </row>
    <row r="3913" spans="25:25" x14ac:dyDescent="0.2">
      <c r="Y3913" s="97"/>
    </row>
    <row r="3914" spans="25:25" x14ac:dyDescent="0.2">
      <c r="Y3914" s="97"/>
    </row>
    <row r="3915" spans="25:25" x14ac:dyDescent="0.2">
      <c r="Y3915" s="97"/>
    </row>
    <row r="3916" spans="25:25" x14ac:dyDescent="0.2">
      <c r="Y3916" s="97"/>
    </row>
    <row r="3917" spans="25:25" x14ac:dyDescent="0.2">
      <c r="Y3917" s="97"/>
    </row>
    <row r="3918" spans="25:25" x14ac:dyDescent="0.2">
      <c r="Y3918" s="97"/>
    </row>
    <row r="3919" spans="25:25" x14ac:dyDescent="0.2">
      <c r="Y3919" s="97"/>
    </row>
    <row r="3920" spans="25:25" x14ac:dyDescent="0.2">
      <c r="Y3920" s="97"/>
    </row>
    <row r="3921" spans="25:25" x14ac:dyDescent="0.2">
      <c r="Y3921" s="97"/>
    </row>
    <row r="3922" spans="25:25" x14ac:dyDescent="0.2">
      <c r="Y3922" s="97"/>
    </row>
    <row r="3923" spans="25:25" x14ac:dyDescent="0.2">
      <c r="Y3923" s="97"/>
    </row>
    <row r="3924" spans="25:25" x14ac:dyDescent="0.2">
      <c r="Y3924" s="97"/>
    </row>
    <row r="3925" spans="25:25" x14ac:dyDescent="0.2">
      <c r="Y3925" s="97"/>
    </row>
    <row r="3926" spans="25:25" x14ac:dyDescent="0.2">
      <c r="Y3926" s="97"/>
    </row>
    <row r="3927" spans="25:25" x14ac:dyDescent="0.2">
      <c r="Y3927" s="97"/>
    </row>
    <row r="3928" spans="25:25" x14ac:dyDescent="0.2">
      <c r="Y3928" s="97"/>
    </row>
    <row r="3929" spans="25:25" x14ac:dyDescent="0.2">
      <c r="Y3929" s="97"/>
    </row>
    <row r="3930" spans="25:25" x14ac:dyDescent="0.2">
      <c r="Y3930" s="97"/>
    </row>
    <row r="3931" spans="25:25" x14ac:dyDescent="0.2">
      <c r="Y3931" s="97"/>
    </row>
    <row r="3932" spans="25:25" x14ac:dyDescent="0.2">
      <c r="Y3932" s="97"/>
    </row>
    <row r="3933" spans="25:25" x14ac:dyDescent="0.2">
      <c r="Y3933" s="97"/>
    </row>
    <row r="3934" spans="25:25" x14ac:dyDescent="0.2">
      <c r="Y3934" s="97"/>
    </row>
    <row r="3935" spans="25:25" x14ac:dyDescent="0.2">
      <c r="Y3935" s="97"/>
    </row>
    <row r="3936" spans="25:25" x14ac:dyDescent="0.2">
      <c r="Y3936" s="97"/>
    </row>
    <row r="3937" spans="25:25" x14ac:dyDescent="0.2">
      <c r="Y3937" s="97"/>
    </row>
    <row r="3938" spans="25:25" x14ac:dyDescent="0.2">
      <c r="Y3938" s="97"/>
    </row>
    <row r="3939" spans="25:25" x14ac:dyDescent="0.2">
      <c r="Y3939" s="97"/>
    </row>
    <row r="3940" spans="25:25" x14ac:dyDescent="0.2">
      <c r="Y3940" s="97"/>
    </row>
    <row r="3941" spans="25:25" x14ac:dyDescent="0.2">
      <c r="Y3941" s="97"/>
    </row>
    <row r="3942" spans="25:25" x14ac:dyDescent="0.2">
      <c r="Y3942" s="97"/>
    </row>
    <row r="3943" spans="25:25" x14ac:dyDescent="0.2">
      <c r="Y3943" s="97"/>
    </row>
    <row r="3944" spans="25:25" x14ac:dyDescent="0.2">
      <c r="Y3944" s="97"/>
    </row>
    <row r="3945" spans="25:25" x14ac:dyDescent="0.2">
      <c r="Y3945" s="97"/>
    </row>
    <row r="3946" spans="25:25" x14ac:dyDescent="0.2">
      <c r="Y3946" s="97"/>
    </row>
    <row r="3947" spans="25:25" x14ac:dyDescent="0.2">
      <c r="Y3947" s="97"/>
    </row>
    <row r="3948" spans="25:25" x14ac:dyDescent="0.2">
      <c r="Y3948" s="97"/>
    </row>
    <row r="3949" spans="25:25" x14ac:dyDescent="0.2">
      <c r="Y3949" s="97"/>
    </row>
    <row r="3950" spans="25:25" x14ac:dyDescent="0.2">
      <c r="Y3950" s="97"/>
    </row>
    <row r="3951" spans="25:25" x14ac:dyDescent="0.2">
      <c r="Y3951" s="97"/>
    </row>
    <row r="3952" spans="25:25" x14ac:dyDescent="0.2">
      <c r="Y3952" s="97"/>
    </row>
    <row r="3953" spans="25:25" x14ac:dyDescent="0.2">
      <c r="Y3953" s="97"/>
    </row>
    <row r="3954" spans="25:25" x14ac:dyDescent="0.2">
      <c r="Y3954" s="97"/>
    </row>
    <row r="3955" spans="25:25" x14ac:dyDescent="0.2">
      <c r="Y3955" s="97"/>
    </row>
    <row r="3956" spans="25:25" x14ac:dyDescent="0.2">
      <c r="Y3956" s="97"/>
    </row>
    <row r="3957" spans="25:25" x14ac:dyDescent="0.2">
      <c r="Y3957" s="97"/>
    </row>
    <row r="3958" spans="25:25" x14ac:dyDescent="0.2">
      <c r="Y3958" s="97"/>
    </row>
    <row r="3959" spans="25:25" x14ac:dyDescent="0.2">
      <c r="Y3959" s="97"/>
    </row>
    <row r="3960" spans="25:25" x14ac:dyDescent="0.2">
      <c r="Y3960" s="97"/>
    </row>
    <row r="3961" spans="25:25" x14ac:dyDescent="0.2">
      <c r="Y3961" s="97"/>
    </row>
    <row r="3962" spans="25:25" x14ac:dyDescent="0.2">
      <c r="Y3962" s="97"/>
    </row>
    <row r="3963" spans="25:25" x14ac:dyDescent="0.2">
      <c r="Y3963" s="97"/>
    </row>
    <row r="3964" spans="25:25" x14ac:dyDescent="0.2">
      <c r="Y3964" s="97"/>
    </row>
    <row r="3965" spans="25:25" x14ac:dyDescent="0.2">
      <c r="Y3965" s="97"/>
    </row>
    <row r="3966" spans="25:25" x14ac:dyDescent="0.2">
      <c r="Y3966" s="97"/>
    </row>
    <row r="3967" spans="25:25" x14ac:dyDescent="0.2">
      <c r="Y3967" s="97"/>
    </row>
    <row r="3968" spans="25:25" x14ac:dyDescent="0.2">
      <c r="Y3968" s="97"/>
    </row>
    <row r="3969" spans="25:25" x14ac:dyDescent="0.2">
      <c r="Y3969" s="97"/>
    </row>
    <row r="3970" spans="25:25" x14ac:dyDescent="0.2">
      <c r="Y3970" s="97"/>
    </row>
    <row r="3971" spans="25:25" x14ac:dyDescent="0.2">
      <c r="Y3971" s="97"/>
    </row>
    <row r="3972" spans="25:25" x14ac:dyDescent="0.2">
      <c r="Y3972" s="97"/>
    </row>
    <row r="3973" spans="25:25" x14ac:dyDescent="0.2">
      <c r="Y3973" s="97"/>
    </row>
    <row r="3974" spans="25:25" x14ac:dyDescent="0.2">
      <c r="Y3974" s="97"/>
    </row>
    <row r="3975" spans="25:25" x14ac:dyDescent="0.2">
      <c r="Y3975" s="97"/>
    </row>
    <row r="3976" spans="25:25" x14ac:dyDescent="0.2">
      <c r="Y3976" s="97"/>
    </row>
    <row r="3977" spans="25:25" x14ac:dyDescent="0.2">
      <c r="Y3977" s="97"/>
    </row>
    <row r="3978" spans="25:25" x14ac:dyDescent="0.2">
      <c r="Y3978" s="97"/>
    </row>
    <row r="3979" spans="25:25" x14ac:dyDescent="0.2">
      <c r="Y3979" s="97"/>
    </row>
    <row r="3980" spans="25:25" x14ac:dyDescent="0.2">
      <c r="Y3980" s="97"/>
    </row>
    <row r="3981" spans="25:25" x14ac:dyDescent="0.2">
      <c r="Y3981" s="97"/>
    </row>
    <row r="3982" spans="25:25" x14ac:dyDescent="0.2">
      <c r="Y3982" s="97"/>
    </row>
    <row r="3983" spans="25:25" x14ac:dyDescent="0.2">
      <c r="Y3983" s="97"/>
    </row>
    <row r="3984" spans="25:25" x14ac:dyDescent="0.2">
      <c r="Y3984" s="97"/>
    </row>
    <row r="3985" spans="25:25" x14ac:dyDescent="0.2">
      <c r="Y3985" s="97"/>
    </row>
    <row r="3986" spans="25:25" x14ac:dyDescent="0.2">
      <c r="Y3986" s="97"/>
    </row>
    <row r="3987" spans="25:25" x14ac:dyDescent="0.2">
      <c r="Y3987" s="97"/>
    </row>
    <row r="3988" spans="25:25" x14ac:dyDescent="0.2">
      <c r="Y3988" s="97"/>
    </row>
    <row r="3989" spans="25:25" x14ac:dyDescent="0.2">
      <c r="Y3989" s="97"/>
    </row>
    <row r="3990" spans="25:25" x14ac:dyDescent="0.2">
      <c r="Y3990" s="97"/>
    </row>
    <row r="3991" spans="25:25" x14ac:dyDescent="0.2">
      <c r="Y3991" s="97"/>
    </row>
    <row r="3992" spans="25:25" x14ac:dyDescent="0.2">
      <c r="Y3992" s="97"/>
    </row>
    <row r="3993" spans="25:25" x14ac:dyDescent="0.2">
      <c r="Y3993" s="97"/>
    </row>
    <row r="3994" spans="25:25" x14ac:dyDescent="0.2">
      <c r="Y3994" s="97"/>
    </row>
    <row r="3995" spans="25:25" x14ac:dyDescent="0.2">
      <c r="Y3995" s="97"/>
    </row>
    <row r="3996" spans="25:25" x14ac:dyDescent="0.2">
      <c r="Y3996" s="97"/>
    </row>
    <row r="3997" spans="25:25" x14ac:dyDescent="0.2">
      <c r="Y3997" s="97"/>
    </row>
    <row r="3998" spans="25:25" x14ac:dyDescent="0.2">
      <c r="Y3998" s="97"/>
    </row>
    <row r="3999" spans="25:25" x14ac:dyDescent="0.2">
      <c r="Y3999" s="97"/>
    </row>
    <row r="4000" spans="25:25" x14ac:dyDescent="0.2">
      <c r="Y4000" s="97"/>
    </row>
    <row r="4001" spans="25:25" x14ac:dyDescent="0.2">
      <c r="Y4001" s="97"/>
    </row>
    <row r="4002" spans="25:25" x14ac:dyDescent="0.2">
      <c r="Y4002" s="97"/>
    </row>
    <row r="4003" spans="25:25" x14ac:dyDescent="0.2">
      <c r="Y4003" s="97"/>
    </row>
    <row r="4004" spans="25:25" x14ac:dyDescent="0.2">
      <c r="Y4004" s="97"/>
    </row>
    <row r="4005" spans="25:25" x14ac:dyDescent="0.2">
      <c r="Y4005" s="97"/>
    </row>
    <row r="4006" spans="25:25" x14ac:dyDescent="0.2">
      <c r="Y4006" s="97"/>
    </row>
    <row r="4007" spans="25:25" x14ac:dyDescent="0.2">
      <c r="Y4007" s="97"/>
    </row>
    <row r="4008" spans="25:25" x14ac:dyDescent="0.2">
      <c r="Y4008" s="97"/>
    </row>
    <row r="4009" spans="25:25" x14ac:dyDescent="0.2">
      <c r="Y4009" s="97"/>
    </row>
    <row r="4010" spans="25:25" x14ac:dyDescent="0.2">
      <c r="Y4010" s="97"/>
    </row>
    <row r="4011" spans="25:25" x14ac:dyDescent="0.2">
      <c r="Y4011" s="97"/>
    </row>
    <row r="4012" spans="25:25" x14ac:dyDescent="0.2">
      <c r="Y4012" s="97"/>
    </row>
    <row r="4013" spans="25:25" x14ac:dyDescent="0.2">
      <c r="Y4013" s="97"/>
    </row>
    <row r="4014" spans="25:25" x14ac:dyDescent="0.2">
      <c r="Y4014" s="97"/>
    </row>
    <row r="4015" spans="25:25" x14ac:dyDescent="0.2">
      <c r="Y4015" s="97"/>
    </row>
    <row r="4016" spans="25:25" x14ac:dyDescent="0.2">
      <c r="Y4016" s="97"/>
    </row>
    <row r="4017" spans="25:25" x14ac:dyDescent="0.2">
      <c r="Y4017" s="97"/>
    </row>
    <row r="4018" spans="25:25" x14ac:dyDescent="0.2">
      <c r="Y4018" s="97"/>
    </row>
    <row r="4019" spans="25:25" x14ac:dyDescent="0.2">
      <c r="Y4019" s="97"/>
    </row>
    <row r="4020" spans="25:25" x14ac:dyDescent="0.2">
      <c r="Y4020" s="97"/>
    </row>
    <row r="4021" spans="25:25" x14ac:dyDescent="0.2">
      <c r="Y4021" s="97"/>
    </row>
    <row r="4022" spans="25:25" x14ac:dyDescent="0.2">
      <c r="Y4022" s="97"/>
    </row>
    <row r="4023" spans="25:25" x14ac:dyDescent="0.2">
      <c r="Y4023" s="97"/>
    </row>
    <row r="4024" spans="25:25" x14ac:dyDescent="0.2">
      <c r="Y4024" s="97"/>
    </row>
    <row r="4025" spans="25:25" x14ac:dyDescent="0.2">
      <c r="Y4025" s="97"/>
    </row>
    <row r="4026" spans="25:25" x14ac:dyDescent="0.2">
      <c r="Y4026" s="97"/>
    </row>
    <row r="4027" spans="25:25" x14ac:dyDescent="0.2">
      <c r="Y4027" s="97"/>
    </row>
    <row r="4028" spans="25:25" x14ac:dyDescent="0.2">
      <c r="Y4028" s="97"/>
    </row>
    <row r="4029" spans="25:25" x14ac:dyDescent="0.2">
      <c r="Y4029" s="97"/>
    </row>
    <row r="4030" spans="25:25" x14ac:dyDescent="0.2">
      <c r="Y4030" s="97"/>
    </row>
    <row r="4031" spans="25:25" x14ac:dyDescent="0.2">
      <c r="Y4031" s="97"/>
    </row>
    <row r="4032" spans="25:25" x14ac:dyDescent="0.2">
      <c r="Y4032" s="97"/>
    </row>
    <row r="4033" spans="25:25" x14ac:dyDescent="0.2">
      <c r="Y4033" s="97"/>
    </row>
    <row r="4034" spans="25:25" x14ac:dyDescent="0.2">
      <c r="Y4034" s="97"/>
    </row>
    <row r="4035" spans="25:25" x14ac:dyDescent="0.2">
      <c r="Y4035" s="97"/>
    </row>
    <row r="4036" spans="25:25" x14ac:dyDescent="0.2">
      <c r="Y4036" s="97"/>
    </row>
    <row r="4037" spans="25:25" x14ac:dyDescent="0.2">
      <c r="Y4037" s="97"/>
    </row>
    <row r="4038" spans="25:25" x14ac:dyDescent="0.2">
      <c r="Y4038" s="97"/>
    </row>
    <row r="4039" spans="25:25" x14ac:dyDescent="0.2">
      <c r="Y4039" s="97"/>
    </row>
    <row r="4040" spans="25:25" x14ac:dyDescent="0.2">
      <c r="Y4040" s="97"/>
    </row>
    <row r="4041" spans="25:25" x14ac:dyDescent="0.2">
      <c r="Y4041" s="97"/>
    </row>
    <row r="4042" spans="25:25" x14ac:dyDescent="0.2">
      <c r="Y4042" s="97"/>
    </row>
    <row r="4043" spans="25:25" x14ac:dyDescent="0.2">
      <c r="Y4043" s="97"/>
    </row>
    <row r="4044" spans="25:25" x14ac:dyDescent="0.2">
      <c r="Y4044" s="97"/>
    </row>
    <row r="4045" spans="25:25" x14ac:dyDescent="0.2">
      <c r="Y4045" s="97"/>
    </row>
    <row r="4046" spans="25:25" x14ac:dyDescent="0.2">
      <c r="Y4046" s="97"/>
    </row>
    <row r="4047" spans="25:25" x14ac:dyDescent="0.2">
      <c r="Y4047" s="97"/>
    </row>
    <row r="4048" spans="25:25" x14ac:dyDescent="0.2">
      <c r="Y4048" s="97"/>
    </row>
    <row r="4049" spans="25:25" x14ac:dyDescent="0.2">
      <c r="Y4049" s="97"/>
    </row>
    <row r="4050" spans="25:25" x14ac:dyDescent="0.2">
      <c r="Y4050" s="97"/>
    </row>
    <row r="4051" spans="25:25" x14ac:dyDescent="0.2">
      <c r="Y4051" s="97"/>
    </row>
    <row r="4052" spans="25:25" x14ac:dyDescent="0.2">
      <c r="Y4052" s="97"/>
    </row>
    <row r="4053" spans="25:25" x14ac:dyDescent="0.2">
      <c r="Y4053" s="97"/>
    </row>
    <row r="4054" spans="25:25" x14ac:dyDescent="0.2">
      <c r="Y4054" s="97"/>
    </row>
    <row r="4055" spans="25:25" x14ac:dyDescent="0.2">
      <c r="Y4055" s="97"/>
    </row>
    <row r="4056" spans="25:25" x14ac:dyDescent="0.2">
      <c r="Y4056" s="97"/>
    </row>
    <row r="4057" spans="25:25" x14ac:dyDescent="0.2">
      <c r="Y4057" s="97"/>
    </row>
    <row r="4058" spans="25:25" x14ac:dyDescent="0.2">
      <c r="Y4058" s="97"/>
    </row>
    <row r="4059" spans="25:25" x14ac:dyDescent="0.2">
      <c r="Y4059" s="97"/>
    </row>
    <row r="4060" spans="25:25" x14ac:dyDescent="0.2">
      <c r="Y4060" s="97"/>
    </row>
    <row r="4061" spans="25:25" x14ac:dyDescent="0.2">
      <c r="Y4061" s="97"/>
    </row>
    <row r="4062" spans="25:25" x14ac:dyDescent="0.2">
      <c r="Y4062" s="97"/>
    </row>
    <row r="4063" spans="25:25" x14ac:dyDescent="0.2">
      <c r="Y4063" s="97"/>
    </row>
    <row r="4064" spans="25:25" x14ac:dyDescent="0.2">
      <c r="Y4064" s="97"/>
    </row>
    <row r="4065" spans="25:25" x14ac:dyDescent="0.2">
      <c r="Y4065" s="97"/>
    </row>
    <row r="4066" spans="25:25" x14ac:dyDescent="0.2">
      <c r="Y4066" s="97"/>
    </row>
    <row r="4067" spans="25:25" x14ac:dyDescent="0.2">
      <c r="Y4067" s="97"/>
    </row>
    <row r="4068" spans="25:25" x14ac:dyDescent="0.2">
      <c r="Y4068" s="97"/>
    </row>
    <row r="4069" spans="25:25" x14ac:dyDescent="0.2">
      <c r="Y4069" s="97"/>
    </row>
    <row r="4070" spans="25:25" x14ac:dyDescent="0.2">
      <c r="Y4070" s="97"/>
    </row>
    <row r="4071" spans="25:25" x14ac:dyDescent="0.2">
      <c r="Y4071" s="97"/>
    </row>
    <row r="4072" spans="25:25" x14ac:dyDescent="0.2">
      <c r="Y4072" s="97"/>
    </row>
    <row r="4073" spans="25:25" x14ac:dyDescent="0.2">
      <c r="Y4073" s="97"/>
    </row>
    <row r="4074" spans="25:25" x14ac:dyDescent="0.2">
      <c r="Y4074" s="97"/>
    </row>
    <row r="4075" spans="25:25" x14ac:dyDescent="0.2">
      <c r="Y4075" s="97"/>
    </row>
    <row r="4076" spans="25:25" x14ac:dyDescent="0.2">
      <c r="Y4076" s="97"/>
    </row>
    <row r="4077" spans="25:25" x14ac:dyDescent="0.2">
      <c r="Y4077" s="97"/>
    </row>
    <row r="4078" spans="25:25" x14ac:dyDescent="0.2">
      <c r="Y4078" s="97"/>
    </row>
    <row r="4079" spans="25:25" x14ac:dyDescent="0.2">
      <c r="Y4079" s="97"/>
    </row>
    <row r="4080" spans="25:25" x14ac:dyDescent="0.2">
      <c r="Y4080" s="97"/>
    </row>
    <row r="4081" spans="25:25" x14ac:dyDescent="0.2">
      <c r="Y4081" s="97"/>
    </row>
    <row r="4082" spans="25:25" x14ac:dyDescent="0.2">
      <c r="Y4082" s="97"/>
    </row>
    <row r="4083" spans="25:25" x14ac:dyDescent="0.2">
      <c r="Y4083" s="97"/>
    </row>
    <row r="4084" spans="25:25" x14ac:dyDescent="0.2">
      <c r="Y4084" s="97"/>
    </row>
    <row r="4085" spans="25:25" x14ac:dyDescent="0.2">
      <c r="Y4085" s="97"/>
    </row>
    <row r="4086" spans="25:25" x14ac:dyDescent="0.2">
      <c r="Y4086" s="97"/>
    </row>
    <row r="4087" spans="25:25" x14ac:dyDescent="0.2">
      <c r="Y4087" s="97"/>
    </row>
    <row r="4088" spans="25:25" x14ac:dyDescent="0.2">
      <c r="Y4088" s="97"/>
    </row>
    <row r="4089" spans="25:25" x14ac:dyDescent="0.2">
      <c r="Y4089" s="97"/>
    </row>
    <row r="4090" spans="25:25" x14ac:dyDescent="0.2">
      <c r="Y4090" s="97"/>
    </row>
    <row r="4091" spans="25:25" x14ac:dyDescent="0.2">
      <c r="Y4091" s="97"/>
    </row>
    <row r="4092" spans="25:25" x14ac:dyDescent="0.2">
      <c r="Y4092" s="97"/>
    </row>
    <row r="4093" spans="25:25" x14ac:dyDescent="0.2">
      <c r="Y4093" s="97"/>
    </row>
    <row r="4094" spans="25:25" x14ac:dyDescent="0.2">
      <c r="Y4094" s="97"/>
    </row>
    <row r="4095" spans="25:25" x14ac:dyDescent="0.2">
      <c r="Y4095" s="97"/>
    </row>
    <row r="4096" spans="25:25" x14ac:dyDescent="0.2">
      <c r="Y4096" s="97"/>
    </row>
    <row r="4097" spans="25:25" x14ac:dyDescent="0.2">
      <c r="Y4097" s="97"/>
    </row>
    <row r="4098" spans="25:25" x14ac:dyDescent="0.2">
      <c r="Y4098" s="97"/>
    </row>
    <row r="4099" spans="25:25" x14ac:dyDescent="0.2">
      <c r="Y4099" s="97"/>
    </row>
    <row r="4100" spans="25:25" x14ac:dyDescent="0.2">
      <c r="Y4100" s="97"/>
    </row>
    <row r="4101" spans="25:25" x14ac:dyDescent="0.2">
      <c r="Y4101" s="97"/>
    </row>
    <row r="4102" spans="25:25" x14ac:dyDescent="0.2">
      <c r="Y4102" s="97"/>
    </row>
    <row r="4103" spans="25:25" x14ac:dyDescent="0.2">
      <c r="Y4103" s="97"/>
    </row>
    <row r="4104" spans="25:25" x14ac:dyDescent="0.2">
      <c r="Y4104" s="97"/>
    </row>
    <row r="4105" spans="25:25" x14ac:dyDescent="0.2">
      <c r="Y4105" s="97"/>
    </row>
    <row r="4106" spans="25:25" x14ac:dyDescent="0.2">
      <c r="Y4106" s="97"/>
    </row>
    <row r="4107" spans="25:25" x14ac:dyDescent="0.2">
      <c r="Y4107" s="97"/>
    </row>
    <row r="4108" spans="25:25" x14ac:dyDescent="0.2">
      <c r="Y4108" s="97"/>
    </row>
    <row r="4109" spans="25:25" x14ac:dyDescent="0.2">
      <c r="Y4109" s="97"/>
    </row>
    <row r="4110" spans="25:25" x14ac:dyDescent="0.2">
      <c r="Y4110" s="97"/>
    </row>
    <row r="4111" spans="25:25" x14ac:dyDescent="0.2">
      <c r="Y4111" s="97"/>
    </row>
    <row r="4112" spans="25:25" x14ac:dyDescent="0.2">
      <c r="Y4112" s="97"/>
    </row>
    <row r="4113" spans="25:25" x14ac:dyDescent="0.2">
      <c r="Y4113" s="97"/>
    </row>
    <row r="4114" spans="25:25" x14ac:dyDescent="0.2">
      <c r="Y4114" s="97"/>
    </row>
    <row r="4115" spans="25:25" x14ac:dyDescent="0.2">
      <c r="Y4115" s="97"/>
    </row>
    <row r="4116" spans="25:25" x14ac:dyDescent="0.2">
      <c r="Y4116" s="97"/>
    </row>
    <row r="4117" spans="25:25" x14ac:dyDescent="0.2">
      <c r="Y4117" s="97"/>
    </row>
    <row r="4118" spans="25:25" x14ac:dyDescent="0.2">
      <c r="Y4118" s="97"/>
    </row>
    <row r="4119" spans="25:25" x14ac:dyDescent="0.2">
      <c r="Y4119" s="97"/>
    </row>
    <row r="4120" spans="25:25" x14ac:dyDescent="0.2">
      <c r="Y4120" s="97"/>
    </row>
    <row r="4121" spans="25:25" x14ac:dyDescent="0.2">
      <c r="Y4121" s="97"/>
    </row>
    <row r="4122" spans="25:25" x14ac:dyDescent="0.2">
      <c r="Y4122" s="97"/>
    </row>
    <row r="4123" spans="25:25" x14ac:dyDescent="0.2">
      <c r="Y4123" s="97"/>
    </row>
    <row r="4124" spans="25:25" x14ac:dyDescent="0.2">
      <c r="Y4124" s="97"/>
    </row>
    <row r="4125" spans="25:25" x14ac:dyDescent="0.2">
      <c r="Y4125" s="97"/>
    </row>
    <row r="4126" spans="25:25" x14ac:dyDescent="0.2">
      <c r="Y4126" s="97"/>
    </row>
    <row r="4127" spans="25:25" x14ac:dyDescent="0.2">
      <c r="Y4127" s="97"/>
    </row>
    <row r="4128" spans="25:25" x14ac:dyDescent="0.2">
      <c r="Y4128" s="97"/>
    </row>
    <row r="4129" spans="25:25" x14ac:dyDescent="0.2">
      <c r="Y4129" s="97"/>
    </row>
    <row r="4130" spans="25:25" x14ac:dyDescent="0.2">
      <c r="Y4130" s="97"/>
    </row>
    <row r="4131" spans="25:25" x14ac:dyDescent="0.2">
      <c r="Y4131" s="97"/>
    </row>
    <row r="4132" spans="25:25" x14ac:dyDescent="0.2">
      <c r="Y4132" s="97"/>
    </row>
    <row r="4133" spans="25:25" x14ac:dyDescent="0.2">
      <c r="Y4133" s="97"/>
    </row>
    <row r="4134" spans="25:25" x14ac:dyDescent="0.2">
      <c r="Y4134" s="97"/>
    </row>
    <row r="4135" spans="25:25" x14ac:dyDescent="0.2">
      <c r="Y4135" s="97"/>
    </row>
    <row r="4136" spans="25:25" x14ac:dyDescent="0.2">
      <c r="Y4136" s="97"/>
    </row>
    <row r="4137" spans="25:25" x14ac:dyDescent="0.2">
      <c r="Y4137" s="97"/>
    </row>
    <row r="4138" spans="25:25" x14ac:dyDescent="0.2">
      <c r="Y4138" s="97"/>
    </row>
    <row r="4139" spans="25:25" x14ac:dyDescent="0.2">
      <c r="Y4139" s="97"/>
    </row>
    <row r="4140" spans="25:25" x14ac:dyDescent="0.2">
      <c r="Y4140" s="97"/>
    </row>
    <row r="4141" spans="25:25" x14ac:dyDescent="0.2">
      <c r="Y4141" s="97"/>
    </row>
    <row r="4142" spans="25:25" x14ac:dyDescent="0.2">
      <c r="Y4142" s="97"/>
    </row>
    <row r="4143" spans="25:25" x14ac:dyDescent="0.2">
      <c r="Y4143" s="97"/>
    </row>
    <row r="4144" spans="25:25" x14ac:dyDescent="0.2">
      <c r="Y4144" s="97"/>
    </row>
    <row r="4145" spans="25:25" x14ac:dyDescent="0.2">
      <c r="Y4145" s="97"/>
    </row>
    <row r="4146" spans="25:25" x14ac:dyDescent="0.2">
      <c r="Y4146" s="97"/>
    </row>
    <row r="4147" spans="25:25" x14ac:dyDescent="0.2">
      <c r="Y4147" s="97"/>
    </row>
    <row r="4148" spans="25:25" x14ac:dyDescent="0.2">
      <c r="Y4148" s="97"/>
    </row>
    <row r="4149" spans="25:25" x14ac:dyDescent="0.2">
      <c r="Y4149" s="97"/>
    </row>
    <row r="4150" spans="25:25" x14ac:dyDescent="0.2">
      <c r="Y4150" s="97"/>
    </row>
    <row r="4151" spans="25:25" x14ac:dyDescent="0.2">
      <c r="Y4151" s="97"/>
    </row>
    <row r="4152" spans="25:25" x14ac:dyDescent="0.2">
      <c r="Y4152" s="97"/>
    </row>
    <row r="4153" spans="25:25" x14ac:dyDescent="0.2">
      <c r="Y4153" s="97"/>
    </row>
    <row r="4154" spans="25:25" x14ac:dyDescent="0.2">
      <c r="Y4154" s="97"/>
    </row>
    <row r="4155" spans="25:25" x14ac:dyDescent="0.2">
      <c r="Y4155" s="97"/>
    </row>
    <row r="4156" spans="25:25" x14ac:dyDescent="0.2">
      <c r="Y4156" s="97"/>
    </row>
    <row r="4157" spans="25:25" x14ac:dyDescent="0.2">
      <c r="Y4157" s="97"/>
    </row>
    <row r="4158" spans="25:25" x14ac:dyDescent="0.2">
      <c r="Y4158" s="97"/>
    </row>
    <row r="4159" spans="25:25" x14ac:dyDescent="0.2">
      <c r="Y4159" s="97"/>
    </row>
    <row r="4160" spans="25:25" x14ac:dyDescent="0.2">
      <c r="Y4160" s="97"/>
    </row>
    <row r="4161" spans="25:25" x14ac:dyDescent="0.2">
      <c r="Y4161" s="97"/>
    </row>
    <row r="4162" spans="25:25" x14ac:dyDescent="0.2">
      <c r="Y4162" s="97"/>
    </row>
    <row r="4163" spans="25:25" x14ac:dyDescent="0.2">
      <c r="Y4163" s="97"/>
    </row>
    <row r="4164" spans="25:25" x14ac:dyDescent="0.2">
      <c r="Y4164" s="97"/>
    </row>
    <row r="4165" spans="25:25" x14ac:dyDescent="0.2">
      <c r="Y4165" s="97"/>
    </row>
    <row r="4166" spans="25:25" x14ac:dyDescent="0.2">
      <c r="Y4166" s="97"/>
    </row>
    <row r="4167" spans="25:25" x14ac:dyDescent="0.2">
      <c r="Y4167" s="97"/>
    </row>
    <row r="4168" spans="25:25" x14ac:dyDescent="0.2">
      <c r="Y4168" s="97"/>
    </row>
    <row r="4169" spans="25:25" x14ac:dyDescent="0.2">
      <c r="Y4169" s="97"/>
    </row>
    <row r="4170" spans="25:25" x14ac:dyDescent="0.2">
      <c r="Y4170" s="97"/>
    </row>
    <row r="4171" spans="25:25" x14ac:dyDescent="0.2">
      <c r="Y4171" s="97"/>
    </row>
    <row r="4172" spans="25:25" x14ac:dyDescent="0.2">
      <c r="Y4172" s="97"/>
    </row>
    <row r="4173" spans="25:25" x14ac:dyDescent="0.2">
      <c r="Y4173" s="97"/>
    </row>
    <row r="4174" spans="25:25" x14ac:dyDescent="0.2">
      <c r="Y4174" s="97"/>
    </row>
    <row r="4175" spans="25:25" x14ac:dyDescent="0.2">
      <c r="Y4175" s="97"/>
    </row>
    <row r="4176" spans="25:25" x14ac:dyDescent="0.2">
      <c r="Y4176" s="97"/>
    </row>
    <row r="4177" spans="25:25" x14ac:dyDescent="0.2">
      <c r="Y4177" s="97"/>
    </row>
    <row r="4178" spans="25:25" x14ac:dyDescent="0.2">
      <c r="Y4178" s="97"/>
    </row>
    <row r="4179" spans="25:25" x14ac:dyDescent="0.2">
      <c r="Y4179" s="97"/>
    </row>
    <row r="4180" spans="25:25" x14ac:dyDescent="0.2">
      <c r="Y4180" s="97"/>
    </row>
    <row r="4181" spans="25:25" x14ac:dyDescent="0.2">
      <c r="Y4181" s="97"/>
    </row>
    <row r="4182" spans="25:25" x14ac:dyDescent="0.2">
      <c r="Y4182" s="97"/>
    </row>
    <row r="4183" spans="25:25" x14ac:dyDescent="0.2">
      <c r="Y4183" s="97"/>
    </row>
    <row r="4184" spans="25:25" x14ac:dyDescent="0.2">
      <c r="Y4184" s="97"/>
    </row>
    <row r="4185" spans="25:25" x14ac:dyDescent="0.2">
      <c r="Y4185" s="97"/>
    </row>
    <row r="4186" spans="25:25" x14ac:dyDescent="0.2">
      <c r="Y4186" s="97"/>
    </row>
    <row r="4187" spans="25:25" x14ac:dyDescent="0.2">
      <c r="Y4187" s="97"/>
    </row>
    <row r="4188" spans="25:25" x14ac:dyDescent="0.2">
      <c r="Y4188" s="97"/>
    </row>
    <row r="4189" spans="25:25" x14ac:dyDescent="0.2">
      <c r="Y4189" s="97"/>
    </row>
    <row r="4190" spans="25:25" x14ac:dyDescent="0.2">
      <c r="Y4190" s="97"/>
    </row>
    <row r="4191" spans="25:25" x14ac:dyDescent="0.2">
      <c r="Y4191" s="97"/>
    </row>
    <row r="4192" spans="25:25" x14ac:dyDescent="0.2">
      <c r="Y4192" s="97"/>
    </row>
    <row r="4193" spans="25:25" x14ac:dyDescent="0.2">
      <c r="Y4193" s="97"/>
    </row>
    <row r="4194" spans="25:25" x14ac:dyDescent="0.2">
      <c r="Y4194" s="97"/>
    </row>
    <row r="4195" spans="25:25" x14ac:dyDescent="0.2">
      <c r="Y4195" s="97"/>
    </row>
    <row r="4196" spans="25:25" x14ac:dyDescent="0.2">
      <c r="Y4196" s="97"/>
    </row>
    <row r="4197" spans="25:25" x14ac:dyDescent="0.2">
      <c r="Y4197" s="97"/>
    </row>
    <row r="4198" spans="25:25" x14ac:dyDescent="0.2">
      <c r="Y4198" s="97"/>
    </row>
    <row r="4199" spans="25:25" x14ac:dyDescent="0.2">
      <c r="Y4199" s="97"/>
    </row>
    <row r="4200" spans="25:25" x14ac:dyDescent="0.2">
      <c r="Y4200" s="97"/>
    </row>
    <row r="4201" spans="25:25" x14ac:dyDescent="0.2">
      <c r="Y4201" s="97"/>
    </row>
    <row r="4202" spans="25:25" x14ac:dyDescent="0.2">
      <c r="Y4202" s="97"/>
    </row>
    <row r="4203" spans="25:25" x14ac:dyDescent="0.2">
      <c r="Y4203" s="97"/>
    </row>
    <row r="4204" spans="25:25" x14ac:dyDescent="0.2">
      <c r="Y4204" s="97"/>
    </row>
    <row r="4205" spans="25:25" x14ac:dyDescent="0.2">
      <c r="Y4205" s="97"/>
    </row>
    <row r="4206" spans="25:25" x14ac:dyDescent="0.2">
      <c r="Y4206" s="97"/>
    </row>
    <row r="4207" spans="25:25" x14ac:dyDescent="0.2">
      <c r="Y4207" s="97"/>
    </row>
    <row r="4208" spans="25:25" x14ac:dyDescent="0.2">
      <c r="Y4208" s="97"/>
    </row>
    <row r="4209" spans="25:25" x14ac:dyDescent="0.2">
      <c r="Y4209" s="97"/>
    </row>
    <row r="4210" spans="25:25" x14ac:dyDescent="0.2">
      <c r="Y4210" s="97"/>
    </row>
    <row r="4211" spans="25:25" x14ac:dyDescent="0.2">
      <c r="Y4211" s="97"/>
    </row>
    <row r="4212" spans="25:25" x14ac:dyDescent="0.2">
      <c r="Y4212" s="97"/>
    </row>
    <row r="4213" spans="25:25" x14ac:dyDescent="0.2">
      <c r="Y4213" s="97"/>
    </row>
    <row r="4214" spans="25:25" x14ac:dyDescent="0.2">
      <c r="Y4214" s="97"/>
    </row>
    <row r="4215" spans="25:25" x14ac:dyDescent="0.2">
      <c r="Y4215" s="97"/>
    </row>
    <row r="4216" spans="25:25" x14ac:dyDescent="0.2">
      <c r="Y4216" s="97"/>
    </row>
    <row r="4217" spans="25:25" x14ac:dyDescent="0.2">
      <c r="Y4217" s="97"/>
    </row>
    <row r="4218" spans="25:25" x14ac:dyDescent="0.2">
      <c r="Y4218" s="97"/>
    </row>
    <row r="4219" spans="25:25" x14ac:dyDescent="0.2">
      <c r="Y4219" s="97"/>
    </row>
    <row r="4220" spans="25:25" x14ac:dyDescent="0.2">
      <c r="Y4220" s="97"/>
    </row>
    <row r="4221" spans="25:25" x14ac:dyDescent="0.2">
      <c r="Y4221" s="97"/>
    </row>
    <row r="4222" spans="25:25" x14ac:dyDescent="0.2">
      <c r="Y4222" s="97"/>
    </row>
    <row r="4223" spans="25:25" x14ac:dyDescent="0.2">
      <c r="Y4223" s="97"/>
    </row>
    <row r="4224" spans="25:25" x14ac:dyDescent="0.2">
      <c r="Y4224" s="97"/>
    </row>
    <row r="4225" spans="25:25" x14ac:dyDescent="0.2">
      <c r="Y4225" s="97"/>
    </row>
    <row r="4226" spans="25:25" x14ac:dyDescent="0.2">
      <c r="Y4226" s="97"/>
    </row>
    <row r="4227" spans="25:25" x14ac:dyDescent="0.2">
      <c r="Y4227" s="97"/>
    </row>
    <row r="4228" spans="25:25" x14ac:dyDescent="0.2">
      <c r="Y4228" s="97"/>
    </row>
    <row r="4229" spans="25:25" x14ac:dyDescent="0.2">
      <c r="Y4229" s="97"/>
    </row>
    <row r="4230" spans="25:25" x14ac:dyDescent="0.2">
      <c r="Y4230" s="97"/>
    </row>
    <row r="4231" spans="25:25" x14ac:dyDescent="0.2">
      <c r="Y4231" s="97"/>
    </row>
    <row r="4232" spans="25:25" x14ac:dyDescent="0.2">
      <c r="Y4232" s="97"/>
    </row>
    <row r="4233" spans="25:25" x14ac:dyDescent="0.2">
      <c r="Y4233" s="97"/>
    </row>
    <row r="4234" spans="25:25" x14ac:dyDescent="0.2">
      <c r="Y4234" s="97"/>
    </row>
    <row r="4235" spans="25:25" x14ac:dyDescent="0.2">
      <c r="Y4235" s="97"/>
    </row>
    <row r="4236" spans="25:25" x14ac:dyDescent="0.2">
      <c r="Y4236" s="97"/>
    </row>
    <row r="4237" spans="25:25" x14ac:dyDescent="0.2">
      <c r="Y4237" s="97"/>
    </row>
    <row r="4238" spans="25:25" x14ac:dyDescent="0.2">
      <c r="Y4238" s="97"/>
    </row>
    <row r="4239" spans="25:25" x14ac:dyDescent="0.2">
      <c r="Y4239" s="97"/>
    </row>
    <row r="4240" spans="25:25" x14ac:dyDescent="0.2">
      <c r="Y4240" s="97"/>
    </row>
    <row r="4241" spans="25:25" x14ac:dyDescent="0.2">
      <c r="Y4241" s="97"/>
    </row>
    <row r="4242" spans="25:25" x14ac:dyDescent="0.2">
      <c r="Y4242" s="97"/>
    </row>
    <row r="4243" spans="25:25" x14ac:dyDescent="0.2">
      <c r="Y4243" s="97"/>
    </row>
    <row r="4244" spans="25:25" x14ac:dyDescent="0.2">
      <c r="Y4244" s="97"/>
    </row>
    <row r="4245" spans="25:25" x14ac:dyDescent="0.2">
      <c r="Y4245" s="97"/>
    </row>
    <row r="4246" spans="25:25" x14ac:dyDescent="0.2">
      <c r="Y4246" s="97"/>
    </row>
    <row r="4247" spans="25:25" x14ac:dyDescent="0.2">
      <c r="Y4247" s="97"/>
    </row>
    <row r="4248" spans="25:25" x14ac:dyDescent="0.2">
      <c r="Y4248" s="97"/>
    </row>
    <row r="4249" spans="25:25" x14ac:dyDescent="0.2">
      <c r="Y4249" s="97"/>
    </row>
    <row r="4250" spans="25:25" x14ac:dyDescent="0.2">
      <c r="Y4250" s="97"/>
    </row>
    <row r="4251" spans="25:25" x14ac:dyDescent="0.2">
      <c r="Y4251" s="97"/>
    </row>
    <row r="4252" spans="25:25" x14ac:dyDescent="0.2">
      <c r="Y4252" s="97"/>
    </row>
    <row r="4253" spans="25:25" x14ac:dyDescent="0.2">
      <c r="Y4253" s="97"/>
    </row>
    <row r="4254" spans="25:25" x14ac:dyDescent="0.2">
      <c r="Y4254" s="97"/>
    </row>
    <row r="4255" spans="25:25" x14ac:dyDescent="0.2">
      <c r="Y4255" s="97"/>
    </row>
    <row r="4256" spans="25:25" x14ac:dyDescent="0.2">
      <c r="Y4256" s="97"/>
    </row>
    <row r="4257" spans="25:25" x14ac:dyDescent="0.2">
      <c r="Y4257" s="97"/>
    </row>
    <row r="4258" spans="25:25" x14ac:dyDescent="0.2">
      <c r="Y4258" s="97"/>
    </row>
    <row r="4259" spans="25:25" x14ac:dyDescent="0.2">
      <c r="Y4259" s="97"/>
    </row>
    <row r="4260" spans="25:25" x14ac:dyDescent="0.2">
      <c r="Y4260" s="97"/>
    </row>
    <row r="4261" spans="25:25" x14ac:dyDescent="0.2">
      <c r="Y4261" s="97"/>
    </row>
    <row r="4262" spans="25:25" x14ac:dyDescent="0.2">
      <c r="Y4262" s="97"/>
    </row>
    <row r="4263" spans="25:25" x14ac:dyDescent="0.2">
      <c r="Y4263" s="97"/>
    </row>
    <row r="4264" spans="25:25" x14ac:dyDescent="0.2">
      <c r="Y4264" s="97"/>
    </row>
    <row r="4265" spans="25:25" x14ac:dyDescent="0.2">
      <c r="Y4265" s="97"/>
    </row>
    <row r="4266" spans="25:25" x14ac:dyDescent="0.2">
      <c r="Y4266" s="97"/>
    </row>
    <row r="4267" spans="25:25" x14ac:dyDescent="0.2">
      <c r="Y4267" s="97"/>
    </row>
    <row r="4268" spans="25:25" x14ac:dyDescent="0.2">
      <c r="Y4268" s="97"/>
    </row>
    <row r="4269" spans="25:25" x14ac:dyDescent="0.2">
      <c r="Y4269" s="97"/>
    </row>
    <row r="4270" spans="25:25" x14ac:dyDescent="0.2">
      <c r="Y4270" s="97"/>
    </row>
    <row r="4271" spans="25:25" x14ac:dyDescent="0.2">
      <c r="Y4271" s="97"/>
    </row>
    <row r="4272" spans="25:25" x14ac:dyDescent="0.2">
      <c r="Y4272" s="97"/>
    </row>
    <row r="4273" spans="25:25" x14ac:dyDescent="0.2">
      <c r="Y4273" s="97"/>
    </row>
    <row r="4274" spans="25:25" x14ac:dyDescent="0.2">
      <c r="Y4274" s="97"/>
    </row>
    <row r="4275" spans="25:25" x14ac:dyDescent="0.2">
      <c r="Y4275" s="97"/>
    </row>
    <row r="4276" spans="25:25" x14ac:dyDescent="0.2">
      <c r="Y4276" s="97"/>
    </row>
    <row r="4277" spans="25:25" x14ac:dyDescent="0.2">
      <c r="Y4277" s="97"/>
    </row>
    <row r="4278" spans="25:25" x14ac:dyDescent="0.2">
      <c r="Y4278" s="97"/>
    </row>
    <row r="4279" spans="25:25" x14ac:dyDescent="0.2">
      <c r="Y4279" s="97"/>
    </row>
    <row r="4280" spans="25:25" x14ac:dyDescent="0.2">
      <c r="Y4280" s="97"/>
    </row>
    <row r="4281" spans="25:25" x14ac:dyDescent="0.2">
      <c r="Y4281" s="97"/>
    </row>
    <row r="4282" spans="25:25" x14ac:dyDescent="0.2">
      <c r="Y4282" s="97"/>
    </row>
    <row r="4283" spans="25:25" x14ac:dyDescent="0.2">
      <c r="Y4283" s="97"/>
    </row>
    <row r="4284" spans="25:25" x14ac:dyDescent="0.2">
      <c r="Y4284" s="97"/>
    </row>
    <row r="4285" spans="25:25" x14ac:dyDescent="0.2">
      <c r="Y4285" s="97"/>
    </row>
    <row r="4286" spans="25:25" x14ac:dyDescent="0.2">
      <c r="Y4286" s="97"/>
    </row>
    <row r="4287" spans="25:25" x14ac:dyDescent="0.2">
      <c r="Y4287" s="97"/>
    </row>
    <row r="4288" spans="25:25" x14ac:dyDescent="0.2">
      <c r="Y4288" s="97"/>
    </row>
    <row r="4289" spans="25:25" x14ac:dyDescent="0.2">
      <c r="Y4289" s="97"/>
    </row>
    <row r="4290" spans="25:25" x14ac:dyDescent="0.2">
      <c r="Y4290" s="97"/>
    </row>
    <row r="4291" spans="25:25" x14ac:dyDescent="0.2">
      <c r="Y4291" s="97"/>
    </row>
    <row r="4292" spans="25:25" x14ac:dyDescent="0.2">
      <c r="Y4292" s="97"/>
    </row>
    <row r="4293" spans="25:25" x14ac:dyDescent="0.2">
      <c r="Y4293" s="97"/>
    </row>
    <row r="4294" spans="25:25" x14ac:dyDescent="0.2">
      <c r="Y4294" s="97"/>
    </row>
    <row r="4295" spans="25:25" x14ac:dyDescent="0.2">
      <c r="Y4295" s="97"/>
    </row>
    <row r="4296" spans="25:25" x14ac:dyDescent="0.2">
      <c r="Y4296" s="97"/>
    </row>
    <row r="4297" spans="25:25" x14ac:dyDescent="0.2">
      <c r="Y4297" s="97"/>
    </row>
    <row r="4298" spans="25:25" x14ac:dyDescent="0.2">
      <c r="Y4298" s="97"/>
    </row>
    <row r="4299" spans="25:25" x14ac:dyDescent="0.2">
      <c r="Y4299" s="97"/>
    </row>
    <row r="4300" spans="25:25" x14ac:dyDescent="0.2">
      <c r="Y4300" s="97"/>
    </row>
    <row r="4301" spans="25:25" x14ac:dyDescent="0.2">
      <c r="Y4301" s="97"/>
    </row>
    <row r="4302" spans="25:25" x14ac:dyDescent="0.2">
      <c r="Y4302" s="97"/>
    </row>
    <row r="4303" spans="25:25" x14ac:dyDescent="0.2">
      <c r="Y4303" s="97"/>
    </row>
    <row r="4304" spans="25:25" x14ac:dyDescent="0.2">
      <c r="Y4304" s="97"/>
    </row>
    <row r="4305" spans="25:25" x14ac:dyDescent="0.2">
      <c r="Y4305" s="97"/>
    </row>
    <row r="4306" spans="25:25" x14ac:dyDescent="0.2">
      <c r="Y4306" s="97"/>
    </row>
    <row r="4307" spans="25:25" x14ac:dyDescent="0.2">
      <c r="Y4307" s="97"/>
    </row>
    <row r="4308" spans="25:25" x14ac:dyDescent="0.2">
      <c r="Y4308" s="97"/>
    </row>
    <row r="4309" spans="25:25" x14ac:dyDescent="0.2">
      <c r="Y4309" s="97"/>
    </row>
    <row r="4310" spans="25:25" x14ac:dyDescent="0.2">
      <c r="Y4310" s="97"/>
    </row>
    <row r="4311" spans="25:25" x14ac:dyDescent="0.2">
      <c r="Y4311" s="97"/>
    </row>
    <row r="4312" spans="25:25" x14ac:dyDescent="0.2">
      <c r="Y4312" s="97"/>
    </row>
    <row r="4313" spans="25:25" x14ac:dyDescent="0.2">
      <c r="Y4313" s="97"/>
    </row>
    <row r="4314" spans="25:25" x14ac:dyDescent="0.2">
      <c r="Y4314" s="97"/>
    </row>
    <row r="4315" spans="25:25" x14ac:dyDescent="0.2">
      <c r="Y4315" s="97"/>
    </row>
    <row r="4316" spans="25:25" x14ac:dyDescent="0.2">
      <c r="Y4316" s="97"/>
    </row>
    <row r="4317" spans="25:25" x14ac:dyDescent="0.2">
      <c r="Y4317" s="97"/>
    </row>
    <row r="4318" spans="25:25" x14ac:dyDescent="0.2">
      <c r="Y4318" s="97"/>
    </row>
    <row r="4319" spans="25:25" x14ac:dyDescent="0.2">
      <c r="Y4319" s="97"/>
    </row>
    <row r="4320" spans="25:25" x14ac:dyDescent="0.2">
      <c r="Y4320" s="97"/>
    </row>
    <row r="4321" spans="25:25" x14ac:dyDescent="0.2">
      <c r="Y4321" s="97"/>
    </row>
    <row r="4322" spans="25:25" x14ac:dyDescent="0.2">
      <c r="Y4322" s="97"/>
    </row>
    <row r="4323" spans="25:25" x14ac:dyDescent="0.2">
      <c r="Y4323" s="97"/>
    </row>
    <row r="4324" spans="25:25" x14ac:dyDescent="0.2">
      <c r="Y4324" s="97"/>
    </row>
    <row r="4325" spans="25:25" x14ac:dyDescent="0.2">
      <c r="Y4325" s="97"/>
    </row>
    <row r="4326" spans="25:25" x14ac:dyDescent="0.2">
      <c r="Y4326" s="97"/>
    </row>
    <row r="4327" spans="25:25" x14ac:dyDescent="0.2">
      <c r="Y4327" s="97"/>
    </row>
    <row r="4328" spans="25:25" x14ac:dyDescent="0.2">
      <c r="Y4328" s="97"/>
    </row>
    <row r="4329" spans="25:25" x14ac:dyDescent="0.2">
      <c r="Y4329" s="97"/>
    </row>
    <row r="4330" spans="25:25" x14ac:dyDescent="0.2">
      <c r="Y4330" s="97"/>
    </row>
    <row r="4331" spans="25:25" x14ac:dyDescent="0.2">
      <c r="Y4331" s="97"/>
    </row>
    <row r="4332" spans="25:25" x14ac:dyDescent="0.2">
      <c r="Y4332" s="97"/>
    </row>
    <row r="4333" spans="25:25" x14ac:dyDescent="0.2">
      <c r="Y4333" s="97"/>
    </row>
    <row r="4334" spans="25:25" x14ac:dyDescent="0.2">
      <c r="Y4334" s="97"/>
    </row>
    <row r="4335" spans="25:25" x14ac:dyDescent="0.2">
      <c r="Y4335" s="97"/>
    </row>
    <row r="4336" spans="25:25" x14ac:dyDescent="0.2">
      <c r="Y4336" s="97"/>
    </row>
    <row r="4337" spans="25:25" x14ac:dyDescent="0.2">
      <c r="Y4337" s="97"/>
    </row>
    <row r="4338" spans="25:25" x14ac:dyDescent="0.2">
      <c r="Y4338" s="97"/>
    </row>
    <row r="4339" spans="25:25" x14ac:dyDescent="0.2">
      <c r="Y4339" s="97"/>
    </row>
    <row r="4340" spans="25:25" x14ac:dyDescent="0.2">
      <c r="Y4340" s="97"/>
    </row>
    <row r="4341" spans="25:25" x14ac:dyDescent="0.2">
      <c r="Y4341" s="97"/>
    </row>
    <row r="4342" spans="25:25" x14ac:dyDescent="0.2">
      <c r="Y4342" s="97"/>
    </row>
    <row r="4343" spans="25:25" x14ac:dyDescent="0.2">
      <c r="Y4343" s="97"/>
    </row>
    <row r="4344" spans="25:25" x14ac:dyDescent="0.2">
      <c r="Y4344" s="97"/>
    </row>
    <row r="4345" spans="25:25" x14ac:dyDescent="0.2">
      <c r="Y4345" s="97"/>
    </row>
    <row r="4346" spans="25:25" x14ac:dyDescent="0.2">
      <c r="Y4346" s="97"/>
    </row>
    <row r="4347" spans="25:25" x14ac:dyDescent="0.2">
      <c r="Y4347" s="97"/>
    </row>
    <row r="4348" spans="25:25" x14ac:dyDescent="0.2">
      <c r="Y4348" s="97"/>
    </row>
    <row r="4349" spans="25:25" x14ac:dyDescent="0.2">
      <c r="Y4349" s="97"/>
    </row>
    <row r="4350" spans="25:25" x14ac:dyDescent="0.2">
      <c r="Y4350" s="97"/>
    </row>
    <row r="4351" spans="25:25" x14ac:dyDescent="0.2">
      <c r="Y4351" s="97"/>
    </row>
    <row r="4352" spans="25:25" x14ac:dyDescent="0.2">
      <c r="Y4352" s="97"/>
    </row>
    <row r="4353" spans="25:25" x14ac:dyDescent="0.2">
      <c r="Y4353" s="97"/>
    </row>
    <row r="4354" spans="25:25" x14ac:dyDescent="0.2">
      <c r="Y4354" s="97"/>
    </row>
    <row r="4355" spans="25:25" x14ac:dyDescent="0.2">
      <c r="Y4355" s="97"/>
    </row>
    <row r="4356" spans="25:25" x14ac:dyDescent="0.2">
      <c r="Y4356" s="97"/>
    </row>
    <row r="4357" spans="25:25" x14ac:dyDescent="0.2">
      <c r="Y4357" s="97"/>
    </row>
    <row r="4358" spans="25:25" x14ac:dyDescent="0.2">
      <c r="Y4358" s="97"/>
    </row>
    <row r="4359" spans="25:25" x14ac:dyDescent="0.2">
      <c r="Y4359" s="97"/>
    </row>
    <row r="4360" spans="25:25" x14ac:dyDescent="0.2">
      <c r="Y4360" s="97"/>
    </row>
    <row r="4361" spans="25:25" x14ac:dyDescent="0.2">
      <c r="Y4361" s="97"/>
    </row>
    <row r="4362" spans="25:25" x14ac:dyDescent="0.2">
      <c r="Y4362" s="97"/>
    </row>
    <row r="4363" spans="25:25" x14ac:dyDescent="0.2">
      <c r="Y4363" s="97"/>
    </row>
    <row r="4364" spans="25:25" x14ac:dyDescent="0.2">
      <c r="Y4364" s="97"/>
    </row>
    <row r="4365" spans="25:25" x14ac:dyDescent="0.2">
      <c r="Y4365" s="97"/>
    </row>
    <row r="4366" spans="25:25" x14ac:dyDescent="0.2">
      <c r="Y4366" s="97"/>
    </row>
    <row r="4367" spans="25:25" x14ac:dyDescent="0.2">
      <c r="Y4367" s="97"/>
    </row>
    <row r="4368" spans="25:25" x14ac:dyDescent="0.2">
      <c r="Y4368" s="97"/>
    </row>
    <row r="4369" spans="25:25" x14ac:dyDescent="0.2">
      <c r="Y4369" s="97"/>
    </row>
    <row r="4370" spans="25:25" x14ac:dyDescent="0.2">
      <c r="Y4370" s="97"/>
    </row>
    <row r="4371" spans="25:25" x14ac:dyDescent="0.2">
      <c r="Y4371" s="97"/>
    </row>
    <row r="4372" spans="25:25" x14ac:dyDescent="0.2">
      <c r="Y4372" s="97"/>
    </row>
    <row r="4373" spans="25:25" x14ac:dyDescent="0.2">
      <c r="Y4373" s="97"/>
    </row>
    <row r="4374" spans="25:25" x14ac:dyDescent="0.2">
      <c r="Y4374" s="97"/>
    </row>
    <row r="4375" spans="25:25" x14ac:dyDescent="0.2">
      <c r="Y4375" s="97"/>
    </row>
    <row r="4376" spans="25:25" x14ac:dyDescent="0.2">
      <c r="Y4376" s="97"/>
    </row>
    <row r="4377" spans="25:25" x14ac:dyDescent="0.2">
      <c r="Y4377" s="97"/>
    </row>
    <row r="4378" spans="25:25" x14ac:dyDescent="0.2">
      <c r="Y4378" s="97"/>
    </row>
    <row r="4379" spans="25:25" x14ac:dyDescent="0.2">
      <c r="Y4379" s="97"/>
    </row>
    <row r="4380" spans="25:25" x14ac:dyDescent="0.2">
      <c r="Y4380" s="97"/>
    </row>
    <row r="4381" spans="25:25" x14ac:dyDescent="0.2">
      <c r="Y4381" s="97"/>
    </row>
    <row r="4382" spans="25:25" x14ac:dyDescent="0.2">
      <c r="Y4382" s="97"/>
    </row>
    <row r="4383" spans="25:25" x14ac:dyDescent="0.2">
      <c r="Y4383" s="97"/>
    </row>
    <row r="4384" spans="25:25" x14ac:dyDescent="0.2">
      <c r="Y4384" s="97"/>
    </row>
    <row r="4385" spans="25:25" x14ac:dyDescent="0.2">
      <c r="Y4385" s="97"/>
    </row>
    <row r="4386" spans="25:25" x14ac:dyDescent="0.2">
      <c r="Y4386" s="97"/>
    </row>
    <row r="4387" spans="25:25" x14ac:dyDescent="0.2">
      <c r="Y4387" s="97"/>
    </row>
    <row r="4388" spans="25:25" x14ac:dyDescent="0.2">
      <c r="Y4388" s="97"/>
    </row>
    <row r="4389" spans="25:25" x14ac:dyDescent="0.2">
      <c r="Y4389" s="97"/>
    </row>
    <row r="4390" spans="25:25" x14ac:dyDescent="0.2">
      <c r="Y4390" s="97"/>
    </row>
    <row r="4391" spans="25:25" x14ac:dyDescent="0.2">
      <c r="Y4391" s="97"/>
    </row>
    <row r="4392" spans="25:25" x14ac:dyDescent="0.2">
      <c r="Y4392" s="97"/>
    </row>
    <row r="4393" spans="25:25" x14ac:dyDescent="0.2">
      <c r="Y4393" s="97"/>
    </row>
    <row r="4394" spans="25:25" x14ac:dyDescent="0.2">
      <c r="Y4394" s="97"/>
    </row>
    <row r="4395" spans="25:25" x14ac:dyDescent="0.2">
      <c r="Y4395" s="97"/>
    </row>
    <row r="4396" spans="25:25" x14ac:dyDescent="0.2">
      <c r="Y4396" s="97"/>
    </row>
    <row r="4397" spans="25:25" x14ac:dyDescent="0.2">
      <c r="Y4397" s="97"/>
    </row>
    <row r="4398" spans="25:25" x14ac:dyDescent="0.2">
      <c r="Y4398" s="97"/>
    </row>
    <row r="4399" spans="25:25" x14ac:dyDescent="0.2">
      <c r="Y4399" s="97"/>
    </row>
    <row r="4400" spans="25:25" x14ac:dyDescent="0.2">
      <c r="Y4400" s="97"/>
    </row>
    <row r="4401" spans="25:25" x14ac:dyDescent="0.2">
      <c r="Y4401" s="97"/>
    </row>
    <row r="4402" spans="25:25" x14ac:dyDescent="0.2">
      <c r="Y4402" s="97"/>
    </row>
    <row r="4403" spans="25:25" x14ac:dyDescent="0.2">
      <c r="Y4403" s="97"/>
    </row>
    <row r="4404" spans="25:25" x14ac:dyDescent="0.2">
      <c r="Y4404" s="97"/>
    </row>
    <row r="4405" spans="25:25" x14ac:dyDescent="0.2">
      <c r="Y4405" s="97"/>
    </row>
    <row r="4406" spans="25:25" x14ac:dyDescent="0.2">
      <c r="Y4406" s="97"/>
    </row>
    <row r="4407" spans="25:25" x14ac:dyDescent="0.2">
      <c r="Y4407" s="97"/>
    </row>
    <row r="4408" spans="25:25" x14ac:dyDescent="0.2">
      <c r="Y4408" s="97"/>
    </row>
    <row r="4409" spans="25:25" x14ac:dyDescent="0.2">
      <c r="Y4409" s="97"/>
    </row>
    <row r="4410" spans="25:25" x14ac:dyDescent="0.2">
      <c r="Y4410" s="97"/>
    </row>
    <row r="4411" spans="25:25" x14ac:dyDescent="0.2">
      <c r="Y4411" s="97"/>
    </row>
    <row r="4412" spans="25:25" x14ac:dyDescent="0.2">
      <c r="Y4412" s="97"/>
    </row>
    <row r="4413" spans="25:25" x14ac:dyDescent="0.2">
      <c r="Y4413" s="97"/>
    </row>
    <row r="4414" spans="25:25" x14ac:dyDescent="0.2">
      <c r="Y4414" s="97"/>
    </row>
    <row r="4415" spans="25:25" x14ac:dyDescent="0.2">
      <c r="Y4415" s="97"/>
    </row>
    <row r="4416" spans="25:25" x14ac:dyDescent="0.2">
      <c r="Y4416" s="97"/>
    </row>
    <row r="4417" spans="25:25" x14ac:dyDescent="0.2">
      <c r="Y4417" s="97"/>
    </row>
    <row r="4418" spans="25:25" x14ac:dyDescent="0.2">
      <c r="Y4418" s="97"/>
    </row>
    <row r="4419" spans="25:25" x14ac:dyDescent="0.2">
      <c r="Y4419" s="97"/>
    </row>
    <row r="4420" spans="25:25" x14ac:dyDescent="0.2">
      <c r="Y4420" s="97"/>
    </row>
    <row r="4421" spans="25:25" x14ac:dyDescent="0.2">
      <c r="Y4421" s="97"/>
    </row>
    <row r="4422" spans="25:25" x14ac:dyDescent="0.2">
      <c r="Y4422" s="97"/>
    </row>
    <row r="4423" spans="25:25" x14ac:dyDescent="0.2">
      <c r="Y4423" s="97"/>
    </row>
    <row r="4424" spans="25:25" x14ac:dyDescent="0.2">
      <c r="Y4424" s="97"/>
    </row>
    <row r="4425" spans="25:25" x14ac:dyDescent="0.2">
      <c r="Y4425" s="97"/>
    </row>
    <row r="4426" spans="25:25" x14ac:dyDescent="0.2">
      <c r="Y4426" s="97"/>
    </row>
    <row r="4427" spans="25:25" x14ac:dyDescent="0.2">
      <c r="Y4427" s="97"/>
    </row>
    <row r="4428" spans="25:25" x14ac:dyDescent="0.2">
      <c r="Y4428" s="97"/>
    </row>
    <row r="4429" spans="25:25" x14ac:dyDescent="0.2">
      <c r="Y4429" s="97"/>
    </row>
    <row r="4430" spans="25:25" x14ac:dyDescent="0.2">
      <c r="Y4430" s="97"/>
    </row>
    <row r="4431" spans="25:25" x14ac:dyDescent="0.2">
      <c r="Y4431" s="97"/>
    </row>
    <row r="4432" spans="25:25" x14ac:dyDescent="0.2">
      <c r="Y4432" s="97"/>
    </row>
    <row r="4433" spans="25:25" x14ac:dyDescent="0.2">
      <c r="Y4433" s="97"/>
    </row>
    <row r="4434" spans="25:25" x14ac:dyDescent="0.2">
      <c r="Y4434" s="97"/>
    </row>
    <row r="4435" spans="25:25" x14ac:dyDescent="0.2">
      <c r="Y4435" s="97"/>
    </row>
    <row r="4436" spans="25:25" x14ac:dyDescent="0.2">
      <c r="Y4436" s="97"/>
    </row>
    <row r="4437" spans="25:25" x14ac:dyDescent="0.2">
      <c r="Y4437" s="97"/>
    </row>
    <row r="4438" spans="25:25" x14ac:dyDescent="0.2">
      <c r="Y4438" s="97"/>
    </row>
    <row r="4439" spans="25:25" x14ac:dyDescent="0.2">
      <c r="Y4439" s="97"/>
    </row>
    <row r="4440" spans="25:25" x14ac:dyDescent="0.2">
      <c r="Y4440" s="97"/>
    </row>
    <row r="4441" spans="25:25" x14ac:dyDescent="0.2">
      <c r="Y4441" s="97"/>
    </row>
    <row r="4442" spans="25:25" x14ac:dyDescent="0.2">
      <c r="Y4442" s="97"/>
    </row>
    <row r="4443" spans="25:25" x14ac:dyDescent="0.2">
      <c r="Y4443" s="97"/>
    </row>
    <row r="4444" spans="25:25" x14ac:dyDescent="0.2">
      <c r="Y4444" s="97"/>
    </row>
    <row r="4445" spans="25:25" x14ac:dyDescent="0.2">
      <c r="Y4445" s="97"/>
    </row>
    <row r="4446" spans="25:25" x14ac:dyDescent="0.2">
      <c r="Y4446" s="97"/>
    </row>
    <row r="4447" spans="25:25" x14ac:dyDescent="0.2">
      <c r="Y4447" s="97"/>
    </row>
    <row r="4448" spans="25:25" x14ac:dyDescent="0.2">
      <c r="Y4448" s="97"/>
    </row>
    <row r="4449" spans="25:25" x14ac:dyDescent="0.2">
      <c r="Y4449" s="97"/>
    </row>
    <row r="4450" spans="25:25" x14ac:dyDescent="0.2">
      <c r="Y4450" s="97"/>
    </row>
    <row r="4451" spans="25:25" x14ac:dyDescent="0.2">
      <c r="Y4451" s="97"/>
    </row>
    <row r="4452" spans="25:25" x14ac:dyDescent="0.2">
      <c r="Y4452" s="97"/>
    </row>
    <row r="4453" spans="25:25" x14ac:dyDescent="0.2">
      <c r="Y4453" s="97"/>
    </row>
    <row r="4454" spans="25:25" x14ac:dyDescent="0.2">
      <c r="Y4454" s="97"/>
    </row>
    <row r="4455" spans="25:25" x14ac:dyDescent="0.2">
      <c r="Y4455" s="97"/>
    </row>
    <row r="4456" spans="25:25" x14ac:dyDescent="0.2">
      <c r="Y4456" s="97"/>
    </row>
    <row r="4457" spans="25:25" x14ac:dyDescent="0.2">
      <c r="Y4457" s="97"/>
    </row>
    <row r="4458" spans="25:25" x14ac:dyDescent="0.2">
      <c r="Y4458" s="97"/>
    </row>
    <row r="4459" spans="25:25" x14ac:dyDescent="0.2">
      <c r="Y4459" s="97"/>
    </row>
    <row r="4460" spans="25:25" x14ac:dyDescent="0.2">
      <c r="Y4460" s="97"/>
    </row>
    <row r="4461" spans="25:25" x14ac:dyDescent="0.2">
      <c r="Y4461" s="97"/>
    </row>
    <row r="4462" spans="25:25" x14ac:dyDescent="0.2">
      <c r="Y4462" s="97"/>
    </row>
    <row r="4463" spans="25:25" x14ac:dyDescent="0.2">
      <c r="Y4463" s="97"/>
    </row>
    <row r="4464" spans="25:25" x14ac:dyDescent="0.2">
      <c r="Y4464" s="97"/>
    </row>
    <row r="4465" spans="25:25" x14ac:dyDescent="0.2">
      <c r="Y4465" s="97"/>
    </row>
    <row r="4466" spans="25:25" x14ac:dyDescent="0.2">
      <c r="Y4466" s="97"/>
    </row>
    <row r="4467" spans="25:25" x14ac:dyDescent="0.2">
      <c r="Y4467" s="97"/>
    </row>
    <row r="4468" spans="25:25" x14ac:dyDescent="0.2">
      <c r="Y4468" s="97"/>
    </row>
    <row r="4469" spans="25:25" x14ac:dyDescent="0.2">
      <c r="Y4469" s="97"/>
    </row>
    <row r="4470" spans="25:25" x14ac:dyDescent="0.2">
      <c r="Y4470" s="97"/>
    </row>
    <row r="4471" spans="25:25" x14ac:dyDescent="0.2">
      <c r="Y4471" s="97"/>
    </row>
    <row r="4472" spans="25:25" x14ac:dyDescent="0.2">
      <c r="Y4472" s="97"/>
    </row>
    <row r="4473" spans="25:25" x14ac:dyDescent="0.2">
      <c r="Y4473" s="97"/>
    </row>
    <row r="4474" spans="25:25" x14ac:dyDescent="0.2">
      <c r="Y4474" s="97"/>
    </row>
    <row r="4475" spans="25:25" x14ac:dyDescent="0.2">
      <c r="Y4475" s="97"/>
    </row>
    <row r="4476" spans="25:25" x14ac:dyDescent="0.2">
      <c r="Y4476" s="97"/>
    </row>
    <row r="4477" spans="25:25" x14ac:dyDescent="0.2">
      <c r="Y4477" s="97"/>
    </row>
    <row r="4478" spans="25:25" x14ac:dyDescent="0.2">
      <c r="Y4478" s="97"/>
    </row>
    <row r="4479" spans="25:25" x14ac:dyDescent="0.2">
      <c r="Y4479" s="97"/>
    </row>
    <row r="4480" spans="25:25" x14ac:dyDescent="0.2">
      <c r="Y4480" s="97"/>
    </row>
    <row r="4481" spans="25:25" x14ac:dyDescent="0.2">
      <c r="Y4481" s="97"/>
    </row>
    <row r="4482" spans="25:25" x14ac:dyDescent="0.2">
      <c r="Y4482" s="97"/>
    </row>
    <row r="4483" spans="25:25" x14ac:dyDescent="0.2">
      <c r="Y4483" s="97"/>
    </row>
    <row r="4484" spans="25:25" x14ac:dyDescent="0.2">
      <c r="Y4484" s="97"/>
    </row>
    <row r="4485" spans="25:25" x14ac:dyDescent="0.2">
      <c r="Y4485" s="97"/>
    </row>
    <row r="4486" spans="25:25" x14ac:dyDescent="0.2">
      <c r="Y4486" s="97"/>
    </row>
    <row r="4487" spans="25:25" x14ac:dyDescent="0.2">
      <c r="Y4487" s="97"/>
    </row>
    <row r="4488" spans="25:25" x14ac:dyDescent="0.2">
      <c r="Y4488" s="97"/>
    </row>
    <row r="4489" spans="25:25" x14ac:dyDescent="0.2">
      <c r="Y4489" s="97"/>
    </row>
    <row r="4490" spans="25:25" x14ac:dyDescent="0.2">
      <c r="Y4490" s="97"/>
    </row>
    <row r="4491" spans="25:25" x14ac:dyDescent="0.2">
      <c r="Y4491" s="97"/>
    </row>
    <row r="4492" spans="25:25" x14ac:dyDescent="0.2">
      <c r="Y4492" s="97"/>
    </row>
    <row r="4493" spans="25:25" x14ac:dyDescent="0.2">
      <c r="Y4493" s="97"/>
    </row>
    <row r="4494" spans="25:25" x14ac:dyDescent="0.2">
      <c r="Y4494" s="97"/>
    </row>
    <row r="4495" spans="25:25" x14ac:dyDescent="0.2">
      <c r="Y4495" s="97"/>
    </row>
    <row r="4496" spans="25:25" x14ac:dyDescent="0.2">
      <c r="Y4496" s="97"/>
    </row>
    <row r="4497" spans="25:25" x14ac:dyDescent="0.2">
      <c r="Y4497" s="97"/>
    </row>
    <row r="4498" spans="25:25" x14ac:dyDescent="0.2">
      <c r="Y4498" s="97"/>
    </row>
    <row r="4499" spans="25:25" x14ac:dyDescent="0.2">
      <c r="Y4499" s="97"/>
    </row>
    <row r="4500" spans="25:25" x14ac:dyDescent="0.2">
      <c r="Y4500" s="97"/>
    </row>
    <row r="4501" spans="25:25" x14ac:dyDescent="0.2">
      <c r="Y4501" s="97"/>
    </row>
    <row r="4502" spans="25:25" x14ac:dyDescent="0.2">
      <c r="Y4502" s="97"/>
    </row>
    <row r="4503" spans="25:25" x14ac:dyDescent="0.2">
      <c r="Y4503" s="97"/>
    </row>
    <row r="4504" spans="25:25" x14ac:dyDescent="0.2">
      <c r="Y4504" s="97"/>
    </row>
    <row r="4505" spans="25:25" x14ac:dyDescent="0.2">
      <c r="Y4505" s="97"/>
    </row>
    <row r="4506" spans="25:25" x14ac:dyDescent="0.2">
      <c r="Y4506" s="97"/>
    </row>
    <row r="4507" spans="25:25" x14ac:dyDescent="0.2">
      <c r="Y4507" s="97"/>
    </row>
    <row r="4508" spans="25:25" x14ac:dyDescent="0.2">
      <c r="Y4508" s="97"/>
    </row>
    <row r="4509" spans="25:25" x14ac:dyDescent="0.2">
      <c r="Y4509" s="97"/>
    </row>
    <row r="4510" spans="25:25" x14ac:dyDescent="0.2">
      <c r="Y4510" s="97"/>
    </row>
    <row r="4511" spans="25:25" x14ac:dyDescent="0.2">
      <c r="Y4511" s="97"/>
    </row>
    <row r="4512" spans="25:25" x14ac:dyDescent="0.2">
      <c r="Y4512" s="97"/>
    </row>
    <row r="4513" spans="25:25" x14ac:dyDescent="0.2">
      <c r="Y4513" s="97"/>
    </row>
    <row r="4514" spans="25:25" x14ac:dyDescent="0.2">
      <c r="Y4514" s="97"/>
    </row>
    <row r="4515" spans="25:25" x14ac:dyDescent="0.2">
      <c r="Y4515" s="97"/>
    </row>
    <row r="4516" spans="25:25" x14ac:dyDescent="0.2">
      <c r="Y4516" s="97"/>
    </row>
    <row r="4517" spans="25:25" x14ac:dyDescent="0.2">
      <c r="Y4517" s="97"/>
    </row>
    <row r="4518" spans="25:25" x14ac:dyDescent="0.2">
      <c r="Y4518" s="97"/>
    </row>
    <row r="4519" spans="25:25" x14ac:dyDescent="0.2">
      <c r="Y4519" s="97"/>
    </row>
    <row r="4520" spans="25:25" x14ac:dyDescent="0.2">
      <c r="Y4520" s="97"/>
    </row>
    <row r="4521" spans="25:25" x14ac:dyDescent="0.2">
      <c r="Y4521" s="97"/>
    </row>
    <row r="4522" spans="25:25" x14ac:dyDescent="0.2">
      <c r="Y4522" s="97"/>
    </row>
    <row r="4523" spans="25:25" x14ac:dyDescent="0.2">
      <c r="Y4523" s="97"/>
    </row>
    <row r="4524" spans="25:25" x14ac:dyDescent="0.2">
      <c r="Y4524" s="97"/>
    </row>
    <row r="4525" spans="25:25" x14ac:dyDescent="0.2">
      <c r="Y4525" s="97"/>
    </row>
    <row r="4526" spans="25:25" x14ac:dyDescent="0.2">
      <c r="Y4526" s="97"/>
    </row>
    <row r="4527" spans="25:25" x14ac:dyDescent="0.2">
      <c r="Y4527" s="97"/>
    </row>
    <row r="4528" spans="25:25" x14ac:dyDescent="0.2">
      <c r="Y4528" s="97"/>
    </row>
    <row r="4529" spans="25:25" x14ac:dyDescent="0.2">
      <c r="Y4529" s="97"/>
    </row>
    <row r="4530" spans="25:25" x14ac:dyDescent="0.2">
      <c r="Y4530" s="97"/>
    </row>
    <row r="4531" spans="25:25" x14ac:dyDescent="0.2">
      <c r="Y4531" s="97"/>
    </row>
    <row r="4532" spans="25:25" x14ac:dyDescent="0.2">
      <c r="Y4532" s="97"/>
    </row>
    <row r="4533" spans="25:25" x14ac:dyDescent="0.2">
      <c r="Y4533" s="97"/>
    </row>
    <row r="4534" spans="25:25" x14ac:dyDescent="0.2">
      <c r="Y4534" s="97"/>
    </row>
    <row r="4535" spans="25:25" x14ac:dyDescent="0.2">
      <c r="Y4535" s="97"/>
    </row>
    <row r="4536" spans="25:25" x14ac:dyDescent="0.2">
      <c r="Y4536" s="97"/>
    </row>
    <row r="4537" spans="25:25" x14ac:dyDescent="0.2">
      <c r="Y4537" s="97"/>
    </row>
    <row r="4538" spans="25:25" x14ac:dyDescent="0.2">
      <c r="Y4538" s="97"/>
    </row>
    <row r="4539" spans="25:25" x14ac:dyDescent="0.2">
      <c r="Y4539" s="97"/>
    </row>
    <row r="4540" spans="25:25" x14ac:dyDescent="0.2">
      <c r="Y4540" s="97"/>
    </row>
    <row r="4541" spans="25:25" x14ac:dyDescent="0.2">
      <c r="Y4541" s="97"/>
    </row>
    <row r="4542" spans="25:25" x14ac:dyDescent="0.2">
      <c r="Y4542" s="97"/>
    </row>
    <row r="4543" spans="25:25" x14ac:dyDescent="0.2">
      <c r="Y4543" s="97"/>
    </row>
    <row r="4544" spans="25:25" x14ac:dyDescent="0.2">
      <c r="Y4544" s="97"/>
    </row>
    <row r="4545" spans="25:25" x14ac:dyDescent="0.2">
      <c r="Y4545" s="97"/>
    </row>
    <row r="4546" spans="25:25" x14ac:dyDescent="0.2">
      <c r="Y4546" s="97"/>
    </row>
    <row r="4547" spans="25:25" x14ac:dyDescent="0.2">
      <c r="Y4547" s="97"/>
    </row>
    <row r="4548" spans="25:25" x14ac:dyDescent="0.2">
      <c r="Y4548" s="97"/>
    </row>
    <row r="4549" spans="25:25" x14ac:dyDescent="0.2">
      <c r="Y4549" s="97"/>
    </row>
    <row r="4550" spans="25:25" x14ac:dyDescent="0.2">
      <c r="Y4550" s="97"/>
    </row>
    <row r="4551" spans="25:25" x14ac:dyDescent="0.2">
      <c r="Y4551" s="97"/>
    </row>
    <row r="4552" spans="25:25" x14ac:dyDescent="0.2">
      <c r="Y4552" s="97"/>
    </row>
    <row r="4553" spans="25:25" x14ac:dyDescent="0.2">
      <c r="Y4553" s="97"/>
    </row>
    <row r="4554" spans="25:25" x14ac:dyDescent="0.2">
      <c r="Y4554" s="97"/>
    </row>
    <row r="4555" spans="25:25" x14ac:dyDescent="0.2">
      <c r="Y4555" s="97"/>
    </row>
    <row r="4556" spans="25:25" x14ac:dyDescent="0.2">
      <c r="Y4556" s="97"/>
    </row>
    <row r="4557" spans="25:25" x14ac:dyDescent="0.2">
      <c r="Y4557" s="97"/>
    </row>
    <row r="4558" spans="25:25" x14ac:dyDescent="0.2">
      <c r="Y4558" s="97"/>
    </row>
    <row r="4559" spans="25:25" x14ac:dyDescent="0.2">
      <c r="Y4559" s="97"/>
    </row>
    <row r="4560" spans="25:25" x14ac:dyDescent="0.2">
      <c r="Y4560" s="97"/>
    </row>
    <row r="4561" spans="25:25" x14ac:dyDescent="0.2">
      <c r="Y4561" s="97"/>
    </row>
    <row r="4562" spans="25:25" x14ac:dyDescent="0.2">
      <c r="Y4562" s="97"/>
    </row>
    <row r="4563" spans="25:25" x14ac:dyDescent="0.2">
      <c r="Y4563" s="97"/>
    </row>
    <row r="4564" spans="25:25" x14ac:dyDescent="0.2">
      <c r="Y4564" s="97"/>
    </row>
    <row r="4565" spans="25:25" x14ac:dyDescent="0.2">
      <c r="Y4565" s="97"/>
    </row>
    <row r="4566" spans="25:25" x14ac:dyDescent="0.2">
      <c r="Y4566" s="97"/>
    </row>
    <row r="4567" spans="25:25" x14ac:dyDescent="0.2">
      <c r="Y4567" s="97"/>
    </row>
    <row r="4568" spans="25:25" x14ac:dyDescent="0.2">
      <c r="Y4568" s="97"/>
    </row>
    <row r="4569" spans="25:25" x14ac:dyDescent="0.2">
      <c r="Y4569" s="97"/>
    </row>
    <row r="4570" spans="25:25" x14ac:dyDescent="0.2">
      <c r="Y4570" s="97"/>
    </row>
    <row r="4571" spans="25:25" x14ac:dyDescent="0.2">
      <c r="Y4571" s="97"/>
    </row>
    <row r="4572" spans="25:25" x14ac:dyDescent="0.2">
      <c r="Y4572" s="97"/>
    </row>
    <row r="4573" spans="25:25" x14ac:dyDescent="0.2">
      <c r="Y4573" s="97"/>
    </row>
    <row r="4574" spans="25:25" x14ac:dyDescent="0.2">
      <c r="Y4574" s="97"/>
    </row>
    <row r="4575" spans="25:25" x14ac:dyDescent="0.2">
      <c r="Y4575" s="97"/>
    </row>
    <row r="4576" spans="25:25" x14ac:dyDescent="0.2">
      <c r="Y4576" s="97"/>
    </row>
    <row r="4577" spans="25:25" x14ac:dyDescent="0.2">
      <c r="Y4577" s="97"/>
    </row>
    <row r="4578" spans="25:25" x14ac:dyDescent="0.2">
      <c r="Y4578" s="97"/>
    </row>
    <row r="4579" spans="25:25" x14ac:dyDescent="0.2">
      <c r="Y4579" s="97"/>
    </row>
    <row r="4580" spans="25:25" x14ac:dyDescent="0.2">
      <c r="Y4580" s="97"/>
    </row>
    <row r="4581" spans="25:25" x14ac:dyDescent="0.2">
      <c r="Y4581" s="97"/>
    </row>
    <row r="4582" spans="25:25" x14ac:dyDescent="0.2">
      <c r="Y4582" s="97"/>
    </row>
    <row r="4583" spans="25:25" x14ac:dyDescent="0.2">
      <c r="Y4583" s="97"/>
    </row>
    <row r="4584" spans="25:25" x14ac:dyDescent="0.2">
      <c r="Y4584" s="97"/>
    </row>
    <row r="4585" spans="25:25" x14ac:dyDescent="0.2">
      <c r="Y4585" s="97"/>
    </row>
    <row r="4586" spans="25:25" x14ac:dyDescent="0.2">
      <c r="Y4586" s="97"/>
    </row>
    <row r="4587" spans="25:25" x14ac:dyDescent="0.2">
      <c r="Y4587" s="97"/>
    </row>
    <row r="4588" spans="25:25" x14ac:dyDescent="0.2">
      <c r="Y4588" s="97"/>
    </row>
    <row r="4589" spans="25:25" x14ac:dyDescent="0.2">
      <c r="Y4589" s="97"/>
    </row>
    <row r="4590" spans="25:25" x14ac:dyDescent="0.2">
      <c r="Y4590" s="97"/>
    </row>
    <row r="4591" spans="25:25" x14ac:dyDescent="0.2">
      <c r="Y4591" s="97"/>
    </row>
    <row r="4592" spans="25:25" x14ac:dyDescent="0.2">
      <c r="Y4592" s="97"/>
    </row>
    <row r="4593" spans="25:25" x14ac:dyDescent="0.2">
      <c r="Y4593" s="97"/>
    </row>
    <row r="4594" spans="25:25" x14ac:dyDescent="0.2">
      <c r="Y4594" s="97"/>
    </row>
    <row r="4595" spans="25:25" x14ac:dyDescent="0.2">
      <c r="Y4595" s="97"/>
    </row>
    <row r="4596" spans="25:25" x14ac:dyDescent="0.2">
      <c r="Y4596" s="97"/>
    </row>
    <row r="4597" spans="25:25" x14ac:dyDescent="0.2">
      <c r="Y4597" s="97"/>
    </row>
    <row r="4598" spans="25:25" x14ac:dyDescent="0.2">
      <c r="Y4598" s="97"/>
    </row>
    <row r="4599" spans="25:25" x14ac:dyDescent="0.2">
      <c r="Y4599" s="97"/>
    </row>
    <row r="4600" spans="25:25" x14ac:dyDescent="0.2">
      <c r="Y4600" s="97"/>
    </row>
    <row r="4601" spans="25:25" x14ac:dyDescent="0.2">
      <c r="Y4601" s="97"/>
    </row>
    <row r="4602" spans="25:25" x14ac:dyDescent="0.2">
      <c r="Y4602" s="97"/>
    </row>
    <row r="4603" spans="25:25" x14ac:dyDescent="0.2">
      <c r="Y4603" s="97"/>
    </row>
    <row r="4604" spans="25:25" x14ac:dyDescent="0.2">
      <c r="Y4604" s="97"/>
    </row>
    <row r="4605" spans="25:25" x14ac:dyDescent="0.2">
      <c r="Y4605" s="97"/>
    </row>
    <row r="4606" spans="25:25" x14ac:dyDescent="0.2">
      <c r="Y4606" s="97"/>
    </row>
    <row r="4607" spans="25:25" x14ac:dyDescent="0.2">
      <c r="Y4607" s="97"/>
    </row>
    <row r="4608" spans="25:25" x14ac:dyDescent="0.2">
      <c r="Y4608" s="97"/>
    </row>
    <row r="4609" spans="25:25" x14ac:dyDescent="0.2">
      <c r="Y4609" s="97"/>
    </row>
    <row r="4610" spans="25:25" x14ac:dyDescent="0.2">
      <c r="Y4610" s="97"/>
    </row>
    <row r="4611" spans="25:25" x14ac:dyDescent="0.2">
      <c r="Y4611" s="97"/>
    </row>
    <row r="4612" spans="25:25" x14ac:dyDescent="0.2">
      <c r="Y4612" s="97"/>
    </row>
    <row r="4613" spans="25:25" x14ac:dyDescent="0.2">
      <c r="Y4613" s="97"/>
    </row>
    <row r="4614" spans="25:25" x14ac:dyDescent="0.2">
      <c r="Y4614" s="97"/>
    </row>
    <row r="4615" spans="25:25" x14ac:dyDescent="0.2">
      <c r="Y4615" s="97"/>
    </row>
    <row r="4616" spans="25:25" x14ac:dyDescent="0.2">
      <c r="Y4616" s="97"/>
    </row>
    <row r="4617" spans="25:25" x14ac:dyDescent="0.2">
      <c r="Y4617" s="97"/>
    </row>
    <row r="4618" spans="25:25" x14ac:dyDescent="0.2">
      <c r="Y4618" s="97"/>
    </row>
    <row r="4619" spans="25:25" x14ac:dyDescent="0.2">
      <c r="Y4619" s="97"/>
    </row>
    <row r="4620" spans="25:25" x14ac:dyDescent="0.2">
      <c r="Y4620" s="97"/>
    </row>
    <row r="4621" spans="25:25" x14ac:dyDescent="0.2">
      <c r="Y4621" s="97"/>
    </row>
    <row r="4622" spans="25:25" x14ac:dyDescent="0.2">
      <c r="Y4622" s="97"/>
    </row>
    <row r="4623" spans="25:25" x14ac:dyDescent="0.2">
      <c r="Y4623" s="97"/>
    </row>
    <row r="4624" spans="25:25" x14ac:dyDescent="0.2">
      <c r="Y4624" s="97"/>
    </row>
    <row r="4625" spans="25:25" x14ac:dyDescent="0.2">
      <c r="Y4625" s="97"/>
    </row>
    <row r="4626" spans="25:25" x14ac:dyDescent="0.2">
      <c r="Y4626" s="97"/>
    </row>
    <row r="4627" spans="25:25" x14ac:dyDescent="0.2">
      <c r="Y4627" s="97"/>
    </row>
    <row r="4628" spans="25:25" x14ac:dyDescent="0.2">
      <c r="Y4628" s="97"/>
    </row>
    <row r="4629" spans="25:25" x14ac:dyDescent="0.2">
      <c r="Y4629" s="97"/>
    </row>
    <row r="4630" spans="25:25" x14ac:dyDescent="0.2">
      <c r="Y4630" s="97"/>
    </row>
    <row r="4631" spans="25:25" x14ac:dyDescent="0.2">
      <c r="Y4631" s="97"/>
    </row>
    <row r="4632" spans="25:25" x14ac:dyDescent="0.2">
      <c r="Y4632" s="97"/>
    </row>
    <row r="4633" spans="25:25" x14ac:dyDescent="0.2">
      <c r="Y4633" s="97"/>
    </row>
    <row r="4634" spans="25:25" x14ac:dyDescent="0.2">
      <c r="Y4634" s="97"/>
    </row>
    <row r="4635" spans="25:25" x14ac:dyDescent="0.2">
      <c r="Y4635" s="97"/>
    </row>
    <row r="4636" spans="25:25" x14ac:dyDescent="0.2">
      <c r="Y4636" s="97"/>
    </row>
    <row r="4637" spans="25:25" x14ac:dyDescent="0.2">
      <c r="Y4637" s="97"/>
    </row>
    <row r="4638" spans="25:25" x14ac:dyDescent="0.2">
      <c r="Y4638" s="97"/>
    </row>
    <row r="4639" spans="25:25" x14ac:dyDescent="0.2">
      <c r="Y4639" s="97"/>
    </row>
    <row r="4640" spans="25:25" x14ac:dyDescent="0.2">
      <c r="Y4640" s="97"/>
    </row>
    <row r="4641" spans="25:25" x14ac:dyDescent="0.2">
      <c r="Y4641" s="97"/>
    </row>
    <row r="4642" spans="25:25" x14ac:dyDescent="0.2">
      <c r="Y4642" s="97"/>
    </row>
    <row r="4643" spans="25:25" x14ac:dyDescent="0.2">
      <c r="Y4643" s="97"/>
    </row>
    <row r="4644" spans="25:25" x14ac:dyDescent="0.2">
      <c r="Y4644" s="97"/>
    </row>
    <row r="4645" spans="25:25" x14ac:dyDescent="0.2">
      <c r="Y4645" s="97"/>
    </row>
    <row r="4646" spans="25:25" x14ac:dyDescent="0.2">
      <c r="Y4646" s="97"/>
    </row>
    <row r="4647" spans="25:25" x14ac:dyDescent="0.2">
      <c r="Y4647" s="97"/>
    </row>
    <row r="4648" spans="25:25" x14ac:dyDescent="0.2">
      <c r="Y4648" s="97"/>
    </row>
    <row r="4649" spans="25:25" x14ac:dyDescent="0.2">
      <c r="Y4649" s="97"/>
    </row>
    <row r="4650" spans="25:25" x14ac:dyDescent="0.2">
      <c r="Y4650" s="97"/>
    </row>
    <row r="4651" spans="25:25" x14ac:dyDescent="0.2">
      <c r="Y4651" s="97"/>
    </row>
    <row r="4652" spans="25:25" x14ac:dyDescent="0.2">
      <c r="Y4652" s="97"/>
    </row>
    <row r="4653" spans="25:25" x14ac:dyDescent="0.2">
      <c r="Y4653" s="97"/>
    </row>
    <row r="4654" spans="25:25" x14ac:dyDescent="0.2">
      <c r="Y4654" s="97"/>
    </row>
    <row r="4655" spans="25:25" x14ac:dyDescent="0.2">
      <c r="Y4655" s="97"/>
    </row>
    <row r="4656" spans="25:25" x14ac:dyDescent="0.2">
      <c r="Y4656" s="97"/>
    </row>
    <row r="4657" spans="25:25" x14ac:dyDescent="0.2">
      <c r="Y4657" s="97"/>
    </row>
    <row r="4658" spans="25:25" x14ac:dyDescent="0.2">
      <c r="Y4658" s="97"/>
    </row>
    <row r="4659" spans="25:25" x14ac:dyDescent="0.2">
      <c r="Y4659" s="97"/>
    </row>
    <row r="4660" spans="25:25" x14ac:dyDescent="0.2">
      <c r="Y4660" s="97"/>
    </row>
    <row r="4661" spans="25:25" x14ac:dyDescent="0.2">
      <c r="Y4661" s="97"/>
    </row>
    <row r="4662" spans="25:25" x14ac:dyDescent="0.2">
      <c r="Y4662" s="97"/>
    </row>
    <row r="4663" spans="25:25" x14ac:dyDescent="0.2">
      <c r="Y4663" s="97"/>
    </row>
    <row r="4664" spans="25:25" x14ac:dyDescent="0.2">
      <c r="Y4664" s="97"/>
    </row>
    <row r="4665" spans="25:25" x14ac:dyDescent="0.2">
      <c r="Y4665" s="97"/>
    </row>
    <row r="4666" spans="25:25" x14ac:dyDescent="0.2">
      <c r="Y4666" s="97"/>
    </row>
    <row r="4667" spans="25:25" x14ac:dyDescent="0.2">
      <c r="Y4667" s="97"/>
    </row>
    <row r="4668" spans="25:25" x14ac:dyDescent="0.2">
      <c r="Y4668" s="97"/>
    </row>
    <row r="4669" spans="25:25" x14ac:dyDescent="0.2">
      <c r="Y4669" s="97"/>
    </row>
    <row r="4670" spans="25:25" x14ac:dyDescent="0.2">
      <c r="Y4670" s="97"/>
    </row>
    <row r="4671" spans="25:25" x14ac:dyDescent="0.2">
      <c r="Y4671" s="97"/>
    </row>
    <row r="4672" spans="25:25" x14ac:dyDescent="0.2">
      <c r="Y4672" s="97"/>
    </row>
    <row r="4673" spans="25:25" x14ac:dyDescent="0.2">
      <c r="Y4673" s="97"/>
    </row>
    <row r="4674" spans="25:25" x14ac:dyDescent="0.2">
      <c r="Y4674" s="97"/>
    </row>
    <row r="4675" spans="25:25" x14ac:dyDescent="0.2">
      <c r="Y4675" s="97"/>
    </row>
    <row r="4676" spans="25:25" x14ac:dyDescent="0.2">
      <c r="Y4676" s="97"/>
    </row>
    <row r="4677" spans="25:25" x14ac:dyDescent="0.2">
      <c r="Y4677" s="97"/>
    </row>
    <row r="4678" spans="25:25" x14ac:dyDescent="0.2">
      <c r="Y4678" s="97"/>
    </row>
    <row r="4679" spans="25:25" x14ac:dyDescent="0.2">
      <c r="Y4679" s="97"/>
    </row>
    <row r="4680" spans="25:25" x14ac:dyDescent="0.2">
      <c r="Y4680" s="97"/>
    </row>
    <row r="4681" spans="25:25" x14ac:dyDescent="0.2">
      <c r="Y4681" s="97"/>
    </row>
    <row r="4682" spans="25:25" x14ac:dyDescent="0.2">
      <c r="Y4682" s="97"/>
    </row>
    <row r="4683" spans="25:25" x14ac:dyDescent="0.2">
      <c r="Y4683" s="97"/>
    </row>
    <row r="4684" spans="25:25" x14ac:dyDescent="0.2">
      <c r="Y4684" s="97"/>
    </row>
    <row r="4685" spans="25:25" x14ac:dyDescent="0.2">
      <c r="Y4685" s="97"/>
    </row>
    <row r="4686" spans="25:25" x14ac:dyDescent="0.2">
      <c r="Y4686" s="97"/>
    </row>
    <row r="4687" spans="25:25" x14ac:dyDescent="0.2">
      <c r="Y4687" s="97"/>
    </row>
    <row r="4688" spans="25:25" x14ac:dyDescent="0.2">
      <c r="Y4688" s="97"/>
    </row>
    <row r="4689" spans="25:25" x14ac:dyDescent="0.2">
      <c r="Y4689" s="97"/>
    </row>
    <row r="4690" spans="25:25" x14ac:dyDescent="0.2">
      <c r="Y4690" s="97"/>
    </row>
    <row r="4691" spans="25:25" x14ac:dyDescent="0.2">
      <c r="Y4691" s="97"/>
    </row>
    <row r="4692" spans="25:25" x14ac:dyDescent="0.2">
      <c r="Y4692" s="97"/>
    </row>
    <row r="4693" spans="25:25" x14ac:dyDescent="0.2">
      <c r="Y4693" s="97"/>
    </row>
    <row r="4694" spans="25:25" x14ac:dyDescent="0.2">
      <c r="Y4694" s="97"/>
    </row>
    <row r="4695" spans="25:25" x14ac:dyDescent="0.2">
      <c r="Y4695" s="97"/>
    </row>
    <row r="4696" spans="25:25" x14ac:dyDescent="0.2">
      <c r="Y4696" s="97"/>
    </row>
    <row r="4697" spans="25:25" x14ac:dyDescent="0.2">
      <c r="Y4697" s="97"/>
    </row>
    <row r="4698" spans="25:25" x14ac:dyDescent="0.2">
      <c r="Y4698" s="97"/>
    </row>
    <row r="4699" spans="25:25" x14ac:dyDescent="0.2">
      <c r="Y4699" s="97"/>
    </row>
    <row r="4700" spans="25:25" x14ac:dyDescent="0.2">
      <c r="Y4700" s="97"/>
    </row>
    <row r="4701" spans="25:25" x14ac:dyDescent="0.2">
      <c r="Y4701" s="97"/>
    </row>
    <row r="4702" spans="25:25" x14ac:dyDescent="0.2">
      <c r="Y4702" s="97"/>
    </row>
    <row r="4703" spans="25:25" x14ac:dyDescent="0.2">
      <c r="Y4703" s="97"/>
    </row>
    <row r="4704" spans="25:25" x14ac:dyDescent="0.2">
      <c r="Y4704" s="97"/>
    </row>
    <row r="4705" spans="25:25" x14ac:dyDescent="0.2">
      <c r="Y4705" s="97"/>
    </row>
    <row r="4706" spans="25:25" x14ac:dyDescent="0.2">
      <c r="Y4706" s="97"/>
    </row>
    <row r="4707" spans="25:25" x14ac:dyDescent="0.2">
      <c r="Y4707" s="97"/>
    </row>
    <row r="4708" spans="25:25" x14ac:dyDescent="0.2">
      <c r="Y4708" s="97"/>
    </row>
    <row r="4709" spans="25:25" x14ac:dyDescent="0.2">
      <c r="Y4709" s="97"/>
    </row>
    <row r="4710" spans="25:25" x14ac:dyDescent="0.2">
      <c r="Y4710" s="97"/>
    </row>
    <row r="4711" spans="25:25" x14ac:dyDescent="0.2">
      <c r="Y4711" s="97"/>
    </row>
    <row r="4712" spans="25:25" x14ac:dyDescent="0.2">
      <c r="Y4712" s="97"/>
    </row>
    <row r="4713" spans="25:25" x14ac:dyDescent="0.2">
      <c r="Y4713" s="97"/>
    </row>
    <row r="4714" spans="25:25" x14ac:dyDescent="0.2">
      <c r="Y4714" s="97"/>
    </row>
    <row r="4715" spans="25:25" x14ac:dyDescent="0.2">
      <c r="Y4715" s="97"/>
    </row>
    <row r="4716" spans="25:25" x14ac:dyDescent="0.2">
      <c r="Y4716" s="97"/>
    </row>
    <row r="4717" spans="25:25" x14ac:dyDescent="0.2">
      <c r="Y4717" s="97"/>
    </row>
    <row r="4718" spans="25:25" x14ac:dyDescent="0.2">
      <c r="Y4718" s="97"/>
    </row>
    <row r="4719" spans="25:25" x14ac:dyDescent="0.2">
      <c r="Y4719" s="97"/>
    </row>
    <row r="4720" spans="25:25" x14ac:dyDescent="0.2">
      <c r="Y4720" s="97"/>
    </row>
    <row r="4721" spans="25:25" x14ac:dyDescent="0.2">
      <c r="Y4721" s="97"/>
    </row>
    <row r="4722" spans="25:25" x14ac:dyDescent="0.2">
      <c r="Y4722" s="97"/>
    </row>
    <row r="4723" spans="25:25" x14ac:dyDescent="0.2">
      <c r="Y4723" s="97"/>
    </row>
    <row r="4724" spans="25:25" x14ac:dyDescent="0.2">
      <c r="Y4724" s="97"/>
    </row>
    <row r="4725" spans="25:25" x14ac:dyDescent="0.2">
      <c r="Y4725" s="97"/>
    </row>
    <row r="4726" spans="25:25" x14ac:dyDescent="0.2">
      <c r="Y4726" s="97"/>
    </row>
    <row r="4727" spans="25:25" x14ac:dyDescent="0.2">
      <c r="Y4727" s="97"/>
    </row>
    <row r="4728" spans="25:25" x14ac:dyDescent="0.2">
      <c r="Y4728" s="97"/>
    </row>
    <row r="4729" spans="25:25" x14ac:dyDescent="0.2">
      <c r="Y4729" s="97"/>
    </row>
    <row r="4730" spans="25:25" x14ac:dyDescent="0.2">
      <c r="Y4730" s="97"/>
    </row>
    <row r="4731" spans="25:25" x14ac:dyDescent="0.2">
      <c r="Y4731" s="97"/>
    </row>
    <row r="4732" spans="25:25" x14ac:dyDescent="0.2">
      <c r="Y4732" s="97"/>
    </row>
    <row r="4733" spans="25:25" x14ac:dyDescent="0.2">
      <c r="Y4733" s="97"/>
    </row>
    <row r="4734" spans="25:25" x14ac:dyDescent="0.2">
      <c r="Y4734" s="97"/>
    </row>
    <row r="4735" spans="25:25" x14ac:dyDescent="0.2">
      <c r="Y4735" s="97"/>
    </row>
    <row r="4736" spans="25:25" x14ac:dyDescent="0.2">
      <c r="Y4736" s="97"/>
    </row>
    <row r="4737" spans="25:25" x14ac:dyDescent="0.2">
      <c r="Y4737" s="97"/>
    </row>
    <row r="4738" spans="25:25" x14ac:dyDescent="0.2">
      <c r="Y4738" s="97"/>
    </row>
    <row r="4739" spans="25:25" x14ac:dyDescent="0.2">
      <c r="Y4739" s="97"/>
    </row>
    <row r="4740" spans="25:25" x14ac:dyDescent="0.2">
      <c r="Y4740" s="97"/>
    </row>
    <row r="4741" spans="25:25" x14ac:dyDescent="0.2">
      <c r="Y4741" s="97"/>
    </row>
    <row r="4742" spans="25:25" x14ac:dyDescent="0.2">
      <c r="Y4742" s="97"/>
    </row>
    <row r="4743" spans="25:25" x14ac:dyDescent="0.2">
      <c r="Y4743" s="97"/>
    </row>
    <row r="4744" spans="25:25" x14ac:dyDescent="0.2">
      <c r="Y4744" s="97"/>
    </row>
    <row r="4745" spans="25:25" x14ac:dyDescent="0.2">
      <c r="Y4745" s="97"/>
    </row>
    <row r="4746" spans="25:25" x14ac:dyDescent="0.2">
      <c r="Y4746" s="97"/>
    </row>
    <row r="4747" spans="25:25" x14ac:dyDescent="0.2">
      <c r="Y4747" s="97"/>
    </row>
    <row r="4748" spans="25:25" x14ac:dyDescent="0.2">
      <c r="Y4748" s="97"/>
    </row>
    <row r="4749" spans="25:25" x14ac:dyDescent="0.2">
      <c r="Y4749" s="97"/>
    </row>
    <row r="4750" spans="25:25" x14ac:dyDescent="0.2">
      <c r="Y4750" s="97"/>
    </row>
    <row r="4751" spans="25:25" x14ac:dyDescent="0.2">
      <c r="Y4751" s="97"/>
    </row>
    <row r="4752" spans="25:25" x14ac:dyDescent="0.2">
      <c r="Y4752" s="97"/>
    </row>
    <row r="4753" spans="25:25" x14ac:dyDescent="0.2">
      <c r="Y4753" s="97"/>
    </row>
    <row r="4754" spans="25:25" x14ac:dyDescent="0.2">
      <c r="Y4754" s="97"/>
    </row>
    <row r="4755" spans="25:25" x14ac:dyDescent="0.2">
      <c r="Y4755" s="97"/>
    </row>
    <row r="4756" spans="25:25" x14ac:dyDescent="0.2">
      <c r="Y4756" s="97"/>
    </row>
    <row r="4757" spans="25:25" x14ac:dyDescent="0.2">
      <c r="Y4757" s="97"/>
    </row>
    <row r="4758" spans="25:25" x14ac:dyDescent="0.2">
      <c r="Y4758" s="97"/>
    </row>
    <row r="4759" spans="25:25" x14ac:dyDescent="0.2">
      <c r="Y4759" s="97"/>
    </row>
    <row r="4760" spans="25:25" x14ac:dyDescent="0.2">
      <c r="Y4760" s="97"/>
    </row>
    <row r="4761" spans="25:25" x14ac:dyDescent="0.2">
      <c r="Y4761" s="97"/>
    </row>
    <row r="4762" spans="25:25" x14ac:dyDescent="0.2">
      <c r="Y4762" s="97"/>
    </row>
    <row r="4763" spans="25:25" x14ac:dyDescent="0.2">
      <c r="Y4763" s="97"/>
    </row>
    <row r="4764" spans="25:25" x14ac:dyDescent="0.2">
      <c r="Y4764" s="97"/>
    </row>
    <row r="4765" spans="25:25" x14ac:dyDescent="0.2">
      <c r="Y4765" s="97"/>
    </row>
    <row r="4766" spans="25:25" x14ac:dyDescent="0.2">
      <c r="Y4766" s="97"/>
    </row>
    <row r="4767" spans="25:25" x14ac:dyDescent="0.2">
      <c r="Y4767" s="97"/>
    </row>
    <row r="4768" spans="25:25" x14ac:dyDescent="0.2">
      <c r="Y4768" s="97"/>
    </row>
    <row r="4769" spans="25:25" x14ac:dyDescent="0.2">
      <c r="Y4769" s="97"/>
    </row>
    <row r="4770" spans="25:25" x14ac:dyDescent="0.2">
      <c r="Y4770" s="97"/>
    </row>
    <row r="4771" spans="25:25" x14ac:dyDescent="0.2">
      <c r="Y4771" s="97"/>
    </row>
    <row r="4772" spans="25:25" x14ac:dyDescent="0.2">
      <c r="Y4772" s="97"/>
    </row>
    <row r="4773" spans="25:25" x14ac:dyDescent="0.2">
      <c r="Y4773" s="97"/>
    </row>
    <row r="4774" spans="25:25" x14ac:dyDescent="0.2">
      <c r="Y4774" s="97"/>
    </row>
    <row r="4775" spans="25:25" x14ac:dyDescent="0.2">
      <c r="Y4775" s="97"/>
    </row>
    <row r="4776" spans="25:25" x14ac:dyDescent="0.2">
      <c r="Y4776" s="97"/>
    </row>
    <row r="4777" spans="25:25" x14ac:dyDescent="0.2">
      <c r="Y4777" s="97"/>
    </row>
    <row r="4778" spans="25:25" x14ac:dyDescent="0.2">
      <c r="Y4778" s="97"/>
    </row>
    <row r="4779" spans="25:25" x14ac:dyDescent="0.2">
      <c r="Y4779" s="97"/>
    </row>
    <row r="4780" spans="25:25" x14ac:dyDescent="0.2">
      <c r="Y4780" s="97"/>
    </row>
    <row r="4781" spans="25:25" x14ac:dyDescent="0.2">
      <c r="Y4781" s="97"/>
    </row>
    <row r="4782" spans="25:25" x14ac:dyDescent="0.2">
      <c r="Y4782" s="97"/>
    </row>
    <row r="4783" spans="25:25" x14ac:dyDescent="0.2">
      <c r="Y4783" s="97"/>
    </row>
    <row r="4784" spans="25:25" x14ac:dyDescent="0.2">
      <c r="Y4784" s="97"/>
    </row>
    <row r="4785" spans="25:25" x14ac:dyDescent="0.2">
      <c r="Y4785" s="97"/>
    </row>
    <row r="4786" spans="25:25" x14ac:dyDescent="0.2">
      <c r="Y4786" s="97"/>
    </row>
    <row r="4787" spans="25:25" x14ac:dyDescent="0.2">
      <c r="Y4787" s="97"/>
    </row>
    <row r="4788" spans="25:25" x14ac:dyDescent="0.2">
      <c r="Y4788" s="97"/>
    </row>
    <row r="4789" spans="25:25" x14ac:dyDescent="0.2">
      <c r="Y4789" s="97"/>
    </row>
    <row r="4790" spans="25:25" x14ac:dyDescent="0.2">
      <c r="Y4790" s="97"/>
    </row>
    <row r="4791" spans="25:25" x14ac:dyDescent="0.2">
      <c r="Y4791" s="97"/>
    </row>
    <row r="4792" spans="25:25" x14ac:dyDescent="0.2">
      <c r="Y4792" s="97"/>
    </row>
    <row r="4793" spans="25:25" x14ac:dyDescent="0.2">
      <c r="Y4793" s="97"/>
    </row>
    <row r="4794" spans="25:25" x14ac:dyDescent="0.2">
      <c r="Y4794" s="97"/>
    </row>
    <row r="4795" spans="25:25" x14ac:dyDescent="0.2">
      <c r="Y4795" s="97"/>
    </row>
    <row r="4796" spans="25:25" x14ac:dyDescent="0.2">
      <c r="Y4796" s="97"/>
    </row>
    <row r="4797" spans="25:25" x14ac:dyDescent="0.2">
      <c r="Y4797" s="97"/>
    </row>
    <row r="4798" spans="25:25" x14ac:dyDescent="0.2">
      <c r="Y4798" s="97"/>
    </row>
    <row r="4799" spans="25:25" x14ac:dyDescent="0.2">
      <c r="Y4799" s="97"/>
    </row>
    <row r="4800" spans="25:25" x14ac:dyDescent="0.2">
      <c r="Y4800" s="97"/>
    </row>
    <row r="4801" spans="25:25" x14ac:dyDescent="0.2">
      <c r="Y4801" s="97"/>
    </row>
    <row r="4802" spans="25:25" x14ac:dyDescent="0.2">
      <c r="Y4802" s="97"/>
    </row>
    <row r="4803" spans="25:25" x14ac:dyDescent="0.2">
      <c r="Y4803" s="97"/>
    </row>
    <row r="4804" spans="25:25" x14ac:dyDescent="0.2">
      <c r="Y4804" s="97"/>
    </row>
    <row r="4805" spans="25:25" x14ac:dyDescent="0.2">
      <c r="Y4805" s="97"/>
    </row>
    <row r="4806" spans="25:25" x14ac:dyDescent="0.2">
      <c r="Y4806" s="97"/>
    </row>
    <row r="4807" spans="25:25" x14ac:dyDescent="0.2">
      <c r="Y4807" s="97"/>
    </row>
    <row r="4808" spans="25:25" x14ac:dyDescent="0.2">
      <c r="Y4808" s="97"/>
    </row>
    <row r="4809" spans="25:25" x14ac:dyDescent="0.2">
      <c r="Y4809" s="97"/>
    </row>
    <row r="4810" spans="25:25" x14ac:dyDescent="0.2">
      <c r="Y4810" s="97"/>
    </row>
    <row r="4811" spans="25:25" x14ac:dyDescent="0.2">
      <c r="Y4811" s="97"/>
    </row>
    <row r="4812" spans="25:25" x14ac:dyDescent="0.2">
      <c r="Y4812" s="97"/>
    </row>
    <row r="4813" spans="25:25" x14ac:dyDescent="0.2">
      <c r="Y4813" s="97"/>
    </row>
    <row r="4814" spans="25:25" x14ac:dyDescent="0.2">
      <c r="Y4814" s="97"/>
    </row>
    <row r="4815" spans="25:25" x14ac:dyDescent="0.2">
      <c r="Y4815" s="97"/>
    </row>
    <row r="4816" spans="25:25" x14ac:dyDescent="0.2">
      <c r="Y4816" s="97"/>
    </row>
    <row r="4817" spans="25:25" x14ac:dyDescent="0.2">
      <c r="Y4817" s="97"/>
    </row>
    <row r="4818" spans="25:25" x14ac:dyDescent="0.2">
      <c r="Y4818" s="97"/>
    </row>
    <row r="4819" spans="25:25" x14ac:dyDescent="0.2">
      <c r="Y4819" s="97"/>
    </row>
    <row r="4820" spans="25:25" x14ac:dyDescent="0.2">
      <c r="Y4820" s="97"/>
    </row>
    <row r="4821" spans="25:25" x14ac:dyDescent="0.2">
      <c r="Y4821" s="97"/>
    </row>
    <row r="4822" spans="25:25" x14ac:dyDescent="0.2">
      <c r="Y4822" s="97"/>
    </row>
    <row r="4823" spans="25:25" x14ac:dyDescent="0.2">
      <c r="Y4823" s="97"/>
    </row>
    <row r="4824" spans="25:25" x14ac:dyDescent="0.2">
      <c r="Y4824" s="97"/>
    </row>
    <row r="4825" spans="25:25" x14ac:dyDescent="0.2">
      <c r="Y4825" s="97"/>
    </row>
    <row r="4826" spans="25:25" x14ac:dyDescent="0.2">
      <c r="Y4826" s="97"/>
    </row>
    <row r="4827" spans="25:25" x14ac:dyDescent="0.2">
      <c r="Y4827" s="97"/>
    </row>
    <row r="4828" spans="25:25" x14ac:dyDescent="0.2">
      <c r="Y4828" s="97"/>
    </row>
    <row r="4829" spans="25:25" x14ac:dyDescent="0.2">
      <c r="Y4829" s="97"/>
    </row>
    <row r="4830" spans="25:25" x14ac:dyDescent="0.2">
      <c r="Y4830" s="97"/>
    </row>
    <row r="4831" spans="25:25" x14ac:dyDescent="0.2">
      <c r="Y4831" s="97"/>
    </row>
    <row r="4832" spans="25:25" x14ac:dyDescent="0.2">
      <c r="Y4832" s="97"/>
    </row>
    <row r="4833" spans="25:25" x14ac:dyDescent="0.2">
      <c r="Y4833" s="97"/>
    </row>
    <row r="4834" spans="25:25" x14ac:dyDescent="0.2">
      <c r="Y4834" s="97"/>
    </row>
    <row r="4835" spans="25:25" x14ac:dyDescent="0.2">
      <c r="Y4835" s="97"/>
    </row>
    <row r="4836" spans="25:25" x14ac:dyDescent="0.2">
      <c r="Y4836" s="97"/>
    </row>
    <row r="4837" spans="25:25" x14ac:dyDescent="0.2">
      <c r="Y4837" s="97"/>
    </row>
    <row r="4838" spans="25:25" x14ac:dyDescent="0.2">
      <c r="Y4838" s="97"/>
    </row>
    <row r="4839" spans="25:25" x14ac:dyDescent="0.2">
      <c r="Y4839" s="97"/>
    </row>
    <row r="4840" spans="25:25" x14ac:dyDescent="0.2">
      <c r="Y4840" s="97"/>
    </row>
    <row r="4841" spans="25:25" x14ac:dyDescent="0.2">
      <c r="Y4841" s="97"/>
    </row>
    <row r="4842" spans="25:25" x14ac:dyDescent="0.2">
      <c r="Y4842" s="97"/>
    </row>
    <row r="4843" spans="25:25" x14ac:dyDescent="0.2">
      <c r="Y4843" s="97"/>
    </row>
    <row r="4844" spans="25:25" x14ac:dyDescent="0.2">
      <c r="Y4844" s="97"/>
    </row>
    <row r="4845" spans="25:25" x14ac:dyDescent="0.2">
      <c r="Y4845" s="97"/>
    </row>
    <row r="4846" spans="25:25" x14ac:dyDescent="0.2">
      <c r="Y4846" s="97"/>
    </row>
    <row r="4847" spans="25:25" x14ac:dyDescent="0.2">
      <c r="Y4847" s="97"/>
    </row>
    <row r="4848" spans="25:25" x14ac:dyDescent="0.2">
      <c r="Y4848" s="97"/>
    </row>
    <row r="4849" spans="25:25" x14ac:dyDescent="0.2">
      <c r="Y4849" s="97"/>
    </row>
    <row r="4850" spans="25:25" x14ac:dyDescent="0.2">
      <c r="Y4850" s="97"/>
    </row>
    <row r="4851" spans="25:25" x14ac:dyDescent="0.2">
      <c r="Y4851" s="97"/>
    </row>
    <row r="4852" spans="25:25" x14ac:dyDescent="0.2">
      <c r="Y4852" s="97"/>
    </row>
    <row r="4853" spans="25:25" x14ac:dyDescent="0.2">
      <c r="Y4853" s="97"/>
    </row>
    <row r="4854" spans="25:25" x14ac:dyDescent="0.2">
      <c r="Y4854" s="97"/>
    </row>
    <row r="4855" spans="25:25" x14ac:dyDescent="0.2">
      <c r="Y4855" s="97"/>
    </row>
    <row r="4856" spans="25:25" x14ac:dyDescent="0.2">
      <c r="Y4856" s="97"/>
    </row>
    <row r="4857" spans="25:25" x14ac:dyDescent="0.2">
      <c r="Y4857" s="97"/>
    </row>
    <row r="4858" spans="25:25" x14ac:dyDescent="0.2">
      <c r="Y4858" s="97"/>
    </row>
    <row r="4859" spans="25:25" x14ac:dyDescent="0.2">
      <c r="Y4859" s="97"/>
    </row>
    <row r="4860" spans="25:25" x14ac:dyDescent="0.2">
      <c r="Y4860" s="97"/>
    </row>
    <row r="4861" spans="25:25" x14ac:dyDescent="0.2">
      <c r="Y4861" s="97"/>
    </row>
    <row r="4862" spans="25:25" x14ac:dyDescent="0.2">
      <c r="Y4862" s="97"/>
    </row>
    <row r="4863" spans="25:25" x14ac:dyDescent="0.2">
      <c r="Y4863" s="97"/>
    </row>
    <row r="4864" spans="25:25" x14ac:dyDescent="0.2">
      <c r="Y4864" s="97"/>
    </row>
    <row r="4865" spans="25:25" x14ac:dyDescent="0.2">
      <c r="Y4865" s="97"/>
    </row>
    <row r="4866" spans="25:25" x14ac:dyDescent="0.2">
      <c r="Y4866" s="97"/>
    </row>
    <row r="4867" spans="25:25" x14ac:dyDescent="0.2">
      <c r="Y4867" s="97"/>
    </row>
    <row r="4868" spans="25:25" x14ac:dyDescent="0.2">
      <c r="Y4868" s="97"/>
    </row>
    <row r="4869" spans="25:25" x14ac:dyDescent="0.2">
      <c r="Y4869" s="97"/>
    </row>
    <row r="4870" spans="25:25" x14ac:dyDescent="0.2">
      <c r="Y4870" s="97"/>
    </row>
    <row r="4871" spans="25:25" x14ac:dyDescent="0.2">
      <c r="Y4871" s="97"/>
    </row>
    <row r="4872" spans="25:25" x14ac:dyDescent="0.2">
      <c r="Y4872" s="97"/>
    </row>
    <row r="4873" spans="25:25" x14ac:dyDescent="0.2">
      <c r="Y4873" s="97"/>
    </row>
    <row r="4874" spans="25:25" x14ac:dyDescent="0.2">
      <c r="Y4874" s="97"/>
    </row>
    <row r="4875" spans="25:25" x14ac:dyDescent="0.2">
      <c r="Y4875" s="97"/>
    </row>
    <row r="4876" spans="25:25" x14ac:dyDescent="0.2">
      <c r="Y4876" s="97"/>
    </row>
    <row r="4877" spans="25:25" x14ac:dyDescent="0.2">
      <c r="Y4877" s="97"/>
    </row>
    <row r="4878" spans="25:25" x14ac:dyDescent="0.2">
      <c r="Y4878" s="97"/>
    </row>
    <row r="4879" spans="25:25" x14ac:dyDescent="0.2">
      <c r="Y4879" s="97"/>
    </row>
    <row r="4880" spans="25:25" x14ac:dyDescent="0.2">
      <c r="Y4880" s="97"/>
    </row>
    <row r="4881" spans="25:25" x14ac:dyDescent="0.2">
      <c r="Y4881" s="97"/>
    </row>
    <row r="4882" spans="25:25" x14ac:dyDescent="0.2">
      <c r="Y4882" s="97"/>
    </row>
    <row r="4883" spans="25:25" x14ac:dyDescent="0.2">
      <c r="Y4883" s="97"/>
    </row>
    <row r="4884" spans="25:25" x14ac:dyDescent="0.2">
      <c r="Y4884" s="97"/>
    </row>
    <row r="4885" spans="25:25" x14ac:dyDescent="0.2">
      <c r="Y4885" s="97"/>
    </row>
    <row r="4886" spans="25:25" x14ac:dyDescent="0.2">
      <c r="Y4886" s="97"/>
    </row>
    <row r="4887" spans="25:25" x14ac:dyDescent="0.2">
      <c r="Y4887" s="97"/>
    </row>
    <row r="4888" spans="25:25" x14ac:dyDescent="0.2">
      <c r="Y4888" s="97"/>
    </row>
    <row r="4889" spans="25:25" x14ac:dyDescent="0.2">
      <c r="Y4889" s="97"/>
    </row>
    <row r="4890" spans="25:25" x14ac:dyDescent="0.2">
      <c r="Y4890" s="97"/>
    </row>
    <row r="4891" spans="25:25" x14ac:dyDescent="0.2">
      <c r="Y4891" s="97"/>
    </row>
    <row r="4892" spans="25:25" x14ac:dyDescent="0.2">
      <c r="Y4892" s="97"/>
    </row>
    <row r="4893" spans="25:25" x14ac:dyDescent="0.2">
      <c r="Y4893" s="97"/>
    </row>
    <row r="4894" spans="25:25" x14ac:dyDescent="0.2">
      <c r="Y4894" s="97"/>
    </row>
    <row r="4895" spans="25:25" x14ac:dyDescent="0.2">
      <c r="Y4895" s="97"/>
    </row>
    <row r="4896" spans="25:25" x14ac:dyDescent="0.2">
      <c r="Y4896" s="97"/>
    </row>
    <row r="4897" spans="25:25" x14ac:dyDescent="0.2">
      <c r="Y4897" s="97"/>
    </row>
    <row r="4898" spans="25:25" x14ac:dyDescent="0.2">
      <c r="Y4898" s="97"/>
    </row>
    <row r="4899" spans="25:25" x14ac:dyDescent="0.2">
      <c r="Y4899" s="97"/>
    </row>
    <row r="4900" spans="25:25" x14ac:dyDescent="0.2">
      <c r="Y4900" s="97"/>
    </row>
    <row r="4901" spans="25:25" x14ac:dyDescent="0.2">
      <c r="Y4901" s="97"/>
    </row>
    <row r="4902" spans="25:25" x14ac:dyDescent="0.2">
      <c r="Y4902" s="97"/>
    </row>
    <row r="4903" spans="25:25" x14ac:dyDescent="0.2">
      <c r="Y4903" s="97"/>
    </row>
    <row r="4904" spans="25:25" x14ac:dyDescent="0.2">
      <c r="Y4904" s="97"/>
    </row>
    <row r="4905" spans="25:25" x14ac:dyDescent="0.2">
      <c r="Y4905" s="97"/>
    </row>
    <row r="4906" spans="25:25" x14ac:dyDescent="0.2">
      <c r="Y4906" s="97"/>
    </row>
    <row r="4907" spans="25:25" x14ac:dyDescent="0.2">
      <c r="Y4907" s="97"/>
    </row>
    <row r="4908" spans="25:25" x14ac:dyDescent="0.2">
      <c r="Y4908" s="97"/>
    </row>
    <row r="4909" spans="25:25" x14ac:dyDescent="0.2">
      <c r="Y4909" s="97"/>
    </row>
    <row r="4910" spans="25:25" x14ac:dyDescent="0.2">
      <c r="Y4910" s="97"/>
    </row>
    <row r="4911" spans="25:25" x14ac:dyDescent="0.2">
      <c r="Y4911" s="97"/>
    </row>
    <row r="4912" spans="25:25" x14ac:dyDescent="0.2">
      <c r="Y4912" s="97"/>
    </row>
    <row r="4913" spans="25:25" x14ac:dyDescent="0.2">
      <c r="Y4913" s="97"/>
    </row>
    <row r="4914" spans="25:25" x14ac:dyDescent="0.2">
      <c r="Y4914" s="97"/>
    </row>
    <row r="4915" spans="25:25" x14ac:dyDescent="0.2">
      <c r="Y4915" s="97"/>
    </row>
    <row r="4916" spans="25:25" x14ac:dyDescent="0.2">
      <c r="Y4916" s="97"/>
    </row>
    <row r="4917" spans="25:25" x14ac:dyDescent="0.2">
      <c r="Y4917" s="97"/>
    </row>
    <row r="4918" spans="25:25" x14ac:dyDescent="0.2">
      <c r="Y4918" s="97"/>
    </row>
    <row r="4919" spans="25:25" x14ac:dyDescent="0.2">
      <c r="Y4919" s="97"/>
    </row>
    <row r="4920" spans="25:25" x14ac:dyDescent="0.2">
      <c r="Y4920" s="97"/>
    </row>
    <row r="4921" spans="25:25" x14ac:dyDescent="0.2">
      <c r="Y4921" s="97"/>
    </row>
    <row r="4922" spans="25:25" x14ac:dyDescent="0.2">
      <c r="Y4922" s="97"/>
    </row>
    <row r="4923" spans="25:25" x14ac:dyDescent="0.2">
      <c r="Y4923" s="97"/>
    </row>
    <row r="4924" spans="25:25" x14ac:dyDescent="0.2">
      <c r="Y4924" s="97"/>
    </row>
    <row r="4925" spans="25:25" x14ac:dyDescent="0.2">
      <c r="Y4925" s="97"/>
    </row>
    <row r="4926" spans="25:25" x14ac:dyDescent="0.2">
      <c r="Y4926" s="97"/>
    </row>
    <row r="4927" spans="25:25" x14ac:dyDescent="0.2">
      <c r="Y4927" s="97"/>
    </row>
    <row r="4928" spans="25:25" x14ac:dyDescent="0.2">
      <c r="Y4928" s="97"/>
    </row>
    <row r="4929" spans="25:25" x14ac:dyDescent="0.2">
      <c r="Y4929" s="97"/>
    </row>
    <row r="4930" spans="25:25" x14ac:dyDescent="0.2">
      <c r="Y4930" s="97"/>
    </row>
    <row r="4931" spans="25:25" x14ac:dyDescent="0.2">
      <c r="Y4931" s="97"/>
    </row>
    <row r="4932" spans="25:25" x14ac:dyDescent="0.2">
      <c r="Y4932" s="97"/>
    </row>
    <row r="4933" spans="25:25" x14ac:dyDescent="0.2">
      <c r="Y4933" s="97"/>
    </row>
    <row r="4934" spans="25:25" x14ac:dyDescent="0.2">
      <c r="Y4934" s="97"/>
    </row>
    <row r="4935" spans="25:25" x14ac:dyDescent="0.2">
      <c r="Y4935" s="97"/>
    </row>
    <row r="4936" spans="25:25" x14ac:dyDescent="0.2">
      <c r="Y4936" s="97"/>
    </row>
    <row r="4937" spans="25:25" x14ac:dyDescent="0.2">
      <c r="Y4937" s="97"/>
    </row>
    <row r="4938" spans="25:25" x14ac:dyDescent="0.2">
      <c r="Y4938" s="97"/>
    </row>
    <row r="4939" spans="25:25" x14ac:dyDescent="0.2">
      <c r="Y4939" s="97"/>
    </row>
    <row r="4940" spans="25:25" x14ac:dyDescent="0.2">
      <c r="Y4940" s="97"/>
    </row>
    <row r="4941" spans="25:25" x14ac:dyDescent="0.2">
      <c r="Y4941" s="97"/>
    </row>
    <row r="4942" spans="25:25" x14ac:dyDescent="0.2">
      <c r="Y4942" s="97"/>
    </row>
    <row r="4943" spans="25:25" x14ac:dyDescent="0.2">
      <c r="Y4943" s="97"/>
    </row>
    <row r="4944" spans="25:25" x14ac:dyDescent="0.2">
      <c r="Y4944" s="97"/>
    </row>
    <row r="4945" spans="25:25" x14ac:dyDescent="0.2">
      <c r="Y4945" s="97"/>
    </row>
    <row r="4946" spans="25:25" x14ac:dyDescent="0.2">
      <c r="Y4946" s="97"/>
    </row>
    <row r="4947" spans="25:25" x14ac:dyDescent="0.2">
      <c r="Y4947" s="97"/>
    </row>
    <row r="4948" spans="25:25" x14ac:dyDescent="0.2">
      <c r="Y4948" s="97"/>
    </row>
    <row r="4949" spans="25:25" x14ac:dyDescent="0.2">
      <c r="Y4949" s="97"/>
    </row>
    <row r="4950" spans="25:25" x14ac:dyDescent="0.2">
      <c r="Y4950" s="97"/>
    </row>
    <row r="4951" spans="25:25" x14ac:dyDescent="0.2">
      <c r="Y4951" s="97"/>
    </row>
    <row r="4952" spans="25:25" x14ac:dyDescent="0.2">
      <c r="Y4952" s="97"/>
    </row>
    <row r="4953" spans="25:25" x14ac:dyDescent="0.2">
      <c r="Y4953" s="97"/>
    </row>
    <row r="4954" spans="25:25" x14ac:dyDescent="0.2">
      <c r="Y4954" s="97"/>
    </row>
    <row r="4955" spans="25:25" x14ac:dyDescent="0.2">
      <c r="Y4955" s="97"/>
    </row>
    <row r="4956" spans="25:25" x14ac:dyDescent="0.2">
      <c r="Y4956" s="97"/>
    </row>
    <row r="4957" spans="25:25" x14ac:dyDescent="0.2">
      <c r="Y4957" s="97"/>
    </row>
    <row r="4958" spans="25:25" x14ac:dyDescent="0.2">
      <c r="Y4958" s="97"/>
    </row>
    <row r="4959" spans="25:25" x14ac:dyDescent="0.2">
      <c r="Y4959" s="97"/>
    </row>
    <row r="4960" spans="25:25" x14ac:dyDescent="0.2">
      <c r="Y4960" s="97"/>
    </row>
    <row r="4961" spans="25:25" x14ac:dyDescent="0.2">
      <c r="Y4961" s="97"/>
    </row>
    <row r="4962" spans="25:25" x14ac:dyDescent="0.2">
      <c r="Y4962" s="97"/>
    </row>
    <row r="4963" spans="25:25" x14ac:dyDescent="0.2">
      <c r="Y4963" s="97"/>
    </row>
    <row r="4964" spans="25:25" x14ac:dyDescent="0.2">
      <c r="Y4964" s="97"/>
    </row>
    <row r="4965" spans="25:25" x14ac:dyDescent="0.2">
      <c r="Y4965" s="97"/>
    </row>
    <row r="4966" spans="25:25" x14ac:dyDescent="0.2">
      <c r="Y4966" s="97"/>
    </row>
    <row r="4967" spans="25:25" x14ac:dyDescent="0.2">
      <c r="Y4967" s="97"/>
    </row>
    <row r="4968" spans="25:25" x14ac:dyDescent="0.2">
      <c r="Y4968" s="97"/>
    </row>
    <row r="4969" spans="25:25" x14ac:dyDescent="0.2">
      <c r="Y4969" s="97"/>
    </row>
    <row r="4970" spans="25:25" x14ac:dyDescent="0.2">
      <c r="Y4970" s="97"/>
    </row>
    <row r="4971" spans="25:25" x14ac:dyDescent="0.2">
      <c r="Y4971" s="97"/>
    </row>
    <row r="4972" spans="25:25" x14ac:dyDescent="0.2">
      <c r="Y4972" s="97"/>
    </row>
    <row r="4973" spans="25:25" x14ac:dyDescent="0.2">
      <c r="Y4973" s="97"/>
    </row>
    <row r="4974" spans="25:25" x14ac:dyDescent="0.2">
      <c r="Y4974" s="97"/>
    </row>
    <row r="4975" spans="25:25" x14ac:dyDescent="0.2">
      <c r="Y4975" s="97"/>
    </row>
    <row r="4976" spans="25:25" x14ac:dyDescent="0.2">
      <c r="Y4976" s="97"/>
    </row>
    <row r="4977" spans="25:25" x14ac:dyDescent="0.2">
      <c r="Y4977" s="97"/>
    </row>
    <row r="4978" spans="25:25" x14ac:dyDescent="0.2">
      <c r="Y4978" s="97"/>
    </row>
    <row r="4979" spans="25:25" x14ac:dyDescent="0.2">
      <c r="Y4979" s="97"/>
    </row>
    <row r="4980" spans="25:25" x14ac:dyDescent="0.2">
      <c r="Y4980" s="97"/>
    </row>
    <row r="4981" spans="25:25" x14ac:dyDescent="0.2">
      <c r="Y4981" s="97"/>
    </row>
    <row r="4982" spans="25:25" x14ac:dyDescent="0.2">
      <c r="Y4982" s="97"/>
    </row>
    <row r="4983" spans="25:25" x14ac:dyDescent="0.2">
      <c r="Y4983" s="97"/>
    </row>
    <row r="4984" spans="25:25" x14ac:dyDescent="0.2">
      <c r="Y4984" s="97"/>
    </row>
    <row r="4985" spans="25:25" x14ac:dyDescent="0.2">
      <c r="Y4985" s="97"/>
    </row>
    <row r="4986" spans="25:25" x14ac:dyDescent="0.2">
      <c r="Y4986" s="97"/>
    </row>
    <row r="4987" spans="25:25" x14ac:dyDescent="0.2">
      <c r="Y4987" s="97"/>
    </row>
    <row r="4988" spans="25:25" x14ac:dyDescent="0.2">
      <c r="Y4988" s="97"/>
    </row>
    <row r="4989" spans="25:25" x14ac:dyDescent="0.2">
      <c r="Y4989" s="97"/>
    </row>
    <row r="4990" spans="25:25" x14ac:dyDescent="0.2">
      <c r="Y4990" s="97"/>
    </row>
    <row r="4991" spans="25:25" x14ac:dyDescent="0.2">
      <c r="Y4991" s="97"/>
    </row>
    <row r="4992" spans="25:25" x14ac:dyDescent="0.2">
      <c r="Y4992" s="97"/>
    </row>
    <row r="4993" spans="25:25" x14ac:dyDescent="0.2">
      <c r="Y4993" s="97"/>
    </row>
    <row r="4994" spans="25:25" x14ac:dyDescent="0.2">
      <c r="Y4994" s="97"/>
    </row>
    <row r="4995" spans="25:25" x14ac:dyDescent="0.2">
      <c r="Y4995" s="97"/>
    </row>
    <row r="4996" spans="25:25" x14ac:dyDescent="0.2">
      <c r="Y4996" s="97"/>
    </row>
    <row r="4997" spans="25:25" x14ac:dyDescent="0.2">
      <c r="Y4997" s="97"/>
    </row>
    <row r="4998" spans="25:25" x14ac:dyDescent="0.2">
      <c r="Y4998" s="97"/>
    </row>
    <row r="4999" spans="25:25" x14ac:dyDescent="0.2">
      <c r="Y4999" s="97"/>
    </row>
    <row r="5000" spans="25:25" x14ac:dyDescent="0.2">
      <c r="Y5000" s="97"/>
    </row>
    <row r="5001" spans="25:25" x14ac:dyDescent="0.2">
      <c r="Y5001" s="97"/>
    </row>
    <row r="5002" spans="25:25" x14ac:dyDescent="0.2">
      <c r="Y5002" s="97"/>
    </row>
    <row r="5003" spans="25:25" x14ac:dyDescent="0.2">
      <c r="Y5003" s="97"/>
    </row>
    <row r="5004" spans="25:25" x14ac:dyDescent="0.2">
      <c r="Y5004" s="97"/>
    </row>
    <row r="5005" spans="25:25" x14ac:dyDescent="0.2">
      <c r="Y5005" s="97"/>
    </row>
    <row r="5006" spans="25:25" x14ac:dyDescent="0.2">
      <c r="Y5006" s="97"/>
    </row>
    <row r="5007" spans="25:25" x14ac:dyDescent="0.2">
      <c r="Y5007" s="97"/>
    </row>
    <row r="5008" spans="25:25" x14ac:dyDescent="0.2">
      <c r="Y5008" s="97"/>
    </row>
    <row r="5009" spans="25:25" x14ac:dyDescent="0.2">
      <c r="Y5009" s="97"/>
    </row>
    <row r="5010" spans="25:25" x14ac:dyDescent="0.2">
      <c r="Y5010" s="97"/>
    </row>
    <row r="5011" spans="25:25" x14ac:dyDescent="0.2">
      <c r="Y5011" s="97"/>
    </row>
    <row r="5012" spans="25:25" x14ac:dyDescent="0.2">
      <c r="Y5012" s="97"/>
    </row>
    <row r="5013" spans="25:25" x14ac:dyDescent="0.2">
      <c r="Y5013" s="97"/>
    </row>
    <row r="5014" spans="25:25" x14ac:dyDescent="0.2">
      <c r="Y5014" s="97"/>
    </row>
    <row r="5015" spans="25:25" x14ac:dyDescent="0.2">
      <c r="Y5015" s="97"/>
    </row>
    <row r="5016" spans="25:25" x14ac:dyDescent="0.2">
      <c r="Y5016" s="97"/>
    </row>
    <row r="5017" spans="25:25" x14ac:dyDescent="0.2">
      <c r="Y5017" s="97"/>
    </row>
    <row r="5018" spans="25:25" x14ac:dyDescent="0.2">
      <c r="Y5018" s="97"/>
    </row>
    <row r="5019" spans="25:25" x14ac:dyDescent="0.2">
      <c r="Y5019" s="97"/>
    </row>
    <row r="5020" spans="25:25" x14ac:dyDescent="0.2">
      <c r="Y5020" s="97"/>
    </row>
    <row r="5021" spans="25:25" x14ac:dyDescent="0.2">
      <c r="Y5021" s="97"/>
    </row>
    <row r="5022" spans="25:25" x14ac:dyDescent="0.2">
      <c r="Y5022" s="97"/>
    </row>
    <row r="5023" spans="25:25" x14ac:dyDescent="0.2">
      <c r="Y5023" s="97"/>
    </row>
    <row r="5024" spans="25:25" x14ac:dyDescent="0.2">
      <c r="Y5024" s="97"/>
    </row>
    <row r="5025" spans="25:25" x14ac:dyDescent="0.2">
      <c r="Y5025" s="97"/>
    </row>
    <row r="5026" spans="25:25" x14ac:dyDescent="0.2">
      <c r="Y5026" s="97"/>
    </row>
    <row r="5027" spans="25:25" x14ac:dyDescent="0.2">
      <c r="Y5027" s="97"/>
    </row>
    <row r="5028" spans="25:25" x14ac:dyDescent="0.2">
      <c r="Y5028" s="97"/>
    </row>
    <row r="5029" spans="25:25" x14ac:dyDescent="0.2">
      <c r="Y5029" s="97"/>
    </row>
    <row r="5030" spans="25:25" x14ac:dyDescent="0.2">
      <c r="Y5030" s="97"/>
    </row>
    <row r="5031" spans="25:25" x14ac:dyDescent="0.2">
      <c r="Y5031" s="97"/>
    </row>
    <row r="5032" spans="25:25" x14ac:dyDescent="0.2">
      <c r="Y5032" s="97"/>
    </row>
    <row r="5033" spans="25:25" x14ac:dyDescent="0.2">
      <c r="Y5033" s="97"/>
    </row>
    <row r="5034" spans="25:25" x14ac:dyDescent="0.2">
      <c r="Y5034" s="97"/>
    </row>
    <row r="5035" spans="25:25" x14ac:dyDescent="0.2">
      <c r="Y5035" s="97"/>
    </row>
    <row r="5036" spans="25:25" x14ac:dyDescent="0.2">
      <c r="Y5036" s="97"/>
    </row>
    <row r="5037" spans="25:25" x14ac:dyDescent="0.2">
      <c r="Y5037" s="97"/>
    </row>
    <row r="5038" spans="25:25" x14ac:dyDescent="0.2">
      <c r="Y5038" s="97"/>
    </row>
    <row r="5039" spans="25:25" x14ac:dyDescent="0.2">
      <c r="Y5039" s="97"/>
    </row>
    <row r="5040" spans="25:25" x14ac:dyDescent="0.2">
      <c r="Y5040" s="97"/>
    </row>
    <row r="5041" spans="25:25" x14ac:dyDescent="0.2">
      <c r="Y5041" s="97"/>
    </row>
    <row r="5042" spans="25:25" x14ac:dyDescent="0.2">
      <c r="Y5042" s="97"/>
    </row>
    <row r="5043" spans="25:25" x14ac:dyDescent="0.2">
      <c r="Y5043" s="97"/>
    </row>
    <row r="5044" spans="25:25" x14ac:dyDescent="0.2">
      <c r="Y5044" s="97"/>
    </row>
    <row r="5045" spans="25:25" x14ac:dyDescent="0.2">
      <c r="Y5045" s="97"/>
    </row>
    <row r="5046" spans="25:25" x14ac:dyDescent="0.2">
      <c r="Y5046" s="97"/>
    </row>
    <row r="5047" spans="25:25" x14ac:dyDescent="0.2">
      <c r="Y5047" s="97"/>
    </row>
    <row r="5048" spans="25:25" x14ac:dyDescent="0.2">
      <c r="Y5048" s="97"/>
    </row>
    <row r="5049" spans="25:25" x14ac:dyDescent="0.2">
      <c r="Y5049" s="97"/>
    </row>
    <row r="5050" spans="25:25" x14ac:dyDescent="0.2">
      <c r="Y5050" s="97"/>
    </row>
    <row r="5051" spans="25:25" x14ac:dyDescent="0.2">
      <c r="Y5051" s="97"/>
    </row>
    <row r="5052" spans="25:25" x14ac:dyDescent="0.2">
      <c r="Y5052" s="97"/>
    </row>
    <row r="5053" spans="25:25" x14ac:dyDescent="0.2">
      <c r="Y5053" s="97"/>
    </row>
    <row r="5054" spans="25:25" x14ac:dyDescent="0.2">
      <c r="Y5054" s="97"/>
    </row>
    <row r="5055" spans="25:25" x14ac:dyDescent="0.2">
      <c r="Y5055" s="97"/>
    </row>
    <row r="5056" spans="25:25" x14ac:dyDescent="0.2">
      <c r="Y5056" s="97"/>
    </row>
    <row r="5057" spans="25:25" x14ac:dyDescent="0.2">
      <c r="Y5057" s="97"/>
    </row>
    <row r="5058" spans="25:25" x14ac:dyDescent="0.2">
      <c r="Y5058" s="97"/>
    </row>
    <row r="5059" spans="25:25" x14ac:dyDescent="0.2">
      <c r="Y5059" s="97"/>
    </row>
    <row r="5060" spans="25:25" x14ac:dyDescent="0.2">
      <c r="Y5060" s="97"/>
    </row>
    <row r="5061" spans="25:25" x14ac:dyDescent="0.2">
      <c r="Y5061" s="97"/>
    </row>
    <row r="5062" spans="25:25" x14ac:dyDescent="0.2">
      <c r="Y5062" s="97"/>
    </row>
    <row r="5063" spans="25:25" x14ac:dyDescent="0.2">
      <c r="Y5063" s="97"/>
    </row>
    <row r="5064" spans="25:25" x14ac:dyDescent="0.2">
      <c r="Y5064" s="97"/>
    </row>
    <row r="5065" spans="25:25" x14ac:dyDescent="0.2">
      <c r="Y5065" s="97"/>
    </row>
    <row r="5066" spans="25:25" x14ac:dyDescent="0.2">
      <c r="Y5066" s="97"/>
    </row>
    <row r="5067" spans="25:25" x14ac:dyDescent="0.2">
      <c r="Y5067" s="97"/>
    </row>
    <row r="5068" spans="25:25" x14ac:dyDescent="0.2">
      <c r="Y5068" s="97"/>
    </row>
    <row r="5069" spans="25:25" x14ac:dyDescent="0.2">
      <c r="Y5069" s="97"/>
    </row>
    <row r="5070" spans="25:25" x14ac:dyDescent="0.2">
      <c r="Y5070" s="97"/>
    </row>
    <row r="5071" spans="25:25" x14ac:dyDescent="0.2">
      <c r="Y5071" s="97"/>
    </row>
    <row r="5072" spans="25:25" x14ac:dyDescent="0.2">
      <c r="Y5072" s="97"/>
    </row>
    <row r="5073" spans="25:25" x14ac:dyDescent="0.2">
      <c r="Y5073" s="97"/>
    </row>
    <row r="5074" spans="25:25" x14ac:dyDescent="0.2">
      <c r="Y5074" s="97"/>
    </row>
    <row r="5075" spans="25:25" x14ac:dyDescent="0.2">
      <c r="Y5075" s="97"/>
    </row>
    <row r="5076" spans="25:25" x14ac:dyDescent="0.2">
      <c r="Y5076" s="97"/>
    </row>
    <row r="5077" spans="25:25" x14ac:dyDescent="0.2">
      <c r="Y5077" s="97"/>
    </row>
    <row r="5078" spans="25:25" x14ac:dyDescent="0.2">
      <c r="Y5078" s="97"/>
    </row>
    <row r="5079" spans="25:25" x14ac:dyDescent="0.2">
      <c r="Y5079" s="97"/>
    </row>
    <row r="5080" spans="25:25" x14ac:dyDescent="0.2">
      <c r="Y5080" s="97"/>
    </row>
    <row r="5081" spans="25:25" x14ac:dyDescent="0.2">
      <c r="Y5081" s="97"/>
    </row>
    <row r="5082" spans="25:25" x14ac:dyDescent="0.2">
      <c r="Y5082" s="97"/>
    </row>
    <row r="5083" spans="25:25" x14ac:dyDescent="0.2">
      <c r="Y5083" s="97"/>
    </row>
    <row r="5084" spans="25:25" x14ac:dyDescent="0.2">
      <c r="Y5084" s="97"/>
    </row>
    <row r="5085" spans="25:25" x14ac:dyDescent="0.2">
      <c r="Y5085" s="97"/>
    </row>
    <row r="5086" spans="25:25" x14ac:dyDescent="0.2">
      <c r="Y5086" s="97"/>
    </row>
    <row r="5087" spans="25:25" x14ac:dyDescent="0.2">
      <c r="Y5087" s="97"/>
    </row>
    <row r="5088" spans="25:25" x14ac:dyDescent="0.2">
      <c r="Y5088" s="97"/>
    </row>
    <row r="5089" spans="25:25" x14ac:dyDescent="0.2">
      <c r="Y5089" s="97"/>
    </row>
    <row r="5090" spans="25:25" x14ac:dyDescent="0.2">
      <c r="Y5090" s="97"/>
    </row>
    <row r="5091" spans="25:25" x14ac:dyDescent="0.2">
      <c r="Y5091" s="97"/>
    </row>
    <row r="5092" spans="25:25" x14ac:dyDescent="0.2">
      <c r="Y5092" s="97"/>
    </row>
    <row r="5093" spans="25:25" x14ac:dyDescent="0.2">
      <c r="Y5093" s="97"/>
    </row>
    <row r="5094" spans="25:25" x14ac:dyDescent="0.2">
      <c r="Y5094" s="97"/>
    </row>
    <row r="5095" spans="25:25" x14ac:dyDescent="0.2">
      <c r="Y5095" s="97"/>
    </row>
    <row r="5096" spans="25:25" x14ac:dyDescent="0.2">
      <c r="Y5096" s="97"/>
    </row>
    <row r="5097" spans="25:25" x14ac:dyDescent="0.2">
      <c r="Y5097" s="97"/>
    </row>
    <row r="5098" spans="25:25" x14ac:dyDescent="0.2">
      <c r="Y5098" s="97"/>
    </row>
    <row r="5099" spans="25:25" x14ac:dyDescent="0.2">
      <c r="Y5099" s="97"/>
    </row>
    <row r="5100" spans="25:25" x14ac:dyDescent="0.2">
      <c r="Y5100" s="97"/>
    </row>
    <row r="5101" spans="25:25" x14ac:dyDescent="0.2">
      <c r="Y5101" s="97"/>
    </row>
    <row r="5102" spans="25:25" x14ac:dyDescent="0.2">
      <c r="Y5102" s="97"/>
    </row>
    <row r="5103" spans="25:25" x14ac:dyDescent="0.2">
      <c r="Y5103" s="97"/>
    </row>
    <row r="5104" spans="25:25" x14ac:dyDescent="0.2">
      <c r="Y5104" s="97"/>
    </row>
    <row r="5105" spans="25:25" x14ac:dyDescent="0.2">
      <c r="Y5105" s="97"/>
    </row>
    <row r="5106" spans="25:25" x14ac:dyDescent="0.2">
      <c r="Y5106" s="97"/>
    </row>
    <row r="5107" spans="25:25" x14ac:dyDescent="0.2">
      <c r="Y5107" s="97"/>
    </row>
    <row r="5108" spans="25:25" x14ac:dyDescent="0.2">
      <c r="Y5108" s="97"/>
    </row>
    <row r="5109" spans="25:25" x14ac:dyDescent="0.2">
      <c r="Y5109" s="97"/>
    </row>
    <row r="5110" spans="25:25" x14ac:dyDescent="0.2">
      <c r="Y5110" s="97"/>
    </row>
    <row r="5111" spans="25:25" x14ac:dyDescent="0.2">
      <c r="Y5111" s="97"/>
    </row>
    <row r="5112" spans="25:25" x14ac:dyDescent="0.2">
      <c r="Y5112" s="97"/>
    </row>
    <row r="5113" spans="25:25" x14ac:dyDescent="0.2">
      <c r="Y5113" s="97"/>
    </row>
    <row r="5114" spans="25:25" x14ac:dyDescent="0.2">
      <c r="Y5114" s="97"/>
    </row>
    <row r="5115" spans="25:25" x14ac:dyDescent="0.2">
      <c r="Y5115" s="97"/>
    </row>
    <row r="5116" spans="25:25" x14ac:dyDescent="0.2">
      <c r="Y5116" s="97"/>
    </row>
    <row r="5117" spans="25:25" x14ac:dyDescent="0.2">
      <c r="Y5117" s="97"/>
    </row>
    <row r="5118" spans="25:25" x14ac:dyDescent="0.2">
      <c r="Y5118" s="97"/>
    </row>
    <row r="5119" spans="25:25" x14ac:dyDescent="0.2">
      <c r="Y5119" s="97"/>
    </row>
    <row r="5120" spans="25:25" x14ac:dyDescent="0.2">
      <c r="Y5120" s="97"/>
    </row>
    <row r="5121" spans="25:25" x14ac:dyDescent="0.2">
      <c r="Y5121" s="97"/>
    </row>
    <row r="5122" spans="25:25" x14ac:dyDescent="0.2">
      <c r="Y5122" s="97"/>
    </row>
    <row r="5123" spans="25:25" x14ac:dyDescent="0.2">
      <c r="Y5123" s="97"/>
    </row>
    <row r="5124" spans="25:25" x14ac:dyDescent="0.2">
      <c r="Y5124" s="97"/>
    </row>
    <row r="5125" spans="25:25" x14ac:dyDescent="0.2">
      <c r="Y5125" s="97"/>
    </row>
    <row r="5126" spans="25:25" x14ac:dyDescent="0.2">
      <c r="Y5126" s="97"/>
    </row>
    <row r="5127" spans="25:25" x14ac:dyDescent="0.2">
      <c r="Y5127" s="97"/>
    </row>
    <row r="5128" spans="25:25" x14ac:dyDescent="0.2">
      <c r="Y5128" s="97"/>
    </row>
    <row r="5129" spans="25:25" x14ac:dyDescent="0.2">
      <c r="Y5129" s="97"/>
    </row>
    <row r="5130" spans="25:25" x14ac:dyDescent="0.2">
      <c r="Y5130" s="97"/>
    </row>
    <row r="5131" spans="25:25" x14ac:dyDescent="0.2">
      <c r="Y5131" s="97"/>
    </row>
    <row r="5132" spans="25:25" x14ac:dyDescent="0.2">
      <c r="Y5132" s="97"/>
    </row>
    <row r="5133" spans="25:25" x14ac:dyDescent="0.2">
      <c r="Y5133" s="97"/>
    </row>
    <row r="5134" spans="25:25" x14ac:dyDescent="0.2">
      <c r="Y5134" s="97"/>
    </row>
    <row r="5135" spans="25:25" x14ac:dyDescent="0.2">
      <c r="Y5135" s="97"/>
    </row>
    <row r="5136" spans="25:25" x14ac:dyDescent="0.2">
      <c r="Y5136" s="97"/>
    </row>
    <row r="5137" spans="25:25" x14ac:dyDescent="0.2">
      <c r="Y5137" s="97"/>
    </row>
    <row r="5138" spans="25:25" x14ac:dyDescent="0.2">
      <c r="Y5138" s="97"/>
    </row>
    <row r="5139" spans="25:25" x14ac:dyDescent="0.2">
      <c r="Y5139" s="97"/>
    </row>
    <row r="5140" spans="25:25" x14ac:dyDescent="0.2">
      <c r="Y5140" s="97"/>
    </row>
    <row r="5141" spans="25:25" x14ac:dyDescent="0.2">
      <c r="Y5141" s="97"/>
    </row>
    <row r="5142" spans="25:25" x14ac:dyDescent="0.2">
      <c r="Y5142" s="97"/>
    </row>
    <row r="5143" spans="25:25" x14ac:dyDescent="0.2">
      <c r="Y5143" s="97"/>
    </row>
    <row r="5144" spans="25:25" x14ac:dyDescent="0.2">
      <c r="Y5144" s="97"/>
    </row>
    <row r="5145" spans="25:25" x14ac:dyDescent="0.2">
      <c r="Y5145" s="97"/>
    </row>
    <row r="5146" spans="25:25" x14ac:dyDescent="0.2">
      <c r="Y5146" s="97"/>
    </row>
    <row r="5147" spans="25:25" x14ac:dyDescent="0.2">
      <c r="Y5147" s="97"/>
    </row>
    <row r="5148" spans="25:25" x14ac:dyDescent="0.2">
      <c r="Y5148" s="97"/>
    </row>
    <row r="5149" spans="25:25" x14ac:dyDescent="0.2">
      <c r="Y5149" s="97"/>
    </row>
    <row r="5150" spans="25:25" x14ac:dyDescent="0.2">
      <c r="Y5150" s="97"/>
    </row>
    <row r="5151" spans="25:25" x14ac:dyDescent="0.2">
      <c r="Y5151" s="97"/>
    </row>
    <row r="5152" spans="25:25" x14ac:dyDescent="0.2">
      <c r="Y5152" s="97"/>
    </row>
    <row r="5153" spans="25:25" x14ac:dyDescent="0.2">
      <c r="Y5153" s="97"/>
    </row>
    <row r="5154" spans="25:25" x14ac:dyDescent="0.2">
      <c r="Y5154" s="97"/>
    </row>
    <row r="5155" spans="25:25" x14ac:dyDescent="0.2">
      <c r="Y5155" s="97"/>
    </row>
    <row r="5156" spans="25:25" x14ac:dyDescent="0.2">
      <c r="Y5156" s="97"/>
    </row>
    <row r="5157" spans="25:25" x14ac:dyDescent="0.2">
      <c r="Y5157" s="97"/>
    </row>
    <row r="5158" spans="25:25" x14ac:dyDescent="0.2">
      <c r="Y5158" s="97"/>
    </row>
    <row r="5159" spans="25:25" x14ac:dyDescent="0.2">
      <c r="Y5159" s="97"/>
    </row>
    <row r="5160" spans="25:25" x14ac:dyDescent="0.2">
      <c r="Y5160" s="97"/>
    </row>
    <row r="5161" spans="25:25" x14ac:dyDescent="0.2">
      <c r="Y5161" s="97"/>
    </row>
    <row r="5162" spans="25:25" x14ac:dyDescent="0.2">
      <c r="Y5162" s="97"/>
    </row>
    <row r="5163" spans="25:25" x14ac:dyDescent="0.2">
      <c r="Y5163" s="97"/>
    </row>
    <row r="5164" spans="25:25" x14ac:dyDescent="0.2">
      <c r="Y5164" s="97"/>
    </row>
    <row r="5165" spans="25:25" x14ac:dyDescent="0.2">
      <c r="Y5165" s="97"/>
    </row>
    <row r="5166" spans="25:25" x14ac:dyDescent="0.2">
      <c r="Y5166" s="97"/>
    </row>
    <row r="5167" spans="25:25" x14ac:dyDescent="0.2">
      <c r="Y5167" s="97"/>
    </row>
    <row r="5168" spans="25:25" x14ac:dyDescent="0.2">
      <c r="Y5168" s="97"/>
    </row>
    <row r="5169" spans="25:25" x14ac:dyDescent="0.2">
      <c r="Y5169" s="97"/>
    </row>
    <row r="5170" spans="25:25" x14ac:dyDescent="0.2">
      <c r="Y5170" s="97"/>
    </row>
    <row r="5171" spans="25:25" x14ac:dyDescent="0.2">
      <c r="Y5171" s="97"/>
    </row>
    <row r="5172" spans="25:25" x14ac:dyDescent="0.2">
      <c r="Y5172" s="97"/>
    </row>
    <row r="5173" spans="25:25" x14ac:dyDescent="0.2">
      <c r="Y5173" s="97"/>
    </row>
    <row r="5174" spans="25:25" x14ac:dyDescent="0.2">
      <c r="Y5174" s="97"/>
    </row>
    <row r="5175" spans="25:25" x14ac:dyDescent="0.2">
      <c r="Y5175" s="97"/>
    </row>
    <row r="5176" spans="25:25" x14ac:dyDescent="0.2">
      <c r="Y5176" s="97"/>
    </row>
    <row r="5177" spans="25:25" x14ac:dyDescent="0.2">
      <c r="Y5177" s="97"/>
    </row>
    <row r="5178" spans="25:25" x14ac:dyDescent="0.2">
      <c r="Y5178" s="97"/>
    </row>
    <row r="5179" spans="25:25" x14ac:dyDescent="0.2">
      <c r="Y5179" s="97"/>
    </row>
    <row r="5180" spans="25:25" x14ac:dyDescent="0.2">
      <c r="Y5180" s="97"/>
    </row>
    <row r="5181" spans="25:25" x14ac:dyDescent="0.2">
      <c r="Y5181" s="97"/>
    </row>
    <row r="5182" spans="25:25" x14ac:dyDescent="0.2">
      <c r="Y5182" s="97"/>
    </row>
    <row r="5183" spans="25:25" x14ac:dyDescent="0.2">
      <c r="Y5183" s="97"/>
    </row>
    <row r="5184" spans="25:25" x14ac:dyDescent="0.2">
      <c r="Y5184" s="97"/>
    </row>
    <row r="5185" spans="25:25" x14ac:dyDescent="0.2">
      <c r="Y5185" s="97"/>
    </row>
    <row r="5186" spans="25:25" x14ac:dyDescent="0.2">
      <c r="Y5186" s="97"/>
    </row>
    <row r="5187" spans="25:25" x14ac:dyDescent="0.2">
      <c r="Y5187" s="97"/>
    </row>
    <row r="5188" spans="25:25" x14ac:dyDescent="0.2">
      <c r="Y5188" s="97"/>
    </row>
    <row r="5189" spans="25:25" x14ac:dyDescent="0.2">
      <c r="Y5189" s="97"/>
    </row>
    <row r="5190" spans="25:25" x14ac:dyDescent="0.2">
      <c r="Y5190" s="97"/>
    </row>
    <row r="5191" spans="25:25" x14ac:dyDescent="0.2">
      <c r="Y5191" s="97"/>
    </row>
    <row r="5192" spans="25:25" x14ac:dyDescent="0.2">
      <c r="Y5192" s="97"/>
    </row>
    <row r="5193" spans="25:25" x14ac:dyDescent="0.2">
      <c r="Y5193" s="97"/>
    </row>
    <row r="5194" spans="25:25" x14ac:dyDescent="0.2">
      <c r="Y5194" s="97"/>
    </row>
    <row r="5195" spans="25:25" x14ac:dyDescent="0.2">
      <c r="Y5195" s="97"/>
    </row>
    <row r="5196" spans="25:25" x14ac:dyDescent="0.2">
      <c r="Y5196" s="97"/>
    </row>
    <row r="5197" spans="25:25" x14ac:dyDescent="0.2">
      <c r="Y5197" s="97"/>
    </row>
    <row r="5198" spans="25:25" x14ac:dyDescent="0.2">
      <c r="Y5198" s="97"/>
    </row>
    <row r="5199" spans="25:25" x14ac:dyDescent="0.2">
      <c r="Y5199" s="97"/>
    </row>
    <row r="5200" spans="25:25" x14ac:dyDescent="0.2">
      <c r="Y5200" s="97"/>
    </row>
    <row r="5201" spans="25:25" x14ac:dyDescent="0.2">
      <c r="Y5201" s="97"/>
    </row>
    <row r="5202" spans="25:25" x14ac:dyDescent="0.2">
      <c r="Y5202" s="97"/>
    </row>
    <row r="5203" spans="25:25" x14ac:dyDescent="0.2">
      <c r="Y5203" s="97"/>
    </row>
    <row r="5204" spans="25:25" x14ac:dyDescent="0.2">
      <c r="Y5204" s="97"/>
    </row>
    <row r="5205" spans="25:25" x14ac:dyDescent="0.2">
      <c r="Y5205" s="97"/>
    </row>
    <row r="5206" spans="25:25" x14ac:dyDescent="0.2">
      <c r="Y5206" s="97"/>
    </row>
    <row r="5207" spans="25:25" x14ac:dyDescent="0.2">
      <c r="Y5207" s="97"/>
    </row>
    <row r="5208" spans="25:25" x14ac:dyDescent="0.2">
      <c r="Y5208" s="97"/>
    </row>
    <row r="5209" spans="25:25" x14ac:dyDescent="0.2">
      <c r="Y5209" s="97"/>
    </row>
    <row r="5210" spans="25:25" x14ac:dyDescent="0.2">
      <c r="Y5210" s="97"/>
    </row>
    <row r="5211" spans="25:25" x14ac:dyDescent="0.2">
      <c r="Y5211" s="97"/>
    </row>
    <row r="5212" spans="25:25" x14ac:dyDescent="0.2">
      <c r="Y5212" s="97"/>
    </row>
    <row r="5213" spans="25:25" x14ac:dyDescent="0.2">
      <c r="Y5213" s="97"/>
    </row>
    <row r="5214" spans="25:25" x14ac:dyDescent="0.2">
      <c r="Y5214" s="97"/>
    </row>
    <row r="5215" spans="25:25" x14ac:dyDescent="0.2">
      <c r="Y5215" s="97"/>
    </row>
    <row r="5216" spans="25:25" x14ac:dyDescent="0.2">
      <c r="Y5216" s="97"/>
    </row>
    <row r="5217" spans="25:25" x14ac:dyDescent="0.2">
      <c r="Y5217" s="97"/>
    </row>
    <row r="5218" spans="25:25" x14ac:dyDescent="0.2">
      <c r="Y5218" s="97"/>
    </row>
    <row r="5219" spans="25:25" x14ac:dyDescent="0.2">
      <c r="Y5219" s="97"/>
    </row>
    <row r="5220" spans="25:25" x14ac:dyDescent="0.2">
      <c r="Y5220" s="97"/>
    </row>
    <row r="5221" spans="25:25" x14ac:dyDescent="0.2">
      <c r="Y5221" s="97"/>
    </row>
    <row r="5222" spans="25:25" x14ac:dyDescent="0.2">
      <c r="Y5222" s="97"/>
    </row>
    <row r="5223" spans="25:25" x14ac:dyDescent="0.2">
      <c r="Y5223" s="97"/>
    </row>
    <row r="5224" spans="25:25" x14ac:dyDescent="0.2">
      <c r="Y5224" s="97"/>
    </row>
    <row r="5225" spans="25:25" x14ac:dyDescent="0.2">
      <c r="Y5225" s="97"/>
    </row>
    <row r="5226" spans="25:25" x14ac:dyDescent="0.2">
      <c r="Y5226" s="97"/>
    </row>
    <row r="5227" spans="25:25" x14ac:dyDescent="0.2">
      <c r="Y5227" s="97"/>
    </row>
    <row r="5228" spans="25:25" x14ac:dyDescent="0.2">
      <c r="Y5228" s="97"/>
    </row>
    <row r="5229" spans="25:25" x14ac:dyDescent="0.2">
      <c r="Y5229" s="97"/>
    </row>
    <row r="5230" spans="25:25" x14ac:dyDescent="0.2">
      <c r="Y5230" s="97"/>
    </row>
    <row r="5231" spans="25:25" x14ac:dyDescent="0.2">
      <c r="Y5231" s="97"/>
    </row>
    <row r="5232" spans="25:25" x14ac:dyDescent="0.2">
      <c r="Y5232" s="97"/>
    </row>
    <row r="5233" spans="25:25" x14ac:dyDescent="0.2">
      <c r="Y5233" s="97"/>
    </row>
    <row r="5234" spans="25:25" x14ac:dyDescent="0.2">
      <c r="Y5234" s="97"/>
    </row>
    <row r="5235" spans="25:25" x14ac:dyDescent="0.2">
      <c r="Y5235" s="97"/>
    </row>
    <row r="5236" spans="25:25" x14ac:dyDescent="0.2">
      <c r="Y5236" s="97"/>
    </row>
    <row r="5237" spans="25:25" x14ac:dyDescent="0.2">
      <c r="Y5237" s="97"/>
    </row>
    <row r="5238" spans="25:25" x14ac:dyDescent="0.2">
      <c r="Y5238" s="97"/>
    </row>
    <row r="5239" spans="25:25" x14ac:dyDescent="0.2">
      <c r="Y5239" s="97"/>
    </row>
    <row r="5240" spans="25:25" x14ac:dyDescent="0.2">
      <c r="Y5240" s="97"/>
    </row>
    <row r="5241" spans="25:25" x14ac:dyDescent="0.2">
      <c r="Y5241" s="97"/>
    </row>
    <row r="5242" spans="25:25" x14ac:dyDescent="0.2">
      <c r="Y5242" s="97"/>
    </row>
    <row r="5243" spans="25:25" x14ac:dyDescent="0.2">
      <c r="Y5243" s="97"/>
    </row>
    <row r="5244" spans="25:25" x14ac:dyDescent="0.2">
      <c r="Y5244" s="97"/>
    </row>
    <row r="5245" spans="25:25" x14ac:dyDescent="0.2">
      <c r="Y5245" s="97"/>
    </row>
    <row r="5246" spans="25:25" x14ac:dyDescent="0.2">
      <c r="Y5246" s="97"/>
    </row>
    <row r="5247" spans="25:25" x14ac:dyDescent="0.2">
      <c r="Y5247" s="97"/>
    </row>
    <row r="5248" spans="25:25" x14ac:dyDescent="0.2">
      <c r="Y5248" s="97"/>
    </row>
    <row r="5249" spans="25:25" x14ac:dyDescent="0.2">
      <c r="Y5249" s="97"/>
    </row>
    <row r="5250" spans="25:25" x14ac:dyDescent="0.2">
      <c r="Y5250" s="97"/>
    </row>
    <row r="5251" spans="25:25" x14ac:dyDescent="0.2">
      <c r="Y5251" s="97"/>
    </row>
    <row r="5252" spans="25:25" x14ac:dyDescent="0.2">
      <c r="Y5252" s="97"/>
    </row>
    <row r="5253" spans="25:25" x14ac:dyDescent="0.2">
      <c r="Y5253" s="97"/>
    </row>
    <row r="5254" spans="25:25" x14ac:dyDescent="0.2">
      <c r="Y5254" s="97"/>
    </row>
    <row r="5255" spans="25:25" x14ac:dyDescent="0.2">
      <c r="Y5255" s="97"/>
    </row>
    <row r="5256" spans="25:25" x14ac:dyDescent="0.2">
      <c r="Y5256" s="97"/>
    </row>
    <row r="5257" spans="25:25" x14ac:dyDescent="0.2">
      <c r="Y5257" s="97"/>
    </row>
    <row r="5258" spans="25:25" x14ac:dyDescent="0.2">
      <c r="Y5258" s="97"/>
    </row>
    <row r="5259" spans="25:25" x14ac:dyDescent="0.2">
      <c r="Y5259" s="97"/>
    </row>
    <row r="5260" spans="25:25" x14ac:dyDescent="0.2">
      <c r="Y5260" s="97"/>
    </row>
    <row r="5261" spans="25:25" x14ac:dyDescent="0.2">
      <c r="Y5261" s="97"/>
    </row>
    <row r="5262" spans="25:25" x14ac:dyDescent="0.2">
      <c r="Y5262" s="97"/>
    </row>
    <row r="5263" spans="25:25" x14ac:dyDescent="0.2">
      <c r="Y5263" s="97"/>
    </row>
    <row r="5264" spans="25:25" x14ac:dyDescent="0.2">
      <c r="Y5264" s="97"/>
    </row>
    <row r="5265" spans="25:25" x14ac:dyDescent="0.2">
      <c r="Y5265" s="97"/>
    </row>
    <row r="5266" spans="25:25" x14ac:dyDescent="0.2">
      <c r="Y5266" s="97"/>
    </row>
    <row r="5267" spans="25:25" x14ac:dyDescent="0.2">
      <c r="Y5267" s="97"/>
    </row>
    <row r="5268" spans="25:25" x14ac:dyDescent="0.2">
      <c r="Y5268" s="97"/>
    </row>
    <row r="5269" spans="25:25" x14ac:dyDescent="0.2">
      <c r="Y5269" s="97"/>
    </row>
    <row r="5270" spans="25:25" x14ac:dyDescent="0.2">
      <c r="Y5270" s="97"/>
    </row>
    <row r="5271" spans="25:25" x14ac:dyDescent="0.2">
      <c r="Y5271" s="97"/>
    </row>
    <row r="5272" spans="25:25" x14ac:dyDescent="0.2">
      <c r="Y5272" s="97"/>
    </row>
    <row r="5273" spans="25:25" x14ac:dyDescent="0.2">
      <c r="Y5273" s="97"/>
    </row>
    <row r="5274" spans="25:25" x14ac:dyDescent="0.2">
      <c r="Y5274" s="97"/>
    </row>
    <row r="5275" spans="25:25" x14ac:dyDescent="0.2">
      <c r="Y5275" s="97"/>
    </row>
    <row r="5276" spans="25:25" x14ac:dyDescent="0.2">
      <c r="Y5276" s="97"/>
    </row>
    <row r="5277" spans="25:25" x14ac:dyDescent="0.2">
      <c r="Y5277" s="97"/>
    </row>
    <row r="5278" spans="25:25" x14ac:dyDescent="0.2">
      <c r="Y5278" s="97"/>
    </row>
    <row r="5279" spans="25:25" x14ac:dyDescent="0.2">
      <c r="Y5279" s="97"/>
    </row>
    <row r="5280" spans="25:25" x14ac:dyDescent="0.2">
      <c r="Y5280" s="97"/>
    </row>
    <row r="5281" spans="25:25" x14ac:dyDescent="0.2">
      <c r="Y5281" s="97"/>
    </row>
    <row r="5282" spans="25:25" x14ac:dyDescent="0.2">
      <c r="Y5282" s="97"/>
    </row>
    <row r="5283" spans="25:25" x14ac:dyDescent="0.2">
      <c r="Y5283" s="97"/>
    </row>
    <row r="5284" spans="25:25" x14ac:dyDescent="0.2">
      <c r="Y5284" s="97"/>
    </row>
    <row r="5285" spans="25:25" x14ac:dyDescent="0.2">
      <c r="Y5285" s="97"/>
    </row>
    <row r="5286" spans="25:25" x14ac:dyDescent="0.2">
      <c r="Y5286" s="97"/>
    </row>
    <row r="5287" spans="25:25" x14ac:dyDescent="0.2">
      <c r="Y5287" s="97"/>
    </row>
    <row r="5288" spans="25:25" x14ac:dyDescent="0.2">
      <c r="Y5288" s="97"/>
    </row>
    <row r="5289" spans="25:25" x14ac:dyDescent="0.2">
      <c r="Y5289" s="97"/>
    </row>
    <row r="5290" spans="25:25" x14ac:dyDescent="0.2">
      <c r="Y5290" s="97"/>
    </row>
    <row r="5291" spans="25:25" x14ac:dyDescent="0.2">
      <c r="Y5291" s="97"/>
    </row>
    <row r="5292" spans="25:25" x14ac:dyDescent="0.2">
      <c r="Y5292" s="97"/>
    </row>
    <row r="5293" spans="25:25" x14ac:dyDescent="0.2">
      <c r="Y5293" s="97"/>
    </row>
    <row r="5294" spans="25:25" x14ac:dyDescent="0.2">
      <c r="Y5294" s="97"/>
    </row>
    <row r="5295" spans="25:25" x14ac:dyDescent="0.2">
      <c r="Y5295" s="97"/>
    </row>
    <row r="5296" spans="25:25" x14ac:dyDescent="0.2">
      <c r="Y5296" s="97"/>
    </row>
    <row r="5297" spans="25:25" x14ac:dyDescent="0.2">
      <c r="Y5297" s="97"/>
    </row>
    <row r="5298" spans="25:25" x14ac:dyDescent="0.2">
      <c r="Y5298" s="97"/>
    </row>
    <row r="5299" spans="25:25" x14ac:dyDescent="0.2">
      <c r="Y5299" s="97"/>
    </row>
    <row r="5300" spans="25:25" x14ac:dyDescent="0.2">
      <c r="Y5300" s="97"/>
    </row>
    <row r="5301" spans="25:25" x14ac:dyDescent="0.2">
      <c r="Y5301" s="97"/>
    </row>
    <row r="5302" spans="25:25" x14ac:dyDescent="0.2">
      <c r="Y5302" s="97"/>
    </row>
    <row r="5303" spans="25:25" x14ac:dyDescent="0.2">
      <c r="Y5303" s="97"/>
    </row>
    <row r="5304" spans="25:25" x14ac:dyDescent="0.2">
      <c r="Y5304" s="97"/>
    </row>
    <row r="5305" spans="25:25" x14ac:dyDescent="0.2">
      <c r="Y5305" s="97"/>
    </row>
    <row r="5306" spans="25:25" x14ac:dyDescent="0.2">
      <c r="Y5306" s="97"/>
    </row>
    <row r="5307" spans="25:25" x14ac:dyDescent="0.2">
      <c r="Y5307" s="97"/>
    </row>
    <row r="5308" spans="25:25" x14ac:dyDescent="0.2">
      <c r="Y5308" s="97"/>
    </row>
    <row r="5309" spans="25:25" x14ac:dyDescent="0.2">
      <c r="Y5309" s="97"/>
    </row>
    <row r="5310" spans="25:25" x14ac:dyDescent="0.2">
      <c r="Y5310" s="97"/>
    </row>
    <row r="5311" spans="25:25" x14ac:dyDescent="0.2">
      <c r="Y5311" s="97"/>
    </row>
    <row r="5312" spans="25:25" x14ac:dyDescent="0.2">
      <c r="Y5312" s="97"/>
    </row>
    <row r="5313" spans="25:25" x14ac:dyDescent="0.2">
      <c r="Y5313" s="97"/>
    </row>
    <row r="5314" spans="25:25" x14ac:dyDescent="0.2">
      <c r="Y5314" s="97"/>
    </row>
    <row r="5315" spans="25:25" x14ac:dyDescent="0.2">
      <c r="Y5315" s="97"/>
    </row>
    <row r="5316" spans="25:25" x14ac:dyDescent="0.2">
      <c r="Y5316" s="97"/>
    </row>
    <row r="5317" spans="25:25" x14ac:dyDescent="0.2">
      <c r="Y5317" s="97"/>
    </row>
    <row r="5318" spans="25:25" x14ac:dyDescent="0.2">
      <c r="Y5318" s="97"/>
    </row>
    <row r="5319" spans="25:25" x14ac:dyDescent="0.2">
      <c r="Y5319" s="97"/>
    </row>
    <row r="5320" spans="25:25" x14ac:dyDescent="0.2">
      <c r="Y5320" s="97"/>
    </row>
    <row r="5321" spans="25:25" x14ac:dyDescent="0.2">
      <c r="Y5321" s="97"/>
    </row>
    <row r="5322" spans="25:25" x14ac:dyDescent="0.2">
      <c r="Y5322" s="97"/>
    </row>
    <row r="5323" spans="25:25" x14ac:dyDescent="0.2">
      <c r="Y5323" s="97"/>
    </row>
    <row r="5324" spans="25:25" x14ac:dyDescent="0.2">
      <c r="Y5324" s="97"/>
    </row>
    <row r="5325" spans="25:25" x14ac:dyDescent="0.2">
      <c r="Y5325" s="97"/>
    </row>
    <row r="5326" spans="25:25" x14ac:dyDescent="0.2">
      <c r="Y5326" s="97"/>
    </row>
    <row r="5327" spans="25:25" x14ac:dyDescent="0.2">
      <c r="Y5327" s="97"/>
    </row>
    <row r="5328" spans="25:25" x14ac:dyDescent="0.2">
      <c r="Y5328" s="97"/>
    </row>
    <row r="5329" spans="25:25" x14ac:dyDescent="0.2">
      <c r="Y5329" s="97"/>
    </row>
    <row r="5330" spans="25:25" x14ac:dyDescent="0.2">
      <c r="Y5330" s="97"/>
    </row>
    <row r="5331" spans="25:25" x14ac:dyDescent="0.2">
      <c r="Y5331" s="97"/>
    </row>
    <row r="5332" spans="25:25" x14ac:dyDescent="0.2">
      <c r="Y5332" s="97"/>
    </row>
    <row r="5333" spans="25:25" x14ac:dyDescent="0.2">
      <c r="Y5333" s="97"/>
    </row>
    <row r="5334" spans="25:25" x14ac:dyDescent="0.2">
      <c r="Y5334" s="97"/>
    </row>
    <row r="5335" spans="25:25" x14ac:dyDescent="0.2">
      <c r="Y5335" s="97"/>
    </row>
    <row r="5336" spans="25:25" x14ac:dyDescent="0.2">
      <c r="Y5336" s="97"/>
    </row>
    <row r="5337" spans="25:25" x14ac:dyDescent="0.2">
      <c r="Y5337" s="97"/>
    </row>
    <row r="5338" spans="25:25" x14ac:dyDescent="0.2">
      <c r="Y5338" s="97"/>
    </row>
    <row r="5339" spans="25:25" x14ac:dyDescent="0.2">
      <c r="Y5339" s="97"/>
    </row>
    <row r="5340" spans="25:25" x14ac:dyDescent="0.2">
      <c r="Y5340" s="97"/>
    </row>
    <row r="5341" spans="25:25" x14ac:dyDescent="0.2">
      <c r="Y5341" s="97"/>
    </row>
    <row r="5342" spans="25:25" x14ac:dyDescent="0.2">
      <c r="Y5342" s="97"/>
    </row>
    <row r="5343" spans="25:25" x14ac:dyDescent="0.2">
      <c r="Y5343" s="97"/>
    </row>
    <row r="5344" spans="25:25" x14ac:dyDescent="0.2">
      <c r="Y5344" s="97"/>
    </row>
    <row r="5345" spans="25:25" x14ac:dyDescent="0.2">
      <c r="Y5345" s="97"/>
    </row>
    <row r="5346" spans="25:25" x14ac:dyDescent="0.2">
      <c r="Y5346" s="97"/>
    </row>
    <row r="5347" spans="25:25" x14ac:dyDescent="0.2">
      <c r="Y5347" s="97"/>
    </row>
    <row r="5348" spans="25:25" x14ac:dyDescent="0.2">
      <c r="Y5348" s="97"/>
    </row>
    <row r="5349" spans="25:25" x14ac:dyDescent="0.2">
      <c r="Y5349" s="97"/>
    </row>
    <row r="5350" spans="25:25" x14ac:dyDescent="0.2">
      <c r="Y5350" s="97"/>
    </row>
    <row r="5351" spans="25:25" x14ac:dyDescent="0.2">
      <c r="Y5351" s="97"/>
    </row>
    <row r="5352" spans="25:25" x14ac:dyDescent="0.2">
      <c r="Y5352" s="97"/>
    </row>
    <row r="5353" spans="25:25" x14ac:dyDescent="0.2">
      <c r="Y5353" s="97"/>
    </row>
    <row r="5354" spans="25:25" x14ac:dyDescent="0.2">
      <c r="Y5354" s="97"/>
    </row>
    <row r="5355" spans="25:25" x14ac:dyDescent="0.2">
      <c r="Y5355" s="97"/>
    </row>
    <row r="5356" spans="25:25" x14ac:dyDescent="0.2">
      <c r="Y5356" s="97"/>
    </row>
    <row r="5357" spans="25:25" x14ac:dyDescent="0.2">
      <c r="Y5357" s="97"/>
    </row>
    <row r="5358" spans="25:25" x14ac:dyDescent="0.2">
      <c r="Y5358" s="97"/>
    </row>
    <row r="5359" spans="25:25" x14ac:dyDescent="0.2">
      <c r="Y5359" s="97"/>
    </row>
    <row r="5360" spans="25:25" x14ac:dyDescent="0.2">
      <c r="Y5360" s="97"/>
    </row>
    <row r="5361" spans="25:25" x14ac:dyDescent="0.2">
      <c r="Y5361" s="97"/>
    </row>
    <row r="5362" spans="25:25" x14ac:dyDescent="0.2">
      <c r="Y5362" s="97"/>
    </row>
    <row r="5363" spans="25:25" x14ac:dyDescent="0.2">
      <c r="Y5363" s="97"/>
    </row>
    <row r="5364" spans="25:25" x14ac:dyDescent="0.2">
      <c r="Y5364" s="97"/>
    </row>
    <row r="5365" spans="25:25" x14ac:dyDescent="0.2">
      <c r="Y5365" s="97"/>
    </row>
    <row r="5366" spans="25:25" x14ac:dyDescent="0.2">
      <c r="Y5366" s="97"/>
    </row>
    <row r="5367" spans="25:25" x14ac:dyDescent="0.2">
      <c r="Y5367" s="97"/>
    </row>
    <row r="5368" spans="25:25" x14ac:dyDescent="0.2">
      <c r="Y5368" s="97"/>
    </row>
    <row r="5369" spans="25:25" x14ac:dyDescent="0.2">
      <c r="Y5369" s="97"/>
    </row>
    <row r="5370" spans="25:25" x14ac:dyDescent="0.2">
      <c r="Y5370" s="97"/>
    </row>
    <row r="5371" spans="25:25" x14ac:dyDescent="0.2">
      <c r="Y5371" s="97"/>
    </row>
    <row r="5372" spans="25:25" x14ac:dyDescent="0.2">
      <c r="Y5372" s="97"/>
    </row>
    <row r="5373" spans="25:25" x14ac:dyDescent="0.2">
      <c r="Y5373" s="97"/>
    </row>
    <row r="5374" spans="25:25" x14ac:dyDescent="0.2">
      <c r="Y5374" s="97"/>
    </row>
    <row r="5375" spans="25:25" x14ac:dyDescent="0.2">
      <c r="Y5375" s="97"/>
    </row>
    <row r="5376" spans="25:25" x14ac:dyDescent="0.2">
      <c r="Y5376" s="97"/>
    </row>
    <row r="5377" spans="25:25" x14ac:dyDescent="0.2">
      <c r="Y5377" s="97"/>
    </row>
    <row r="5378" spans="25:25" x14ac:dyDescent="0.2">
      <c r="Y5378" s="97"/>
    </row>
    <row r="5379" spans="25:25" x14ac:dyDescent="0.2">
      <c r="Y5379" s="97"/>
    </row>
    <row r="5380" spans="25:25" x14ac:dyDescent="0.2">
      <c r="Y5380" s="97"/>
    </row>
    <row r="5381" spans="25:25" x14ac:dyDescent="0.2">
      <c r="Y5381" s="97"/>
    </row>
    <row r="5382" spans="25:25" x14ac:dyDescent="0.2">
      <c r="Y5382" s="97"/>
    </row>
    <row r="5383" spans="25:25" x14ac:dyDescent="0.2">
      <c r="Y5383" s="97"/>
    </row>
    <row r="5384" spans="25:25" x14ac:dyDescent="0.2">
      <c r="Y5384" s="97"/>
    </row>
    <row r="5385" spans="25:25" x14ac:dyDescent="0.2">
      <c r="Y5385" s="97"/>
    </row>
    <row r="5386" spans="25:25" x14ac:dyDescent="0.2">
      <c r="Y5386" s="97"/>
    </row>
    <row r="5387" spans="25:25" x14ac:dyDescent="0.2">
      <c r="Y5387" s="97"/>
    </row>
    <row r="5388" spans="25:25" x14ac:dyDescent="0.2">
      <c r="Y5388" s="97"/>
    </row>
    <row r="5389" spans="25:25" x14ac:dyDescent="0.2">
      <c r="Y5389" s="97"/>
    </row>
    <row r="5390" spans="25:25" x14ac:dyDescent="0.2">
      <c r="Y5390" s="97"/>
    </row>
    <row r="5391" spans="25:25" x14ac:dyDescent="0.2">
      <c r="Y5391" s="97"/>
    </row>
    <row r="5392" spans="25:25" x14ac:dyDescent="0.2">
      <c r="Y5392" s="97"/>
    </row>
    <row r="5393" spans="25:25" x14ac:dyDescent="0.2">
      <c r="Y5393" s="97"/>
    </row>
    <row r="5394" spans="25:25" x14ac:dyDescent="0.2">
      <c r="Y5394" s="97"/>
    </row>
    <row r="5395" spans="25:25" x14ac:dyDescent="0.2">
      <c r="Y5395" s="97"/>
    </row>
    <row r="5396" spans="25:25" x14ac:dyDescent="0.2">
      <c r="Y5396" s="97"/>
    </row>
    <row r="5397" spans="25:25" x14ac:dyDescent="0.2">
      <c r="Y5397" s="97"/>
    </row>
    <row r="5398" spans="25:25" x14ac:dyDescent="0.2">
      <c r="Y5398" s="97"/>
    </row>
    <row r="5399" spans="25:25" x14ac:dyDescent="0.2">
      <c r="Y5399" s="97"/>
    </row>
    <row r="5400" spans="25:25" x14ac:dyDescent="0.2">
      <c r="Y5400" s="97"/>
    </row>
    <row r="5401" spans="25:25" x14ac:dyDescent="0.2">
      <c r="Y5401" s="97"/>
    </row>
    <row r="5402" spans="25:25" x14ac:dyDescent="0.2">
      <c r="Y5402" s="97"/>
    </row>
    <row r="5403" spans="25:25" x14ac:dyDescent="0.2">
      <c r="Y5403" s="97"/>
    </row>
    <row r="5404" spans="25:25" x14ac:dyDescent="0.2">
      <c r="Y5404" s="97"/>
    </row>
    <row r="5405" spans="25:25" x14ac:dyDescent="0.2">
      <c r="Y5405" s="97"/>
    </row>
    <row r="5406" spans="25:25" x14ac:dyDescent="0.2">
      <c r="Y5406" s="97"/>
    </row>
    <row r="5407" spans="25:25" x14ac:dyDescent="0.2">
      <c r="Y5407" s="97"/>
    </row>
    <row r="5408" spans="25:25" x14ac:dyDescent="0.2">
      <c r="Y5408" s="97"/>
    </row>
    <row r="5409" spans="25:25" x14ac:dyDescent="0.2">
      <c r="Y5409" s="97"/>
    </row>
    <row r="5410" spans="25:25" x14ac:dyDescent="0.2">
      <c r="Y5410" s="97"/>
    </row>
    <row r="5411" spans="25:25" x14ac:dyDescent="0.2">
      <c r="Y5411" s="97"/>
    </row>
    <row r="5412" spans="25:25" x14ac:dyDescent="0.2">
      <c r="Y5412" s="97"/>
    </row>
    <row r="5413" spans="25:25" x14ac:dyDescent="0.2">
      <c r="Y5413" s="97"/>
    </row>
    <row r="5414" spans="25:25" x14ac:dyDescent="0.2">
      <c r="Y5414" s="97"/>
    </row>
    <row r="5415" spans="25:25" x14ac:dyDescent="0.2">
      <c r="Y5415" s="97"/>
    </row>
    <row r="5416" spans="25:25" x14ac:dyDescent="0.2">
      <c r="Y5416" s="97"/>
    </row>
    <row r="5417" spans="25:25" x14ac:dyDescent="0.2">
      <c r="Y5417" s="97"/>
    </row>
    <row r="5418" spans="25:25" x14ac:dyDescent="0.2">
      <c r="Y5418" s="97"/>
    </row>
    <row r="5419" spans="25:25" x14ac:dyDescent="0.2">
      <c r="Y5419" s="97"/>
    </row>
    <row r="5420" spans="25:25" x14ac:dyDescent="0.2">
      <c r="Y5420" s="97"/>
    </row>
    <row r="5421" spans="25:25" x14ac:dyDescent="0.2">
      <c r="Y5421" s="97"/>
    </row>
    <row r="5422" spans="25:25" x14ac:dyDescent="0.2">
      <c r="Y5422" s="97"/>
    </row>
    <row r="5423" spans="25:25" x14ac:dyDescent="0.2">
      <c r="Y5423" s="97"/>
    </row>
    <row r="5424" spans="25:25" x14ac:dyDescent="0.2">
      <c r="Y5424" s="97"/>
    </row>
    <row r="5425" spans="25:25" x14ac:dyDescent="0.2">
      <c r="Y5425" s="97"/>
    </row>
    <row r="5426" spans="25:25" x14ac:dyDescent="0.2">
      <c r="Y5426" s="97"/>
    </row>
    <row r="5427" spans="25:25" x14ac:dyDescent="0.2">
      <c r="Y5427" s="97"/>
    </row>
    <row r="5428" spans="25:25" x14ac:dyDescent="0.2">
      <c r="Y5428" s="97"/>
    </row>
    <row r="5429" spans="25:25" x14ac:dyDescent="0.2">
      <c r="Y5429" s="97"/>
    </row>
    <row r="5430" spans="25:25" x14ac:dyDescent="0.2">
      <c r="Y5430" s="97"/>
    </row>
    <row r="5431" spans="25:25" x14ac:dyDescent="0.2">
      <c r="Y5431" s="97"/>
    </row>
    <row r="5432" spans="25:25" x14ac:dyDescent="0.2">
      <c r="Y5432" s="97"/>
    </row>
    <row r="5433" spans="25:25" x14ac:dyDescent="0.2">
      <c r="Y5433" s="97"/>
    </row>
    <row r="5434" spans="25:25" x14ac:dyDescent="0.2">
      <c r="Y5434" s="97"/>
    </row>
    <row r="5435" spans="25:25" x14ac:dyDescent="0.2">
      <c r="Y5435" s="97"/>
    </row>
    <row r="5436" spans="25:25" x14ac:dyDescent="0.2">
      <c r="Y5436" s="97"/>
    </row>
    <row r="5437" spans="25:25" x14ac:dyDescent="0.2">
      <c r="Y5437" s="97"/>
    </row>
    <row r="5438" spans="25:25" x14ac:dyDescent="0.2">
      <c r="Y5438" s="97"/>
    </row>
    <row r="5439" spans="25:25" x14ac:dyDescent="0.2">
      <c r="Y5439" s="97"/>
    </row>
    <row r="5440" spans="25:25" x14ac:dyDescent="0.2">
      <c r="Y5440" s="97"/>
    </row>
    <row r="5441" spans="25:25" x14ac:dyDescent="0.2">
      <c r="Y5441" s="97"/>
    </row>
    <row r="5442" spans="25:25" x14ac:dyDescent="0.2">
      <c r="Y5442" s="97"/>
    </row>
    <row r="5443" spans="25:25" x14ac:dyDescent="0.2">
      <c r="Y5443" s="97"/>
    </row>
    <row r="5444" spans="25:25" x14ac:dyDescent="0.2">
      <c r="Y5444" s="97"/>
    </row>
    <row r="5445" spans="25:25" x14ac:dyDescent="0.2">
      <c r="Y5445" s="97"/>
    </row>
    <row r="5446" spans="25:25" x14ac:dyDescent="0.2">
      <c r="Y5446" s="97"/>
    </row>
    <row r="5447" spans="25:25" x14ac:dyDescent="0.2">
      <c r="Y5447" s="97"/>
    </row>
    <row r="5448" spans="25:25" x14ac:dyDescent="0.2">
      <c r="Y5448" s="97"/>
    </row>
    <row r="5449" spans="25:25" x14ac:dyDescent="0.2">
      <c r="Y5449" s="97"/>
    </row>
    <row r="5450" spans="25:25" x14ac:dyDescent="0.2">
      <c r="Y5450" s="97"/>
    </row>
    <row r="5451" spans="25:25" x14ac:dyDescent="0.2">
      <c r="Y5451" s="97"/>
    </row>
    <row r="5452" spans="25:25" x14ac:dyDescent="0.2">
      <c r="Y5452" s="97"/>
    </row>
    <row r="5453" spans="25:25" x14ac:dyDescent="0.2">
      <c r="Y5453" s="97"/>
    </row>
    <row r="5454" spans="25:25" x14ac:dyDescent="0.2">
      <c r="Y5454" s="97"/>
    </row>
    <row r="5455" spans="25:25" x14ac:dyDescent="0.2">
      <c r="Y5455" s="97"/>
    </row>
    <row r="5456" spans="25:25" x14ac:dyDescent="0.2">
      <c r="Y5456" s="97"/>
    </row>
    <row r="5457" spans="25:25" x14ac:dyDescent="0.2">
      <c r="Y5457" s="97"/>
    </row>
    <row r="5458" spans="25:25" x14ac:dyDescent="0.2">
      <c r="Y5458" s="97"/>
    </row>
    <row r="5459" spans="25:25" x14ac:dyDescent="0.2">
      <c r="Y5459" s="97"/>
    </row>
    <row r="5460" spans="25:25" x14ac:dyDescent="0.2">
      <c r="Y5460" s="97"/>
    </row>
    <row r="5461" spans="25:25" x14ac:dyDescent="0.2">
      <c r="Y5461" s="97"/>
    </row>
    <row r="5462" spans="25:25" x14ac:dyDescent="0.2">
      <c r="Y5462" s="97"/>
    </row>
    <row r="5463" spans="25:25" x14ac:dyDescent="0.2">
      <c r="Y5463" s="97"/>
    </row>
    <row r="5464" spans="25:25" x14ac:dyDescent="0.2">
      <c r="Y5464" s="97"/>
    </row>
    <row r="5465" spans="25:25" x14ac:dyDescent="0.2">
      <c r="Y5465" s="97"/>
    </row>
    <row r="5466" spans="25:25" x14ac:dyDescent="0.2">
      <c r="Y5466" s="97"/>
    </row>
    <row r="5467" spans="25:25" x14ac:dyDescent="0.2">
      <c r="Y5467" s="97"/>
    </row>
    <row r="5468" spans="25:25" x14ac:dyDescent="0.2">
      <c r="Y5468" s="97"/>
    </row>
    <row r="5469" spans="25:25" x14ac:dyDescent="0.2">
      <c r="Y5469" s="97"/>
    </row>
    <row r="5470" spans="25:25" x14ac:dyDescent="0.2">
      <c r="Y5470" s="97"/>
    </row>
    <row r="5471" spans="25:25" x14ac:dyDescent="0.2">
      <c r="Y5471" s="97"/>
    </row>
    <row r="5472" spans="25:25" x14ac:dyDescent="0.2">
      <c r="Y5472" s="97"/>
    </row>
    <row r="5473" spans="25:25" x14ac:dyDescent="0.2">
      <c r="Y5473" s="97"/>
    </row>
    <row r="5474" spans="25:25" x14ac:dyDescent="0.2">
      <c r="Y5474" s="97"/>
    </row>
    <row r="5475" spans="25:25" x14ac:dyDescent="0.2">
      <c r="Y5475" s="97"/>
    </row>
    <row r="5476" spans="25:25" x14ac:dyDescent="0.2">
      <c r="Y5476" s="97"/>
    </row>
    <row r="5477" spans="25:25" x14ac:dyDescent="0.2">
      <c r="Y5477" s="97"/>
    </row>
    <row r="5478" spans="25:25" x14ac:dyDescent="0.2">
      <c r="Y5478" s="97"/>
    </row>
    <row r="5479" spans="25:25" x14ac:dyDescent="0.2">
      <c r="Y5479" s="97"/>
    </row>
    <row r="5480" spans="25:25" x14ac:dyDescent="0.2">
      <c r="Y5480" s="97"/>
    </row>
    <row r="5481" spans="25:25" x14ac:dyDescent="0.2">
      <c r="Y5481" s="97"/>
    </row>
    <row r="5482" spans="25:25" x14ac:dyDescent="0.2">
      <c r="Y5482" s="97"/>
    </row>
    <row r="5483" spans="25:25" x14ac:dyDescent="0.2">
      <c r="Y5483" s="97"/>
    </row>
    <row r="5484" spans="25:25" x14ac:dyDescent="0.2">
      <c r="Y5484" s="97"/>
    </row>
    <row r="5485" spans="25:25" x14ac:dyDescent="0.2">
      <c r="Y5485" s="97"/>
    </row>
    <row r="5486" spans="25:25" x14ac:dyDescent="0.2">
      <c r="Y5486" s="97"/>
    </row>
    <row r="5487" spans="25:25" x14ac:dyDescent="0.2">
      <c r="Y5487" s="97"/>
    </row>
    <row r="5488" spans="25:25" x14ac:dyDescent="0.2">
      <c r="Y5488" s="97"/>
    </row>
    <row r="5489" spans="25:25" x14ac:dyDescent="0.2">
      <c r="Y5489" s="97"/>
    </row>
    <row r="5490" spans="25:25" x14ac:dyDescent="0.2">
      <c r="Y5490" s="97"/>
    </row>
    <row r="5491" spans="25:25" x14ac:dyDescent="0.2">
      <c r="Y5491" s="97"/>
    </row>
    <row r="5492" spans="25:25" x14ac:dyDescent="0.2">
      <c r="Y5492" s="97"/>
    </row>
    <row r="5493" spans="25:25" x14ac:dyDescent="0.2">
      <c r="Y5493" s="97"/>
    </row>
    <row r="5494" spans="25:25" x14ac:dyDescent="0.2">
      <c r="Y5494" s="97"/>
    </row>
    <row r="5495" spans="25:25" x14ac:dyDescent="0.2">
      <c r="Y5495" s="97"/>
    </row>
    <row r="5496" spans="25:25" x14ac:dyDescent="0.2">
      <c r="Y5496" s="97"/>
    </row>
    <row r="5497" spans="25:25" x14ac:dyDescent="0.2">
      <c r="Y5497" s="97"/>
    </row>
    <row r="5498" spans="25:25" x14ac:dyDescent="0.2">
      <c r="Y5498" s="97"/>
    </row>
    <row r="5499" spans="25:25" x14ac:dyDescent="0.2">
      <c r="Y5499" s="97"/>
    </row>
    <row r="5500" spans="25:25" x14ac:dyDescent="0.2">
      <c r="Y5500" s="97"/>
    </row>
    <row r="5501" spans="25:25" x14ac:dyDescent="0.2">
      <c r="Y5501" s="97"/>
    </row>
    <row r="5502" spans="25:25" x14ac:dyDescent="0.2">
      <c r="Y5502" s="97"/>
    </row>
    <row r="5503" spans="25:25" x14ac:dyDescent="0.2">
      <c r="Y5503" s="97"/>
    </row>
    <row r="5504" spans="25:25" x14ac:dyDescent="0.2">
      <c r="Y5504" s="97"/>
    </row>
    <row r="5505" spans="25:25" x14ac:dyDescent="0.2">
      <c r="Y5505" s="97"/>
    </row>
    <row r="5506" spans="25:25" x14ac:dyDescent="0.2">
      <c r="Y5506" s="97"/>
    </row>
    <row r="5507" spans="25:25" x14ac:dyDescent="0.2">
      <c r="Y5507" s="97"/>
    </row>
    <row r="5508" spans="25:25" x14ac:dyDescent="0.2">
      <c r="Y5508" s="97"/>
    </row>
    <row r="5509" spans="25:25" x14ac:dyDescent="0.2">
      <c r="Y5509" s="97"/>
    </row>
    <row r="5510" spans="25:25" x14ac:dyDescent="0.2">
      <c r="Y5510" s="97"/>
    </row>
    <row r="5511" spans="25:25" x14ac:dyDescent="0.2">
      <c r="Y5511" s="97"/>
    </row>
    <row r="5512" spans="25:25" x14ac:dyDescent="0.2">
      <c r="Y5512" s="97"/>
    </row>
    <row r="5513" spans="25:25" x14ac:dyDescent="0.2">
      <c r="Y5513" s="97"/>
    </row>
    <row r="5514" spans="25:25" x14ac:dyDescent="0.2">
      <c r="Y5514" s="97"/>
    </row>
    <row r="5515" spans="25:25" x14ac:dyDescent="0.2">
      <c r="Y5515" s="97"/>
    </row>
    <row r="5516" spans="25:25" x14ac:dyDescent="0.2">
      <c r="Y5516" s="97"/>
    </row>
    <row r="5517" spans="25:25" x14ac:dyDescent="0.2">
      <c r="Y5517" s="97"/>
    </row>
    <row r="5518" spans="25:25" x14ac:dyDescent="0.2">
      <c r="Y5518" s="97"/>
    </row>
    <row r="5519" spans="25:25" x14ac:dyDescent="0.2">
      <c r="Y5519" s="97"/>
    </row>
    <row r="5520" spans="25:25" x14ac:dyDescent="0.2">
      <c r="Y5520" s="97"/>
    </row>
    <row r="5521" spans="25:25" x14ac:dyDescent="0.2">
      <c r="Y5521" s="97"/>
    </row>
    <row r="5522" spans="25:25" x14ac:dyDescent="0.2">
      <c r="Y5522" s="97"/>
    </row>
    <row r="5523" spans="25:25" x14ac:dyDescent="0.2">
      <c r="Y5523" s="97"/>
    </row>
    <row r="5524" spans="25:25" x14ac:dyDescent="0.2">
      <c r="Y5524" s="97"/>
    </row>
    <row r="5525" spans="25:25" x14ac:dyDescent="0.2">
      <c r="Y5525" s="97"/>
    </row>
    <row r="5526" spans="25:25" x14ac:dyDescent="0.2">
      <c r="Y5526" s="97"/>
    </row>
    <row r="5527" spans="25:25" x14ac:dyDescent="0.2">
      <c r="Y5527" s="97"/>
    </row>
    <row r="5528" spans="25:25" x14ac:dyDescent="0.2">
      <c r="Y5528" s="97"/>
    </row>
    <row r="5529" spans="25:25" x14ac:dyDescent="0.2">
      <c r="Y5529" s="97"/>
    </row>
    <row r="5530" spans="25:25" x14ac:dyDescent="0.2">
      <c r="Y5530" s="97"/>
    </row>
    <row r="5531" spans="25:25" x14ac:dyDescent="0.2">
      <c r="Y5531" s="97"/>
    </row>
    <row r="5532" spans="25:25" x14ac:dyDescent="0.2">
      <c r="Y5532" s="97"/>
    </row>
    <row r="5533" spans="25:25" x14ac:dyDescent="0.2">
      <c r="Y5533" s="97"/>
    </row>
    <row r="5534" spans="25:25" x14ac:dyDescent="0.2">
      <c r="Y5534" s="97"/>
    </row>
    <row r="5535" spans="25:25" x14ac:dyDescent="0.2">
      <c r="Y5535" s="97"/>
    </row>
    <row r="5536" spans="25:25" x14ac:dyDescent="0.2">
      <c r="Y5536" s="97"/>
    </row>
    <row r="5537" spans="25:25" x14ac:dyDescent="0.2">
      <c r="Y5537" s="97"/>
    </row>
    <row r="5538" spans="25:25" x14ac:dyDescent="0.2">
      <c r="Y5538" s="97"/>
    </row>
    <row r="5539" spans="25:25" x14ac:dyDescent="0.2">
      <c r="Y5539" s="97"/>
    </row>
    <row r="5540" spans="25:25" x14ac:dyDescent="0.2">
      <c r="Y5540" s="97"/>
    </row>
    <row r="5541" spans="25:25" x14ac:dyDescent="0.2">
      <c r="Y5541" s="97"/>
    </row>
    <row r="5542" spans="25:25" x14ac:dyDescent="0.2">
      <c r="Y5542" s="97"/>
    </row>
    <row r="5543" spans="25:25" x14ac:dyDescent="0.2">
      <c r="Y5543" s="97"/>
    </row>
    <row r="5544" spans="25:25" x14ac:dyDescent="0.2">
      <c r="Y5544" s="97"/>
    </row>
    <row r="5545" spans="25:25" x14ac:dyDescent="0.2">
      <c r="Y5545" s="97"/>
    </row>
    <row r="5546" spans="25:25" x14ac:dyDescent="0.2">
      <c r="Y5546" s="97"/>
    </row>
    <row r="5547" spans="25:25" x14ac:dyDescent="0.2">
      <c r="Y5547" s="97"/>
    </row>
    <row r="5548" spans="25:25" x14ac:dyDescent="0.2">
      <c r="Y5548" s="97"/>
    </row>
    <row r="5549" spans="25:25" x14ac:dyDescent="0.2">
      <c r="Y5549" s="97"/>
    </row>
    <row r="5550" spans="25:25" x14ac:dyDescent="0.2">
      <c r="Y5550" s="97"/>
    </row>
    <row r="5551" spans="25:25" x14ac:dyDescent="0.2">
      <c r="Y5551" s="97"/>
    </row>
    <row r="5552" spans="25:25" x14ac:dyDescent="0.2">
      <c r="Y5552" s="97"/>
    </row>
    <row r="5553" spans="25:25" x14ac:dyDescent="0.2">
      <c r="Y5553" s="97"/>
    </row>
    <row r="5554" spans="25:25" x14ac:dyDescent="0.2">
      <c r="Y5554" s="97"/>
    </row>
    <row r="5555" spans="25:25" x14ac:dyDescent="0.2">
      <c r="Y5555" s="97"/>
    </row>
    <row r="5556" spans="25:25" x14ac:dyDescent="0.2">
      <c r="Y5556" s="97"/>
    </row>
    <row r="5557" spans="25:25" x14ac:dyDescent="0.2">
      <c r="Y5557" s="97"/>
    </row>
    <row r="5558" spans="25:25" x14ac:dyDescent="0.2">
      <c r="Y5558" s="97"/>
    </row>
    <row r="5559" spans="25:25" x14ac:dyDescent="0.2">
      <c r="Y5559" s="97"/>
    </row>
    <row r="5560" spans="25:25" x14ac:dyDescent="0.2">
      <c r="Y5560" s="97"/>
    </row>
    <row r="5561" spans="25:25" x14ac:dyDescent="0.2">
      <c r="Y5561" s="97"/>
    </row>
    <row r="5562" spans="25:25" x14ac:dyDescent="0.2">
      <c r="Y5562" s="97"/>
    </row>
    <row r="5563" spans="25:25" x14ac:dyDescent="0.2">
      <c r="Y5563" s="97"/>
    </row>
    <row r="5564" spans="25:25" x14ac:dyDescent="0.2">
      <c r="Y5564" s="97"/>
    </row>
    <row r="5565" spans="25:25" x14ac:dyDescent="0.2">
      <c r="Y5565" s="97"/>
    </row>
    <row r="5566" spans="25:25" x14ac:dyDescent="0.2">
      <c r="Y5566" s="97"/>
    </row>
    <row r="5567" spans="25:25" x14ac:dyDescent="0.2">
      <c r="Y5567" s="97"/>
    </row>
    <row r="5568" spans="25:25" x14ac:dyDescent="0.2">
      <c r="Y5568" s="97"/>
    </row>
    <row r="5569" spans="25:25" x14ac:dyDescent="0.2">
      <c r="Y5569" s="97"/>
    </row>
    <row r="5570" spans="25:25" x14ac:dyDescent="0.2">
      <c r="Y5570" s="97"/>
    </row>
    <row r="5571" spans="25:25" x14ac:dyDescent="0.2">
      <c r="Y5571" s="97"/>
    </row>
    <row r="5572" spans="25:25" x14ac:dyDescent="0.2">
      <c r="Y5572" s="97"/>
    </row>
    <row r="5573" spans="25:25" x14ac:dyDescent="0.2">
      <c r="Y5573" s="97"/>
    </row>
    <row r="5574" spans="25:25" x14ac:dyDescent="0.2">
      <c r="Y5574" s="97"/>
    </row>
    <row r="5575" spans="25:25" x14ac:dyDescent="0.2">
      <c r="Y5575" s="97"/>
    </row>
    <row r="5576" spans="25:25" x14ac:dyDescent="0.2">
      <c r="Y5576" s="97"/>
    </row>
    <row r="5577" spans="25:25" x14ac:dyDescent="0.2">
      <c r="Y5577" s="97"/>
    </row>
    <row r="5578" spans="25:25" x14ac:dyDescent="0.2">
      <c r="Y5578" s="97"/>
    </row>
    <row r="5579" spans="25:25" x14ac:dyDescent="0.2">
      <c r="Y5579" s="97"/>
    </row>
    <row r="5580" spans="25:25" x14ac:dyDescent="0.2">
      <c r="Y5580" s="97"/>
    </row>
    <row r="5581" spans="25:25" x14ac:dyDescent="0.2">
      <c r="Y5581" s="97"/>
    </row>
    <row r="5582" spans="25:25" x14ac:dyDescent="0.2">
      <c r="Y5582" s="97"/>
    </row>
    <row r="5583" spans="25:25" x14ac:dyDescent="0.2">
      <c r="Y5583" s="97"/>
    </row>
    <row r="5584" spans="25:25" x14ac:dyDescent="0.2">
      <c r="Y5584" s="97"/>
    </row>
    <row r="5585" spans="25:25" x14ac:dyDescent="0.2">
      <c r="Y5585" s="97"/>
    </row>
    <row r="5586" spans="25:25" x14ac:dyDescent="0.2">
      <c r="Y5586" s="97"/>
    </row>
    <row r="5587" spans="25:25" x14ac:dyDescent="0.2">
      <c r="Y5587" s="97"/>
    </row>
    <row r="5588" spans="25:25" x14ac:dyDescent="0.2">
      <c r="Y5588" s="97"/>
    </row>
    <row r="5589" spans="25:25" x14ac:dyDescent="0.2">
      <c r="Y5589" s="97"/>
    </row>
    <row r="5590" spans="25:25" x14ac:dyDescent="0.2">
      <c r="Y5590" s="97"/>
    </row>
    <row r="5591" spans="25:25" x14ac:dyDescent="0.2">
      <c r="Y5591" s="97"/>
    </row>
    <row r="5592" spans="25:25" x14ac:dyDescent="0.2">
      <c r="Y5592" s="97"/>
    </row>
    <row r="5593" spans="25:25" x14ac:dyDescent="0.2">
      <c r="Y5593" s="97"/>
    </row>
    <row r="5594" spans="25:25" x14ac:dyDescent="0.2">
      <c r="Y5594" s="97"/>
    </row>
    <row r="5595" spans="25:25" x14ac:dyDescent="0.2">
      <c r="Y5595" s="97"/>
    </row>
    <row r="5596" spans="25:25" x14ac:dyDescent="0.2">
      <c r="Y5596" s="97"/>
    </row>
    <row r="5597" spans="25:25" x14ac:dyDescent="0.2">
      <c r="Y5597" s="97"/>
    </row>
    <row r="5598" spans="25:25" x14ac:dyDescent="0.2">
      <c r="Y5598" s="97"/>
    </row>
    <row r="5599" spans="25:25" x14ac:dyDescent="0.2">
      <c r="Y5599" s="97"/>
    </row>
    <row r="5600" spans="25:25" x14ac:dyDescent="0.2">
      <c r="Y5600" s="97"/>
    </row>
    <row r="5601" spans="25:25" x14ac:dyDescent="0.2">
      <c r="Y5601" s="97"/>
    </row>
    <row r="5602" spans="25:25" x14ac:dyDescent="0.2">
      <c r="Y5602" s="97"/>
    </row>
    <row r="5603" spans="25:25" x14ac:dyDescent="0.2">
      <c r="Y5603" s="97"/>
    </row>
    <row r="5604" spans="25:25" x14ac:dyDescent="0.2">
      <c r="Y5604" s="97"/>
    </row>
    <row r="5605" spans="25:25" x14ac:dyDescent="0.2">
      <c r="Y5605" s="97"/>
    </row>
    <row r="5606" spans="25:25" x14ac:dyDescent="0.2">
      <c r="Y5606" s="97"/>
    </row>
    <row r="5607" spans="25:25" x14ac:dyDescent="0.2">
      <c r="Y5607" s="97"/>
    </row>
    <row r="5608" spans="25:25" x14ac:dyDescent="0.2">
      <c r="Y5608" s="97"/>
    </row>
    <row r="5609" spans="25:25" x14ac:dyDescent="0.2">
      <c r="Y5609" s="97"/>
    </row>
    <row r="5610" spans="25:25" x14ac:dyDescent="0.2">
      <c r="Y5610" s="97"/>
    </row>
    <row r="5611" spans="25:25" x14ac:dyDescent="0.2">
      <c r="Y5611" s="97"/>
    </row>
    <row r="5612" spans="25:25" x14ac:dyDescent="0.2">
      <c r="Y5612" s="97"/>
    </row>
    <row r="5613" spans="25:25" x14ac:dyDescent="0.2">
      <c r="Y5613" s="97"/>
    </row>
    <row r="5614" spans="25:25" x14ac:dyDescent="0.2">
      <c r="Y5614" s="97"/>
    </row>
    <row r="5615" spans="25:25" x14ac:dyDescent="0.2">
      <c r="Y5615" s="97"/>
    </row>
    <row r="5616" spans="25:25" x14ac:dyDescent="0.2">
      <c r="Y5616" s="97"/>
    </row>
    <row r="5617" spans="25:25" x14ac:dyDescent="0.2">
      <c r="Y5617" s="97"/>
    </row>
    <row r="5618" spans="25:25" x14ac:dyDescent="0.2">
      <c r="Y5618" s="97"/>
    </row>
    <row r="5619" spans="25:25" x14ac:dyDescent="0.2">
      <c r="Y5619" s="97"/>
    </row>
    <row r="5620" spans="25:25" x14ac:dyDescent="0.2">
      <c r="Y5620" s="97"/>
    </row>
    <row r="5621" spans="25:25" x14ac:dyDescent="0.2">
      <c r="Y5621" s="97"/>
    </row>
    <row r="5622" spans="25:25" x14ac:dyDescent="0.2">
      <c r="Y5622" s="97"/>
    </row>
    <row r="5623" spans="25:25" x14ac:dyDescent="0.2">
      <c r="Y5623" s="97"/>
    </row>
    <row r="5624" spans="25:25" x14ac:dyDescent="0.2">
      <c r="Y5624" s="97"/>
    </row>
    <row r="5625" spans="25:25" x14ac:dyDescent="0.2">
      <c r="Y5625" s="97"/>
    </row>
    <row r="5626" spans="25:25" x14ac:dyDescent="0.2">
      <c r="Y5626" s="97"/>
    </row>
    <row r="5627" spans="25:25" x14ac:dyDescent="0.2">
      <c r="Y5627" s="97"/>
    </row>
    <row r="5628" spans="25:25" x14ac:dyDescent="0.2">
      <c r="Y5628" s="97"/>
    </row>
    <row r="5629" spans="25:25" x14ac:dyDescent="0.2">
      <c r="Y5629" s="97"/>
    </row>
    <row r="5630" spans="25:25" x14ac:dyDescent="0.2">
      <c r="Y5630" s="97"/>
    </row>
    <row r="5631" spans="25:25" x14ac:dyDescent="0.2">
      <c r="Y5631" s="97"/>
    </row>
    <row r="5632" spans="25:25" x14ac:dyDescent="0.2">
      <c r="Y5632" s="97"/>
    </row>
    <row r="5633" spans="25:25" x14ac:dyDescent="0.2">
      <c r="Y5633" s="97"/>
    </row>
    <row r="5634" spans="25:25" x14ac:dyDescent="0.2">
      <c r="Y5634" s="97"/>
    </row>
    <row r="5635" spans="25:25" x14ac:dyDescent="0.2">
      <c r="Y5635" s="97"/>
    </row>
    <row r="5636" spans="25:25" x14ac:dyDescent="0.2">
      <c r="Y5636" s="97"/>
    </row>
    <row r="5637" spans="25:25" x14ac:dyDescent="0.2">
      <c r="Y5637" s="97"/>
    </row>
    <row r="5638" spans="25:25" x14ac:dyDescent="0.2">
      <c r="Y5638" s="97"/>
    </row>
    <row r="5639" spans="25:25" x14ac:dyDescent="0.2">
      <c r="Y5639" s="97"/>
    </row>
    <row r="5640" spans="25:25" x14ac:dyDescent="0.2">
      <c r="Y5640" s="97"/>
    </row>
    <row r="5641" spans="25:25" x14ac:dyDescent="0.2">
      <c r="Y5641" s="97"/>
    </row>
    <row r="5642" spans="25:25" x14ac:dyDescent="0.2">
      <c r="Y5642" s="97"/>
    </row>
    <row r="5643" spans="25:25" x14ac:dyDescent="0.2">
      <c r="Y5643" s="97"/>
    </row>
    <row r="5644" spans="25:25" x14ac:dyDescent="0.2">
      <c r="Y5644" s="97"/>
    </row>
    <row r="5645" spans="25:25" x14ac:dyDescent="0.2">
      <c r="Y5645" s="97"/>
    </row>
    <row r="5646" spans="25:25" x14ac:dyDescent="0.2">
      <c r="Y5646" s="97"/>
    </row>
    <row r="5647" spans="25:25" x14ac:dyDescent="0.2">
      <c r="Y5647" s="97"/>
    </row>
    <row r="5648" spans="25:25" x14ac:dyDescent="0.2">
      <c r="Y5648" s="97"/>
    </row>
    <row r="5649" spans="25:25" x14ac:dyDescent="0.2">
      <c r="Y5649" s="97"/>
    </row>
    <row r="5650" spans="25:25" x14ac:dyDescent="0.2">
      <c r="Y5650" s="97"/>
    </row>
    <row r="5651" spans="25:25" x14ac:dyDescent="0.2">
      <c r="Y5651" s="97"/>
    </row>
    <row r="5652" spans="25:25" x14ac:dyDescent="0.2">
      <c r="Y5652" s="97"/>
    </row>
    <row r="5653" spans="25:25" x14ac:dyDescent="0.2">
      <c r="Y5653" s="97"/>
    </row>
    <row r="5654" spans="25:25" x14ac:dyDescent="0.2">
      <c r="Y5654" s="97"/>
    </row>
    <row r="5655" spans="25:25" x14ac:dyDescent="0.2">
      <c r="Y5655" s="97"/>
    </row>
    <row r="5656" spans="25:25" x14ac:dyDescent="0.2">
      <c r="Y5656" s="97"/>
    </row>
    <row r="5657" spans="25:25" x14ac:dyDescent="0.2">
      <c r="Y5657" s="97"/>
    </row>
    <row r="5658" spans="25:25" x14ac:dyDescent="0.2">
      <c r="Y5658" s="97"/>
    </row>
    <row r="5659" spans="25:25" x14ac:dyDescent="0.2">
      <c r="Y5659" s="97"/>
    </row>
    <row r="5660" spans="25:25" x14ac:dyDescent="0.2">
      <c r="Y5660" s="97"/>
    </row>
    <row r="5661" spans="25:25" x14ac:dyDescent="0.2">
      <c r="Y5661" s="97"/>
    </row>
    <row r="5662" spans="25:25" x14ac:dyDescent="0.2">
      <c r="Y5662" s="97"/>
    </row>
    <row r="5663" spans="25:25" x14ac:dyDescent="0.2">
      <c r="Y5663" s="97"/>
    </row>
    <row r="5664" spans="25:25" x14ac:dyDescent="0.2">
      <c r="Y5664" s="97"/>
    </row>
    <row r="5665" spans="25:25" x14ac:dyDescent="0.2">
      <c r="Y5665" s="97"/>
    </row>
    <row r="5666" spans="25:25" x14ac:dyDescent="0.2">
      <c r="Y5666" s="97"/>
    </row>
    <row r="5667" spans="25:25" x14ac:dyDescent="0.2">
      <c r="Y5667" s="97"/>
    </row>
    <row r="5668" spans="25:25" x14ac:dyDescent="0.2">
      <c r="Y5668" s="97"/>
    </row>
    <row r="5669" spans="25:25" x14ac:dyDescent="0.2">
      <c r="Y5669" s="97"/>
    </row>
    <row r="5670" spans="25:25" x14ac:dyDescent="0.2">
      <c r="Y5670" s="97"/>
    </row>
    <row r="5671" spans="25:25" x14ac:dyDescent="0.2">
      <c r="Y5671" s="97"/>
    </row>
    <row r="5672" spans="25:25" x14ac:dyDescent="0.2">
      <c r="Y5672" s="97"/>
    </row>
    <row r="5673" spans="25:25" x14ac:dyDescent="0.2">
      <c r="Y5673" s="97"/>
    </row>
    <row r="5674" spans="25:25" x14ac:dyDescent="0.2">
      <c r="Y5674" s="97"/>
    </row>
    <row r="5675" spans="25:25" x14ac:dyDescent="0.2">
      <c r="Y5675" s="97"/>
    </row>
    <row r="5676" spans="25:25" x14ac:dyDescent="0.2">
      <c r="Y5676" s="97"/>
    </row>
    <row r="5677" spans="25:25" x14ac:dyDescent="0.2">
      <c r="Y5677" s="97"/>
    </row>
    <row r="5678" spans="25:25" x14ac:dyDescent="0.2">
      <c r="Y5678" s="97"/>
    </row>
    <row r="5679" spans="25:25" x14ac:dyDescent="0.2">
      <c r="Y5679" s="97"/>
    </row>
    <row r="5680" spans="25:25" x14ac:dyDescent="0.2">
      <c r="Y5680" s="97"/>
    </row>
    <row r="5681" spans="25:25" x14ac:dyDescent="0.2">
      <c r="Y5681" s="97"/>
    </row>
    <row r="5682" spans="25:25" x14ac:dyDescent="0.2">
      <c r="Y5682" s="97"/>
    </row>
    <row r="5683" spans="25:25" x14ac:dyDescent="0.2">
      <c r="Y5683" s="97"/>
    </row>
    <row r="5684" spans="25:25" x14ac:dyDescent="0.2">
      <c r="Y5684" s="97"/>
    </row>
    <row r="5685" spans="25:25" x14ac:dyDescent="0.2">
      <c r="Y5685" s="97"/>
    </row>
    <row r="5686" spans="25:25" x14ac:dyDescent="0.2">
      <c r="Y5686" s="97"/>
    </row>
    <row r="5687" spans="25:25" x14ac:dyDescent="0.2">
      <c r="Y5687" s="97"/>
    </row>
    <row r="5688" spans="25:25" x14ac:dyDescent="0.2">
      <c r="Y5688" s="97"/>
    </row>
    <row r="5689" spans="25:25" x14ac:dyDescent="0.2">
      <c r="Y5689" s="97"/>
    </row>
    <row r="5690" spans="25:25" x14ac:dyDescent="0.2">
      <c r="Y5690" s="97"/>
    </row>
    <row r="5691" spans="25:25" x14ac:dyDescent="0.2">
      <c r="Y5691" s="97"/>
    </row>
    <row r="5692" spans="25:25" x14ac:dyDescent="0.2">
      <c r="Y5692" s="97"/>
    </row>
    <row r="5693" spans="25:25" x14ac:dyDescent="0.2">
      <c r="Y5693" s="97"/>
    </row>
    <row r="5694" spans="25:25" x14ac:dyDescent="0.2">
      <c r="Y5694" s="97"/>
    </row>
    <row r="5695" spans="25:25" x14ac:dyDescent="0.2">
      <c r="Y5695" s="97"/>
    </row>
    <row r="5696" spans="25:25" x14ac:dyDescent="0.2">
      <c r="Y5696" s="97"/>
    </row>
    <row r="5697" spans="25:25" x14ac:dyDescent="0.2">
      <c r="Y5697" s="97"/>
    </row>
    <row r="5698" spans="25:25" x14ac:dyDescent="0.2">
      <c r="Y5698" s="97"/>
    </row>
    <row r="5699" spans="25:25" x14ac:dyDescent="0.2">
      <c r="Y5699" s="97"/>
    </row>
    <row r="5700" spans="25:25" x14ac:dyDescent="0.2">
      <c r="Y5700" s="97"/>
    </row>
    <row r="5701" spans="25:25" x14ac:dyDescent="0.2">
      <c r="Y5701" s="97"/>
    </row>
    <row r="5702" spans="25:25" x14ac:dyDescent="0.2">
      <c r="Y5702" s="97"/>
    </row>
    <row r="5703" spans="25:25" x14ac:dyDescent="0.2">
      <c r="Y5703" s="97"/>
    </row>
    <row r="5704" spans="25:25" x14ac:dyDescent="0.2">
      <c r="Y5704" s="97"/>
    </row>
    <row r="5705" spans="25:25" x14ac:dyDescent="0.2">
      <c r="Y5705" s="97"/>
    </row>
    <row r="5706" spans="25:25" x14ac:dyDescent="0.2">
      <c r="Y5706" s="97"/>
    </row>
    <row r="5707" spans="25:25" x14ac:dyDescent="0.2">
      <c r="Y5707" s="97"/>
    </row>
    <row r="5708" spans="25:25" x14ac:dyDescent="0.2">
      <c r="Y5708" s="97"/>
    </row>
    <row r="5709" spans="25:25" x14ac:dyDescent="0.2">
      <c r="Y5709" s="97"/>
    </row>
    <row r="5710" spans="25:25" x14ac:dyDescent="0.2">
      <c r="Y5710" s="97"/>
    </row>
    <row r="5711" spans="25:25" x14ac:dyDescent="0.2">
      <c r="Y5711" s="97"/>
    </row>
    <row r="5712" spans="25:25" x14ac:dyDescent="0.2">
      <c r="Y5712" s="97"/>
    </row>
    <row r="5713" spans="25:25" x14ac:dyDescent="0.2">
      <c r="Y5713" s="97"/>
    </row>
    <row r="5714" spans="25:25" x14ac:dyDescent="0.2">
      <c r="Y5714" s="97"/>
    </row>
    <row r="5715" spans="25:25" x14ac:dyDescent="0.2">
      <c r="Y5715" s="97"/>
    </row>
    <row r="5716" spans="25:25" x14ac:dyDescent="0.2">
      <c r="Y5716" s="97"/>
    </row>
    <row r="5717" spans="25:25" x14ac:dyDescent="0.2">
      <c r="Y5717" s="97"/>
    </row>
    <row r="5718" spans="25:25" x14ac:dyDescent="0.2">
      <c r="Y5718" s="97"/>
    </row>
    <row r="5719" spans="25:25" x14ac:dyDescent="0.2">
      <c r="Y5719" s="97"/>
    </row>
    <row r="5720" spans="25:25" x14ac:dyDescent="0.2">
      <c r="Y5720" s="97"/>
    </row>
    <row r="5721" spans="25:25" x14ac:dyDescent="0.2">
      <c r="Y5721" s="97"/>
    </row>
    <row r="5722" spans="25:25" x14ac:dyDescent="0.2">
      <c r="Y5722" s="97"/>
    </row>
    <row r="5723" spans="25:25" x14ac:dyDescent="0.2">
      <c r="Y5723" s="97"/>
    </row>
    <row r="5724" spans="25:25" x14ac:dyDescent="0.2">
      <c r="Y5724" s="97"/>
    </row>
    <row r="5725" spans="25:25" x14ac:dyDescent="0.2">
      <c r="Y5725" s="97"/>
    </row>
    <row r="5726" spans="25:25" x14ac:dyDescent="0.2">
      <c r="Y5726" s="97"/>
    </row>
    <row r="5727" spans="25:25" x14ac:dyDescent="0.2">
      <c r="Y5727" s="97"/>
    </row>
    <row r="5728" spans="25:25" x14ac:dyDescent="0.2">
      <c r="Y5728" s="97"/>
    </row>
    <row r="5729" spans="25:25" x14ac:dyDescent="0.2">
      <c r="Y5729" s="97"/>
    </row>
    <row r="5730" spans="25:25" x14ac:dyDescent="0.2">
      <c r="Y5730" s="97"/>
    </row>
    <row r="5731" spans="25:25" x14ac:dyDescent="0.2">
      <c r="Y5731" s="97"/>
    </row>
    <row r="5732" spans="25:25" x14ac:dyDescent="0.2">
      <c r="Y5732" s="97"/>
    </row>
    <row r="5733" spans="25:25" x14ac:dyDescent="0.2">
      <c r="Y5733" s="97"/>
    </row>
    <row r="5734" spans="25:25" x14ac:dyDescent="0.2">
      <c r="Y5734" s="97"/>
    </row>
    <row r="5735" spans="25:25" x14ac:dyDescent="0.2">
      <c r="Y5735" s="97"/>
    </row>
    <row r="5736" spans="25:25" x14ac:dyDescent="0.2">
      <c r="Y5736" s="97"/>
    </row>
    <row r="5737" spans="25:25" x14ac:dyDescent="0.2">
      <c r="Y5737" s="97"/>
    </row>
    <row r="5738" spans="25:25" x14ac:dyDescent="0.2">
      <c r="Y5738" s="97"/>
    </row>
    <row r="5739" spans="25:25" x14ac:dyDescent="0.2">
      <c r="Y5739" s="97"/>
    </row>
    <row r="5740" spans="25:25" x14ac:dyDescent="0.2">
      <c r="Y5740" s="97"/>
    </row>
    <row r="5741" spans="25:25" x14ac:dyDescent="0.2">
      <c r="Y5741" s="97"/>
    </row>
    <row r="5742" spans="25:25" x14ac:dyDescent="0.2">
      <c r="Y5742" s="97"/>
    </row>
    <row r="5743" spans="25:25" x14ac:dyDescent="0.2">
      <c r="Y5743" s="97"/>
    </row>
    <row r="5744" spans="25:25" x14ac:dyDescent="0.2">
      <c r="Y5744" s="97"/>
    </row>
    <row r="5745" spans="25:25" x14ac:dyDescent="0.2">
      <c r="Y5745" s="97"/>
    </row>
    <row r="5746" spans="25:25" x14ac:dyDescent="0.2">
      <c r="Y5746" s="97"/>
    </row>
    <row r="5747" spans="25:25" x14ac:dyDescent="0.2">
      <c r="Y5747" s="97"/>
    </row>
    <row r="5748" spans="25:25" x14ac:dyDescent="0.2">
      <c r="Y5748" s="97"/>
    </row>
    <row r="5749" spans="25:25" x14ac:dyDescent="0.2">
      <c r="Y5749" s="97"/>
    </row>
    <row r="5750" spans="25:25" x14ac:dyDescent="0.2">
      <c r="Y5750" s="97"/>
    </row>
    <row r="5751" spans="25:25" x14ac:dyDescent="0.2">
      <c r="Y5751" s="97"/>
    </row>
    <row r="5752" spans="25:25" x14ac:dyDescent="0.2">
      <c r="Y5752" s="97"/>
    </row>
    <row r="5753" spans="25:25" x14ac:dyDescent="0.2">
      <c r="Y5753" s="97"/>
    </row>
    <row r="5754" spans="25:25" x14ac:dyDescent="0.2">
      <c r="Y5754" s="97"/>
    </row>
    <row r="5755" spans="25:25" x14ac:dyDescent="0.2">
      <c r="Y5755" s="97"/>
    </row>
    <row r="5756" spans="25:25" x14ac:dyDescent="0.2">
      <c r="Y5756" s="97"/>
    </row>
    <row r="5757" spans="25:25" x14ac:dyDescent="0.2">
      <c r="Y5757" s="97"/>
    </row>
    <row r="5758" spans="25:25" x14ac:dyDescent="0.2">
      <c r="Y5758" s="97"/>
    </row>
    <row r="5759" spans="25:25" x14ac:dyDescent="0.2">
      <c r="Y5759" s="97"/>
    </row>
    <row r="5760" spans="25:25" x14ac:dyDescent="0.2">
      <c r="Y5760" s="97"/>
    </row>
    <row r="5761" spans="25:25" x14ac:dyDescent="0.2">
      <c r="Y5761" s="97"/>
    </row>
    <row r="5762" spans="25:25" x14ac:dyDescent="0.2">
      <c r="Y5762" s="97"/>
    </row>
    <row r="5763" spans="25:25" x14ac:dyDescent="0.2">
      <c r="Y5763" s="97"/>
    </row>
    <row r="5764" spans="25:25" x14ac:dyDescent="0.2">
      <c r="Y5764" s="97"/>
    </row>
    <row r="5765" spans="25:25" x14ac:dyDescent="0.2">
      <c r="Y5765" s="97"/>
    </row>
    <row r="5766" spans="25:25" x14ac:dyDescent="0.2">
      <c r="Y5766" s="97"/>
    </row>
    <row r="5767" spans="25:25" x14ac:dyDescent="0.2">
      <c r="Y5767" s="97"/>
    </row>
    <row r="5768" spans="25:25" x14ac:dyDescent="0.2">
      <c r="Y5768" s="97"/>
    </row>
    <row r="5769" spans="25:25" x14ac:dyDescent="0.2">
      <c r="Y5769" s="97"/>
    </row>
    <row r="5770" spans="25:25" x14ac:dyDescent="0.2">
      <c r="Y5770" s="97"/>
    </row>
    <row r="5771" spans="25:25" x14ac:dyDescent="0.2">
      <c r="Y5771" s="97"/>
    </row>
    <row r="5772" spans="25:25" x14ac:dyDescent="0.2">
      <c r="Y5772" s="97"/>
    </row>
    <row r="5773" spans="25:25" x14ac:dyDescent="0.2">
      <c r="Y5773" s="97"/>
    </row>
    <row r="5774" spans="25:25" x14ac:dyDescent="0.2">
      <c r="Y5774" s="97"/>
    </row>
    <row r="5775" spans="25:25" x14ac:dyDescent="0.2">
      <c r="Y5775" s="97"/>
    </row>
    <row r="5776" spans="25:25" x14ac:dyDescent="0.2">
      <c r="Y5776" s="97"/>
    </row>
    <row r="5777" spans="25:25" x14ac:dyDescent="0.2">
      <c r="Y5777" s="97"/>
    </row>
    <row r="5778" spans="25:25" x14ac:dyDescent="0.2">
      <c r="Y5778" s="97"/>
    </row>
    <row r="5779" spans="25:25" x14ac:dyDescent="0.2">
      <c r="Y5779" s="97"/>
    </row>
    <row r="5780" spans="25:25" x14ac:dyDescent="0.2">
      <c r="Y5780" s="97"/>
    </row>
    <row r="5781" spans="25:25" x14ac:dyDescent="0.2">
      <c r="Y5781" s="97"/>
    </row>
    <row r="5782" spans="25:25" x14ac:dyDescent="0.2">
      <c r="Y5782" s="97"/>
    </row>
    <row r="5783" spans="25:25" x14ac:dyDescent="0.2">
      <c r="Y5783" s="97"/>
    </row>
    <row r="5784" spans="25:25" x14ac:dyDescent="0.2">
      <c r="Y5784" s="97"/>
    </row>
    <row r="5785" spans="25:25" x14ac:dyDescent="0.2">
      <c r="Y5785" s="97"/>
    </row>
    <row r="5786" spans="25:25" x14ac:dyDescent="0.2">
      <c r="Y5786" s="97"/>
    </row>
    <row r="5787" spans="25:25" x14ac:dyDescent="0.2">
      <c r="Y5787" s="97"/>
    </row>
    <row r="5788" spans="25:25" x14ac:dyDescent="0.2">
      <c r="Y5788" s="97"/>
    </row>
    <row r="5789" spans="25:25" x14ac:dyDescent="0.2">
      <c r="Y5789" s="97"/>
    </row>
    <row r="5790" spans="25:25" x14ac:dyDescent="0.2">
      <c r="Y5790" s="97"/>
    </row>
    <row r="5791" spans="25:25" x14ac:dyDescent="0.2">
      <c r="Y5791" s="97"/>
    </row>
    <row r="5792" spans="25:25" x14ac:dyDescent="0.2">
      <c r="Y5792" s="97"/>
    </row>
    <row r="5793" spans="25:25" x14ac:dyDescent="0.2">
      <c r="Y5793" s="97"/>
    </row>
    <row r="5794" spans="25:25" x14ac:dyDescent="0.2">
      <c r="Y5794" s="97"/>
    </row>
    <row r="5795" spans="25:25" x14ac:dyDescent="0.2">
      <c r="Y5795" s="97"/>
    </row>
    <row r="5796" spans="25:25" x14ac:dyDescent="0.2">
      <c r="Y5796" s="97"/>
    </row>
    <row r="5797" spans="25:25" x14ac:dyDescent="0.2">
      <c r="Y5797" s="97"/>
    </row>
    <row r="5798" spans="25:25" x14ac:dyDescent="0.2">
      <c r="Y5798" s="97"/>
    </row>
    <row r="5799" spans="25:25" x14ac:dyDescent="0.2">
      <c r="Y5799" s="97"/>
    </row>
    <row r="5800" spans="25:25" x14ac:dyDescent="0.2">
      <c r="Y5800" s="97"/>
    </row>
    <row r="5801" spans="25:25" x14ac:dyDescent="0.2">
      <c r="Y5801" s="97"/>
    </row>
    <row r="5802" spans="25:25" x14ac:dyDescent="0.2">
      <c r="Y5802" s="97"/>
    </row>
    <row r="5803" spans="25:25" x14ac:dyDescent="0.2">
      <c r="Y5803" s="97"/>
    </row>
    <row r="5804" spans="25:25" x14ac:dyDescent="0.2">
      <c r="Y5804" s="97"/>
    </row>
    <row r="5805" spans="25:25" x14ac:dyDescent="0.2">
      <c r="Y5805" s="97"/>
    </row>
    <row r="5806" spans="25:25" x14ac:dyDescent="0.2">
      <c r="Y5806" s="97"/>
    </row>
    <row r="5807" spans="25:25" x14ac:dyDescent="0.2">
      <c r="Y5807" s="97"/>
    </row>
    <row r="5808" spans="25:25" x14ac:dyDescent="0.2">
      <c r="Y5808" s="97"/>
    </row>
    <row r="5809" spans="25:25" x14ac:dyDescent="0.2">
      <c r="Y5809" s="97"/>
    </row>
    <row r="5810" spans="25:25" x14ac:dyDescent="0.2">
      <c r="Y5810" s="97"/>
    </row>
    <row r="5811" spans="25:25" x14ac:dyDescent="0.2">
      <c r="Y5811" s="97"/>
    </row>
    <row r="5812" spans="25:25" x14ac:dyDescent="0.2">
      <c r="Y5812" s="97"/>
    </row>
    <row r="5813" spans="25:25" x14ac:dyDescent="0.2">
      <c r="Y5813" s="97"/>
    </row>
    <row r="5814" spans="25:25" x14ac:dyDescent="0.2">
      <c r="Y5814" s="97"/>
    </row>
    <row r="5815" spans="25:25" x14ac:dyDescent="0.2">
      <c r="Y5815" s="97"/>
    </row>
    <row r="5816" spans="25:25" x14ac:dyDescent="0.2">
      <c r="Y5816" s="97"/>
    </row>
    <row r="5817" spans="25:25" x14ac:dyDescent="0.2">
      <c r="Y5817" s="97"/>
    </row>
    <row r="5818" spans="25:25" x14ac:dyDescent="0.2">
      <c r="Y5818" s="97"/>
    </row>
    <row r="5819" spans="25:25" x14ac:dyDescent="0.2">
      <c r="Y5819" s="97"/>
    </row>
    <row r="5820" spans="25:25" x14ac:dyDescent="0.2">
      <c r="Y5820" s="97"/>
    </row>
    <row r="5821" spans="25:25" x14ac:dyDescent="0.2">
      <c r="Y5821" s="97"/>
    </row>
    <row r="5822" spans="25:25" x14ac:dyDescent="0.2">
      <c r="Y5822" s="97"/>
    </row>
    <row r="5823" spans="25:25" x14ac:dyDescent="0.2">
      <c r="Y5823" s="97"/>
    </row>
    <row r="5824" spans="25:25" x14ac:dyDescent="0.2">
      <c r="Y5824" s="97"/>
    </row>
    <row r="5825" spans="25:25" x14ac:dyDescent="0.2">
      <c r="Y5825" s="97"/>
    </row>
    <row r="5826" spans="25:25" x14ac:dyDescent="0.2">
      <c r="Y5826" s="97"/>
    </row>
    <row r="5827" spans="25:25" x14ac:dyDescent="0.2">
      <c r="Y5827" s="97"/>
    </row>
    <row r="5828" spans="25:25" x14ac:dyDescent="0.2">
      <c r="Y5828" s="97"/>
    </row>
    <row r="5829" spans="25:25" x14ac:dyDescent="0.2">
      <c r="Y5829" s="97"/>
    </row>
    <row r="5830" spans="25:25" x14ac:dyDescent="0.2">
      <c r="Y5830" s="97"/>
    </row>
    <row r="5831" spans="25:25" x14ac:dyDescent="0.2">
      <c r="Y5831" s="97"/>
    </row>
    <row r="5832" spans="25:25" x14ac:dyDescent="0.2">
      <c r="Y5832" s="97"/>
    </row>
    <row r="5833" spans="25:25" x14ac:dyDescent="0.2">
      <c r="Y5833" s="97"/>
    </row>
    <row r="5834" spans="25:25" x14ac:dyDescent="0.2">
      <c r="Y5834" s="97"/>
    </row>
    <row r="5835" spans="25:25" x14ac:dyDescent="0.2">
      <c r="Y5835" s="97"/>
    </row>
    <row r="5836" spans="25:25" x14ac:dyDescent="0.2">
      <c r="Y5836" s="97"/>
    </row>
    <row r="5837" spans="25:25" x14ac:dyDescent="0.2">
      <c r="Y5837" s="97"/>
    </row>
    <row r="5838" spans="25:25" x14ac:dyDescent="0.2">
      <c r="Y5838" s="97"/>
    </row>
    <row r="5839" spans="25:25" x14ac:dyDescent="0.2">
      <c r="Y5839" s="97"/>
    </row>
    <row r="5840" spans="25:25" x14ac:dyDescent="0.2">
      <c r="Y5840" s="97"/>
    </row>
    <row r="5841" spans="25:25" x14ac:dyDescent="0.2">
      <c r="Y5841" s="97"/>
    </row>
    <row r="5842" spans="25:25" x14ac:dyDescent="0.2">
      <c r="Y5842" s="97"/>
    </row>
    <row r="5843" spans="25:25" x14ac:dyDescent="0.2">
      <c r="Y5843" s="97"/>
    </row>
    <row r="5844" spans="25:25" x14ac:dyDescent="0.2">
      <c r="Y5844" s="97"/>
    </row>
    <row r="5845" spans="25:25" x14ac:dyDescent="0.2">
      <c r="Y5845" s="97"/>
    </row>
    <row r="5846" spans="25:25" x14ac:dyDescent="0.2">
      <c r="Y5846" s="97"/>
    </row>
    <row r="5847" spans="25:25" x14ac:dyDescent="0.2">
      <c r="Y5847" s="97"/>
    </row>
    <row r="5848" spans="25:25" x14ac:dyDescent="0.2">
      <c r="Y5848" s="97"/>
    </row>
    <row r="5849" spans="25:25" x14ac:dyDescent="0.2">
      <c r="Y5849" s="97"/>
    </row>
    <row r="5850" spans="25:25" x14ac:dyDescent="0.2">
      <c r="Y5850" s="97"/>
    </row>
    <row r="5851" spans="25:25" x14ac:dyDescent="0.2">
      <c r="Y5851" s="97"/>
    </row>
    <row r="5852" spans="25:25" x14ac:dyDescent="0.2">
      <c r="Y5852" s="97"/>
    </row>
    <row r="5853" spans="25:25" x14ac:dyDescent="0.2">
      <c r="Y5853" s="97"/>
    </row>
    <row r="5854" spans="25:25" x14ac:dyDescent="0.2">
      <c r="Y5854" s="97"/>
    </row>
    <row r="5855" spans="25:25" x14ac:dyDescent="0.2">
      <c r="Y5855" s="97"/>
    </row>
    <row r="5856" spans="25:25" x14ac:dyDescent="0.2">
      <c r="Y5856" s="97"/>
    </row>
    <row r="5857" spans="25:25" x14ac:dyDescent="0.2">
      <c r="Y5857" s="97"/>
    </row>
    <row r="5858" spans="25:25" x14ac:dyDescent="0.2">
      <c r="Y5858" s="97"/>
    </row>
    <row r="5859" spans="25:25" x14ac:dyDescent="0.2">
      <c r="Y5859" s="97"/>
    </row>
    <row r="5860" spans="25:25" x14ac:dyDescent="0.2">
      <c r="Y5860" s="97"/>
    </row>
    <row r="5861" spans="25:25" x14ac:dyDescent="0.2">
      <c r="Y5861" s="97"/>
    </row>
    <row r="5862" spans="25:25" x14ac:dyDescent="0.2">
      <c r="Y5862" s="97"/>
    </row>
    <row r="5863" spans="25:25" x14ac:dyDescent="0.2">
      <c r="Y5863" s="97"/>
    </row>
    <row r="5864" spans="25:25" x14ac:dyDescent="0.2">
      <c r="Y5864" s="97"/>
    </row>
    <row r="5865" spans="25:25" x14ac:dyDescent="0.2">
      <c r="Y5865" s="97"/>
    </row>
    <row r="5866" spans="25:25" x14ac:dyDescent="0.2">
      <c r="Y5866" s="97"/>
    </row>
    <row r="5867" spans="25:25" x14ac:dyDescent="0.2">
      <c r="Y5867" s="97"/>
    </row>
    <row r="5868" spans="25:25" x14ac:dyDescent="0.2">
      <c r="Y5868" s="97"/>
    </row>
    <row r="5869" spans="25:25" x14ac:dyDescent="0.2">
      <c r="Y5869" s="97"/>
    </row>
    <row r="5870" spans="25:25" x14ac:dyDescent="0.2">
      <c r="Y5870" s="97"/>
    </row>
    <row r="5871" spans="25:25" x14ac:dyDescent="0.2">
      <c r="Y5871" s="97"/>
    </row>
    <row r="5872" spans="25:25" x14ac:dyDescent="0.2">
      <c r="Y5872" s="97"/>
    </row>
    <row r="5873" spans="25:25" x14ac:dyDescent="0.2">
      <c r="Y5873" s="97"/>
    </row>
    <row r="5874" spans="25:25" x14ac:dyDescent="0.2">
      <c r="Y5874" s="97"/>
    </row>
    <row r="5875" spans="25:25" x14ac:dyDescent="0.2">
      <c r="Y5875" s="97"/>
    </row>
    <row r="5876" spans="25:25" x14ac:dyDescent="0.2">
      <c r="Y5876" s="97"/>
    </row>
    <row r="5877" spans="25:25" x14ac:dyDescent="0.2">
      <c r="Y5877" s="97"/>
    </row>
    <row r="5878" spans="25:25" x14ac:dyDescent="0.2">
      <c r="Y5878" s="97"/>
    </row>
    <row r="5879" spans="25:25" x14ac:dyDescent="0.2">
      <c r="Y5879" s="97"/>
    </row>
    <row r="5880" spans="25:25" x14ac:dyDescent="0.2">
      <c r="Y5880" s="97"/>
    </row>
    <row r="5881" spans="25:25" x14ac:dyDescent="0.2">
      <c r="Y5881" s="97"/>
    </row>
    <row r="5882" spans="25:25" x14ac:dyDescent="0.2">
      <c r="Y5882" s="97"/>
    </row>
    <row r="5883" spans="25:25" x14ac:dyDescent="0.2">
      <c r="Y5883" s="97"/>
    </row>
    <row r="5884" spans="25:25" x14ac:dyDescent="0.2">
      <c r="Y5884" s="97"/>
    </row>
    <row r="5885" spans="25:25" x14ac:dyDescent="0.2">
      <c r="Y5885" s="97"/>
    </row>
    <row r="5886" spans="25:25" x14ac:dyDescent="0.2">
      <c r="Y5886" s="97"/>
    </row>
    <row r="5887" spans="25:25" x14ac:dyDescent="0.2">
      <c r="Y5887" s="97"/>
    </row>
    <row r="5888" spans="25:25" x14ac:dyDescent="0.2">
      <c r="Y5888" s="97"/>
    </row>
    <row r="5889" spans="25:25" x14ac:dyDescent="0.2">
      <c r="Y5889" s="97"/>
    </row>
    <row r="5890" spans="25:25" x14ac:dyDescent="0.2">
      <c r="Y5890" s="97"/>
    </row>
    <row r="5891" spans="25:25" x14ac:dyDescent="0.2">
      <c r="Y5891" s="97"/>
    </row>
    <row r="5892" spans="25:25" x14ac:dyDescent="0.2">
      <c r="Y5892" s="97"/>
    </row>
    <row r="5893" spans="25:25" x14ac:dyDescent="0.2">
      <c r="Y5893" s="97"/>
    </row>
    <row r="5894" spans="25:25" x14ac:dyDescent="0.2">
      <c r="Y5894" s="97"/>
    </row>
    <row r="5895" spans="25:25" x14ac:dyDescent="0.2">
      <c r="Y5895" s="97"/>
    </row>
    <row r="5896" spans="25:25" x14ac:dyDescent="0.2">
      <c r="Y5896" s="97"/>
    </row>
    <row r="5897" spans="25:25" x14ac:dyDescent="0.2">
      <c r="Y5897" s="97"/>
    </row>
    <row r="5898" spans="25:25" x14ac:dyDescent="0.2">
      <c r="Y5898" s="97"/>
    </row>
    <row r="5899" spans="25:25" x14ac:dyDescent="0.2">
      <c r="Y5899" s="97"/>
    </row>
    <row r="5900" spans="25:25" x14ac:dyDescent="0.2">
      <c r="Y5900" s="97"/>
    </row>
    <row r="5901" spans="25:25" x14ac:dyDescent="0.2">
      <c r="Y5901" s="97"/>
    </row>
    <row r="5902" spans="25:25" x14ac:dyDescent="0.2">
      <c r="Y5902" s="97"/>
    </row>
    <row r="5903" spans="25:25" x14ac:dyDescent="0.2">
      <c r="Y5903" s="97"/>
    </row>
    <row r="5904" spans="25:25" x14ac:dyDescent="0.2">
      <c r="Y5904" s="97"/>
    </row>
    <row r="5905" spans="25:25" x14ac:dyDescent="0.2">
      <c r="Y5905" s="97"/>
    </row>
    <row r="5906" spans="25:25" x14ac:dyDescent="0.2">
      <c r="Y5906" s="97"/>
    </row>
    <row r="5907" spans="25:25" x14ac:dyDescent="0.2">
      <c r="Y5907" s="97"/>
    </row>
    <row r="5908" spans="25:25" x14ac:dyDescent="0.2">
      <c r="Y5908" s="97"/>
    </row>
    <row r="5909" spans="25:25" x14ac:dyDescent="0.2">
      <c r="Y5909" s="97"/>
    </row>
    <row r="5910" spans="25:25" x14ac:dyDescent="0.2">
      <c r="Y5910" s="97"/>
    </row>
    <row r="5911" spans="25:25" x14ac:dyDescent="0.2">
      <c r="Y5911" s="97"/>
    </row>
    <row r="5912" spans="25:25" x14ac:dyDescent="0.2">
      <c r="Y5912" s="97"/>
    </row>
    <row r="5913" spans="25:25" x14ac:dyDescent="0.2">
      <c r="Y5913" s="97"/>
    </row>
    <row r="5914" spans="25:25" x14ac:dyDescent="0.2">
      <c r="Y5914" s="97"/>
    </row>
    <row r="5915" spans="25:25" x14ac:dyDescent="0.2">
      <c r="Y5915" s="97"/>
    </row>
    <row r="5916" spans="25:25" x14ac:dyDescent="0.2">
      <c r="Y5916" s="97"/>
    </row>
    <row r="5917" spans="25:25" x14ac:dyDescent="0.2">
      <c r="Y5917" s="97"/>
    </row>
    <row r="5918" spans="25:25" x14ac:dyDescent="0.2">
      <c r="Y5918" s="97"/>
    </row>
    <row r="5919" spans="25:25" x14ac:dyDescent="0.2">
      <c r="Y5919" s="97"/>
    </row>
    <row r="5920" spans="25:25" x14ac:dyDescent="0.2">
      <c r="Y5920" s="97"/>
    </row>
    <row r="5921" spans="25:25" x14ac:dyDescent="0.2">
      <c r="Y5921" s="97"/>
    </row>
    <row r="5922" spans="25:25" x14ac:dyDescent="0.2">
      <c r="Y5922" s="97"/>
    </row>
    <row r="5923" spans="25:25" x14ac:dyDescent="0.2">
      <c r="Y5923" s="97"/>
    </row>
    <row r="5924" spans="25:25" x14ac:dyDescent="0.2">
      <c r="Y5924" s="97"/>
    </row>
    <row r="5925" spans="25:25" x14ac:dyDescent="0.2">
      <c r="Y5925" s="97"/>
    </row>
    <row r="5926" spans="25:25" x14ac:dyDescent="0.2">
      <c r="Y5926" s="97"/>
    </row>
    <row r="5927" spans="25:25" x14ac:dyDescent="0.2">
      <c r="Y5927" s="97"/>
    </row>
    <row r="5928" spans="25:25" x14ac:dyDescent="0.2">
      <c r="Y5928" s="97"/>
    </row>
    <row r="5929" spans="25:25" x14ac:dyDescent="0.2">
      <c r="Y5929" s="97"/>
    </row>
    <row r="5930" spans="25:25" x14ac:dyDescent="0.2">
      <c r="Y5930" s="97"/>
    </row>
    <row r="5931" spans="25:25" x14ac:dyDescent="0.2">
      <c r="Y5931" s="97"/>
    </row>
    <row r="5932" spans="25:25" x14ac:dyDescent="0.2">
      <c r="Y5932" s="97"/>
    </row>
    <row r="5933" spans="25:25" x14ac:dyDescent="0.2">
      <c r="Y5933" s="97"/>
    </row>
    <row r="5934" spans="25:25" x14ac:dyDescent="0.2">
      <c r="Y5934" s="97"/>
    </row>
    <row r="5935" spans="25:25" x14ac:dyDescent="0.2">
      <c r="Y5935" s="97"/>
    </row>
    <row r="5936" spans="25:25" x14ac:dyDescent="0.2">
      <c r="Y5936" s="97"/>
    </row>
    <row r="5937" spans="25:25" x14ac:dyDescent="0.2">
      <c r="Y5937" s="97"/>
    </row>
    <row r="5938" spans="25:25" x14ac:dyDescent="0.2">
      <c r="Y5938" s="97"/>
    </row>
    <row r="5939" spans="25:25" x14ac:dyDescent="0.2">
      <c r="Y5939" s="97"/>
    </row>
    <row r="5940" spans="25:25" x14ac:dyDescent="0.2">
      <c r="Y5940" s="97"/>
    </row>
    <row r="5941" spans="25:25" x14ac:dyDescent="0.2">
      <c r="Y5941" s="97"/>
    </row>
    <row r="5942" spans="25:25" x14ac:dyDescent="0.2">
      <c r="Y5942" s="97"/>
    </row>
    <row r="5943" spans="25:25" x14ac:dyDescent="0.2">
      <c r="Y5943" s="97"/>
    </row>
    <row r="5944" spans="25:25" x14ac:dyDescent="0.2">
      <c r="Y5944" s="97"/>
    </row>
    <row r="5945" spans="25:25" x14ac:dyDescent="0.2">
      <c r="Y5945" s="97"/>
    </row>
    <row r="5946" spans="25:25" x14ac:dyDescent="0.2">
      <c r="Y5946" s="97"/>
    </row>
    <row r="5947" spans="25:25" x14ac:dyDescent="0.2">
      <c r="Y5947" s="97"/>
    </row>
    <row r="5948" spans="25:25" x14ac:dyDescent="0.2">
      <c r="Y5948" s="97"/>
    </row>
    <row r="5949" spans="25:25" x14ac:dyDescent="0.2">
      <c r="Y5949" s="97"/>
    </row>
    <row r="5950" spans="25:25" x14ac:dyDescent="0.2">
      <c r="Y5950" s="97"/>
    </row>
    <row r="5951" spans="25:25" x14ac:dyDescent="0.2">
      <c r="Y5951" s="97"/>
    </row>
    <row r="5952" spans="25:25" x14ac:dyDescent="0.2">
      <c r="Y5952" s="97"/>
    </row>
    <row r="5953" spans="25:25" x14ac:dyDescent="0.2">
      <c r="Y5953" s="97"/>
    </row>
    <row r="5954" spans="25:25" x14ac:dyDescent="0.2">
      <c r="Y5954" s="97"/>
    </row>
    <row r="5955" spans="25:25" x14ac:dyDescent="0.2">
      <c r="Y5955" s="97"/>
    </row>
    <row r="5956" spans="25:25" x14ac:dyDescent="0.2">
      <c r="Y5956" s="97"/>
    </row>
    <row r="5957" spans="25:25" x14ac:dyDescent="0.2">
      <c r="Y5957" s="97"/>
    </row>
    <row r="5958" spans="25:25" x14ac:dyDescent="0.2">
      <c r="Y5958" s="97"/>
    </row>
    <row r="5959" spans="25:25" x14ac:dyDescent="0.2">
      <c r="Y5959" s="97"/>
    </row>
    <row r="5960" spans="25:25" x14ac:dyDescent="0.2">
      <c r="Y5960" s="97"/>
    </row>
    <row r="5961" spans="25:25" x14ac:dyDescent="0.2">
      <c r="Y5961" s="97"/>
    </row>
    <row r="5962" spans="25:25" x14ac:dyDescent="0.2">
      <c r="Y5962" s="97"/>
    </row>
    <row r="5963" spans="25:25" x14ac:dyDescent="0.2">
      <c r="Y5963" s="97"/>
    </row>
    <row r="5964" spans="25:25" x14ac:dyDescent="0.2">
      <c r="Y5964" s="97"/>
    </row>
    <row r="5965" spans="25:25" x14ac:dyDescent="0.2">
      <c r="Y5965" s="97"/>
    </row>
    <row r="5966" spans="25:25" x14ac:dyDescent="0.2">
      <c r="Y5966" s="97"/>
    </row>
    <row r="5967" spans="25:25" x14ac:dyDescent="0.2">
      <c r="Y5967" s="97"/>
    </row>
    <row r="5968" spans="25:25" x14ac:dyDescent="0.2">
      <c r="Y5968" s="97"/>
    </row>
    <row r="5969" spans="25:25" x14ac:dyDescent="0.2">
      <c r="Y5969" s="97"/>
    </row>
    <row r="5970" spans="25:25" x14ac:dyDescent="0.2">
      <c r="Y5970" s="97"/>
    </row>
    <row r="5971" spans="25:25" x14ac:dyDescent="0.2">
      <c r="Y5971" s="97"/>
    </row>
    <row r="5972" spans="25:25" x14ac:dyDescent="0.2">
      <c r="Y5972" s="97"/>
    </row>
    <row r="5973" spans="25:25" x14ac:dyDescent="0.2">
      <c r="Y5973" s="97"/>
    </row>
    <row r="5974" spans="25:25" x14ac:dyDescent="0.2">
      <c r="Y5974" s="97"/>
    </row>
    <row r="5975" spans="25:25" x14ac:dyDescent="0.2">
      <c r="Y5975" s="97"/>
    </row>
    <row r="5976" spans="25:25" x14ac:dyDescent="0.2">
      <c r="Y5976" s="97"/>
    </row>
    <row r="5977" spans="25:25" x14ac:dyDescent="0.2">
      <c r="Y5977" s="97"/>
    </row>
    <row r="5978" spans="25:25" x14ac:dyDescent="0.2">
      <c r="Y5978" s="97"/>
    </row>
    <row r="5979" spans="25:25" x14ac:dyDescent="0.2">
      <c r="Y5979" s="97"/>
    </row>
    <row r="5980" spans="25:25" x14ac:dyDescent="0.2">
      <c r="Y5980" s="97"/>
    </row>
    <row r="5981" spans="25:25" x14ac:dyDescent="0.2">
      <c r="Y5981" s="97"/>
    </row>
    <row r="5982" spans="25:25" x14ac:dyDescent="0.2">
      <c r="Y5982" s="97"/>
    </row>
    <row r="5983" spans="25:25" x14ac:dyDescent="0.2">
      <c r="Y5983" s="97"/>
    </row>
    <row r="5984" spans="25:25" x14ac:dyDescent="0.2">
      <c r="Y5984" s="97"/>
    </row>
    <row r="5985" spans="25:25" x14ac:dyDescent="0.2">
      <c r="Y5985" s="97"/>
    </row>
    <row r="5986" spans="25:25" x14ac:dyDescent="0.2">
      <c r="Y5986" s="97"/>
    </row>
    <row r="5987" spans="25:25" x14ac:dyDescent="0.2">
      <c r="Y5987" s="97"/>
    </row>
    <row r="5988" spans="25:25" x14ac:dyDescent="0.2">
      <c r="Y5988" s="97"/>
    </row>
    <row r="5989" spans="25:25" x14ac:dyDescent="0.2">
      <c r="Y5989" s="97"/>
    </row>
    <row r="5990" spans="25:25" x14ac:dyDescent="0.2">
      <c r="Y5990" s="97"/>
    </row>
    <row r="5991" spans="25:25" x14ac:dyDescent="0.2">
      <c r="Y5991" s="97"/>
    </row>
    <row r="5992" spans="25:25" x14ac:dyDescent="0.2">
      <c r="Y5992" s="97"/>
    </row>
    <row r="5993" spans="25:25" x14ac:dyDescent="0.2">
      <c r="Y5993" s="97"/>
    </row>
    <row r="5994" spans="25:25" x14ac:dyDescent="0.2">
      <c r="Y5994" s="97"/>
    </row>
    <row r="5995" spans="25:25" x14ac:dyDescent="0.2">
      <c r="Y5995" s="97"/>
    </row>
    <row r="5996" spans="25:25" x14ac:dyDescent="0.2">
      <c r="Y5996" s="97"/>
    </row>
    <row r="5997" spans="25:25" x14ac:dyDescent="0.2">
      <c r="Y5997" s="97"/>
    </row>
    <row r="5998" spans="25:25" x14ac:dyDescent="0.2">
      <c r="Y5998" s="97"/>
    </row>
    <row r="5999" spans="25:25" x14ac:dyDescent="0.2">
      <c r="Y5999" s="97"/>
    </row>
    <row r="6000" spans="25:25" x14ac:dyDescent="0.2">
      <c r="Y6000" s="97"/>
    </row>
    <row r="6001" spans="25:25" x14ac:dyDescent="0.2">
      <c r="Y6001" s="97"/>
    </row>
    <row r="6002" spans="25:25" x14ac:dyDescent="0.2">
      <c r="Y6002" s="97"/>
    </row>
    <row r="6003" spans="25:25" x14ac:dyDescent="0.2">
      <c r="Y6003" s="97"/>
    </row>
    <row r="6004" spans="25:25" x14ac:dyDescent="0.2">
      <c r="Y6004" s="97"/>
    </row>
    <row r="6005" spans="25:25" x14ac:dyDescent="0.2">
      <c r="Y6005" s="97"/>
    </row>
    <row r="6006" spans="25:25" x14ac:dyDescent="0.2">
      <c r="Y6006" s="97"/>
    </row>
    <row r="6007" spans="25:25" x14ac:dyDescent="0.2">
      <c r="Y6007" s="97"/>
    </row>
    <row r="6008" spans="25:25" x14ac:dyDescent="0.2">
      <c r="Y6008" s="97"/>
    </row>
    <row r="6009" spans="25:25" x14ac:dyDescent="0.2">
      <c r="Y6009" s="97"/>
    </row>
    <row r="6010" spans="25:25" x14ac:dyDescent="0.2">
      <c r="Y6010" s="97"/>
    </row>
    <row r="6011" spans="25:25" x14ac:dyDescent="0.2">
      <c r="Y6011" s="97"/>
    </row>
    <row r="6012" spans="25:25" x14ac:dyDescent="0.2">
      <c r="Y6012" s="97"/>
    </row>
    <row r="6013" spans="25:25" x14ac:dyDescent="0.2">
      <c r="Y6013" s="97"/>
    </row>
    <row r="6014" spans="25:25" x14ac:dyDescent="0.2">
      <c r="Y6014" s="97"/>
    </row>
    <row r="6015" spans="25:25" x14ac:dyDescent="0.2">
      <c r="Y6015" s="97"/>
    </row>
    <row r="6016" spans="25:25" x14ac:dyDescent="0.2">
      <c r="Y6016" s="97"/>
    </row>
    <row r="6017" spans="25:25" x14ac:dyDescent="0.2">
      <c r="Y6017" s="97"/>
    </row>
    <row r="6018" spans="25:25" x14ac:dyDescent="0.2">
      <c r="Y6018" s="97"/>
    </row>
    <row r="6019" spans="25:25" x14ac:dyDescent="0.2">
      <c r="Y6019" s="97"/>
    </row>
    <row r="6020" spans="25:25" x14ac:dyDescent="0.2">
      <c r="Y6020" s="97"/>
    </row>
    <row r="6021" spans="25:25" x14ac:dyDescent="0.2">
      <c r="Y6021" s="97"/>
    </row>
    <row r="6022" spans="25:25" x14ac:dyDescent="0.2">
      <c r="Y6022" s="97"/>
    </row>
    <row r="6023" spans="25:25" x14ac:dyDescent="0.2">
      <c r="Y6023" s="97"/>
    </row>
    <row r="6024" spans="25:25" x14ac:dyDescent="0.2">
      <c r="Y6024" s="97"/>
    </row>
    <row r="6025" spans="25:25" x14ac:dyDescent="0.2">
      <c r="Y6025" s="97"/>
    </row>
    <row r="6026" spans="25:25" x14ac:dyDescent="0.2">
      <c r="Y6026" s="97"/>
    </row>
    <row r="6027" spans="25:25" x14ac:dyDescent="0.2">
      <c r="Y6027" s="97"/>
    </row>
    <row r="6028" spans="25:25" x14ac:dyDescent="0.2">
      <c r="Y6028" s="97"/>
    </row>
    <row r="6029" spans="25:25" x14ac:dyDescent="0.2">
      <c r="Y6029" s="97"/>
    </row>
    <row r="6030" spans="25:25" x14ac:dyDescent="0.2">
      <c r="Y6030" s="97"/>
    </row>
    <row r="6031" spans="25:25" x14ac:dyDescent="0.2">
      <c r="Y6031" s="97"/>
    </row>
    <row r="6032" spans="25:25" x14ac:dyDescent="0.2">
      <c r="Y6032" s="97"/>
    </row>
    <row r="6033" spans="25:25" x14ac:dyDescent="0.2">
      <c r="Y6033" s="97"/>
    </row>
    <row r="6034" spans="25:25" x14ac:dyDescent="0.2">
      <c r="Y6034" s="97"/>
    </row>
    <row r="6035" spans="25:25" x14ac:dyDescent="0.2">
      <c r="Y6035" s="97"/>
    </row>
    <row r="6036" spans="25:25" x14ac:dyDescent="0.2">
      <c r="Y6036" s="97"/>
    </row>
    <row r="6037" spans="25:25" x14ac:dyDescent="0.2">
      <c r="Y6037" s="97"/>
    </row>
    <row r="6038" spans="25:25" x14ac:dyDescent="0.2">
      <c r="Y6038" s="97"/>
    </row>
    <row r="6039" spans="25:25" x14ac:dyDescent="0.2">
      <c r="Y6039" s="97"/>
    </row>
    <row r="6040" spans="25:25" x14ac:dyDescent="0.2">
      <c r="Y6040" s="97"/>
    </row>
    <row r="6041" spans="25:25" x14ac:dyDescent="0.2">
      <c r="Y6041" s="97"/>
    </row>
    <row r="6042" spans="25:25" x14ac:dyDescent="0.2">
      <c r="Y6042" s="97"/>
    </row>
    <row r="6043" spans="25:25" x14ac:dyDescent="0.2">
      <c r="Y6043" s="97"/>
    </row>
    <row r="6044" spans="25:25" x14ac:dyDescent="0.2">
      <c r="Y6044" s="97"/>
    </row>
    <row r="6045" spans="25:25" x14ac:dyDescent="0.2">
      <c r="Y6045" s="97"/>
    </row>
    <row r="6046" spans="25:25" x14ac:dyDescent="0.2">
      <c r="Y6046" s="97"/>
    </row>
    <row r="6047" spans="25:25" x14ac:dyDescent="0.2">
      <c r="Y6047" s="97"/>
    </row>
    <row r="6048" spans="25:25" x14ac:dyDescent="0.2">
      <c r="Y6048" s="97"/>
    </row>
    <row r="6049" spans="25:25" x14ac:dyDescent="0.2">
      <c r="Y6049" s="97"/>
    </row>
    <row r="6050" spans="25:25" x14ac:dyDescent="0.2">
      <c r="Y6050" s="97"/>
    </row>
    <row r="6051" spans="25:25" x14ac:dyDescent="0.2">
      <c r="Y6051" s="97"/>
    </row>
    <row r="6052" spans="25:25" x14ac:dyDescent="0.2">
      <c r="Y6052" s="97"/>
    </row>
    <row r="6053" spans="25:25" x14ac:dyDescent="0.2">
      <c r="Y6053" s="97"/>
    </row>
    <row r="6054" spans="25:25" x14ac:dyDescent="0.2">
      <c r="Y6054" s="97"/>
    </row>
    <row r="6055" spans="25:25" x14ac:dyDescent="0.2">
      <c r="Y6055" s="97"/>
    </row>
    <row r="6056" spans="25:25" x14ac:dyDescent="0.2">
      <c r="Y6056" s="97"/>
    </row>
    <row r="6057" spans="25:25" x14ac:dyDescent="0.2">
      <c r="Y6057" s="97"/>
    </row>
    <row r="6058" spans="25:25" x14ac:dyDescent="0.2">
      <c r="Y6058" s="97"/>
    </row>
    <row r="6059" spans="25:25" x14ac:dyDescent="0.2">
      <c r="Y6059" s="97"/>
    </row>
    <row r="6060" spans="25:25" x14ac:dyDescent="0.2">
      <c r="Y6060" s="97"/>
    </row>
    <row r="6061" spans="25:25" x14ac:dyDescent="0.2">
      <c r="Y6061" s="97"/>
    </row>
    <row r="6062" spans="25:25" x14ac:dyDescent="0.2">
      <c r="Y6062" s="97"/>
    </row>
    <row r="6063" spans="25:25" x14ac:dyDescent="0.2">
      <c r="Y6063" s="97"/>
    </row>
    <row r="6064" spans="25:25" x14ac:dyDescent="0.2">
      <c r="Y6064" s="97"/>
    </row>
    <row r="6065" spans="25:25" x14ac:dyDescent="0.2">
      <c r="Y6065" s="97"/>
    </row>
    <row r="6066" spans="25:25" x14ac:dyDescent="0.2">
      <c r="Y6066" s="97"/>
    </row>
    <row r="6067" spans="25:25" x14ac:dyDescent="0.2">
      <c r="Y6067" s="97"/>
    </row>
    <row r="6068" spans="25:25" x14ac:dyDescent="0.2">
      <c r="Y6068" s="97"/>
    </row>
    <row r="6069" spans="25:25" x14ac:dyDescent="0.2">
      <c r="Y6069" s="97"/>
    </row>
    <row r="6070" spans="25:25" x14ac:dyDescent="0.2">
      <c r="Y6070" s="97"/>
    </row>
    <row r="6071" spans="25:25" x14ac:dyDescent="0.2">
      <c r="Y6071" s="97"/>
    </row>
    <row r="6072" spans="25:25" x14ac:dyDescent="0.2">
      <c r="Y6072" s="97"/>
    </row>
    <row r="6073" spans="25:25" x14ac:dyDescent="0.2">
      <c r="Y6073" s="97"/>
    </row>
    <row r="6074" spans="25:25" x14ac:dyDescent="0.2">
      <c r="Y6074" s="97"/>
    </row>
    <row r="6075" spans="25:25" x14ac:dyDescent="0.2">
      <c r="Y6075" s="97"/>
    </row>
    <row r="6076" spans="25:25" x14ac:dyDescent="0.2">
      <c r="Y6076" s="97"/>
    </row>
    <row r="6077" spans="25:25" x14ac:dyDescent="0.2">
      <c r="Y6077" s="97"/>
    </row>
    <row r="6078" spans="25:25" x14ac:dyDescent="0.2">
      <c r="Y6078" s="97"/>
    </row>
    <row r="6079" spans="25:25" x14ac:dyDescent="0.2">
      <c r="Y6079" s="97"/>
    </row>
    <row r="6080" spans="25:25" x14ac:dyDescent="0.2">
      <c r="Y6080" s="97"/>
    </row>
    <row r="6081" spans="25:25" x14ac:dyDescent="0.2">
      <c r="Y6081" s="97"/>
    </row>
    <row r="6082" spans="25:25" x14ac:dyDescent="0.2">
      <c r="Y6082" s="97"/>
    </row>
    <row r="6083" spans="25:25" x14ac:dyDescent="0.2">
      <c r="Y6083" s="97"/>
    </row>
    <row r="6084" spans="25:25" x14ac:dyDescent="0.2">
      <c r="Y6084" s="97"/>
    </row>
    <row r="6085" spans="25:25" x14ac:dyDescent="0.2">
      <c r="Y6085" s="97"/>
    </row>
    <row r="6086" spans="25:25" x14ac:dyDescent="0.2">
      <c r="Y6086" s="97"/>
    </row>
    <row r="6087" spans="25:25" x14ac:dyDescent="0.2">
      <c r="Y6087" s="97"/>
    </row>
    <row r="6088" spans="25:25" x14ac:dyDescent="0.2">
      <c r="Y6088" s="97"/>
    </row>
    <row r="6089" spans="25:25" x14ac:dyDescent="0.2">
      <c r="Y6089" s="97"/>
    </row>
    <row r="6090" spans="25:25" x14ac:dyDescent="0.2">
      <c r="Y6090" s="97"/>
    </row>
    <row r="6091" spans="25:25" x14ac:dyDescent="0.2">
      <c r="Y6091" s="97"/>
    </row>
    <row r="6092" spans="25:25" x14ac:dyDescent="0.2">
      <c r="Y6092" s="97"/>
    </row>
    <row r="6093" spans="25:25" x14ac:dyDescent="0.2">
      <c r="Y6093" s="97"/>
    </row>
    <row r="6094" spans="25:25" x14ac:dyDescent="0.2">
      <c r="Y6094" s="97"/>
    </row>
    <row r="6095" spans="25:25" x14ac:dyDescent="0.2">
      <c r="Y6095" s="97"/>
    </row>
    <row r="6096" spans="25:25" x14ac:dyDescent="0.2">
      <c r="Y6096" s="97"/>
    </row>
    <row r="6097" spans="25:25" x14ac:dyDescent="0.2">
      <c r="Y6097" s="97"/>
    </row>
    <row r="6098" spans="25:25" x14ac:dyDescent="0.2">
      <c r="Y6098" s="97"/>
    </row>
    <row r="6099" spans="25:25" x14ac:dyDescent="0.2">
      <c r="Y6099" s="97"/>
    </row>
    <row r="6100" spans="25:25" x14ac:dyDescent="0.2">
      <c r="Y6100" s="97"/>
    </row>
    <row r="6101" spans="25:25" x14ac:dyDescent="0.2">
      <c r="Y6101" s="97"/>
    </row>
    <row r="6102" spans="25:25" x14ac:dyDescent="0.2">
      <c r="Y6102" s="97"/>
    </row>
    <row r="6103" spans="25:25" x14ac:dyDescent="0.2">
      <c r="Y6103" s="97"/>
    </row>
    <row r="6104" spans="25:25" x14ac:dyDescent="0.2">
      <c r="Y6104" s="97"/>
    </row>
    <row r="6105" spans="25:25" x14ac:dyDescent="0.2">
      <c r="Y6105" s="97"/>
    </row>
    <row r="6106" spans="25:25" x14ac:dyDescent="0.2">
      <c r="Y6106" s="97"/>
    </row>
    <row r="6107" spans="25:25" x14ac:dyDescent="0.2">
      <c r="Y6107" s="97"/>
    </row>
    <row r="6108" spans="25:25" x14ac:dyDescent="0.2">
      <c r="Y6108" s="97"/>
    </row>
    <row r="6109" spans="25:25" x14ac:dyDescent="0.2">
      <c r="Y6109" s="97"/>
    </row>
    <row r="6110" spans="25:25" x14ac:dyDescent="0.2">
      <c r="Y6110" s="97"/>
    </row>
    <row r="6111" spans="25:25" x14ac:dyDescent="0.2">
      <c r="Y6111" s="97"/>
    </row>
    <row r="6112" spans="25:25" x14ac:dyDescent="0.2">
      <c r="Y6112" s="97"/>
    </row>
    <row r="6113" spans="25:25" x14ac:dyDescent="0.2">
      <c r="Y6113" s="97"/>
    </row>
    <row r="6114" spans="25:25" x14ac:dyDescent="0.2">
      <c r="Y6114" s="97"/>
    </row>
    <row r="6115" spans="25:25" x14ac:dyDescent="0.2">
      <c r="Y6115" s="97"/>
    </row>
    <row r="6116" spans="25:25" x14ac:dyDescent="0.2">
      <c r="Y6116" s="97"/>
    </row>
    <row r="6117" spans="25:25" x14ac:dyDescent="0.2">
      <c r="Y6117" s="97"/>
    </row>
    <row r="6118" spans="25:25" x14ac:dyDescent="0.2">
      <c r="Y6118" s="97"/>
    </row>
    <row r="6119" spans="25:25" x14ac:dyDescent="0.2">
      <c r="Y6119" s="97"/>
    </row>
    <row r="6120" spans="25:25" x14ac:dyDescent="0.2">
      <c r="Y6120" s="97"/>
    </row>
    <row r="6121" spans="25:25" x14ac:dyDescent="0.2">
      <c r="Y6121" s="97"/>
    </row>
    <row r="6122" spans="25:25" x14ac:dyDescent="0.2">
      <c r="Y6122" s="97"/>
    </row>
    <row r="6123" spans="25:25" x14ac:dyDescent="0.2">
      <c r="Y6123" s="97"/>
    </row>
    <row r="6124" spans="25:25" x14ac:dyDescent="0.2">
      <c r="Y6124" s="97"/>
    </row>
    <row r="6125" spans="25:25" x14ac:dyDescent="0.2">
      <c r="Y6125" s="97"/>
    </row>
    <row r="6126" spans="25:25" x14ac:dyDescent="0.2">
      <c r="Y6126" s="97"/>
    </row>
    <row r="6127" spans="25:25" x14ac:dyDescent="0.2">
      <c r="Y6127" s="97"/>
    </row>
    <row r="6128" spans="25:25" x14ac:dyDescent="0.2">
      <c r="Y6128" s="97"/>
    </row>
    <row r="6129" spans="25:25" x14ac:dyDescent="0.2">
      <c r="Y6129" s="97"/>
    </row>
    <row r="6130" spans="25:25" x14ac:dyDescent="0.2">
      <c r="Y6130" s="97"/>
    </row>
    <row r="6131" spans="25:25" x14ac:dyDescent="0.2">
      <c r="Y6131" s="97"/>
    </row>
    <row r="6132" spans="25:25" x14ac:dyDescent="0.2">
      <c r="Y6132" s="97"/>
    </row>
    <row r="6133" spans="25:25" x14ac:dyDescent="0.2">
      <c r="Y6133" s="97"/>
    </row>
    <row r="6134" spans="25:25" x14ac:dyDescent="0.2">
      <c r="Y6134" s="97"/>
    </row>
    <row r="6135" spans="25:25" x14ac:dyDescent="0.2">
      <c r="Y6135" s="97"/>
    </row>
    <row r="6136" spans="25:25" x14ac:dyDescent="0.2">
      <c r="Y6136" s="97"/>
    </row>
    <row r="6137" spans="25:25" x14ac:dyDescent="0.2">
      <c r="Y6137" s="97"/>
    </row>
    <row r="6138" spans="25:25" x14ac:dyDescent="0.2">
      <c r="Y6138" s="97"/>
    </row>
    <row r="6139" spans="25:25" x14ac:dyDescent="0.2">
      <c r="Y6139" s="97"/>
    </row>
    <row r="6140" spans="25:25" x14ac:dyDescent="0.2">
      <c r="Y6140" s="97"/>
    </row>
    <row r="6141" spans="25:25" x14ac:dyDescent="0.2">
      <c r="Y6141" s="97"/>
    </row>
    <row r="6142" spans="25:25" x14ac:dyDescent="0.2">
      <c r="Y6142" s="97"/>
    </row>
    <row r="6143" spans="25:25" x14ac:dyDescent="0.2">
      <c r="Y6143" s="97"/>
    </row>
    <row r="6144" spans="25:25" x14ac:dyDescent="0.2">
      <c r="Y6144" s="97"/>
    </row>
    <row r="6145" spans="25:25" x14ac:dyDescent="0.2">
      <c r="Y6145" s="97"/>
    </row>
    <row r="6146" spans="25:25" x14ac:dyDescent="0.2">
      <c r="Y6146" s="97"/>
    </row>
    <row r="6147" spans="25:25" x14ac:dyDescent="0.2">
      <c r="Y6147" s="97"/>
    </row>
    <row r="6148" spans="25:25" x14ac:dyDescent="0.2">
      <c r="Y6148" s="97"/>
    </row>
    <row r="6149" spans="25:25" x14ac:dyDescent="0.2">
      <c r="Y6149" s="97"/>
    </row>
    <row r="6150" spans="25:25" x14ac:dyDescent="0.2">
      <c r="Y6150" s="97"/>
    </row>
    <row r="6151" spans="25:25" x14ac:dyDescent="0.2">
      <c r="Y6151" s="97"/>
    </row>
    <row r="6152" spans="25:25" x14ac:dyDescent="0.2">
      <c r="Y6152" s="97"/>
    </row>
    <row r="6153" spans="25:25" x14ac:dyDescent="0.2">
      <c r="Y6153" s="97"/>
    </row>
    <row r="6154" spans="25:25" x14ac:dyDescent="0.2">
      <c r="Y6154" s="97"/>
    </row>
    <row r="6155" spans="25:25" x14ac:dyDescent="0.2">
      <c r="Y6155" s="97"/>
    </row>
    <row r="6156" spans="25:25" x14ac:dyDescent="0.2">
      <c r="Y6156" s="97"/>
    </row>
    <row r="6157" spans="25:25" x14ac:dyDescent="0.2">
      <c r="Y6157" s="97"/>
    </row>
    <row r="6158" spans="25:25" x14ac:dyDescent="0.2">
      <c r="Y6158" s="97"/>
    </row>
    <row r="6159" spans="25:25" x14ac:dyDescent="0.2">
      <c r="Y6159" s="97"/>
    </row>
    <row r="6160" spans="25:25" x14ac:dyDescent="0.2">
      <c r="Y6160" s="97"/>
    </row>
    <row r="6161" spans="25:25" x14ac:dyDescent="0.2">
      <c r="Y6161" s="97"/>
    </row>
    <row r="6162" spans="25:25" x14ac:dyDescent="0.2">
      <c r="Y6162" s="97"/>
    </row>
    <row r="6163" spans="25:25" x14ac:dyDescent="0.2">
      <c r="Y6163" s="97"/>
    </row>
    <row r="6164" spans="25:25" x14ac:dyDescent="0.2">
      <c r="Y6164" s="97"/>
    </row>
    <row r="6165" spans="25:25" x14ac:dyDescent="0.2">
      <c r="Y6165" s="97"/>
    </row>
    <row r="6166" spans="25:25" x14ac:dyDescent="0.2">
      <c r="Y6166" s="97"/>
    </row>
    <row r="6167" spans="25:25" x14ac:dyDescent="0.2">
      <c r="Y6167" s="97"/>
    </row>
    <row r="6168" spans="25:25" x14ac:dyDescent="0.2">
      <c r="Y6168" s="97"/>
    </row>
    <row r="6169" spans="25:25" x14ac:dyDescent="0.2">
      <c r="Y6169" s="97"/>
    </row>
    <row r="6170" spans="25:25" x14ac:dyDescent="0.2">
      <c r="Y6170" s="97"/>
    </row>
    <row r="6171" spans="25:25" x14ac:dyDescent="0.2">
      <c r="Y6171" s="97"/>
    </row>
    <row r="6172" spans="25:25" x14ac:dyDescent="0.2">
      <c r="Y6172" s="97"/>
    </row>
    <row r="6173" spans="25:25" x14ac:dyDescent="0.2">
      <c r="Y6173" s="97"/>
    </row>
    <row r="6174" spans="25:25" x14ac:dyDescent="0.2">
      <c r="Y6174" s="97"/>
    </row>
    <row r="6175" spans="25:25" x14ac:dyDescent="0.2">
      <c r="Y6175" s="97"/>
    </row>
    <row r="6176" spans="25:25" x14ac:dyDescent="0.2">
      <c r="Y6176" s="97"/>
    </row>
    <row r="6177" spans="25:25" x14ac:dyDescent="0.2">
      <c r="Y6177" s="97"/>
    </row>
    <row r="6178" spans="25:25" x14ac:dyDescent="0.2">
      <c r="Y6178" s="97"/>
    </row>
    <row r="6179" spans="25:25" x14ac:dyDescent="0.2">
      <c r="Y6179" s="97"/>
    </row>
    <row r="6180" spans="25:25" x14ac:dyDescent="0.2">
      <c r="Y6180" s="97"/>
    </row>
    <row r="6181" spans="25:25" x14ac:dyDescent="0.2">
      <c r="Y6181" s="97"/>
    </row>
    <row r="6182" spans="25:25" x14ac:dyDescent="0.2">
      <c r="Y6182" s="97"/>
    </row>
    <row r="6183" spans="25:25" x14ac:dyDescent="0.2">
      <c r="Y6183" s="97"/>
    </row>
    <row r="6184" spans="25:25" x14ac:dyDescent="0.2">
      <c r="Y6184" s="97"/>
    </row>
    <row r="6185" spans="25:25" x14ac:dyDescent="0.2">
      <c r="Y6185" s="97"/>
    </row>
    <row r="6186" spans="25:25" x14ac:dyDescent="0.2">
      <c r="Y6186" s="97"/>
    </row>
    <row r="6187" spans="25:25" x14ac:dyDescent="0.2">
      <c r="Y6187" s="97"/>
    </row>
    <row r="6188" spans="25:25" x14ac:dyDescent="0.2">
      <c r="Y6188" s="97"/>
    </row>
    <row r="6189" spans="25:25" x14ac:dyDescent="0.2">
      <c r="Y6189" s="97"/>
    </row>
    <row r="6190" spans="25:25" x14ac:dyDescent="0.2">
      <c r="Y6190" s="97"/>
    </row>
    <row r="6191" spans="25:25" x14ac:dyDescent="0.2">
      <c r="Y6191" s="97"/>
    </row>
    <row r="6192" spans="25:25" x14ac:dyDescent="0.2">
      <c r="Y6192" s="97"/>
    </row>
    <row r="6193" spans="25:25" x14ac:dyDescent="0.2">
      <c r="Y6193" s="97"/>
    </row>
    <row r="6194" spans="25:25" x14ac:dyDescent="0.2">
      <c r="Y6194" s="97"/>
    </row>
    <row r="6195" spans="25:25" x14ac:dyDescent="0.2">
      <c r="Y6195" s="97"/>
    </row>
    <row r="6196" spans="25:25" x14ac:dyDescent="0.2">
      <c r="Y6196" s="97"/>
    </row>
    <row r="6197" spans="25:25" x14ac:dyDescent="0.2">
      <c r="Y6197" s="97"/>
    </row>
    <row r="6198" spans="25:25" x14ac:dyDescent="0.2">
      <c r="Y6198" s="97"/>
    </row>
    <row r="6199" spans="25:25" x14ac:dyDescent="0.2">
      <c r="Y6199" s="97"/>
    </row>
    <row r="6200" spans="25:25" x14ac:dyDescent="0.2">
      <c r="Y6200" s="97"/>
    </row>
    <row r="6201" spans="25:25" x14ac:dyDescent="0.2">
      <c r="Y6201" s="97"/>
    </row>
    <row r="6202" spans="25:25" x14ac:dyDescent="0.2">
      <c r="Y6202" s="97"/>
    </row>
    <row r="6203" spans="25:25" x14ac:dyDescent="0.2">
      <c r="Y6203" s="97"/>
    </row>
    <row r="6204" spans="25:25" x14ac:dyDescent="0.2">
      <c r="Y6204" s="97"/>
    </row>
    <row r="6205" spans="25:25" x14ac:dyDescent="0.2">
      <c r="Y6205" s="97"/>
    </row>
    <row r="6206" spans="25:25" x14ac:dyDescent="0.2">
      <c r="Y6206" s="97"/>
    </row>
    <row r="6207" spans="25:25" x14ac:dyDescent="0.2">
      <c r="Y6207" s="97"/>
    </row>
    <row r="6208" spans="25:25" x14ac:dyDescent="0.2">
      <c r="Y6208" s="97"/>
    </row>
    <row r="6209" spans="25:25" x14ac:dyDescent="0.2">
      <c r="Y6209" s="97"/>
    </row>
    <row r="6210" spans="25:25" x14ac:dyDescent="0.2">
      <c r="Y6210" s="97"/>
    </row>
    <row r="6211" spans="25:25" x14ac:dyDescent="0.2">
      <c r="Y6211" s="97"/>
    </row>
    <row r="6212" spans="25:25" x14ac:dyDescent="0.2">
      <c r="Y6212" s="97"/>
    </row>
    <row r="6213" spans="25:25" x14ac:dyDescent="0.2">
      <c r="Y6213" s="97"/>
    </row>
    <row r="6214" spans="25:25" x14ac:dyDescent="0.2">
      <c r="Y6214" s="97"/>
    </row>
    <row r="6215" spans="25:25" x14ac:dyDescent="0.2">
      <c r="Y6215" s="97"/>
    </row>
    <row r="6216" spans="25:25" x14ac:dyDescent="0.2">
      <c r="Y6216" s="97"/>
    </row>
    <row r="6217" spans="25:25" x14ac:dyDescent="0.2">
      <c r="Y6217" s="97"/>
    </row>
    <row r="6218" spans="25:25" x14ac:dyDescent="0.2">
      <c r="Y6218" s="97"/>
    </row>
    <row r="6219" spans="25:25" x14ac:dyDescent="0.2">
      <c r="Y6219" s="97"/>
    </row>
    <row r="6220" spans="25:25" x14ac:dyDescent="0.2">
      <c r="Y6220" s="97"/>
    </row>
    <row r="6221" spans="25:25" x14ac:dyDescent="0.2">
      <c r="Y6221" s="97"/>
    </row>
    <row r="6222" spans="25:25" x14ac:dyDescent="0.2">
      <c r="Y6222" s="97"/>
    </row>
    <row r="6223" spans="25:25" x14ac:dyDescent="0.2">
      <c r="Y6223" s="97"/>
    </row>
    <row r="6224" spans="25:25" x14ac:dyDescent="0.2">
      <c r="Y6224" s="97"/>
    </row>
    <row r="6225" spans="25:25" x14ac:dyDescent="0.2">
      <c r="Y6225" s="97"/>
    </row>
    <row r="6226" spans="25:25" x14ac:dyDescent="0.2">
      <c r="Y6226" s="97"/>
    </row>
    <row r="6227" spans="25:25" x14ac:dyDescent="0.2">
      <c r="Y6227" s="97"/>
    </row>
    <row r="6228" spans="25:25" x14ac:dyDescent="0.2">
      <c r="Y6228" s="97"/>
    </row>
    <row r="6229" spans="25:25" x14ac:dyDescent="0.2">
      <c r="Y6229" s="97"/>
    </row>
    <row r="6230" spans="25:25" x14ac:dyDescent="0.2">
      <c r="Y6230" s="97"/>
    </row>
    <row r="6231" spans="25:25" x14ac:dyDescent="0.2">
      <c r="Y6231" s="97"/>
    </row>
    <row r="6232" spans="25:25" x14ac:dyDescent="0.2">
      <c r="Y6232" s="97"/>
    </row>
    <row r="6233" spans="25:25" x14ac:dyDescent="0.2">
      <c r="Y6233" s="97"/>
    </row>
    <row r="6234" spans="25:25" x14ac:dyDescent="0.2">
      <c r="Y6234" s="97"/>
    </row>
    <row r="6235" spans="25:25" x14ac:dyDescent="0.2">
      <c r="Y6235" s="97"/>
    </row>
    <row r="6236" spans="25:25" x14ac:dyDescent="0.2">
      <c r="Y6236" s="97"/>
    </row>
    <row r="6237" spans="25:25" x14ac:dyDescent="0.2">
      <c r="Y6237" s="97"/>
    </row>
    <row r="6238" spans="25:25" x14ac:dyDescent="0.2">
      <c r="Y6238" s="97"/>
    </row>
    <row r="6239" spans="25:25" x14ac:dyDescent="0.2">
      <c r="Y6239" s="97"/>
    </row>
    <row r="6240" spans="25:25" x14ac:dyDescent="0.2">
      <c r="Y6240" s="97"/>
    </row>
    <row r="6241" spans="25:25" x14ac:dyDescent="0.2">
      <c r="Y6241" s="97"/>
    </row>
    <row r="6242" spans="25:25" x14ac:dyDescent="0.2">
      <c r="Y6242" s="97"/>
    </row>
    <row r="6243" spans="25:25" x14ac:dyDescent="0.2">
      <c r="Y6243" s="97"/>
    </row>
    <row r="6244" spans="25:25" x14ac:dyDescent="0.2">
      <c r="Y6244" s="97"/>
    </row>
    <row r="6245" spans="25:25" x14ac:dyDescent="0.2">
      <c r="Y6245" s="97"/>
    </row>
    <row r="6246" spans="25:25" x14ac:dyDescent="0.2">
      <c r="Y6246" s="97"/>
    </row>
    <row r="6247" spans="25:25" x14ac:dyDescent="0.2">
      <c r="Y6247" s="97"/>
    </row>
    <row r="6248" spans="25:25" x14ac:dyDescent="0.2">
      <c r="Y6248" s="97"/>
    </row>
    <row r="6249" spans="25:25" x14ac:dyDescent="0.2">
      <c r="Y6249" s="97"/>
    </row>
    <row r="6250" spans="25:25" x14ac:dyDescent="0.2">
      <c r="Y6250" s="97"/>
    </row>
    <row r="6251" spans="25:25" x14ac:dyDescent="0.2">
      <c r="Y6251" s="97"/>
    </row>
    <row r="6252" spans="25:25" x14ac:dyDescent="0.2">
      <c r="Y6252" s="97"/>
    </row>
    <row r="6253" spans="25:25" x14ac:dyDescent="0.2">
      <c r="Y6253" s="97"/>
    </row>
    <row r="6254" spans="25:25" x14ac:dyDescent="0.2">
      <c r="Y6254" s="97"/>
    </row>
    <row r="6255" spans="25:25" x14ac:dyDescent="0.2">
      <c r="Y6255" s="97"/>
    </row>
    <row r="6256" spans="25:25" x14ac:dyDescent="0.2">
      <c r="Y6256" s="97"/>
    </row>
    <row r="6257" spans="25:25" x14ac:dyDescent="0.2">
      <c r="Y6257" s="97"/>
    </row>
    <row r="6258" spans="25:25" x14ac:dyDescent="0.2">
      <c r="Y6258" s="97"/>
    </row>
    <row r="6259" spans="25:25" x14ac:dyDescent="0.2">
      <c r="Y6259" s="97"/>
    </row>
    <row r="6260" spans="25:25" x14ac:dyDescent="0.2">
      <c r="Y6260" s="97"/>
    </row>
    <row r="6261" spans="25:25" x14ac:dyDescent="0.2">
      <c r="Y6261" s="97"/>
    </row>
    <row r="6262" spans="25:25" x14ac:dyDescent="0.2">
      <c r="Y6262" s="97"/>
    </row>
    <row r="6263" spans="25:25" x14ac:dyDescent="0.2">
      <c r="Y6263" s="97"/>
    </row>
    <row r="6264" spans="25:25" x14ac:dyDescent="0.2">
      <c r="Y6264" s="97"/>
    </row>
    <row r="6265" spans="25:25" x14ac:dyDescent="0.2">
      <c r="Y6265" s="97"/>
    </row>
    <row r="6266" spans="25:25" x14ac:dyDescent="0.2">
      <c r="Y6266" s="97"/>
    </row>
    <row r="6267" spans="25:25" x14ac:dyDescent="0.2">
      <c r="Y6267" s="97"/>
    </row>
    <row r="6268" spans="25:25" x14ac:dyDescent="0.2">
      <c r="Y6268" s="97"/>
    </row>
    <row r="6269" spans="25:25" x14ac:dyDescent="0.2">
      <c r="Y6269" s="97"/>
    </row>
    <row r="6270" spans="25:25" x14ac:dyDescent="0.2">
      <c r="Y6270" s="97"/>
    </row>
    <row r="6271" spans="25:25" x14ac:dyDescent="0.2">
      <c r="Y6271" s="97"/>
    </row>
    <row r="6272" spans="25:25" x14ac:dyDescent="0.2">
      <c r="Y6272" s="97"/>
    </row>
    <row r="6273" spans="25:25" x14ac:dyDescent="0.2">
      <c r="Y6273" s="97"/>
    </row>
    <row r="6274" spans="25:25" x14ac:dyDescent="0.2">
      <c r="Y6274" s="97"/>
    </row>
    <row r="6275" spans="25:25" x14ac:dyDescent="0.2">
      <c r="Y6275" s="97"/>
    </row>
    <row r="6276" spans="25:25" x14ac:dyDescent="0.2">
      <c r="Y6276" s="97"/>
    </row>
    <row r="6277" spans="25:25" x14ac:dyDescent="0.2">
      <c r="Y6277" s="97"/>
    </row>
    <row r="6278" spans="25:25" x14ac:dyDescent="0.2">
      <c r="Y6278" s="97"/>
    </row>
    <row r="6279" spans="25:25" x14ac:dyDescent="0.2">
      <c r="Y6279" s="97"/>
    </row>
    <row r="6280" spans="25:25" x14ac:dyDescent="0.2">
      <c r="Y6280" s="97"/>
    </row>
    <row r="6281" spans="25:25" x14ac:dyDescent="0.2">
      <c r="Y6281" s="97"/>
    </row>
    <row r="6282" spans="25:25" x14ac:dyDescent="0.2">
      <c r="Y6282" s="97"/>
    </row>
    <row r="6283" spans="25:25" x14ac:dyDescent="0.2">
      <c r="Y6283" s="97"/>
    </row>
    <row r="6284" spans="25:25" x14ac:dyDescent="0.2">
      <c r="Y6284" s="97"/>
    </row>
    <row r="6285" spans="25:25" x14ac:dyDescent="0.2">
      <c r="Y6285" s="97"/>
    </row>
    <row r="6286" spans="25:25" x14ac:dyDescent="0.2">
      <c r="Y6286" s="97"/>
    </row>
    <row r="6287" spans="25:25" x14ac:dyDescent="0.2">
      <c r="Y6287" s="97"/>
    </row>
    <row r="6288" spans="25:25" x14ac:dyDescent="0.2">
      <c r="Y6288" s="97"/>
    </row>
    <row r="6289" spans="25:25" x14ac:dyDescent="0.2">
      <c r="Y6289" s="97"/>
    </row>
    <row r="6290" spans="25:25" x14ac:dyDescent="0.2">
      <c r="Y6290" s="97"/>
    </row>
    <row r="6291" spans="25:25" x14ac:dyDescent="0.2">
      <c r="Y6291" s="97"/>
    </row>
    <row r="6292" spans="25:25" x14ac:dyDescent="0.2">
      <c r="Y6292" s="97"/>
    </row>
    <row r="6293" spans="25:25" x14ac:dyDescent="0.2">
      <c r="Y6293" s="97"/>
    </row>
    <row r="6294" spans="25:25" x14ac:dyDescent="0.2">
      <c r="Y6294" s="97"/>
    </row>
    <row r="6295" spans="25:25" x14ac:dyDescent="0.2">
      <c r="Y6295" s="97"/>
    </row>
    <row r="6296" spans="25:25" x14ac:dyDescent="0.2">
      <c r="Y6296" s="97"/>
    </row>
    <row r="6297" spans="25:25" x14ac:dyDescent="0.2">
      <c r="Y6297" s="97"/>
    </row>
    <row r="6298" spans="25:25" x14ac:dyDescent="0.2">
      <c r="Y6298" s="97"/>
    </row>
    <row r="6299" spans="25:25" x14ac:dyDescent="0.2">
      <c r="Y6299" s="97"/>
    </row>
    <row r="6300" spans="25:25" x14ac:dyDescent="0.2">
      <c r="Y6300" s="97"/>
    </row>
    <row r="6301" spans="25:25" x14ac:dyDescent="0.2">
      <c r="Y6301" s="97"/>
    </row>
    <row r="6302" spans="25:25" x14ac:dyDescent="0.2">
      <c r="Y6302" s="97"/>
    </row>
    <row r="6303" spans="25:25" x14ac:dyDescent="0.2">
      <c r="Y6303" s="97"/>
    </row>
    <row r="6304" spans="25:25" x14ac:dyDescent="0.2">
      <c r="Y6304" s="97"/>
    </row>
    <row r="6305" spans="25:25" x14ac:dyDescent="0.2">
      <c r="Y6305" s="97"/>
    </row>
    <row r="6306" spans="25:25" x14ac:dyDescent="0.2">
      <c r="Y6306" s="97"/>
    </row>
    <row r="6307" spans="25:25" x14ac:dyDescent="0.2">
      <c r="Y6307" s="97"/>
    </row>
    <row r="6308" spans="25:25" x14ac:dyDescent="0.2">
      <c r="Y6308" s="97"/>
    </row>
    <row r="6309" spans="25:25" x14ac:dyDescent="0.2">
      <c r="Y6309" s="97"/>
    </row>
    <row r="6310" spans="25:25" x14ac:dyDescent="0.2">
      <c r="Y6310" s="97"/>
    </row>
    <row r="6311" spans="25:25" x14ac:dyDescent="0.2">
      <c r="Y6311" s="97"/>
    </row>
    <row r="6312" spans="25:25" x14ac:dyDescent="0.2">
      <c r="Y6312" s="97"/>
    </row>
    <row r="6313" spans="25:25" x14ac:dyDescent="0.2">
      <c r="Y6313" s="97"/>
    </row>
    <row r="6314" spans="25:25" x14ac:dyDescent="0.2">
      <c r="Y6314" s="97"/>
    </row>
    <row r="6315" spans="25:25" x14ac:dyDescent="0.2">
      <c r="Y6315" s="97"/>
    </row>
    <row r="6316" spans="25:25" x14ac:dyDescent="0.2">
      <c r="Y6316" s="97"/>
    </row>
    <row r="6317" spans="25:25" x14ac:dyDescent="0.2">
      <c r="Y6317" s="97"/>
    </row>
    <row r="6318" spans="25:25" x14ac:dyDescent="0.2">
      <c r="Y6318" s="97"/>
    </row>
    <row r="6319" spans="25:25" x14ac:dyDescent="0.2">
      <c r="Y6319" s="97"/>
    </row>
    <row r="6320" spans="25:25" x14ac:dyDescent="0.2">
      <c r="Y6320" s="97"/>
    </row>
    <row r="6321" spans="25:25" x14ac:dyDescent="0.2">
      <c r="Y6321" s="97"/>
    </row>
    <row r="6322" spans="25:25" x14ac:dyDescent="0.2">
      <c r="Y6322" s="97"/>
    </row>
    <row r="6323" spans="25:25" x14ac:dyDescent="0.2">
      <c r="Y6323" s="97"/>
    </row>
    <row r="6324" spans="25:25" x14ac:dyDescent="0.2">
      <c r="Y6324" s="97"/>
    </row>
    <row r="6325" spans="25:25" x14ac:dyDescent="0.2">
      <c r="Y6325" s="97"/>
    </row>
    <row r="6326" spans="25:25" x14ac:dyDescent="0.2">
      <c r="Y6326" s="97"/>
    </row>
    <row r="6327" spans="25:25" x14ac:dyDescent="0.2">
      <c r="Y6327" s="97"/>
    </row>
    <row r="6328" spans="25:25" x14ac:dyDescent="0.2">
      <c r="Y6328" s="97"/>
    </row>
    <row r="6329" spans="25:25" x14ac:dyDescent="0.2">
      <c r="Y6329" s="97"/>
    </row>
    <row r="6330" spans="25:25" x14ac:dyDescent="0.2">
      <c r="Y6330" s="97"/>
    </row>
    <row r="6331" spans="25:25" x14ac:dyDescent="0.2">
      <c r="Y6331" s="97"/>
    </row>
    <row r="6332" spans="25:25" x14ac:dyDescent="0.2">
      <c r="Y6332" s="97"/>
    </row>
    <row r="6333" spans="25:25" x14ac:dyDescent="0.2">
      <c r="Y6333" s="97"/>
    </row>
    <row r="6334" spans="25:25" x14ac:dyDescent="0.2">
      <c r="Y6334" s="97"/>
    </row>
    <row r="6335" spans="25:25" x14ac:dyDescent="0.2">
      <c r="Y6335" s="97"/>
    </row>
    <row r="6336" spans="25:25" x14ac:dyDescent="0.2">
      <c r="Y6336" s="97"/>
    </row>
    <row r="6337" spans="25:25" x14ac:dyDescent="0.2">
      <c r="Y6337" s="97"/>
    </row>
    <row r="6338" spans="25:25" x14ac:dyDescent="0.2">
      <c r="Y6338" s="97"/>
    </row>
    <row r="6339" spans="25:25" x14ac:dyDescent="0.2">
      <c r="Y6339" s="97"/>
    </row>
    <row r="6340" spans="25:25" x14ac:dyDescent="0.2">
      <c r="Y6340" s="97"/>
    </row>
    <row r="6341" spans="25:25" x14ac:dyDescent="0.2">
      <c r="Y6341" s="97"/>
    </row>
    <row r="6342" spans="25:25" x14ac:dyDescent="0.2">
      <c r="Y6342" s="97"/>
    </row>
    <row r="6343" spans="25:25" x14ac:dyDescent="0.2">
      <c r="Y6343" s="97"/>
    </row>
    <row r="6344" spans="25:25" x14ac:dyDescent="0.2">
      <c r="Y6344" s="97"/>
    </row>
    <row r="6345" spans="25:25" x14ac:dyDescent="0.2">
      <c r="Y6345" s="97"/>
    </row>
    <row r="6346" spans="25:25" x14ac:dyDescent="0.2">
      <c r="Y6346" s="97"/>
    </row>
    <row r="6347" spans="25:25" x14ac:dyDescent="0.2">
      <c r="Y6347" s="97"/>
    </row>
    <row r="6348" spans="25:25" x14ac:dyDescent="0.2">
      <c r="Y6348" s="97"/>
    </row>
    <row r="6349" spans="25:25" x14ac:dyDescent="0.2">
      <c r="Y6349" s="97"/>
    </row>
    <row r="6350" spans="25:25" x14ac:dyDescent="0.2">
      <c r="Y6350" s="97"/>
    </row>
    <row r="6351" spans="25:25" x14ac:dyDescent="0.2">
      <c r="Y6351" s="97"/>
    </row>
    <row r="6352" spans="25:25" x14ac:dyDescent="0.2">
      <c r="Y6352" s="97"/>
    </row>
    <row r="6353" spans="25:25" x14ac:dyDescent="0.2">
      <c r="Y6353" s="97"/>
    </row>
    <row r="6354" spans="25:25" x14ac:dyDescent="0.2">
      <c r="Y6354" s="97"/>
    </row>
    <row r="6355" spans="25:25" x14ac:dyDescent="0.2">
      <c r="Y6355" s="97"/>
    </row>
    <row r="6356" spans="25:25" x14ac:dyDescent="0.2">
      <c r="Y6356" s="97"/>
    </row>
    <row r="6357" spans="25:25" x14ac:dyDescent="0.2">
      <c r="Y6357" s="97"/>
    </row>
    <row r="6358" spans="25:25" x14ac:dyDescent="0.2">
      <c r="Y6358" s="97"/>
    </row>
    <row r="6359" spans="25:25" x14ac:dyDescent="0.2">
      <c r="Y6359" s="97"/>
    </row>
    <row r="6360" spans="25:25" x14ac:dyDescent="0.2">
      <c r="Y6360" s="97"/>
    </row>
    <row r="6361" spans="25:25" x14ac:dyDescent="0.2">
      <c r="Y6361" s="97"/>
    </row>
    <row r="6362" spans="25:25" x14ac:dyDescent="0.2">
      <c r="Y6362" s="97"/>
    </row>
    <row r="6363" spans="25:25" x14ac:dyDescent="0.2">
      <c r="Y6363" s="97"/>
    </row>
    <row r="6364" spans="25:25" x14ac:dyDescent="0.2">
      <c r="Y6364" s="97"/>
    </row>
    <row r="6365" spans="25:25" x14ac:dyDescent="0.2">
      <c r="Y6365" s="97"/>
    </row>
    <row r="6366" spans="25:25" x14ac:dyDescent="0.2">
      <c r="Y6366" s="97"/>
    </row>
    <row r="6367" spans="25:25" x14ac:dyDescent="0.2">
      <c r="Y6367" s="97"/>
    </row>
    <row r="6368" spans="25:25" x14ac:dyDescent="0.2">
      <c r="Y6368" s="97"/>
    </row>
    <row r="6369" spans="25:25" x14ac:dyDescent="0.2">
      <c r="Y6369" s="97"/>
    </row>
    <row r="6370" spans="25:25" x14ac:dyDescent="0.2">
      <c r="Y6370" s="97"/>
    </row>
    <row r="6371" spans="25:25" x14ac:dyDescent="0.2">
      <c r="Y6371" s="97"/>
    </row>
    <row r="6372" spans="25:25" x14ac:dyDescent="0.2">
      <c r="Y6372" s="97"/>
    </row>
    <row r="6373" spans="25:25" x14ac:dyDescent="0.2">
      <c r="Y6373" s="97"/>
    </row>
    <row r="6374" spans="25:25" x14ac:dyDescent="0.2">
      <c r="Y6374" s="97"/>
    </row>
    <row r="6375" spans="25:25" x14ac:dyDescent="0.2">
      <c r="Y6375" s="97"/>
    </row>
    <row r="6376" spans="25:25" x14ac:dyDescent="0.2">
      <c r="Y6376" s="97"/>
    </row>
    <row r="6377" spans="25:25" x14ac:dyDescent="0.2">
      <c r="Y6377" s="97"/>
    </row>
    <row r="6378" spans="25:25" x14ac:dyDescent="0.2">
      <c r="Y6378" s="97"/>
    </row>
    <row r="6379" spans="25:25" x14ac:dyDescent="0.2">
      <c r="Y6379" s="97"/>
    </row>
    <row r="6380" spans="25:25" x14ac:dyDescent="0.2">
      <c r="Y6380" s="97"/>
    </row>
    <row r="6381" spans="25:25" x14ac:dyDescent="0.2">
      <c r="Y6381" s="97"/>
    </row>
    <row r="6382" spans="25:25" x14ac:dyDescent="0.2">
      <c r="Y6382" s="97"/>
    </row>
    <row r="6383" spans="25:25" x14ac:dyDescent="0.2">
      <c r="Y6383" s="97"/>
    </row>
    <row r="6384" spans="25:25" x14ac:dyDescent="0.2">
      <c r="Y6384" s="97"/>
    </row>
    <row r="6385" spans="25:25" x14ac:dyDescent="0.2">
      <c r="Y6385" s="97"/>
    </row>
    <row r="6386" spans="25:25" x14ac:dyDescent="0.2">
      <c r="Y6386" s="97"/>
    </row>
    <row r="6387" spans="25:25" x14ac:dyDescent="0.2">
      <c r="Y6387" s="97"/>
    </row>
    <row r="6388" spans="25:25" x14ac:dyDescent="0.2">
      <c r="Y6388" s="97"/>
    </row>
    <row r="6389" spans="25:25" x14ac:dyDescent="0.2">
      <c r="Y6389" s="97"/>
    </row>
    <row r="6390" spans="25:25" x14ac:dyDescent="0.2">
      <c r="Y6390" s="97"/>
    </row>
    <row r="6391" spans="25:25" x14ac:dyDescent="0.2">
      <c r="Y6391" s="97"/>
    </row>
    <row r="6392" spans="25:25" x14ac:dyDescent="0.2">
      <c r="Y6392" s="97"/>
    </row>
    <row r="6393" spans="25:25" x14ac:dyDescent="0.2">
      <c r="Y6393" s="97"/>
    </row>
    <row r="6394" spans="25:25" x14ac:dyDescent="0.2">
      <c r="Y6394" s="97"/>
    </row>
    <row r="6395" spans="25:25" x14ac:dyDescent="0.2">
      <c r="Y6395" s="97"/>
    </row>
    <row r="6396" spans="25:25" x14ac:dyDescent="0.2">
      <c r="Y6396" s="97"/>
    </row>
    <row r="6397" spans="25:25" x14ac:dyDescent="0.2">
      <c r="Y6397" s="97"/>
    </row>
    <row r="6398" spans="25:25" x14ac:dyDescent="0.2">
      <c r="Y6398" s="97"/>
    </row>
    <row r="6399" spans="25:25" x14ac:dyDescent="0.2">
      <c r="Y6399" s="97"/>
    </row>
    <row r="6400" spans="25:25" x14ac:dyDescent="0.2">
      <c r="Y6400" s="97"/>
    </row>
    <row r="6401" spans="25:25" x14ac:dyDescent="0.2">
      <c r="Y6401" s="97"/>
    </row>
    <row r="6402" spans="25:25" x14ac:dyDescent="0.2">
      <c r="Y6402" s="97"/>
    </row>
    <row r="6403" spans="25:25" x14ac:dyDescent="0.2">
      <c r="Y6403" s="97"/>
    </row>
    <row r="6404" spans="25:25" x14ac:dyDescent="0.2">
      <c r="Y6404" s="97"/>
    </row>
    <row r="6405" spans="25:25" x14ac:dyDescent="0.2">
      <c r="Y6405" s="97"/>
    </row>
    <row r="6406" spans="25:25" x14ac:dyDescent="0.2">
      <c r="Y6406" s="97"/>
    </row>
    <row r="6407" spans="25:25" x14ac:dyDescent="0.2">
      <c r="Y6407" s="97"/>
    </row>
    <row r="6408" spans="25:25" x14ac:dyDescent="0.2">
      <c r="Y6408" s="97"/>
    </row>
    <row r="6409" spans="25:25" x14ac:dyDescent="0.2">
      <c r="Y6409" s="97"/>
    </row>
    <row r="6410" spans="25:25" x14ac:dyDescent="0.2">
      <c r="Y6410" s="97"/>
    </row>
    <row r="6411" spans="25:25" x14ac:dyDescent="0.2">
      <c r="Y6411" s="97"/>
    </row>
    <row r="6412" spans="25:25" x14ac:dyDescent="0.2">
      <c r="Y6412" s="97"/>
    </row>
    <row r="6413" spans="25:25" x14ac:dyDescent="0.2">
      <c r="Y6413" s="97"/>
    </row>
    <row r="6414" spans="25:25" x14ac:dyDescent="0.2">
      <c r="Y6414" s="97"/>
    </row>
    <row r="6415" spans="25:25" x14ac:dyDescent="0.2">
      <c r="Y6415" s="97"/>
    </row>
    <row r="6416" spans="25:25" x14ac:dyDescent="0.2">
      <c r="Y6416" s="97"/>
    </row>
    <row r="6417" spans="25:25" x14ac:dyDescent="0.2">
      <c r="Y6417" s="97"/>
    </row>
    <row r="6418" spans="25:25" x14ac:dyDescent="0.2">
      <c r="Y6418" s="97"/>
    </row>
    <row r="6419" spans="25:25" x14ac:dyDescent="0.2">
      <c r="Y6419" s="97"/>
    </row>
    <row r="6420" spans="25:25" x14ac:dyDescent="0.2">
      <c r="Y6420" s="97"/>
    </row>
    <row r="6421" spans="25:25" x14ac:dyDescent="0.2">
      <c r="Y6421" s="97"/>
    </row>
    <row r="6422" spans="25:25" x14ac:dyDescent="0.2">
      <c r="Y6422" s="97"/>
    </row>
    <row r="6423" spans="25:25" x14ac:dyDescent="0.2">
      <c r="Y6423" s="97"/>
    </row>
    <row r="6424" spans="25:25" x14ac:dyDescent="0.2">
      <c r="Y6424" s="97"/>
    </row>
    <row r="6425" spans="25:25" x14ac:dyDescent="0.2">
      <c r="Y6425" s="97"/>
    </row>
    <row r="6426" spans="25:25" x14ac:dyDescent="0.2">
      <c r="Y6426" s="97"/>
    </row>
    <row r="6427" spans="25:25" x14ac:dyDescent="0.2">
      <c r="Y6427" s="97"/>
    </row>
    <row r="6428" spans="25:25" x14ac:dyDescent="0.2">
      <c r="Y6428" s="97"/>
    </row>
    <row r="6429" spans="25:25" x14ac:dyDescent="0.2">
      <c r="Y6429" s="97"/>
    </row>
    <row r="6430" spans="25:25" x14ac:dyDescent="0.2">
      <c r="Y6430" s="97"/>
    </row>
    <row r="6431" spans="25:25" x14ac:dyDescent="0.2">
      <c r="Y6431" s="97"/>
    </row>
    <row r="6432" spans="25:25" x14ac:dyDescent="0.2">
      <c r="Y6432" s="97"/>
    </row>
    <row r="6433" spans="25:25" x14ac:dyDescent="0.2">
      <c r="Y6433" s="97"/>
    </row>
    <row r="6434" spans="25:25" x14ac:dyDescent="0.2">
      <c r="Y6434" s="97"/>
    </row>
    <row r="6435" spans="25:25" x14ac:dyDescent="0.2">
      <c r="Y6435" s="97"/>
    </row>
    <row r="6436" spans="25:25" x14ac:dyDescent="0.2">
      <c r="Y6436" s="97"/>
    </row>
    <row r="6437" spans="25:25" x14ac:dyDescent="0.2">
      <c r="Y6437" s="97"/>
    </row>
    <row r="6438" spans="25:25" x14ac:dyDescent="0.2">
      <c r="Y6438" s="97"/>
    </row>
    <row r="6439" spans="25:25" x14ac:dyDescent="0.2">
      <c r="Y6439" s="97"/>
    </row>
    <row r="6440" spans="25:25" x14ac:dyDescent="0.2">
      <c r="Y6440" s="97"/>
    </row>
    <row r="6441" spans="25:25" x14ac:dyDescent="0.2">
      <c r="Y6441" s="97"/>
    </row>
    <row r="6442" spans="25:25" x14ac:dyDescent="0.2">
      <c r="Y6442" s="97"/>
    </row>
    <row r="6443" spans="25:25" x14ac:dyDescent="0.2">
      <c r="Y6443" s="97"/>
    </row>
    <row r="6444" spans="25:25" x14ac:dyDescent="0.2">
      <c r="Y6444" s="97"/>
    </row>
    <row r="6445" spans="25:25" x14ac:dyDescent="0.2">
      <c r="Y6445" s="97"/>
    </row>
    <row r="6446" spans="25:25" x14ac:dyDescent="0.2">
      <c r="Y6446" s="97"/>
    </row>
    <row r="6447" spans="25:25" x14ac:dyDescent="0.2">
      <c r="Y6447" s="97"/>
    </row>
    <row r="6448" spans="25:25" x14ac:dyDescent="0.2">
      <c r="Y6448" s="97"/>
    </row>
    <row r="6449" spans="25:25" x14ac:dyDescent="0.2">
      <c r="Y6449" s="97"/>
    </row>
    <row r="6450" spans="25:25" x14ac:dyDescent="0.2">
      <c r="Y6450" s="97"/>
    </row>
    <row r="6451" spans="25:25" x14ac:dyDescent="0.2">
      <c r="Y6451" s="97"/>
    </row>
    <row r="6452" spans="25:25" x14ac:dyDescent="0.2">
      <c r="Y6452" s="97"/>
    </row>
    <row r="6453" spans="25:25" x14ac:dyDescent="0.2">
      <c r="Y6453" s="97"/>
    </row>
    <row r="6454" spans="25:25" x14ac:dyDescent="0.2">
      <c r="Y6454" s="97"/>
    </row>
    <row r="6455" spans="25:25" x14ac:dyDescent="0.2">
      <c r="Y6455" s="97"/>
    </row>
    <row r="6456" spans="25:25" x14ac:dyDescent="0.2">
      <c r="Y6456" s="97"/>
    </row>
    <row r="6457" spans="25:25" x14ac:dyDescent="0.2">
      <c r="Y6457" s="97"/>
    </row>
    <row r="6458" spans="25:25" x14ac:dyDescent="0.2">
      <c r="Y6458" s="97"/>
    </row>
    <row r="6459" spans="25:25" x14ac:dyDescent="0.2">
      <c r="Y6459" s="97"/>
    </row>
    <row r="6460" spans="25:25" x14ac:dyDescent="0.2">
      <c r="Y6460" s="97"/>
    </row>
    <row r="6461" spans="25:25" x14ac:dyDescent="0.2">
      <c r="Y6461" s="97"/>
    </row>
    <row r="6462" spans="25:25" x14ac:dyDescent="0.2">
      <c r="Y6462" s="97"/>
    </row>
    <row r="6463" spans="25:25" x14ac:dyDescent="0.2">
      <c r="Y6463" s="97"/>
    </row>
    <row r="6464" spans="25:25" x14ac:dyDescent="0.2">
      <c r="Y6464" s="97"/>
    </row>
    <row r="6465" spans="25:25" x14ac:dyDescent="0.2">
      <c r="Y6465" s="97"/>
    </row>
    <row r="6466" spans="25:25" x14ac:dyDescent="0.2">
      <c r="Y6466" s="97"/>
    </row>
    <row r="6467" spans="25:25" x14ac:dyDescent="0.2">
      <c r="Y6467" s="97"/>
    </row>
    <row r="6468" spans="25:25" x14ac:dyDescent="0.2">
      <c r="Y6468" s="97"/>
    </row>
    <row r="6469" spans="25:25" x14ac:dyDescent="0.2">
      <c r="Y6469" s="97"/>
    </row>
    <row r="6470" spans="25:25" x14ac:dyDescent="0.2">
      <c r="Y6470" s="97"/>
    </row>
    <row r="6471" spans="25:25" x14ac:dyDescent="0.2">
      <c r="Y6471" s="97"/>
    </row>
    <row r="6472" spans="25:25" x14ac:dyDescent="0.2">
      <c r="Y6472" s="97"/>
    </row>
    <row r="6473" spans="25:25" x14ac:dyDescent="0.2">
      <c r="Y6473" s="97"/>
    </row>
    <row r="6474" spans="25:25" x14ac:dyDescent="0.2">
      <c r="Y6474" s="97"/>
    </row>
    <row r="6475" spans="25:25" x14ac:dyDescent="0.2">
      <c r="Y6475" s="97"/>
    </row>
    <row r="6476" spans="25:25" x14ac:dyDescent="0.2">
      <c r="Y6476" s="97"/>
    </row>
    <row r="6477" spans="25:25" x14ac:dyDescent="0.2">
      <c r="Y6477" s="97"/>
    </row>
    <row r="6478" spans="25:25" x14ac:dyDescent="0.2">
      <c r="Y6478" s="97"/>
    </row>
    <row r="6479" spans="25:25" x14ac:dyDescent="0.2">
      <c r="Y6479" s="97"/>
    </row>
    <row r="6480" spans="25:25" x14ac:dyDescent="0.2">
      <c r="Y6480" s="97"/>
    </row>
    <row r="6481" spans="25:25" x14ac:dyDescent="0.2">
      <c r="Y6481" s="97"/>
    </row>
    <row r="6482" spans="25:25" x14ac:dyDescent="0.2">
      <c r="Y6482" s="97"/>
    </row>
    <row r="6483" spans="25:25" x14ac:dyDescent="0.2">
      <c r="Y6483" s="97"/>
    </row>
    <row r="6484" spans="25:25" x14ac:dyDescent="0.2">
      <c r="Y6484" s="97"/>
    </row>
    <row r="6485" spans="25:25" x14ac:dyDescent="0.2">
      <c r="Y6485" s="97"/>
    </row>
    <row r="6486" spans="25:25" x14ac:dyDescent="0.2">
      <c r="Y6486" s="97"/>
    </row>
    <row r="6487" spans="25:25" x14ac:dyDescent="0.2">
      <c r="Y6487" s="97"/>
    </row>
    <row r="6488" spans="25:25" x14ac:dyDescent="0.2">
      <c r="Y6488" s="97"/>
    </row>
    <row r="6489" spans="25:25" x14ac:dyDescent="0.2">
      <c r="Y6489" s="97"/>
    </row>
    <row r="6490" spans="25:25" x14ac:dyDescent="0.2">
      <c r="Y6490" s="97"/>
    </row>
    <row r="6491" spans="25:25" x14ac:dyDescent="0.2">
      <c r="Y6491" s="97"/>
    </row>
    <row r="6492" spans="25:25" x14ac:dyDescent="0.2">
      <c r="Y6492" s="97"/>
    </row>
    <row r="6493" spans="25:25" x14ac:dyDescent="0.2">
      <c r="Y6493" s="97"/>
    </row>
    <row r="6494" spans="25:25" x14ac:dyDescent="0.2">
      <c r="Y6494" s="97"/>
    </row>
    <row r="6495" spans="25:25" x14ac:dyDescent="0.2">
      <c r="Y6495" s="97"/>
    </row>
    <row r="6496" spans="25:25" x14ac:dyDescent="0.2">
      <c r="Y6496" s="97"/>
    </row>
    <row r="6497" spans="25:25" x14ac:dyDescent="0.2">
      <c r="Y6497" s="97"/>
    </row>
    <row r="6498" spans="25:25" x14ac:dyDescent="0.2">
      <c r="Y6498" s="97"/>
    </row>
    <row r="6499" spans="25:25" x14ac:dyDescent="0.2">
      <c r="Y6499" s="97"/>
    </row>
    <row r="6500" spans="25:25" x14ac:dyDescent="0.2">
      <c r="Y6500" s="97"/>
    </row>
    <row r="6501" spans="25:25" x14ac:dyDescent="0.2">
      <c r="Y6501" s="97"/>
    </row>
    <row r="6502" spans="25:25" x14ac:dyDescent="0.2">
      <c r="Y6502" s="97"/>
    </row>
    <row r="6503" spans="25:25" x14ac:dyDescent="0.2">
      <c r="Y6503" s="97"/>
    </row>
    <row r="6504" spans="25:25" x14ac:dyDescent="0.2">
      <c r="Y6504" s="97"/>
    </row>
    <row r="6505" spans="25:25" x14ac:dyDescent="0.2">
      <c r="Y6505" s="97"/>
    </row>
    <row r="6506" spans="25:25" x14ac:dyDescent="0.2">
      <c r="Y6506" s="97"/>
    </row>
    <row r="6507" spans="25:25" x14ac:dyDescent="0.2">
      <c r="Y6507" s="97"/>
    </row>
    <row r="6508" spans="25:25" x14ac:dyDescent="0.2">
      <c r="Y6508" s="97"/>
    </row>
    <row r="6509" spans="25:25" x14ac:dyDescent="0.2">
      <c r="Y6509" s="97"/>
    </row>
    <row r="6510" spans="25:25" x14ac:dyDescent="0.2">
      <c r="Y6510" s="97"/>
    </row>
    <row r="6511" spans="25:25" x14ac:dyDescent="0.2">
      <c r="Y6511" s="97"/>
    </row>
    <row r="6512" spans="25:25" x14ac:dyDescent="0.2">
      <c r="Y6512" s="97"/>
    </row>
    <row r="6513" spans="25:25" x14ac:dyDescent="0.2">
      <c r="Y6513" s="97"/>
    </row>
    <row r="6514" spans="25:25" x14ac:dyDescent="0.2">
      <c r="Y6514" s="97"/>
    </row>
    <row r="6515" spans="25:25" x14ac:dyDescent="0.2">
      <c r="Y6515" s="97"/>
    </row>
    <row r="6516" spans="25:25" x14ac:dyDescent="0.2">
      <c r="Y6516" s="97"/>
    </row>
    <row r="6517" spans="25:25" x14ac:dyDescent="0.2">
      <c r="Y6517" s="97"/>
    </row>
    <row r="6518" spans="25:25" x14ac:dyDescent="0.2">
      <c r="Y6518" s="97"/>
    </row>
    <row r="6519" spans="25:25" x14ac:dyDescent="0.2">
      <c r="Y6519" s="97"/>
    </row>
    <row r="6520" spans="25:25" x14ac:dyDescent="0.2">
      <c r="Y6520" s="97"/>
    </row>
    <row r="6521" spans="25:25" x14ac:dyDescent="0.2">
      <c r="Y6521" s="97"/>
    </row>
    <row r="6522" spans="25:25" x14ac:dyDescent="0.2">
      <c r="Y6522" s="97"/>
    </row>
    <row r="6523" spans="25:25" x14ac:dyDescent="0.2">
      <c r="Y6523" s="97"/>
    </row>
    <row r="6524" spans="25:25" x14ac:dyDescent="0.2">
      <c r="Y6524" s="97"/>
    </row>
    <row r="6525" spans="25:25" x14ac:dyDescent="0.2">
      <c r="Y6525" s="97"/>
    </row>
    <row r="6526" spans="25:25" x14ac:dyDescent="0.2">
      <c r="Y6526" s="97"/>
    </row>
    <row r="6527" spans="25:25" x14ac:dyDescent="0.2">
      <c r="Y6527" s="97"/>
    </row>
    <row r="6528" spans="25:25" x14ac:dyDescent="0.2">
      <c r="Y6528" s="97"/>
    </row>
    <row r="6529" spans="25:25" x14ac:dyDescent="0.2">
      <c r="Y6529" s="97"/>
    </row>
    <row r="6530" spans="25:25" x14ac:dyDescent="0.2">
      <c r="Y6530" s="97"/>
    </row>
    <row r="6531" spans="25:25" x14ac:dyDescent="0.2">
      <c r="Y6531" s="97"/>
    </row>
    <row r="6532" spans="25:25" x14ac:dyDescent="0.2">
      <c r="Y6532" s="97"/>
    </row>
    <row r="6533" spans="25:25" x14ac:dyDescent="0.2">
      <c r="Y6533" s="97"/>
    </row>
    <row r="6534" spans="25:25" x14ac:dyDescent="0.2">
      <c r="Y6534" s="97"/>
    </row>
    <row r="6535" spans="25:25" x14ac:dyDescent="0.2">
      <c r="Y6535" s="97"/>
    </row>
    <row r="6536" spans="25:25" x14ac:dyDescent="0.2">
      <c r="Y6536" s="97"/>
    </row>
    <row r="6537" spans="25:25" x14ac:dyDescent="0.2">
      <c r="Y6537" s="97"/>
    </row>
    <row r="6538" spans="25:25" x14ac:dyDescent="0.2">
      <c r="Y6538" s="97"/>
    </row>
    <row r="6539" spans="25:25" x14ac:dyDescent="0.2">
      <c r="Y6539" s="97"/>
    </row>
    <row r="6540" spans="25:25" x14ac:dyDescent="0.2">
      <c r="Y6540" s="97"/>
    </row>
    <row r="6541" spans="25:25" x14ac:dyDescent="0.2">
      <c r="Y6541" s="97"/>
    </row>
    <row r="6542" spans="25:25" x14ac:dyDescent="0.2">
      <c r="Y6542" s="97"/>
    </row>
    <row r="6543" spans="25:25" x14ac:dyDescent="0.2">
      <c r="Y6543" s="97"/>
    </row>
    <row r="6544" spans="25:25" x14ac:dyDescent="0.2">
      <c r="Y6544" s="97"/>
    </row>
    <row r="6545" spans="25:25" x14ac:dyDescent="0.2">
      <c r="Y6545" s="97"/>
    </row>
    <row r="6546" spans="25:25" x14ac:dyDescent="0.2">
      <c r="Y6546" s="97"/>
    </row>
    <row r="6547" spans="25:25" x14ac:dyDescent="0.2">
      <c r="Y6547" s="97"/>
    </row>
    <row r="6548" spans="25:25" x14ac:dyDescent="0.2">
      <c r="Y6548" s="97"/>
    </row>
    <row r="6549" spans="25:25" x14ac:dyDescent="0.2">
      <c r="Y6549" s="97"/>
    </row>
    <row r="6550" spans="25:25" x14ac:dyDescent="0.2">
      <c r="Y6550" s="97"/>
    </row>
    <row r="6551" spans="25:25" x14ac:dyDescent="0.2">
      <c r="Y6551" s="97"/>
    </row>
    <row r="6552" spans="25:25" x14ac:dyDescent="0.2">
      <c r="Y6552" s="97"/>
    </row>
    <row r="6553" spans="25:25" x14ac:dyDescent="0.2">
      <c r="Y6553" s="97"/>
    </row>
    <row r="6554" spans="25:25" x14ac:dyDescent="0.2">
      <c r="Y6554" s="97"/>
    </row>
    <row r="6555" spans="25:25" x14ac:dyDescent="0.2">
      <c r="Y6555" s="97"/>
    </row>
    <row r="6556" spans="25:25" x14ac:dyDescent="0.2">
      <c r="Y6556" s="97"/>
    </row>
    <row r="6557" spans="25:25" x14ac:dyDescent="0.2">
      <c r="Y6557" s="97"/>
    </row>
    <row r="6558" spans="25:25" x14ac:dyDescent="0.2">
      <c r="Y6558" s="97"/>
    </row>
    <row r="6559" spans="25:25" x14ac:dyDescent="0.2">
      <c r="Y6559" s="97"/>
    </row>
    <row r="6560" spans="25:25" x14ac:dyDescent="0.2">
      <c r="Y6560" s="97"/>
    </row>
    <row r="6561" spans="25:25" x14ac:dyDescent="0.2">
      <c r="Y6561" s="97"/>
    </row>
    <row r="6562" spans="25:25" x14ac:dyDescent="0.2">
      <c r="Y6562" s="97"/>
    </row>
    <row r="6563" spans="25:25" x14ac:dyDescent="0.2">
      <c r="Y6563" s="97"/>
    </row>
    <row r="6564" spans="25:25" x14ac:dyDescent="0.2">
      <c r="Y6564" s="97"/>
    </row>
    <row r="6565" spans="25:25" x14ac:dyDescent="0.2">
      <c r="Y6565" s="97"/>
    </row>
    <row r="6566" spans="25:25" x14ac:dyDescent="0.2">
      <c r="Y6566" s="97"/>
    </row>
    <row r="6567" spans="25:25" x14ac:dyDescent="0.2">
      <c r="Y6567" s="97"/>
    </row>
    <row r="6568" spans="25:25" x14ac:dyDescent="0.2">
      <c r="Y6568" s="97"/>
    </row>
    <row r="6569" spans="25:25" x14ac:dyDescent="0.2">
      <c r="Y6569" s="97"/>
    </row>
    <row r="6570" spans="25:25" x14ac:dyDescent="0.2">
      <c r="Y6570" s="97"/>
    </row>
    <row r="6571" spans="25:25" x14ac:dyDescent="0.2">
      <c r="Y6571" s="97"/>
    </row>
    <row r="6572" spans="25:25" x14ac:dyDescent="0.2">
      <c r="Y6572" s="97"/>
    </row>
    <row r="6573" spans="25:25" x14ac:dyDescent="0.2">
      <c r="Y6573" s="97"/>
    </row>
    <row r="6574" spans="25:25" x14ac:dyDescent="0.2">
      <c r="Y6574" s="97"/>
    </row>
    <row r="6575" spans="25:25" x14ac:dyDescent="0.2">
      <c r="Y6575" s="97"/>
    </row>
    <row r="6576" spans="25:25" x14ac:dyDescent="0.2">
      <c r="Y6576" s="97"/>
    </row>
    <row r="6577" spans="25:25" x14ac:dyDescent="0.2">
      <c r="Y6577" s="97"/>
    </row>
    <row r="6578" spans="25:25" x14ac:dyDescent="0.2">
      <c r="Y6578" s="97"/>
    </row>
    <row r="6579" spans="25:25" x14ac:dyDescent="0.2">
      <c r="Y6579" s="97"/>
    </row>
    <row r="6580" spans="25:25" x14ac:dyDescent="0.2">
      <c r="Y6580" s="97"/>
    </row>
    <row r="6581" spans="25:25" x14ac:dyDescent="0.2">
      <c r="Y6581" s="97"/>
    </row>
    <row r="6582" spans="25:25" x14ac:dyDescent="0.2">
      <c r="Y6582" s="97"/>
    </row>
    <row r="6583" spans="25:25" x14ac:dyDescent="0.2">
      <c r="Y6583" s="97"/>
    </row>
    <row r="6584" spans="25:25" x14ac:dyDescent="0.2">
      <c r="Y6584" s="97"/>
    </row>
    <row r="6585" spans="25:25" x14ac:dyDescent="0.2">
      <c r="Y6585" s="97"/>
    </row>
    <row r="6586" spans="25:25" x14ac:dyDescent="0.2">
      <c r="Y6586" s="97"/>
    </row>
    <row r="6587" spans="25:25" x14ac:dyDescent="0.2">
      <c r="Y6587" s="97"/>
    </row>
    <row r="6588" spans="25:25" x14ac:dyDescent="0.2">
      <c r="Y6588" s="97"/>
    </row>
    <row r="6589" spans="25:25" x14ac:dyDescent="0.2">
      <c r="Y6589" s="97"/>
    </row>
    <row r="6590" spans="25:25" x14ac:dyDescent="0.2">
      <c r="Y6590" s="97"/>
    </row>
    <row r="6591" spans="25:25" x14ac:dyDescent="0.2">
      <c r="Y6591" s="97"/>
    </row>
    <row r="6592" spans="25:25" x14ac:dyDescent="0.2">
      <c r="Y6592" s="97"/>
    </row>
    <row r="6593" spans="25:25" x14ac:dyDescent="0.2">
      <c r="Y6593" s="97"/>
    </row>
    <row r="6594" spans="25:25" x14ac:dyDescent="0.2">
      <c r="Y6594" s="97"/>
    </row>
    <row r="6595" spans="25:25" x14ac:dyDescent="0.2">
      <c r="Y6595" s="97"/>
    </row>
    <row r="6596" spans="25:25" x14ac:dyDescent="0.2">
      <c r="Y6596" s="97"/>
    </row>
    <row r="6597" spans="25:25" x14ac:dyDescent="0.2">
      <c r="Y6597" s="97"/>
    </row>
    <row r="6598" spans="25:25" x14ac:dyDescent="0.2">
      <c r="Y6598" s="97"/>
    </row>
    <row r="6599" spans="25:25" x14ac:dyDescent="0.2">
      <c r="Y6599" s="97"/>
    </row>
    <row r="6600" spans="25:25" x14ac:dyDescent="0.2">
      <c r="Y6600" s="97"/>
    </row>
    <row r="6601" spans="25:25" x14ac:dyDescent="0.2">
      <c r="Y6601" s="97"/>
    </row>
    <row r="6602" spans="25:25" x14ac:dyDescent="0.2">
      <c r="Y6602" s="97"/>
    </row>
    <row r="6603" spans="25:25" x14ac:dyDescent="0.2">
      <c r="Y6603" s="97"/>
    </row>
    <row r="6604" spans="25:25" x14ac:dyDescent="0.2">
      <c r="Y6604" s="97"/>
    </row>
    <row r="6605" spans="25:25" x14ac:dyDescent="0.2">
      <c r="Y6605" s="97"/>
    </row>
    <row r="6606" spans="25:25" x14ac:dyDescent="0.2">
      <c r="Y6606" s="97"/>
    </row>
    <row r="6607" spans="25:25" x14ac:dyDescent="0.2">
      <c r="Y6607" s="97"/>
    </row>
    <row r="6608" spans="25:25" x14ac:dyDescent="0.2">
      <c r="Y6608" s="97"/>
    </row>
    <row r="6609" spans="25:25" x14ac:dyDescent="0.2">
      <c r="Y6609" s="97"/>
    </row>
    <row r="6610" spans="25:25" x14ac:dyDescent="0.2">
      <c r="Y6610" s="97"/>
    </row>
    <row r="6611" spans="25:25" x14ac:dyDescent="0.2">
      <c r="Y6611" s="97"/>
    </row>
    <row r="6612" spans="25:25" x14ac:dyDescent="0.2">
      <c r="Y6612" s="97"/>
    </row>
    <row r="6613" spans="25:25" x14ac:dyDescent="0.2">
      <c r="Y6613" s="97"/>
    </row>
    <row r="6614" spans="25:25" x14ac:dyDescent="0.2">
      <c r="Y6614" s="97"/>
    </row>
    <row r="6615" spans="25:25" x14ac:dyDescent="0.2">
      <c r="Y6615" s="97"/>
    </row>
    <row r="6616" spans="25:25" x14ac:dyDescent="0.2">
      <c r="Y6616" s="97"/>
    </row>
    <row r="6617" spans="25:25" x14ac:dyDescent="0.2">
      <c r="Y6617" s="97"/>
    </row>
    <row r="6618" spans="25:25" x14ac:dyDescent="0.2">
      <c r="Y6618" s="97"/>
    </row>
    <row r="6619" spans="25:25" x14ac:dyDescent="0.2">
      <c r="Y6619" s="97"/>
    </row>
    <row r="6620" spans="25:25" x14ac:dyDescent="0.2">
      <c r="Y6620" s="97"/>
    </row>
    <row r="6621" spans="25:25" x14ac:dyDescent="0.2">
      <c r="Y6621" s="97"/>
    </row>
    <row r="6622" spans="25:25" x14ac:dyDescent="0.2">
      <c r="Y6622" s="97"/>
    </row>
    <row r="6623" spans="25:25" x14ac:dyDescent="0.2">
      <c r="Y6623" s="97"/>
    </row>
    <row r="6624" spans="25:25" x14ac:dyDescent="0.2">
      <c r="Y6624" s="97"/>
    </row>
    <row r="6625" spans="25:25" x14ac:dyDescent="0.2">
      <c r="Y6625" s="97"/>
    </row>
    <row r="6626" spans="25:25" x14ac:dyDescent="0.2">
      <c r="Y6626" s="97"/>
    </row>
    <row r="6627" spans="25:25" x14ac:dyDescent="0.2">
      <c r="Y6627" s="97"/>
    </row>
    <row r="6628" spans="25:25" x14ac:dyDescent="0.2">
      <c r="Y6628" s="97"/>
    </row>
    <row r="6629" spans="25:25" x14ac:dyDescent="0.2">
      <c r="Y6629" s="97"/>
    </row>
    <row r="6630" spans="25:25" x14ac:dyDescent="0.2">
      <c r="Y6630" s="97"/>
    </row>
    <row r="6631" spans="25:25" x14ac:dyDescent="0.2">
      <c r="Y6631" s="97"/>
    </row>
    <row r="6632" spans="25:25" x14ac:dyDescent="0.2">
      <c r="Y6632" s="97"/>
    </row>
    <row r="6633" spans="25:25" x14ac:dyDescent="0.2">
      <c r="Y6633" s="97"/>
    </row>
    <row r="6634" spans="25:25" x14ac:dyDescent="0.2">
      <c r="Y6634" s="97"/>
    </row>
    <row r="6635" spans="25:25" x14ac:dyDescent="0.2">
      <c r="Y6635" s="97"/>
    </row>
    <row r="6636" spans="25:25" x14ac:dyDescent="0.2">
      <c r="Y6636" s="97"/>
    </row>
    <row r="6637" spans="25:25" x14ac:dyDescent="0.2">
      <c r="Y6637" s="97"/>
    </row>
    <row r="6638" spans="25:25" x14ac:dyDescent="0.2">
      <c r="Y6638" s="97"/>
    </row>
    <row r="6639" spans="25:25" x14ac:dyDescent="0.2">
      <c r="Y6639" s="97"/>
    </row>
    <row r="6640" spans="25:25" x14ac:dyDescent="0.2">
      <c r="Y6640" s="97"/>
    </row>
    <row r="6641" spans="25:25" x14ac:dyDescent="0.2">
      <c r="Y6641" s="97"/>
    </row>
    <row r="6642" spans="25:25" x14ac:dyDescent="0.2">
      <c r="Y6642" s="97"/>
    </row>
    <row r="6643" spans="25:25" x14ac:dyDescent="0.2">
      <c r="Y6643" s="97"/>
    </row>
    <row r="6644" spans="25:25" x14ac:dyDescent="0.2">
      <c r="Y6644" s="97"/>
    </row>
    <row r="6645" spans="25:25" x14ac:dyDescent="0.2">
      <c r="Y6645" s="97"/>
    </row>
    <row r="6646" spans="25:25" x14ac:dyDescent="0.2">
      <c r="Y6646" s="97"/>
    </row>
    <row r="6647" spans="25:25" x14ac:dyDescent="0.2">
      <c r="Y6647" s="97"/>
    </row>
    <row r="6648" spans="25:25" x14ac:dyDescent="0.2">
      <c r="Y6648" s="97"/>
    </row>
    <row r="6649" spans="25:25" x14ac:dyDescent="0.2">
      <c r="Y6649" s="97"/>
    </row>
    <row r="6650" spans="25:25" x14ac:dyDescent="0.2">
      <c r="Y6650" s="97"/>
    </row>
    <row r="6651" spans="25:25" x14ac:dyDescent="0.2">
      <c r="Y6651" s="97"/>
    </row>
    <row r="6652" spans="25:25" x14ac:dyDescent="0.2">
      <c r="Y6652" s="97"/>
    </row>
    <row r="6653" spans="25:25" x14ac:dyDescent="0.2">
      <c r="Y6653" s="97"/>
    </row>
    <row r="6654" spans="25:25" x14ac:dyDescent="0.2">
      <c r="Y6654" s="97"/>
    </row>
    <row r="6655" spans="25:25" x14ac:dyDescent="0.2">
      <c r="Y6655" s="97"/>
    </row>
    <row r="6656" spans="25:25" x14ac:dyDescent="0.2">
      <c r="Y6656" s="97"/>
    </row>
    <row r="6657" spans="25:25" x14ac:dyDescent="0.2">
      <c r="Y6657" s="97"/>
    </row>
    <row r="6658" spans="25:25" x14ac:dyDescent="0.2">
      <c r="Y6658" s="97"/>
    </row>
    <row r="6659" spans="25:25" x14ac:dyDescent="0.2">
      <c r="Y6659" s="97"/>
    </row>
    <row r="6660" spans="25:25" x14ac:dyDescent="0.2">
      <c r="Y6660" s="97"/>
    </row>
    <row r="6661" spans="25:25" x14ac:dyDescent="0.2">
      <c r="Y6661" s="97"/>
    </row>
    <row r="6662" spans="25:25" x14ac:dyDescent="0.2">
      <c r="Y6662" s="97"/>
    </row>
    <row r="6663" spans="25:25" x14ac:dyDescent="0.2">
      <c r="Y6663" s="97"/>
    </row>
    <row r="6664" spans="25:25" x14ac:dyDescent="0.2">
      <c r="Y6664" s="97"/>
    </row>
    <row r="6665" spans="25:25" x14ac:dyDescent="0.2">
      <c r="Y6665" s="97"/>
    </row>
    <row r="6666" spans="25:25" x14ac:dyDescent="0.2">
      <c r="Y6666" s="97"/>
    </row>
    <row r="6667" spans="25:25" x14ac:dyDescent="0.2">
      <c r="Y6667" s="97"/>
    </row>
    <row r="6668" spans="25:25" x14ac:dyDescent="0.2">
      <c r="Y6668" s="97"/>
    </row>
    <row r="6669" spans="25:25" x14ac:dyDescent="0.2">
      <c r="Y6669" s="97"/>
    </row>
    <row r="6670" spans="25:25" x14ac:dyDescent="0.2">
      <c r="Y6670" s="97"/>
    </row>
    <row r="6671" spans="25:25" x14ac:dyDescent="0.2">
      <c r="Y6671" s="97"/>
    </row>
    <row r="6672" spans="25:25" x14ac:dyDescent="0.2">
      <c r="Y6672" s="97"/>
    </row>
    <row r="6673" spans="25:25" x14ac:dyDescent="0.2">
      <c r="Y6673" s="97"/>
    </row>
    <row r="6674" spans="25:25" x14ac:dyDescent="0.2">
      <c r="Y6674" s="97"/>
    </row>
    <row r="6675" spans="25:25" x14ac:dyDescent="0.2">
      <c r="Y6675" s="97"/>
    </row>
    <row r="6676" spans="25:25" x14ac:dyDescent="0.2">
      <c r="Y6676" s="97"/>
    </row>
    <row r="6677" spans="25:25" x14ac:dyDescent="0.2">
      <c r="Y6677" s="97"/>
    </row>
    <row r="6678" spans="25:25" x14ac:dyDescent="0.2">
      <c r="Y6678" s="97"/>
    </row>
    <row r="6679" spans="25:25" x14ac:dyDescent="0.2">
      <c r="Y6679" s="97"/>
    </row>
    <row r="6680" spans="25:25" x14ac:dyDescent="0.2">
      <c r="Y6680" s="97"/>
    </row>
    <row r="6681" spans="25:25" x14ac:dyDescent="0.2">
      <c r="Y6681" s="97"/>
    </row>
    <row r="6682" spans="25:25" x14ac:dyDescent="0.2">
      <c r="Y6682" s="97"/>
    </row>
    <row r="6683" spans="25:25" x14ac:dyDescent="0.2">
      <c r="Y6683" s="97"/>
    </row>
    <row r="6684" spans="25:25" x14ac:dyDescent="0.2">
      <c r="Y6684" s="97"/>
    </row>
    <row r="6685" spans="25:25" x14ac:dyDescent="0.2">
      <c r="Y6685" s="97"/>
    </row>
    <row r="6686" spans="25:25" x14ac:dyDescent="0.2">
      <c r="Y6686" s="97"/>
    </row>
    <row r="6687" spans="25:25" x14ac:dyDescent="0.2">
      <c r="Y6687" s="97"/>
    </row>
    <row r="6688" spans="25:25" x14ac:dyDescent="0.2">
      <c r="Y6688" s="97"/>
    </row>
    <row r="6689" spans="25:25" x14ac:dyDescent="0.2">
      <c r="Y6689" s="97"/>
    </row>
    <row r="6690" spans="25:25" x14ac:dyDescent="0.2">
      <c r="Y6690" s="97"/>
    </row>
    <row r="6691" spans="25:25" x14ac:dyDescent="0.2">
      <c r="Y6691" s="97"/>
    </row>
    <row r="6692" spans="25:25" x14ac:dyDescent="0.2">
      <c r="Y6692" s="97"/>
    </row>
    <row r="6693" spans="25:25" x14ac:dyDescent="0.2">
      <c r="Y6693" s="97"/>
    </row>
    <row r="6694" spans="25:25" x14ac:dyDescent="0.2">
      <c r="Y6694" s="97"/>
    </row>
    <row r="6695" spans="25:25" x14ac:dyDescent="0.2">
      <c r="Y6695" s="97"/>
    </row>
    <row r="6696" spans="25:25" x14ac:dyDescent="0.2">
      <c r="Y6696" s="97"/>
    </row>
    <row r="6697" spans="25:25" x14ac:dyDescent="0.2">
      <c r="Y6697" s="97"/>
    </row>
    <row r="6698" spans="25:25" x14ac:dyDescent="0.2">
      <c r="Y6698" s="97"/>
    </row>
    <row r="6699" spans="25:25" x14ac:dyDescent="0.2">
      <c r="Y6699" s="97"/>
    </row>
    <row r="6700" spans="25:25" x14ac:dyDescent="0.2">
      <c r="Y6700" s="97"/>
    </row>
    <row r="6701" spans="25:25" x14ac:dyDescent="0.2">
      <c r="Y6701" s="97"/>
    </row>
    <row r="6702" spans="25:25" x14ac:dyDescent="0.2">
      <c r="Y6702" s="97"/>
    </row>
    <row r="6703" spans="25:25" x14ac:dyDescent="0.2">
      <c r="Y6703" s="97"/>
    </row>
    <row r="6704" spans="25:25" x14ac:dyDescent="0.2">
      <c r="Y6704" s="97"/>
    </row>
    <row r="6705" spans="25:25" x14ac:dyDescent="0.2">
      <c r="Y6705" s="97"/>
    </row>
    <row r="6706" spans="25:25" x14ac:dyDescent="0.2">
      <c r="Y6706" s="97"/>
    </row>
    <row r="6707" spans="25:25" x14ac:dyDescent="0.2">
      <c r="Y6707" s="97"/>
    </row>
    <row r="6708" spans="25:25" x14ac:dyDescent="0.2">
      <c r="Y6708" s="97"/>
    </row>
    <row r="6709" spans="25:25" x14ac:dyDescent="0.2">
      <c r="Y6709" s="97"/>
    </row>
    <row r="6710" spans="25:25" x14ac:dyDescent="0.2">
      <c r="Y6710" s="97"/>
    </row>
    <row r="6711" spans="25:25" x14ac:dyDescent="0.2">
      <c r="Y6711" s="97"/>
    </row>
    <row r="6712" spans="25:25" x14ac:dyDescent="0.2">
      <c r="Y6712" s="97"/>
    </row>
    <row r="6713" spans="25:25" x14ac:dyDescent="0.2">
      <c r="Y6713" s="97"/>
    </row>
    <row r="6714" spans="25:25" x14ac:dyDescent="0.2">
      <c r="Y6714" s="97"/>
    </row>
    <row r="6715" spans="25:25" x14ac:dyDescent="0.2">
      <c r="Y6715" s="97"/>
    </row>
    <row r="6716" spans="25:25" x14ac:dyDescent="0.2">
      <c r="Y6716" s="97"/>
    </row>
    <row r="6717" spans="25:25" x14ac:dyDescent="0.2">
      <c r="Y6717" s="97"/>
    </row>
    <row r="6718" spans="25:25" x14ac:dyDescent="0.2">
      <c r="Y6718" s="97"/>
    </row>
    <row r="6719" spans="25:25" x14ac:dyDescent="0.2">
      <c r="Y6719" s="97"/>
    </row>
    <row r="6720" spans="25:25" x14ac:dyDescent="0.2">
      <c r="Y6720" s="97"/>
    </row>
    <row r="6721" spans="25:25" x14ac:dyDescent="0.2">
      <c r="Y6721" s="97"/>
    </row>
    <row r="6722" spans="25:25" x14ac:dyDescent="0.2">
      <c r="Y6722" s="97"/>
    </row>
    <row r="6723" spans="25:25" x14ac:dyDescent="0.2">
      <c r="Y6723" s="97"/>
    </row>
    <row r="6724" spans="25:25" x14ac:dyDescent="0.2">
      <c r="Y6724" s="97"/>
    </row>
    <row r="6725" spans="25:25" x14ac:dyDescent="0.2">
      <c r="Y6725" s="97"/>
    </row>
    <row r="6726" spans="25:25" x14ac:dyDescent="0.2">
      <c r="Y6726" s="97"/>
    </row>
    <row r="6727" spans="25:25" x14ac:dyDescent="0.2">
      <c r="Y6727" s="97"/>
    </row>
    <row r="6728" spans="25:25" x14ac:dyDescent="0.2">
      <c r="Y6728" s="97"/>
    </row>
    <row r="6729" spans="25:25" x14ac:dyDescent="0.2">
      <c r="Y6729" s="97"/>
    </row>
    <row r="6730" spans="25:25" x14ac:dyDescent="0.2">
      <c r="Y6730" s="97"/>
    </row>
    <row r="6731" spans="25:25" x14ac:dyDescent="0.2">
      <c r="Y6731" s="97"/>
    </row>
    <row r="6732" spans="25:25" x14ac:dyDescent="0.2">
      <c r="Y6732" s="97"/>
    </row>
    <row r="6733" spans="25:25" x14ac:dyDescent="0.2">
      <c r="Y6733" s="97"/>
    </row>
    <row r="6734" spans="25:25" x14ac:dyDescent="0.2">
      <c r="Y6734" s="97"/>
    </row>
    <row r="6735" spans="25:25" x14ac:dyDescent="0.2">
      <c r="Y6735" s="97"/>
    </row>
    <row r="6736" spans="25:25" x14ac:dyDescent="0.2">
      <c r="Y6736" s="97"/>
    </row>
    <row r="6737" spans="25:25" x14ac:dyDescent="0.2">
      <c r="Y6737" s="97"/>
    </row>
    <row r="6738" spans="25:25" x14ac:dyDescent="0.2">
      <c r="Y6738" s="97"/>
    </row>
    <row r="6739" spans="25:25" x14ac:dyDescent="0.2">
      <c r="Y6739" s="97"/>
    </row>
    <row r="6740" spans="25:25" x14ac:dyDescent="0.2">
      <c r="Y6740" s="97"/>
    </row>
    <row r="6741" spans="25:25" x14ac:dyDescent="0.2">
      <c r="Y6741" s="97"/>
    </row>
    <row r="6742" spans="25:25" x14ac:dyDescent="0.2">
      <c r="Y6742" s="97"/>
    </row>
    <row r="6743" spans="25:25" x14ac:dyDescent="0.2">
      <c r="Y6743" s="97"/>
    </row>
    <row r="6744" spans="25:25" x14ac:dyDescent="0.2">
      <c r="Y6744" s="97"/>
    </row>
    <row r="6745" spans="25:25" x14ac:dyDescent="0.2">
      <c r="Y6745" s="97"/>
    </row>
    <row r="6746" spans="25:25" x14ac:dyDescent="0.2">
      <c r="Y6746" s="97"/>
    </row>
    <row r="6747" spans="25:25" x14ac:dyDescent="0.2">
      <c r="Y6747" s="97"/>
    </row>
    <row r="6748" spans="25:25" x14ac:dyDescent="0.2">
      <c r="Y6748" s="97"/>
    </row>
    <row r="6749" spans="25:25" x14ac:dyDescent="0.2">
      <c r="Y6749" s="97"/>
    </row>
    <row r="6750" spans="25:25" x14ac:dyDescent="0.2">
      <c r="Y6750" s="97"/>
    </row>
    <row r="6751" spans="25:25" x14ac:dyDescent="0.2">
      <c r="Y6751" s="97"/>
    </row>
    <row r="6752" spans="25:25" x14ac:dyDescent="0.2">
      <c r="Y6752" s="97"/>
    </row>
    <row r="6753" spans="25:25" x14ac:dyDescent="0.2">
      <c r="Y6753" s="97"/>
    </row>
    <row r="6754" spans="25:25" x14ac:dyDescent="0.2">
      <c r="Y6754" s="97"/>
    </row>
    <row r="6755" spans="25:25" x14ac:dyDescent="0.2">
      <c r="Y6755" s="97"/>
    </row>
    <row r="6756" spans="25:25" x14ac:dyDescent="0.2">
      <c r="Y6756" s="97"/>
    </row>
    <row r="6757" spans="25:25" x14ac:dyDescent="0.2">
      <c r="Y6757" s="97"/>
    </row>
    <row r="6758" spans="25:25" x14ac:dyDescent="0.2">
      <c r="Y6758" s="97"/>
    </row>
    <row r="6759" spans="25:25" x14ac:dyDescent="0.2">
      <c r="Y6759" s="97"/>
    </row>
    <row r="6760" spans="25:25" x14ac:dyDescent="0.2">
      <c r="Y6760" s="97"/>
    </row>
    <row r="6761" spans="25:25" x14ac:dyDescent="0.2">
      <c r="Y6761" s="97"/>
    </row>
    <row r="6762" spans="25:25" x14ac:dyDescent="0.2">
      <c r="Y6762" s="97"/>
    </row>
    <row r="6763" spans="25:25" x14ac:dyDescent="0.2">
      <c r="Y6763" s="97"/>
    </row>
    <row r="6764" spans="25:25" x14ac:dyDescent="0.2">
      <c r="Y6764" s="97"/>
    </row>
    <row r="6765" spans="25:25" x14ac:dyDescent="0.2">
      <c r="Y6765" s="97"/>
    </row>
    <row r="6766" spans="25:25" x14ac:dyDescent="0.2">
      <c r="Y6766" s="97"/>
    </row>
    <row r="6767" spans="25:25" x14ac:dyDescent="0.2">
      <c r="Y6767" s="97"/>
    </row>
    <row r="6768" spans="25:25" x14ac:dyDescent="0.2">
      <c r="Y6768" s="97"/>
    </row>
    <row r="6769" spans="25:25" x14ac:dyDescent="0.2">
      <c r="Y6769" s="97"/>
    </row>
    <row r="6770" spans="25:25" x14ac:dyDescent="0.2">
      <c r="Y6770" s="97"/>
    </row>
    <row r="6771" spans="25:25" x14ac:dyDescent="0.2">
      <c r="Y6771" s="97"/>
    </row>
    <row r="6772" spans="25:25" x14ac:dyDescent="0.2">
      <c r="Y6772" s="97"/>
    </row>
    <row r="6773" spans="25:25" x14ac:dyDescent="0.2">
      <c r="Y6773" s="97"/>
    </row>
    <row r="6774" spans="25:25" x14ac:dyDescent="0.2">
      <c r="Y6774" s="97"/>
    </row>
    <row r="6775" spans="25:25" x14ac:dyDescent="0.2">
      <c r="Y6775" s="97"/>
    </row>
    <row r="6776" spans="25:25" x14ac:dyDescent="0.2">
      <c r="Y6776" s="97"/>
    </row>
    <row r="6777" spans="25:25" x14ac:dyDescent="0.2">
      <c r="Y6777" s="97"/>
    </row>
    <row r="6778" spans="25:25" x14ac:dyDescent="0.2">
      <c r="Y6778" s="97"/>
    </row>
    <row r="6779" spans="25:25" x14ac:dyDescent="0.2">
      <c r="Y6779" s="97"/>
    </row>
    <row r="6780" spans="25:25" x14ac:dyDescent="0.2">
      <c r="Y6780" s="97"/>
    </row>
    <row r="6781" spans="25:25" x14ac:dyDescent="0.2">
      <c r="Y6781" s="97"/>
    </row>
    <row r="6782" spans="25:25" x14ac:dyDescent="0.2">
      <c r="Y6782" s="97"/>
    </row>
    <row r="6783" spans="25:25" x14ac:dyDescent="0.2">
      <c r="Y6783" s="97"/>
    </row>
    <row r="6784" spans="25:25" x14ac:dyDescent="0.2">
      <c r="Y6784" s="97"/>
    </row>
    <row r="6785" spans="25:25" x14ac:dyDescent="0.2">
      <c r="Y6785" s="97"/>
    </row>
    <row r="6786" spans="25:25" x14ac:dyDescent="0.2">
      <c r="Y6786" s="97"/>
    </row>
    <row r="6787" spans="25:25" x14ac:dyDescent="0.2">
      <c r="Y6787" s="97"/>
    </row>
    <row r="6788" spans="25:25" x14ac:dyDescent="0.2">
      <c r="Y6788" s="97"/>
    </row>
    <row r="6789" spans="25:25" x14ac:dyDescent="0.2">
      <c r="Y6789" s="97"/>
    </row>
    <row r="6790" spans="25:25" x14ac:dyDescent="0.2">
      <c r="Y6790" s="97"/>
    </row>
    <row r="6791" spans="25:25" x14ac:dyDescent="0.2">
      <c r="Y6791" s="97"/>
    </row>
    <row r="6792" spans="25:25" x14ac:dyDescent="0.2">
      <c r="Y6792" s="97"/>
    </row>
    <row r="6793" spans="25:25" x14ac:dyDescent="0.2">
      <c r="Y6793" s="97"/>
    </row>
    <row r="6794" spans="25:25" x14ac:dyDescent="0.2">
      <c r="Y6794" s="97"/>
    </row>
    <row r="6795" spans="25:25" x14ac:dyDescent="0.2">
      <c r="Y6795" s="97"/>
    </row>
    <row r="6796" spans="25:25" x14ac:dyDescent="0.2">
      <c r="Y6796" s="97"/>
    </row>
    <row r="6797" spans="25:25" x14ac:dyDescent="0.2">
      <c r="Y6797" s="97"/>
    </row>
    <row r="6798" spans="25:25" x14ac:dyDescent="0.2">
      <c r="Y6798" s="97"/>
    </row>
    <row r="6799" spans="25:25" x14ac:dyDescent="0.2">
      <c r="Y6799" s="97"/>
    </row>
    <row r="6800" spans="25:25" x14ac:dyDescent="0.2">
      <c r="Y6800" s="97"/>
    </row>
    <row r="6801" spans="25:25" x14ac:dyDescent="0.2">
      <c r="Y6801" s="97"/>
    </row>
    <row r="6802" spans="25:25" x14ac:dyDescent="0.2">
      <c r="Y6802" s="97"/>
    </row>
    <row r="6803" spans="25:25" x14ac:dyDescent="0.2">
      <c r="Y6803" s="97"/>
    </row>
    <row r="6804" spans="25:25" x14ac:dyDescent="0.2">
      <c r="Y6804" s="97"/>
    </row>
    <row r="6805" spans="25:25" x14ac:dyDescent="0.2">
      <c r="Y6805" s="97"/>
    </row>
    <row r="6806" spans="25:25" x14ac:dyDescent="0.2">
      <c r="Y6806" s="97"/>
    </row>
    <row r="6807" spans="25:25" x14ac:dyDescent="0.2">
      <c r="Y6807" s="97"/>
    </row>
    <row r="6808" spans="25:25" x14ac:dyDescent="0.2">
      <c r="Y6808" s="97"/>
    </row>
    <row r="6809" spans="25:25" x14ac:dyDescent="0.2">
      <c r="Y6809" s="97"/>
    </row>
    <row r="6810" spans="25:25" x14ac:dyDescent="0.2">
      <c r="Y6810" s="97"/>
    </row>
    <row r="6811" spans="25:25" x14ac:dyDescent="0.2">
      <c r="Y6811" s="97"/>
    </row>
    <row r="6812" spans="25:25" x14ac:dyDescent="0.2">
      <c r="Y6812" s="97"/>
    </row>
    <row r="6813" spans="25:25" x14ac:dyDescent="0.2">
      <c r="Y6813" s="97"/>
    </row>
    <row r="6814" spans="25:25" x14ac:dyDescent="0.2">
      <c r="Y6814" s="97"/>
    </row>
    <row r="6815" spans="25:25" x14ac:dyDescent="0.2">
      <c r="Y6815" s="97"/>
    </row>
    <row r="6816" spans="25:25" x14ac:dyDescent="0.2">
      <c r="Y6816" s="97"/>
    </row>
    <row r="6817" spans="25:25" x14ac:dyDescent="0.2">
      <c r="Y6817" s="97"/>
    </row>
    <row r="6818" spans="25:25" x14ac:dyDescent="0.2">
      <c r="Y6818" s="97"/>
    </row>
    <row r="6819" spans="25:25" x14ac:dyDescent="0.2">
      <c r="Y6819" s="97"/>
    </row>
    <row r="6820" spans="25:25" x14ac:dyDescent="0.2">
      <c r="Y6820" s="97"/>
    </row>
    <row r="6821" spans="25:25" x14ac:dyDescent="0.2">
      <c r="Y6821" s="97"/>
    </row>
    <row r="6822" spans="25:25" x14ac:dyDescent="0.2">
      <c r="Y6822" s="97"/>
    </row>
    <row r="6823" spans="25:25" x14ac:dyDescent="0.2">
      <c r="Y6823" s="97"/>
    </row>
    <row r="6824" spans="25:25" x14ac:dyDescent="0.2">
      <c r="Y6824" s="97"/>
    </row>
    <row r="6825" spans="25:25" x14ac:dyDescent="0.2">
      <c r="Y6825" s="97"/>
    </row>
    <row r="6826" spans="25:25" x14ac:dyDescent="0.2">
      <c r="Y6826" s="97"/>
    </row>
    <row r="6827" spans="25:25" x14ac:dyDescent="0.2">
      <c r="Y6827" s="97"/>
    </row>
    <row r="6828" spans="25:25" x14ac:dyDescent="0.2">
      <c r="Y6828" s="97"/>
    </row>
    <row r="6829" spans="25:25" x14ac:dyDescent="0.2">
      <c r="Y6829" s="97"/>
    </row>
    <row r="6830" spans="25:25" x14ac:dyDescent="0.2">
      <c r="Y6830" s="97"/>
    </row>
    <row r="6831" spans="25:25" x14ac:dyDescent="0.2">
      <c r="Y6831" s="97"/>
    </row>
    <row r="6832" spans="25:25" x14ac:dyDescent="0.2">
      <c r="Y6832" s="97"/>
    </row>
    <row r="6833" spans="25:25" x14ac:dyDescent="0.2">
      <c r="Y6833" s="97"/>
    </row>
    <row r="6834" spans="25:25" x14ac:dyDescent="0.2">
      <c r="Y6834" s="97"/>
    </row>
    <row r="6835" spans="25:25" x14ac:dyDescent="0.2">
      <c r="Y6835" s="97"/>
    </row>
    <row r="6836" spans="25:25" x14ac:dyDescent="0.2">
      <c r="Y6836" s="97"/>
    </row>
    <row r="6837" spans="25:25" x14ac:dyDescent="0.2">
      <c r="Y6837" s="97"/>
    </row>
    <row r="6838" spans="25:25" x14ac:dyDescent="0.2">
      <c r="Y6838" s="97"/>
    </row>
    <row r="6839" spans="25:25" x14ac:dyDescent="0.2">
      <c r="Y6839" s="97"/>
    </row>
    <row r="6840" spans="25:25" x14ac:dyDescent="0.2">
      <c r="Y6840" s="97"/>
    </row>
    <row r="6841" spans="25:25" x14ac:dyDescent="0.2">
      <c r="Y6841" s="97"/>
    </row>
    <row r="6842" spans="25:25" x14ac:dyDescent="0.2">
      <c r="Y6842" s="97"/>
    </row>
    <row r="6843" spans="25:25" x14ac:dyDescent="0.2">
      <c r="Y6843" s="97"/>
    </row>
    <row r="6844" spans="25:25" x14ac:dyDescent="0.2">
      <c r="Y6844" s="97"/>
    </row>
    <row r="6845" spans="25:25" x14ac:dyDescent="0.2">
      <c r="Y6845" s="97"/>
    </row>
    <row r="6846" spans="25:25" x14ac:dyDescent="0.2">
      <c r="Y6846" s="97"/>
    </row>
    <row r="6847" spans="25:25" x14ac:dyDescent="0.2">
      <c r="Y6847" s="97"/>
    </row>
    <row r="6848" spans="25:25" x14ac:dyDescent="0.2">
      <c r="Y6848" s="97"/>
    </row>
    <row r="6849" spans="25:25" x14ac:dyDescent="0.2">
      <c r="Y6849" s="97"/>
    </row>
    <row r="6850" spans="25:25" x14ac:dyDescent="0.2">
      <c r="Y6850" s="97"/>
    </row>
    <row r="6851" spans="25:25" x14ac:dyDescent="0.2">
      <c r="Y6851" s="97"/>
    </row>
    <row r="6852" spans="25:25" x14ac:dyDescent="0.2">
      <c r="Y6852" s="97"/>
    </row>
    <row r="6853" spans="25:25" x14ac:dyDescent="0.2">
      <c r="Y6853" s="97"/>
    </row>
    <row r="6854" spans="25:25" x14ac:dyDescent="0.2">
      <c r="Y6854" s="97"/>
    </row>
    <row r="6855" spans="25:25" x14ac:dyDescent="0.2">
      <c r="Y6855" s="97"/>
    </row>
    <row r="6856" spans="25:25" x14ac:dyDescent="0.2">
      <c r="Y6856" s="97"/>
    </row>
    <row r="6857" spans="25:25" x14ac:dyDescent="0.2">
      <c r="Y6857" s="97"/>
    </row>
    <row r="6858" spans="25:25" x14ac:dyDescent="0.2">
      <c r="Y6858" s="97"/>
    </row>
    <row r="6859" spans="25:25" x14ac:dyDescent="0.2">
      <c r="Y6859" s="97"/>
    </row>
    <row r="6860" spans="25:25" x14ac:dyDescent="0.2">
      <c r="Y6860" s="97"/>
    </row>
    <row r="6861" spans="25:25" x14ac:dyDescent="0.2">
      <c r="Y6861" s="97"/>
    </row>
    <row r="6862" spans="25:25" x14ac:dyDescent="0.2">
      <c r="Y6862" s="97"/>
    </row>
    <row r="6863" spans="25:25" x14ac:dyDescent="0.2">
      <c r="Y6863" s="97"/>
    </row>
    <row r="6864" spans="25:25" x14ac:dyDescent="0.2">
      <c r="Y6864" s="97"/>
    </row>
    <row r="6865" spans="25:25" x14ac:dyDescent="0.2">
      <c r="Y6865" s="97"/>
    </row>
    <row r="6866" spans="25:25" x14ac:dyDescent="0.2">
      <c r="Y6866" s="97"/>
    </row>
    <row r="6867" spans="25:25" x14ac:dyDescent="0.2">
      <c r="Y6867" s="97"/>
    </row>
    <row r="6868" spans="25:25" x14ac:dyDescent="0.2">
      <c r="Y6868" s="97"/>
    </row>
    <row r="6869" spans="25:25" x14ac:dyDescent="0.2">
      <c r="Y6869" s="97"/>
    </row>
    <row r="6870" spans="25:25" x14ac:dyDescent="0.2">
      <c r="Y6870" s="97"/>
    </row>
    <row r="6871" spans="25:25" x14ac:dyDescent="0.2">
      <c r="Y6871" s="97"/>
    </row>
    <row r="6872" spans="25:25" x14ac:dyDescent="0.2">
      <c r="Y6872" s="97"/>
    </row>
    <row r="6873" spans="25:25" x14ac:dyDescent="0.2">
      <c r="Y6873" s="97"/>
    </row>
    <row r="6874" spans="25:25" x14ac:dyDescent="0.2">
      <c r="Y6874" s="97"/>
    </row>
    <row r="6875" spans="25:25" x14ac:dyDescent="0.2">
      <c r="Y6875" s="97"/>
    </row>
    <row r="6876" spans="25:25" x14ac:dyDescent="0.2">
      <c r="Y6876" s="97"/>
    </row>
    <row r="6877" spans="25:25" x14ac:dyDescent="0.2">
      <c r="Y6877" s="97"/>
    </row>
    <row r="6878" spans="25:25" x14ac:dyDescent="0.2">
      <c r="Y6878" s="97"/>
    </row>
    <row r="6879" spans="25:25" x14ac:dyDescent="0.2">
      <c r="Y6879" s="97"/>
    </row>
    <row r="6880" spans="25:25" x14ac:dyDescent="0.2">
      <c r="Y6880" s="97"/>
    </row>
    <row r="6881" spans="25:25" x14ac:dyDescent="0.2">
      <c r="Y6881" s="97"/>
    </row>
    <row r="6882" spans="25:25" x14ac:dyDescent="0.2">
      <c r="Y6882" s="97"/>
    </row>
    <row r="6883" spans="25:25" x14ac:dyDescent="0.2">
      <c r="Y6883" s="97"/>
    </row>
    <row r="6884" spans="25:25" x14ac:dyDescent="0.2">
      <c r="Y6884" s="97"/>
    </row>
    <row r="6885" spans="25:25" x14ac:dyDescent="0.2">
      <c r="Y6885" s="97"/>
    </row>
    <row r="6886" spans="25:25" x14ac:dyDescent="0.2">
      <c r="Y6886" s="97"/>
    </row>
    <row r="6887" spans="25:25" x14ac:dyDescent="0.2">
      <c r="Y6887" s="97"/>
    </row>
    <row r="6888" spans="25:25" x14ac:dyDescent="0.2">
      <c r="Y6888" s="97"/>
    </row>
    <row r="6889" spans="25:25" x14ac:dyDescent="0.2">
      <c r="Y6889" s="97"/>
    </row>
    <row r="6890" spans="25:25" x14ac:dyDescent="0.2">
      <c r="Y6890" s="97"/>
    </row>
    <row r="6891" spans="25:25" x14ac:dyDescent="0.2">
      <c r="Y6891" s="97"/>
    </row>
    <row r="6892" spans="25:25" x14ac:dyDescent="0.2">
      <c r="Y6892" s="97"/>
    </row>
    <row r="6893" spans="25:25" x14ac:dyDescent="0.2">
      <c r="Y6893" s="97"/>
    </row>
    <row r="6894" spans="25:25" x14ac:dyDescent="0.2">
      <c r="Y6894" s="97"/>
    </row>
    <row r="6895" spans="25:25" x14ac:dyDescent="0.2">
      <c r="Y6895" s="97"/>
    </row>
    <row r="6896" spans="25:25" x14ac:dyDescent="0.2">
      <c r="Y6896" s="97"/>
    </row>
    <row r="6897" spans="25:25" x14ac:dyDescent="0.2">
      <c r="Y6897" s="97"/>
    </row>
    <row r="6898" spans="25:25" x14ac:dyDescent="0.2">
      <c r="Y6898" s="97"/>
    </row>
    <row r="6899" spans="25:25" x14ac:dyDescent="0.2">
      <c r="Y6899" s="97"/>
    </row>
    <row r="6900" spans="25:25" x14ac:dyDescent="0.2">
      <c r="Y6900" s="97"/>
    </row>
    <row r="6901" spans="25:25" x14ac:dyDescent="0.2">
      <c r="Y6901" s="97"/>
    </row>
    <row r="6902" spans="25:25" x14ac:dyDescent="0.2">
      <c r="Y6902" s="97"/>
    </row>
    <row r="6903" spans="25:25" x14ac:dyDescent="0.2">
      <c r="Y6903" s="97"/>
    </row>
    <row r="6904" spans="25:25" x14ac:dyDescent="0.2">
      <c r="Y6904" s="97"/>
    </row>
    <row r="6905" spans="25:25" x14ac:dyDescent="0.2">
      <c r="Y6905" s="97"/>
    </row>
    <row r="6906" spans="25:25" x14ac:dyDescent="0.2">
      <c r="Y6906" s="97"/>
    </row>
    <row r="6907" spans="25:25" x14ac:dyDescent="0.2">
      <c r="Y6907" s="97"/>
    </row>
    <row r="6908" spans="25:25" x14ac:dyDescent="0.2">
      <c r="Y6908" s="97"/>
    </row>
    <row r="6909" spans="25:25" x14ac:dyDescent="0.2">
      <c r="Y6909" s="97"/>
    </row>
    <row r="6910" spans="25:25" x14ac:dyDescent="0.2">
      <c r="Y6910" s="97"/>
    </row>
    <row r="6911" spans="25:25" x14ac:dyDescent="0.2">
      <c r="Y6911" s="97"/>
    </row>
    <row r="6912" spans="25:25" x14ac:dyDescent="0.2">
      <c r="Y6912" s="97"/>
    </row>
    <row r="6913" spans="25:25" x14ac:dyDescent="0.2">
      <c r="Y6913" s="97"/>
    </row>
    <row r="6914" spans="25:25" x14ac:dyDescent="0.2">
      <c r="Y6914" s="97"/>
    </row>
    <row r="6915" spans="25:25" x14ac:dyDescent="0.2">
      <c r="Y6915" s="97"/>
    </row>
    <row r="6916" spans="25:25" x14ac:dyDescent="0.2">
      <c r="Y6916" s="97"/>
    </row>
    <row r="6917" spans="25:25" x14ac:dyDescent="0.2">
      <c r="Y6917" s="97"/>
    </row>
    <row r="6918" spans="25:25" x14ac:dyDescent="0.2">
      <c r="Y6918" s="97"/>
    </row>
    <row r="6919" spans="25:25" x14ac:dyDescent="0.2">
      <c r="Y6919" s="97"/>
    </row>
    <row r="6920" spans="25:25" x14ac:dyDescent="0.2">
      <c r="Y6920" s="97"/>
    </row>
    <row r="6921" spans="25:25" x14ac:dyDescent="0.2">
      <c r="Y6921" s="97"/>
    </row>
    <row r="6922" spans="25:25" x14ac:dyDescent="0.2">
      <c r="Y6922" s="97"/>
    </row>
    <row r="6923" spans="25:25" x14ac:dyDescent="0.2">
      <c r="Y6923" s="97"/>
    </row>
    <row r="6924" spans="25:25" x14ac:dyDescent="0.2">
      <c r="Y6924" s="97"/>
    </row>
    <row r="6925" spans="25:25" x14ac:dyDescent="0.2">
      <c r="Y6925" s="97"/>
    </row>
    <row r="6926" spans="25:25" x14ac:dyDescent="0.2">
      <c r="Y6926" s="97"/>
    </row>
    <row r="6927" spans="25:25" x14ac:dyDescent="0.2">
      <c r="Y6927" s="97"/>
    </row>
    <row r="6928" spans="25:25" x14ac:dyDescent="0.2">
      <c r="Y6928" s="97"/>
    </row>
    <row r="6929" spans="25:25" x14ac:dyDescent="0.2">
      <c r="Y6929" s="97"/>
    </row>
    <row r="6930" spans="25:25" x14ac:dyDescent="0.2">
      <c r="Y6930" s="97"/>
    </row>
    <row r="6931" spans="25:25" x14ac:dyDescent="0.2">
      <c r="Y6931" s="97"/>
    </row>
    <row r="6932" spans="25:25" x14ac:dyDescent="0.2">
      <c r="Y6932" s="97"/>
    </row>
    <row r="6933" spans="25:25" x14ac:dyDescent="0.2">
      <c r="Y6933" s="97"/>
    </row>
    <row r="6934" spans="25:25" x14ac:dyDescent="0.2">
      <c r="Y6934" s="97"/>
    </row>
    <row r="6935" spans="25:25" x14ac:dyDescent="0.2">
      <c r="Y6935" s="97"/>
    </row>
    <row r="6936" spans="25:25" x14ac:dyDescent="0.2">
      <c r="Y6936" s="97"/>
    </row>
    <row r="6937" spans="25:25" x14ac:dyDescent="0.2">
      <c r="Y6937" s="97"/>
    </row>
    <row r="6938" spans="25:25" x14ac:dyDescent="0.2">
      <c r="Y6938" s="97"/>
    </row>
    <row r="6939" spans="25:25" x14ac:dyDescent="0.2">
      <c r="Y6939" s="97"/>
    </row>
    <row r="6940" spans="25:25" x14ac:dyDescent="0.2">
      <c r="Y6940" s="97"/>
    </row>
    <row r="6941" spans="25:25" x14ac:dyDescent="0.2">
      <c r="Y6941" s="97"/>
    </row>
    <row r="6942" spans="25:25" x14ac:dyDescent="0.2">
      <c r="Y6942" s="97"/>
    </row>
    <row r="6943" spans="25:25" x14ac:dyDescent="0.2">
      <c r="Y6943" s="97"/>
    </row>
    <row r="6944" spans="25:25" x14ac:dyDescent="0.2">
      <c r="Y6944" s="97"/>
    </row>
    <row r="6945" spans="25:25" x14ac:dyDescent="0.2">
      <c r="Y6945" s="97"/>
    </row>
    <row r="6946" spans="25:25" x14ac:dyDescent="0.2">
      <c r="Y6946" s="97"/>
    </row>
    <row r="6947" spans="25:25" x14ac:dyDescent="0.2">
      <c r="Y6947" s="97"/>
    </row>
    <row r="6948" spans="25:25" x14ac:dyDescent="0.2">
      <c r="Y6948" s="97"/>
    </row>
    <row r="6949" spans="25:25" x14ac:dyDescent="0.2">
      <c r="Y6949" s="97"/>
    </row>
    <row r="6950" spans="25:25" x14ac:dyDescent="0.2">
      <c r="Y6950" s="97"/>
    </row>
    <row r="6951" spans="25:25" x14ac:dyDescent="0.2">
      <c r="Y6951" s="97"/>
    </row>
    <row r="6952" spans="25:25" x14ac:dyDescent="0.2">
      <c r="Y6952" s="97"/>
    </row>
    <row r="6953" spans="25:25" x14ac:dyDescent="0.2">
      <c r="Y6953" s="97"/>
    </row>
    <row r="6954" spans="25:25" x14ac:dyDescent="0.2">
      <c r="Y6954" s="97"/>
    </row>
    <row r="6955" spans="25:25" x14ac:dyDescent="0.2">
      <c r="Y6955" s="97"/>
    </row>
    <row r="6956" spans="25:25" x14ac:dyDescent="0.2">
      <c r="Y6956" s="97"/>
    </row>
    <row r="6957" spans="25:25" x14ac:dyDescent="0.2">
      <c r="Y6957" s="97"/>
    </row>
    <row r="6958" spans="25:25" x14ac:dyDescent="0.2">
      <c r="Y6958" s="97"/>
    </row>
    <row r="6959" spans="25:25" x14ac:dyDescent="0.2">
      <c r="Y6959" s="97"/>
    </row>
    <row r="6960" spans="25:25" x14ac:dyDescent="0.2">
      <c r="Y6960" s="97"/>
    </row>
    <row r="6961" spans="25:25" x14ac:dyDescent="0.2">
      <c r="Y6961" s="97"/>
    </row>
    <row r="6962" spans="25:25" x14ac:dyDescent="0.2">
      <c r="Y6962" s="97"/>
    </row>
    <row r="6963" spans="25:25" x14ac:dyDescent="0.2">
      <c r="Y6963" s="97"/>
    </row>
    <row r="6964" spans="25:25" x14ac:dyDescent="0.2">
      <c r="Y6964" s="97"/>
    </row>
    <row r="6965" spans="25:25" x14ac:dyDescent="0.2">
      <c r="Y6965" s="97"/>
    </row>
    <row r="6966" spans="25:25" x14ac:dyDescent="0.2">
      <c r="Y6966" s="97"/>
    </row>
    <row r="6967" spans="25:25" x14ac:dyDescent="0.2">
      <c r="Y6967" s="97"/>
    </row>
    <row r="6968" spans="25:25" x14ac:dyDescent="0.2">
      <c r="Y6968" s="97"/>
    </row>
    <row r="6969" spans="25:25" x14ac:dyDescent="0.2">
      <c r="Y6969" s="97"/>
    </row>
    <row r="6970" spans="25:25" x14ac:dyDescent="0.2">
      <c r="Y6970" s="97"/>
    </row>
    <row r="6971" spans="25:25" x14ac:dyDescent="0.2">
      <c r="Y6971" s="97"/>
    </row>
    <row r="6972" spans="25:25" x14ac:dyDescent="0.2">
      <c r="Y6972" s="97"/>
    </row>
    <row r="6973" spans="25:25" x14ac:dyDescent="0.2">
      <c r="Y6973" s="97"/>
    </row>
    <row r="6974" spans="25:25" x14ac:dyDescent="0.2">
      <c r="Y6974" s="97"/>
    </row>
    <row r="6975" spans="25:25" x14ac:dyDescent="0.2">
      <c r="Y6975" s="97"/>
    </row>
    <row r="6976" spans="25:25" x14ac:dyDescent="0.2">
      <c r="Y6976" s="97"/>
    </row>
    <row r="6977" spans="25:25" x14ac:dyDescent="0.2">
      <c r="Y6977" s="97"/>
    </row>
    <row r="6978" spans="25:25" x14ac:dyDescent="0.2">
      <c r="Y6978" s="97"/>
    </row>
    <row r="6979" spans="25:25" x14ac:dyDescent="0.2">
      <c r="Y6979" s="97"/>
    </row>
    <row r="6980" spans="25:25" x14ac:dyDescent="0.2">
      <c r="Y6980" s="97"/>
    </row>
    <row r="6981" spans="25:25" x14ac:dyDescent="0.2">
      <c r="Y6981" s="97"/>
    </row>
    <row r="6982" spans="25:25" x14ac:dyDescent="0.2">
      <c r="Y6982" s="97"/>
    </row>
    <row r="6983" spans="25:25" x14ac:dyDescent="0.2">
      <c r="Y6983" s="97"/>
    </row>
    <row r="6984" spans="25:25" x14ac:dyDescent="0.2">
      <c r="Y6984" s="97"/>
    </row>
    <row r="6985" spans="25:25" x14ac:dyDescent="0.2">
      <c r="Y6985" s="97"/>
    </row>
    <row r="6986" spans="25:25" x14ac:dyDescent="0.2">
      <c r="Y6986" s="97"/>
    </row>
    <row r="6987" spans="25:25" x14ac:dyDescent="0.2">
      <c r="Y6987" s="97"/>
    </row>
    <row r="6988" spans="25:25" x14ac:dyDescent="0.2">
      <c r="Y6988" s="97"/>
    </row>
    <row r="6989" spans="25:25" x14ac:dyDescent="0.2">
      <c r="Y6989" s="97"/>
    </row>
    <row r="6990" spans="25:25" x14ac:dyDescent="0.2">
      <c r="Y6990" s="97"/>
    </row>
    <row r="6991" spans="25:25" x14ac:dyDescent="0.2">
      <c r="Y6991" s="97"/>
    </row>
    <row r="6992" spans="25:25" x14ac:dyDescent="0.2">
      <c r="Y6992" s="97"/>
    </row>
    <row r="6993" spans="25:25" x14ac:dyDescent="0.2">
      <c r="Y6993" s="97"/>
    </row>
    <row r="6994" spans="25:25" x14ac:dyDescent="0.2">
      <c r="Y6994" s="97"/>
    </row>
    <row r="6995" spans="25:25" x14ac:dyDescent="0.2">
      <c r="Y6995" s="97"/>
    </row>
    <row r="6996" spans="25:25" x14ac:dyDescent="0.2">
      <c r="Y6996" s="97"/>
    </row>
    <row r="6997" spans="25:25" x14ac:dyDescent="0.2">
      <c r="Y6997" s="97"/>
    </row>
    <row r="6998" spans="25:25" x14ac:dyDescent="0.2">
      <c r="Y6998" s="97"/>
    </row>
    <row r="6999" spans="25:25" x14ac:dyDescent="0.2">
      <c r="Y6999" s="97"/>
    </row>
    <row r="7000" spans="25:25" x14ac:dyDescent="0.2">
      <c r="Y7000" s="97"/>
    </row>
    <row r="7001" spans="25:25" x14ac:dyDescent="0.2">
      <c r="Y7001" s="97"/>
    </row>
    <row r="7002" spans="25:25" x14ac:dyDescent="0.2">
      <c r="Y7002" s="97"/>
    </row>
    <row r="7003" spans="25:25" x14ac:dyDescent="0.2">
      <c r="Y7003" s="97"/>
    </row>
    <row r="7004" spans="25:25" x14ac:dyDescent="0.2">
      <c r="Y7004" s="97"/>
    </row>
    <row r="7005" spans="25:25" x14ac:dyDescent="0.2">
      <c r="Y7005" s="97"/>
    </row>
    <row r="7006" spans="25:25" x14ac:dyDescent="0.2">
      <c r="Y7006" s="97"/>
    </row>
    <row r="7007" spans="25:25" x14ac:dyDescent="0.2">
      <c r="Y7007" s="97"/>
    </row>
    <row r="7008" spans="25:25" x14ac:dyDescent="0.2">
      <c r="Y7008" s="97"/>
    </row>
    <row r="7009" spans="25:25" x14ac:dyDescent="0.2">
      <c r="Y7009" s="97"/>
    </row>
    <row r="7010" spans="25:25" x14ac:dyDescent="0.2">
      <c r="Y7010" s="97"/>
    </row>
    <row r="7011" spans="25:25" x14ac:dyDescent="0.2">
      <c r="Y7011" s="97"/>
    </row>
    <row r="7012" spans="25:25" x14ac:dyDescent="0.2">
      <c r="Y7012" s="97"/>
    </row>
    <row r="7013" spans="25:25" x14ac:dyDescent="0.2">
      <c r="Y7013" s="97"/>
    </row>
    <row r="7014" spans="25:25" x14ac:dyDescent="0.2">
      <c r="Y7014" s="97"/>
    </row>
    <row r="7015" spans="25:25" x14ac:dyDescent="0.2">
      <c r="Y7015" s="97"/>
    </row>
    <row r="7016" spans="25:25" x14ac:dyDescent="0.2">
      <c r="Y7016" s="97"/>
    </row>
    <row r="7017" spans="25:25" x14ac:dyDescent="0.2">
      <c r="Y7017" s="97"/>
    </row>
    <row r="7018" spans="25:25" x14ac:dyDescent="0.2">
      <c r="Y7018" s="97"/>
    </row>
    <row r="7019" spans="25:25" x14ac:dyDescent="0.2">
      <c r="Y7019" s="97"/>
    </row>
    <row r="7020" spans="25:25" x14ac:dyDescent="0.2">
      <c r="Y7020" s="97"/>
    </row>
    <row r="7021" spans="25:25" x14ac:dyDescent="0.2">
      <c r="Y7021" s="97"/>
    </row>
    <row r="7022" spans="25:25" x14ac:dyDescent="0.2">
      <c r="Y7022" s="97"/>
    </row>
    <row r="7023" spans="25:25" x14ac:dyDescent="0.2">
      <c r="Y7023" s="97"/>
    </row>
    <row r="7024" spans="25:25" x14ac:dyDescent="0.2">
      <c r="Y7024" s="97"/>
    </row>
    <row r="7025" spans="25:25" x14ac:dyDescent="0.2">
      <c r="Y7025" s="97"/>
    </row>
    <row r="7026" spans="25:25" x14ac:dyDescent="0.2">
      <c r="Y7026" s="97"/>
    </row>
    <row r="7027" spans="25:25" x14ac:dyDescent="0.2">
      <c r="Y7027" s="97"/>
    </row>
    <row r="7028" spans="25:25" x14ac:dyDescent="0.2">
      <c r="Y7028" s="97"/>
    </row>
    <row r="7029" spans="25:25" x14ac:dyDescent="0.2">
      <c r="Y7029" s="97"/>
    </row>
    <row r="7030" spans="25:25" x14ac:dyDescent="0.2">
      <c r="Y7030" s="97"/>
    </row>
    <row r="7031" spans="25:25" x14ac:dyDescent="0.2">
      <c r="Y7031" s="97"/>
    </row>
    <row r="7032" spans="25:25" x14ac:dyDescent="0.2">
      <c r="Y7032" s="97"/>
    </row>
    <row r="7033" spans="25:25" x14ac:dyDescent="0.2">
      <c r="Y7033" s="97"/>
    </row>
    <row r="7034" spans="25:25" x14ac:dyDescent="0.2">
      <c r="Y7034" s="97"/>
    </row>
    <row r="7035" spans="25:25" x14ac:dyDescent="0.2">
      <c r="Y7035" s="97"/>
    </row>
    <row r="7036" spans="25:25" x14ac:dyDescent="0.2">
      <c r="Y7036" s="97"/>
    </row>
    <row r="7037" spans="25:25" x14ac:dyDescent="0.2">
      <c r="Y7037" s="97"/>
    </row>
    <row r="7038" spans="25:25" x14ac:dyDescent="0.2">
      <c r="Y7038" s="97"/>
    </row>
    <row r="7039" spans="25:25" x14ac:dyDescent="0.2">
      <c r="Y7039" s="97"/>
    </row>
    <row r="7040" spans="25:25" x14ac:dyDescent="0.2">
      <c r="Y7040" s="97"/>
    </row>
    <row r="7041" spans="25:25" x14ac:dyDescent="0.2">
      <c r="Y7041" s="97"/>
    </row>
    <row r="7042" spans="25:25" x14ac:dyDescent="0.2">
      <c r="Y7042" s="97"/>
    </row>
    <row r="7043" spans="25:25" x14ac:dyDescent="0.2">
      <c r="Y7043" s="97"/>
    </row>
    <row r="7044" spans="25:25" x14ac:dyDescent="0.2">
      <c r="Y7044" s="97"/>
    </row>
    <row r="7045" spans="25:25" x14ac:dyDescent="0.2">
      <c r="Y7045" s="97"/>
    </row>
    <row r="7046" spans="25:25" x14ac:dyDescent="0.2">
      <c r="Y7046" s="97"/>
    </row>
    <row r="7047" spans="25:25" x14ac:dyDescent="0.2">
      <c r="Y7047" s="97"/>
    </row>
    <row r="7048" spans="25:25" x14ac:dyDescent="0.2">
      <c r="Y7048" s="97"/>
    </row>
    <row r="7049" spans="25:25" x14ac:dyDescent="0.2">
      <c r="Y7049" s="97"/>
    </row>
    <row r="7050" spans="25:25" x14ac:dyDescent="0.2">
      <c r="Y7050" s="97"/>
    </row>
    <row r="7051" spans="25:25" x14ac:dyDescent="0.2">
      <c r="Y7051" s="97"/>
    </row>
    <row r="7052" spans="25:25" x14ac:dyDescent="0.2">
      <c r="Y7052" s="97"/>
    </row>
    <row r="7053" spans="25:25" x14ac:dyDescent="0.2">
      <c r="Y7053" s="97"/>
    </row>
    <row r="7054" spans="25:25" x14ac:dyDescent="0.2">
      <c r="Y7054" s="97"/>
    </row>
    <row r="7055" spans="25:25" x14ac:dyDescent="0.2">
      <c r="Y7055" s="97"/>
    </row>
    <row r="7056" spans="25:25" x14ac:dyDescent="0.2">
      <c r="Y7056" s="97"/>
    </row>
    <row r="7057" spans="25:25" x14ac:dyDescent="0.2">
      <c r="Y7057" s="97"/>
    </row>
    <row r="7058" spans="25:25" x14ac:dyDescent="0.2">
      <c r="Y7058" s="97"/>
    </row>
    <row r="7059" spans="25:25" x14ac:dyDescent="0.2">
      <c r="Y7059" s="97"/>
    </row>
    <row r="7060" spans="25:25" x14ac:dyDescent="0.2">
      <c r="Y7060" s="97"/>
    </row>
    <row r="7061" spans="25:25" x14ac:dyDescent="0.2">
      <c r="Y7061" s="97"/>
    </row>
    <row r="7062" spans="25:25" x14ac:dyDescent="0.2">
      <c r="Y7062" s="97"/>
    </row>
    <row r="7063" spans="25:25" x14ac:dyDescent="0.2">
      <c r="Y7063" s="97"/>
    </row>
    <row r="7064" spans="25:25" x14ac:dyDescent="0.2">
      <c r="Y7064" s="97"/>
    </row>
    <row r="7065" spans="25:25" x14ac:dyDescent="0.2">
      <c r="Y7065" s="97"/>
    </row>
    <row r="7066" spans="25:25" x14ac:dyDescent="0.2">
      <c r="Y7066" s="97"/>
    </row>
    <row r="7067" spans="25:25" x14ac:dyDescent="0.2">
      <c r="Y7067" s="97"/>
    </row>
    <row r="7068" spans="25:25" x14ac:dyDescent="0.2">
      <c r="Y7068" s="97"/>
    </row>
    <row r="7069" spans="25:25" x14ac:dyDescent="0.2">
      <c r="Y7069" s="97"/>
    </row>
    <row r="7070" spans="25:25" x14ac:dyDescent="0.2">
      <c r="Y7070" s="97"/>
    </row>
    <row r="7071" spans="25:25" x14ac:dyDescent="0.2">
      <c r="Y7071" s="97"/>
    </row>
    <row r="7072" spans="25:25" x14ac:dyDescent="0.2">
      <c r="Y7072" s="97"/>
    </row>
    <row r="7073" spans="25:25" x14ac:dyDescent="0.2">
      <c r="Y7073" s="97"/>
    </row>
    <row r="7074" spans="25:25" x14ac:dyDescent="0.2">
      <c r="Y7074" s="97"/>
    </row>
    <row r="7075" spans="25:25" x14ac:dyDescent="0.2">
      <c r="Y7075" s="97"/>
    </row>
    <row r="7076" spans="25:25" x14ac:dyDescent="0.2">
      <c r="Y7076" s="97"/>
    </row>
    <row r="7077" spans="25:25" x14ac:dyDescent="0.2">
      <c r="Y7077" s="97"/>
    </row>
    <row r="7078" spans="25:25" x14ac:dyDescent="0.2">
      <c r="Y7078" s="97"/>
    </row>
    <row r="7079" spans="25:25" x14ac:dyDescent="0.2">
      <c r="Y7079" s="97"/>
    </row>
    <row r="7080" spans="25:25" x14ac:dyDescent="0.2">
      <c r="Y7080" s="97"/>
    </row>
    <row r="7081" spans="25:25" x14ac:dyDescent="0.2">
      <c r="Y7081" s="97"/>
    </row>
    <row r="7082" spans="25:25" x14ac:dyDescent="0.2">
      <c r="Y7082" s="97"/>
    </row>
    <row r="7083" spans="25:25" x14ac:dyDescent="0.2">
      <c r="Y7083" s="97"/>
    </row>
    <row r="7084" spans="25:25" x14ac:dyDescent="0.2">
      <c r="Y7084" s="97"/>
    </row>
    <row r="7085" spans="25:25" x14ac:dyDescent="0.2">
      <c r="Y7085" s="97"/>
    </row>
    <row r="7086" spans="25:25" x14ac:dyDescent="0.2">
      <c r="Y7086" s="97"/>
    </row>
    <row r="7087" spans="25:25" x14ac:dyDescent="0.2">
      <c r="Y7087" s="97"/>
    </row>
    <row r="7088" spans="25:25" x14ac:dyDescent="0.2">
      <c r="Y7088" s="97"/>
    </row>
    <row r="7089" spans="25:25" x14ac:dyDescent="0.2">
      <c r="Y7089" s="97"/>
    </row>
    <row r="7090" spans="25:25" x14ac:dyDescent="0.2">
      <c r="Y7090" s="97"/>
    </row>
    <row r="7091" spans="25:25" x14ac:dyDescent="0.2">
      <c r="Y7091" s="97"/>
    </row>
    <row r="7092" spans="25:25" x14ac:dyDescent="0.2">
      <c r="Y7092" s="97"/>
    </row>
    <row r="7093" spans="25:25" x14ac:dyDescent="0.2">
      <c r="Y7093" s="97"/>
    </row>
    <row r="7094" spans="25:25" x14ac:dyDescent="0.2">
      <c r="Y7094" s="97"/>
    </row>
    <row r="7095" spans="25:25" x14ac:dyDescent="0.2">
      <c r="Y7095" s="97"/>
    </row>
    <row r="7096" spans="25:25" x14ac:dyDescent="0.2">
      <c r="Y7096" s="97"/>
    </row>
    <row r="7097" spans="25:25" x14ac:dyDescent="0.2">
      <c r="Y7097" s="97"/>
    </row>
    <row r="7098" spans="25:25" x14ac:dyDescent="0.2">
      <c r="Y7098" s="97"/>
    </row>
    <row r="7099" spans="25:25" x14ac:dyDescent="0.2">
      <c r="Y7099" s="97"/>
    </row>
    <row r="7100" spans="25:25" x14ac:dyDescent="0.2">
      <c r="Y7100" s="97"/>
    </row>
    <row r="7101" spans="25:25" x14ac:dyDescent="0.2">
      <c r="Y7101" s="97"/>
    </row>
    <row r="7102" spans="25:25" x14ac:dyDescent="0.2">
      <c r="Y7102" s="97"/>
    </row>
    <row r="7103" spans="25:25" x14ac:dyDescent="0.2">
      <c r="Y7103" s="97"/>
    </row>
    <row r="7104" spans="25:25" x14ac:dyDescent="0.2">
      <c r="Y7104" s="97"/>
    </row>
    <row r="7105" spans="25:25" x14ac:dyDescent="0.2">
      <c r="Y7105" s="97"/>
    </row>
    <row r="7106" spans="25:25" x14ac:dyDescent="0.2">
      <c r="Y7106" s="97"/>
    </row>
    <row r="7107" spans="25:25" x14ac:dyDescent="0.2">
      <c r="Y7107" s="97"/>
    </row>
    <row r="7108" spans="25:25" x14ac:dyDescent="0.2">
      <c r="Y7108" s="97"/>
    </row>
    <row r="7109" spans="25:25" x14ac:dyDescent="0.2">
      <c r="Y7109" s="97"/>
    </row>
    <row r="7110" spans="25:25" x14ac:dyDescent="0.2">
      <c r="Y7110" s="97"/>
    </row>
    <row r="7111" spans="25:25" x14ac:dyDescent="0.2">
      <c r="Y7111" s="97"/>
    </row>
    <row r="7112" spans="25:25" x14ac:dyDescent="0.2">
      <c r="Y7112" s="97"/>
    </row>
    <row r="7113" spans="25:25" x14ac:dyDescent="0.2">
      <c r="Y7113" s="97"/>
    </row>
    <row r="7114" spans="25:25" x14ac:dyDescent="0.2">
      <c r="Y7114" s="97"/>
    </row>
    <row r="7115" spans="25:25" x14ac:dyDescent="0.2">
      <c r="Y7115" s="97"/>
    </row>
    <row r="7116" spans="25:25" x14ac:dyDescent="0.2">
      <c r="Y7116" s="97"/>
    </row>
    <row r="7117" spans="25:25" x14ac:dyDescent="0.2">
      <c r="Y7117" s="97"/>
    </row>
    <row r="7118" spans="25:25" x14ac:dyDescent="0.2">
      <c r="Y7118" s="97"/>
    </row>
    <row r="7119" spans="25:25" x14ac:dyDescent="0.2">
      <c r="Y7119" s="97"/>
    </row>
    <row r="7120" spans="25:25" x14ac:dyDescent="0.2">
      <c r="Y7120" s="97"/>
    </row>
    <row r="7121" spans="25:25" x14ac:dyDescent="0.2">
      <c r="Y7121" s="97"/>
    </row>
    <row r="7122" spans="25:25" x14ac:dyDescent="0.2">
      <c r="Y7122" s="97"/>
    </row>
    <row r="7123" spans="25:25" x14ac:dyDescent="0.2">
      <c r="Y7123" s="97"/>
    </row>
    <row r="7124" spans="25:25" x14ac:dyDescent="0.2">
      <c r="Y7124" s="97"/>
    </row>
    <row r="7125" spans="25:25" x14ac:dyDescent="0.2">
      <c r="Y7125" s="97"/>
    </row>
    <row r="7126" spans="25:25" x14ac:dyDescent="0.2">
      <c r="Y7126" s="97"/>
    </row>
    <row r="7127" spans="25:25" x14ac:dyDescent="0.2">
      <c r="Y7127" s="97"/>
    </row>
    <row r="7128" spans="25:25" x14ac:dyDescent="0.2">
      <c r="Y7128" s="97"/>
    </row>
    <row r="7129" spans="25:25" x14ac:dyDescent="0.2">
      <c r="Y7129" s="97"/>
    </row>
    <row r="7130" spans="25:25" x14ac:dyDescent="0.2">
      <c r="Y7130" s="97"/>
    </row>
    <row r="7131" spans="25:25" x14ac:dyDescent="0.2">
      <c r="Y7131" s="97"/>
    </row>
    <row r="7132" spans="25:25" x14ac:dyDescent="0.2">
      <c r="Y7132" s="97"/>
    </row>
    <row r="7133" spans="25:25" x14ac:dyDescent="0.2">
      <c r="Y7133" s="97"/>
    </row>
    <row r="7134" spans="25:25" x14ac:dyDescent="0.2">
      <c r="Y7134" s="97"/>
    </row>
    <row r="7135" spans="25:25" x14ac:dyDescent="0.2">
      <c r="Y7135" s="97"/>
    </row>
    <row r="7136" spans="25:25" x14ac:dyDescent="0.2">
      <c r="Y7136" s="97"/>
    </row>
    <row r="7137" spans="25:25" x14ac:dyDescent="0.2">
      <c r="Y7137" s="97"/>
    </row>
    <row r="7138" spans="25:25" x14ac:dyDescent="0.2">
      <c r="Y7138" s="97"/>
    </row>
    <row r="7139" spans="25:25" x14ac:dyDescent="0.2">
      <c r="Y7139" s="97"/>
    </row>
    <row r="7140" spans="25:25" x14ac:dyDescent="0.2">
      <c r="Y7140" s="97"/>
    </row>
    <row r="7141" spans="25:25" x14ac:dyDescent="0.2">
      <c r="Y7141" s="97"/>
    </row>
    <row r="7142" spans="25:25" x14ac:dyDescent="0.2">
      <c r="Y7142" s="97"/>
    </row>
    <row r="7143" spans="25:25" x14ac:dyDescent="0.2">
      <c r="Y7143" s="97"/>
    </row>
    <row r="7144" spans="25:25" x14ac:dyDescent="0.2">
      <c r="Y7144" s="97"/>
    </row>
    <row r="7145" spans="25:25" x14ac:dyDescent="0.2">
      <c r="Y7145" s="97"/>
    </row>
    <row r="7146" spans="25:25" x14ac:dyDescent="0.2">
      <c r="Y7146" s="97"/>
    </row>
    <row r="7147" spans="25:25" x14ac:dyDescent="0.2">
      <c r="Y7147" s="97"/>
    </row>
    <row r="7148" spans="25:25" x14ac:dyDescent="0.2">
      <c r="Y7148" s="97"/>
    </row>
    <row r="7149" spans="25:25" x14ac:dyDescent="0.2">
      <c r="Y7149" s="97"/>
    </row>
    <row r="7150" spans="25:25" x14ac:dyDescent="0.2">
      <c r="Y7150" s="97"/>
    </row>
    <row r="7151" spans="25:25" x14ac:dyDescent="0.2">
      <c r="Y7151" s="97"/>
    </row>
    <row r="7152" spans="25:25" x14ac:dyDescent="0.2">
      <c r="Y7152" s="97"/>
    </row>
    <row r="7153" spans="25:25" x14ac:dyDescent="0.2">
      <c r="Y7153" s="97"/>
    </row>
    <row r="7154" spans="25:25" x14ac:dyDescent="0.2">
      <c r="Y7154" s="97"/>
    </row>
    <row r="7155" spans="25:25" x14ac:dyDescent="0.2">
      <c r="Y7155" s="97"/>
    </row>
    <row r="7156" spans="25:25" x14ac:dyDescent="0.2">
      <c r="Y7156" s="97"/>
    </row>
    <row r="7157" spans="25:25" x14ac:dyDescent="0.2">
      <c r="Y7157" s="97"/>
    </row>
    <row r="7158" spans="25:25" x14ac:dyDescent="0.2">
      <c r="Y7158" s="97"/>
    </row>
    <row r="7159" spans="25:25" x14ac:dyDescent="0.2">
      <c r="Y7159" s="97"/>
    </row>
    <row r="7160" spans="25:25" x14ac:dyDescent="0.2">
      <c r="Y7160" s="97"/>
    </row>
    <row r="7161" spans="25:25" x14ac:dyDescent="0.2">
      <c r="Y7161" s="97"/>
    </row>
    <row r="7162" spans="25:25" x14ac:dyDescent="0.2">
      <c r="Y7162" s="97"/>
    </row>
    <row r="7163" spans="25:25" x14ac:dyDescent="0.2">
      <c r="Y7163" s="97"/>
    </row>
    <row r="7164" spans="25:25" x14ac:dyDescent="0.2">
      <c r="Y7164" s="97"/>
    </row>
    <row r="7165" spans="25:25" x14ac:dyDescent="0.2">
      <c r="Y7165" s="97"/>
    </row>
    <row r="7166" spans="25:25" x14ac:dyDescent="0.2">
      <c r="Y7166" s="97"/>
    </row>
    <row r="7167" spans="25:25" x14ac:dyDescent="0.2">
      <c r="Y7167" s="97"/>
    </row>
    <row r="7168" spans="25:25" x14ac:dyDescent="0.2">
      <c r="Y7168" s="97"/>
    </row>
    <row r="7169" spans="25:25" x14ac:dyDescent="0.2">
      <c r="Y7169" s="97"/>
    </row>
    <row r="7170" spans="25:25" x14ac:dyDescent="0.2">
      <c r="Y7170" s="97"/>
    </row>
    <row r="7171" spans="25:25" x14ac:dyDescent="0.2">
      <c r="Y7171" s="97"/>
    </row>
    <row r="7172" spans="25:25" x14ac:dyDescent="0.2">
      <c r="Y7172" s="97"/>
    </row>
    <row r="7173" spans="25:25" x14ac:dyDescent="0.2">
      <c r="Y7173" s="97"/>
    </row>
    <row r="7174" spans="25:25" x14ac:dyDescent="0.2">
      <c r="Y7174" s="97"/>
    </row>
    <row r="7175" spans="25:25" x14ac:dyDescent="0.2">
      <c r="Y7175" s="97"/>
    </row>
    <row r="7176" spans="25:25" x14ac:dyDescent="0.2">
      <c r="Y7176" s="97"/>
    </row>
    <row r="7177" spans="25:25" x14ac:dyDescent="0.2">
      <c r="Y7177" s="97"/>
    </row>
    <row r="7178" spans="25:25" x14ac:dyDescent="0.2">
      <c r="Y7178" s="97"/>
    </row>
    <row r="7179" spans="25:25" x14ac:dyDescent="0.2">
      <c r="Y7179" s="97"/>
    </row>
    <row r="7180" spans="25:25" x14ac:dyDescent="0.2">
      <c r="Y7180" s="97"/>
    </row>
    <row r="7181" spans="25:25" x14ac:dyDescent="0.2">
      <c r="Y7181" s="97"/>
    </row>
    <row r="7182" spans="25:25" x14ac:dyDescent="0.2">
      <c r="Y7182" s="97"/>
    </row>
    <row r="7183" spans="25:25" x14ac:dyDescent="0.2">
      <c r="Y7183" s="97"/>
    </row>
    <row r="7184" spans="25:25" x14ac:dyDescent="0.2">
      <c r="Y7184" s="97"/>
    </row>
    <row r="7185" spans="25:25" x14ac:dyDescent="0.2">
      <c r="Y7185" s="97"/>
    </row>
    <row r="7186" spans="25:25" x14ac:dyDescent="0.2">
      <c r="Y7186" s="97"/>
    </row>
    <row r="7187" spans="25:25" x14ac:dyDescent="0.2">
      <c r="Y7187" s="97"/>
    </row>
    <row r="7188" spans="25:25" x14ac:dyDescent="0.2">
      <c r="Y7188" s="97"/>
    </row>
    <row r="7189" spans="25:25" x14ac:dyDescent="0.2">
      <c r="Y7189" s="97"/>
    </row>
    <row r="7190" spans="25:25" x14ac:dyDescent="0.2">
      <c r="Y7190" s="97"/>
    </row>
    <row r="7191" spans="25:25" x14ac:dyDescent="0.2">
      <c r="Y7191" s="97"/>
    </row>
    <row r="7192" spans="25:25" x14ac:dyDescent="0.2">
      <c r="Y7192" s="97"/>
    </row>
    <row r="7193" spans="25:25" x14ac:dyDescent="0.2">
      <c r="Y7193" s="97"/>
    </row>
    <row r="7194" spans="25:25" x14ac:dyDescent="0.2">
      <c r="Y7194" s="97"/>
    </row>
    <row r="7195" spans="25:25" x14ac:dyDescent="0.2">
      <c r="Y7195" s="97"/>
    </row>
    <row r="7196" spans="25:25" x14ac:dyDescent="0.2">
      <c r="Y7196" s="97"/>
    </row>
    <row r="7197" spans="25:25" x14ac:dyDescent="0.2">
      <c r="Y7197" s="97"/>
    </row>
    <row r="7198" spans="25:25" x14ac:dyDescent="0.2">
      <c r="Y7198" s="97"/>
    </row>
    <row r="7199" spans="25:25" x14ac:dyDescent="0.2">
      <c r="Y7199" s="97"/>
    </row>
    <row r="7200" spans="25:25" x14ac:dyDescent="0.2">
      <c r="Y7200" s="97"/>
    </row>
    <row r="7201" spans="25:25" x14ac:dyDescent="0.2">
      <c r="Y7201" s="97"/>
    </row>
    <row r="7202" spans="25:25" x14ac:dyDescent="0.2">
      <c r="Y7202" s="97"/>
    </row>
    <row r="7203" spans="25:25" x14ac:dyDescent="0.2">
      <c r="Y7203" s="97"/>
    </row>
    <row r="7204" spans="25:25" x14ac:dyDescent="0.2">
      <c r="Y7204" s="97"/>
    </row>
    <row r="7205" spans="25:25" x14ac:dyDescent="0.2">
      <c r="Y7205" s="97"/>
    </row>
    <row r="7206" spans="25:25" x14ac:dyDescent="0.2">
      <c r="Y7206" s="97"/>
    </row>
    <row r="7207" spans="25:25" x14ac:dyDescent="0.2">
      <c r="Y7207" s="97"/>
    </row>
    <row r="7208" spans="25:25" x14ac:dyDescent="0.2">
      <c r="Y7208" s="97"/>
    </row>
    <row r="7209" spans="25:25" x14ac:dyDescent="0.2">
      <c r="Y7209" s="97"/>
    </row>
    <row r="7210" spans="25:25" x14ac:dyDescent="0.2">
      <c r="Y7210" s="97"/>
    </row>
    <row r="7211" spans="25:25" x14ac:dyDescent="0.2">
      <c r="Y7211" s="97"/>
    </row>
    <row r="7212" spans="25:25" x14ac:dyDescent="0.2">
      <c r="Y7212" s="97"/>
    </row>
    <row r="7213" spans="25:25" x14ac:dyDescent="0.2">
      <c r="Y7213" s="97"/>
    </row>
    <row r="7214" spans="25:25" x14ac:dyDescent="0.2">
      <c r="Y7214" s="97"/>
    </row>
    <row r="7215" spans="25:25" x14ac:dyDescent="0.2">
      <c r="Y7215" s="97"/>
    </row>
    <row r="7216" spans="25:25" x14ac:dyDescent="0.2">
      <c r="Y7216" s="97"/>
    </row>
    <row r="7217" spans="25:25" x14ac:dyDescent="0.2">
      <c r="Y7217" s="97"/>
    </row>
    <row r="7218" spans="25:25" x14ac:dyDescent="0.2">
      <c r="Y7218" s="97"/>
    </row>
    <row r="7219" spans="25:25" x14ac:dyDescent="0.2">
      <c r="Y7219" s="97"/>
    </row>
    <row r="7220" spans="25:25" x14ac:dyDescent="0.2">
      <c r="Y7220" s="97"/>
    </row>
    <row r="7221" spans="25:25" x14ac:dyDescent="0.2">
      <c r="Y7221" s="97"/>
    </row>
    <row r="7222" spans="25:25" x14ac:dyDescent="0.2">
      <c r="Y7222" s="97"/>
    </row>
    <row r="7223" spans="25:25" x14ac:dyDescent="0.2">
      <c r="Y7223" s="97"/>
    </row>
    <row r="7224" spans="25:25" x14ac:dyDescent="0.2">
      <c r="Y7224" s="97"/>
    </row>
    <row r="7225" spans="25:25" x14ac:dyDescent="0.2">
      <c r="Y7225" s="97"/>
    </row>
    <row r="7226" spans="25:25" x14ac:dyDescent="0.2">
      <c r="Y7226" s="97"/>
    </row>
    <row r="7227" spans="25:25" x14ac:dyDescent="0.2">
      <c r="Y7227" s="97"/>
    </row>
    <row r="7228" spans="25:25" x14ac:dyDescent="0.2">
      <c r="Y7228" s="97"/>
    </row>
    <row r="7229" spans="25:25" x14ac:dyDescent="0.2">
      <c r="Y7229" s="97"/>
    </row>
    <row r="7230" spans="25:25" x14ac:dyDescent="0.2">
      <c r="Y7230" s="97"/>
    </row>
    <row r="7231" spans="25:25" x14ac:dyDescent="0.2">
      <c r="Y7231" s="97"/>
    </row>
    <row r="7232" spans="25:25" x14ac:dyDescent="0.2">
      <c r="Y7232" s="97"/>
    </row>
    <row r="7233" spans="25:25" x14ac:dyDescent="0.2">
      <c r="Y7233" s="97"/>
    </row>
    <row r="7234" spans="25:25" x14ac:dyDescent="0.2">
      <c r="Y7234" s="97"/>
    </row>
    <row r="7235" spans="25:25" x14ac:dyDescent="0.2">
      <c r="Y7235" s="97"/>
    </row>
    <row r="7236" spans="25:25" x14ac:dyDescent="0.2">
      <c r="Y7236" s="97"/>
    </row>
    <row r="7237" spans="25:25" x14ac:dyDescent="0.2">
      <c r="Y7237" s="97"/>
    </row>
    <row r="7238" spans="25:25" x14ac:dyDescent="0.2">
      <c r="Y7238" s="97"/>
    </row>
    <row r="7239" spans="25:25" x14ac:dyDescent="0.2">
      <c r="Y7239" s="97"/>
    </row>
    <row r="7240" spans="25:25" x14ac:dyDescent="0.2">
      <c r="Y7240" s="97"/>
    </row>
    <row r="7241" spans="25:25" x14ac:dyDescent="0.2">
      <c r="Y7241" s="97"/>
    </row>
    <row r="7242" spans="25:25" x14ac:dyDescent="0.2">
      <c r="Y7242" s="97"/>
    </row>
    <row r="7243" spans="25:25" x14ac:dyDescent="0.2">
      <c r="Y7243" s="97"/>
    </row>
    <row r="7244" spans="25:25" x14ac:dyDescent="0.2">
      <c r="Y7244" s="97"/>
    </row>
    <row r="7245" spans="25:25" x14ac:dyDescent="0.2">
      <c r="Y7245" s="97"/>
    </row>
    <row r="7246" spans="25:25" x14ac:dyDescent="0.2">
      <c r="Y7246" s="97"/>
    </row>
    <row r="7247" spans="25:25" x14ac:dyDescent="0.2">
      <c r="Y7247" s="97"/>
    </row>
    <row r="7248" spans="25:25" x14ac:dyDescent="0.2">
      <c r="Y7248" s="97"/>
    </row>
    <row r="7249" spans="25:25" x14ac:dyDescent="0.2">
      <c r="Y7249" s="97"/>
    </row>
    <row r="7250" spans="25:25" x14ac:dyDescent="0.2">
      <c r="Y7250" s="97"/>
    </row>
    <row r="7251" spans="25:25" x14ac:dyDescent="0.2">
      <c r="Y7251" s="97"/>
    </row>
    <row r="7252" spans="25:25" x14ac:dyDescent="0.2">
      <c r="Y7252" s="97"/>
    </row>
    <row r="7253" spans="25:25" x14ac:dyDescent="0.2">
      <c r="Y7253" s="97"/>
    </row>
    <row r="7254" spans="25:25" x14ac:dyDescent="0.2">
      <c r="Y7254" s="97"/>
    </row>
    <row r="7255" spans="25:25" x14ac:dyDescent="0.2">
      <c r="Y7255" s="97"/>
    </row>
    <row r="7256" spans="25:25" x14ac:dyDescent="0.2">
      <c r="Y7256" s="97"/>
    </row>
    <row r="7257" spans="25:25" x14ac:dyDescent="0.2">
      <c r="Y7257" s="97"/>
    </row>
    <row r="7258" spans="25:25" x14ac:dyDescent="0.2">
      <c r="Y7258" s="97"/>
    </row>
    <row r="7259" spans="25:25" x14ac:dyDescent="0.2">
      <c r="Y7259" s="97"/>
    </row>
    <row r="7260" spans="25:25" x14ac:dyDescent="0.2">
      <c r="Y7260" s="97"/>
    </row>
    <row r="7261" spans="25:25" x14ac:dyDescent="0.2">
      <c r="Y7261" s="97"/>
    </row>
    <row r="7262" spans="25:25" x14ac:dyDescent="0.2">
      <c r="Y7262" s="97"/>
    </row>
    <row r="7263" spans="25:25" x14ac:dyDescent="0.2">
      <c r="Y7263" s="97"/>
    </row>
    <row r="7264" spans="25:25" x14ac:dyDescent="0.2">
      <c r="Y7264" s="97"/>
    </row>
    <row r="7265" spans="25:25" x14ac:dyDescent="0.2">
      <c r="Y7265" s="97"/>
    </row>
    <row r="7266" spans="25:25" x14ac:dyDescent="0.2">
      <c r="Y7266" s="97"/>
    </row>
    <row r="7267" spans="25:25" x14ac:dyDescent="0.2">
      <c r="Y7267" s="97"/>
    </row>
    <row r="7268" spans="25:25" x14ac:dyDescent="0.2">
      <c r="Y7268" s="97"/>
    </row>
    <row r="7269" spans="25:25" x14ac:dyDescent="0.2">
      <c r="Y7269" s="97"/>
    </row>
    <row r="7270" spans="25:25" x14ac:dyDescent="0.2">
      <c r="Y7270" s="97"/>
    </row>
    <row r="7271" spans="25:25" x14ac:dyDescent="0.2">
      <c r="Y7271" s="97"/>
    </row>
    <row r="7272" spans="25:25" x14ac:dyDescent="0.2">
      <c r="Y7272" s="97"/>
    </row>
    <row r="7273" spans="25:25" x14ac:dyDescent="0.2">
      <c r="Y7273" s="97"/>
    </row>
    <row r="7274" spans="25:25" x14ac:dyDescent="0.2">
      <c r="Y7274" s="97"/>
    </row>
    <row r="7275" spans="25:25" x14ac:dyDescent="0.2">
      <c r="Y7275" s="97"/>
    </row>
    <row r="7276" spans="25:25" x14ac:dyDescent="0.2">
      <c r="Y7276" s="97"/>
    </row>
    <row r="7277" spans="25:25" x14ac:dyDescent="0.2">
      <c r="Y7277" s="97"/>
    </row>
    <row r="7278" spans="25:25" x14ac:dyDescent="0.2">
      <c r="Y7278" s="97"/>
    </row>
    <row r="7279" spans="25:25" x14ac:dyDescent="0.2">
      <c r="Y7279" s="97"/>
    </row>
    <row r="7280" spans="25:25" x14ac:dyDescent="0.2">
      <c r="Y7280" s="97"/>
    </row>
    <row r="7281" spans="25:25" x14ac:dyDescent="0.2">
      <c r="Y7281" s="97"/>
    </row>
    <row r="7282" spans="25:25" x14ac:dyDescent="0.2">
      <c r="Y7282" s="97"/>
    </row>
    <row r="7283" spans="25:25" x14ac:dyDescent="0.2">
      <c r="Y7283" s="97"/>
    </row>
    <row r="7284" spans="25:25" x14ac:dyDescent="0.2">
      <c r="Y7284" s="97"/>
    </row>
    <row r="7285" spans="25:25" x14ac:dyDescent="0.2">
      <c r="Y7285" s="97"/>
    </row>
    <row r="7286" spans="25:25" x14ac:dyDescent="0.2">
      <c r="Y7286" s="97"/>
    </row>
    <row r="7287" spans="25:25" x14ac:dyDescent="0.2">
      <c r="Y7287" s="97"/>
    </row>
    <row r="7288" spans="25:25" x14ac:dyDescent="0.2">
      <c r="Y7288" s="97"/>
    </row>
    <row r="7289" spans="25:25" x14ac:dyDescent="0.2">
      <c r="Y7289" s="97"/>
    </row>
    <row r="7290" spans="25:25" x14ac:dyDescent="0.2">
      <c r="Y7290" s="97"/>
    </row>
    <row r="7291" spans="25:25" x14ac:dyDescent="0.2">
      <c r="Y7291" s="97"/>
    </row>
    <row r="7292" spans="25:25" x14ac:dyDescent="0.2">
      <c r="Y7292" s="97"/>
    </row>
    <row r="7293" spans="25:25" x14ac:dyDescent="0.2">
      <c r="Y7293" s="97"/>
    </row>
    <row r="7294" spans="25:25" x14ac:dyDescent="0.2">
      <c r="Y7294" s="97"/>
    </row>
    <row r="7295" spans="25:25" x14ac:dyDescent="0.2">
      <c r="Y7295" s="97"/>
    </row>
    <row r="7296" spans="25:25" x14ac:dyDescent="0.2">
      <c r="Y7296" s="97"/>
    </row>
    <row r="7297" spans="25:25" x14ac:dyDescent="0.2">
      <c r="Y7297" s="97"/>
    </row>
    <row r="7298" spans="25:25" x14ac:dyDescent="0.2">
      <c r="Y7298" s="97"/>
    </row>
    <row r="7299" spans="25:25" x14ac:dyDescent="0.2">
      <c r="Y7299" s="97"/>
    </row>
    <row r="7300" spans="25:25" x14ac:dyDescent="0.2">
      <c r="Y7300" s="97"/>
    </row>
    <row r="7301" spans="25:25" x14ac:dyDescent="0.2">
      <c r="Y7301" s="97"/>
    </row>
    <row r="7302" spans="25:25" x14ac:dyDescent="0.2">
      <c r="Y7302" s="97"/>
    </row>
    <row r="7303" spans="25:25" x14ac:dyDescent="0.2">
      <c r="Y7303" s="97"/>
    </row>
    <row r="7304" spans="25:25" x14ac:dyDescent="0.2">
      <c r="Y7304" s="97"/>
    </row>
    <row r="7305" spans="25:25" x14ac:dyDescent="0.2">
      <c r="Y7305" s="97"/>
    </row>
    <row r="7306" spans="25:25" x14ac:dyDescent="0.2">
      <c r="Y7306" s="97"/>
    </row>
    <row r="7307" spans="25:25" x14ac:dyDescent="0.2">
      <c r="Y7307" s="97"/>
    </row>
    <row r="7308" spans="25:25" x14ac:dyDescent="0.2">
      <c r="Y7308" s="97"/>
    </row>
    <row r="7309" spans="25:25" x14ac:dyDescent="0.2">
      <c r="Y7309" s="97"/>
    </row>
    <row r="7310" spans="25:25" x14ac:dyDescent="0.2">
      <c r="Y7310" s="97"/>
    </row>
    <row r="7311" spans="25:25" x14ac:dyDescent="0.2">
      <c r="Y7311" s="97"/>
    </row>
    <row r="7312" spans="25:25" x14ac:dyDescent="0.2">
      <c r="Y7312" s="97"/>
    </row>
    <row r="7313" spans="25:25" x14ac:dyDescent="0.2">
      <c r="Y7313" s="97"/>
    </row>
    <row r="7314" spans="25:25" x14ac:dyDescent="0.2">
      <c r="Y7314" s="97"/>
    </row>
    <row r="7315" spans="25:25" x14ac:dyDescent="0.2">
      <c r="Y7315" s="97"/>
    </row>
    <row r="7316" spans="25:25" x14ac:dyDescent="0.2">
      <c r="Y7316" s="97"/>
    </row>
    <row r="7317" spans="25:25" x14ac:dyDescent="0.2">
      <c r="Y7317" s="97"/>
    </row>
    <row r="7318" spans="25:25" x14ac:dyDescent="0.2">
      <c r="Y7318" s="97"/>
    </row>
    <row r="7319" spans="25:25" x14ac:dyDescent="0.2">
      <c r="Y7319" s="97"/>
    </row>
    <row r="7320" spans="25:25" x14ac:dyDescent="0.2">
      <c r="Y7320" s="97"/>
    </row>
    <row r="7321" spans="25:25" x14ac:dyDescent="0.2">
      <c r="Y7321" s="97"/>
    </row>
    <row r="7322" spans="25:25" x14ac:dyDescent="0.2">
      <c r="Y7322" s="97"/>
    </row>
    <row r="7323" spans="25:25" x14ac:dyDescent="0.2">
      <c r="Y7323" s="97"/>
    </row>
    <row r="7324" spans="25:25" x14ac:dyDescent="0.2">
      <c r="Y7324" s="97"/>
    </row>
    <row r="7325" spans="25:25" x14ac:dyDescent="0.2">
      <c r="Y7325" s="97"/>
    </row>
    <row r="7326" spans="25:25" x14ac:dyDescent="0.2">
      <c r="Y7326" s="97"/>
    </row>
    <row r="7327" spans="25:25" x14ac:dyDescent="0.2">
      <c r="Y7327" s="97"/>
    </row>
    <row r="7328" spans="25:25" x14ac:dyDescent="0.2">
      <c r="Y7328" s="97"/>
    </row>
    <row r="7329" spans="25:25" x14ac:dyDescent="0.2">
      <c r="Y7329" s="97"/>
    </row>
    <row r="7330" spans="25:25" x14ac:dyDescent="0.2">
      <c r="Y7330" s="97"/>
    </row>
    <row r="7331" spans="25:25" x14ac:dyDescent="0.2">
      <c r="Y7331" s="97"/>
    </row>
    <row r="7332" spans="25:25" x14ac:dyDescent="0.2">
      <c r="Y7332" s="97"/>
    </row>
    <row r="7333" spans="25:25" x14ac:dyDescent="0.2">
      <c r="Y7333" s="97"/>
    </row>
    <row r="7334" spans="25:25" x14ac:dyDescent="0.2">
      <c r="Y7334" s="97"/>
    </row>
    <row r="7335" spans="25:25" x14ac:dyDescent="0.2">
      <c r="Y7335" s="97"/>
    </row>
    <row r="7336" spans="25:25" x14ac:dyDescent="0.2">
      <c r="Y7336" s="97"/>
    </row>
    <row r="7337" spans="25:25" x14ac:dyDescent="0.2">
      <c r="Y7337" s="97"/>
    </row>
    <row r="7338" spans="25:25" x14ac:dyDescent="0.2">
      <c r="Y7338" s="97"/>
    </row>
    <row r="7339" spans="25:25" x14ac:dyDescent="0.2">
      <c r="Y7339" s="97"/>
    </row>
    <row r="7340" spans="25:25" x14ac:dyDescent="0.2">
      <c r="Y7340" s="97"/>
    </row>
    <row r="7341" spans="25:25" x14ac:dyDescent="0.2">
      <c r="Y7341" s="97"/>
    </row>
    <row r="7342" spans="25:25" x14ac:dyDescent="0.2">
      <c r="Y7342" s="97"/>
    </row>
    <row r="7343" spans="25:25" x14ac:dyDescent="0.2">
      <c r="Y7343" s="97"/>
    </row>
    <row r="7344" spans="25:25" x14ac:dyDescent="0.2">
      <c r="Y7344" s="97"/>
    </row>
    <row r="7345" spans="25:25" x14ac:dyDescent="0.2">
      <c r="Y7345" s="97"/>
    </row>
    <row r="7346" spans="25:25" x14ac:dyDescent="0.2">
      <c r="Y7346" s="97"/>
    </row>
    <row r="7347" spans="25:25" x14ac:dyDescent="0.2">
      <c r="Y7347" s="97"/>
    </row>
    <row r="7348" spans="25:25" x14ac:dyDescent="0.2">
      <c r="Y7348" s="97"/>
    </row>
    <row r="7349" spans="25:25" x14ac:dyDescent="0.2">
      <c r="Y7349" s="97"/>
    </row>
    <row r="7350" spans="25:25" x14ac:dyDescent="0.2">
      <c r="Y7350" s="97"/>
    </row>
    <row r="7351" spans="25:25" x14ac:dyDescent="0.2">
      <c r="Y7351" s="97"/>
    </row>
    <row r="7352" spans="25:25" x14ac:dyDescent="0.2">
      <c r="Y7352" s="97"/>
    </row>
    <row r="7353" spans="25:25" x14ac:dyDescent="0.2">
      <c r="Y7353" s="97"/>
    </row>
    <row r="7354" spans="25:25" x14ac:dyDescent="0.2">
      <c r="Y7354" s="97"/>
    </row>
    <row r="7355" spans="25:25" x14ac:dyDescent="0.2">
      <c r="Y7355" s="97"/>
    </row>
    <row r="7356" spans="25:25" x14ac:dyDescent="0.2">
      <c r="Y7356" s="97"/>
    </row>
    <row r="7357" spans="25:25" x14ac:dyDescent="0.2">
      <c r="Y7357" s="97"/>
    </row>
    <row r="7358" spans="25:25" x14ac:dyDescent="0.2">
      <c r="Y7358" s="97"/>
    </row>
    <row r="7359" spans="25:25" x14ac:dyDescent="0.2">
      <c r="Y7359" s="97"/>
    </row>
    <row r="7360" spans="25:25" x14ac:dyDescent="0.2">
      <c r="Y7360" s="97"/>
    </row>
    <row r="7361" spans="25:25" x14ac:dyDescent="0.2">
      <c r="Y7361" s="97"/>
    </row>
    <row r="7362" spans="25:25" x14ac:dyDescent="0.2">
      <c r="Y7362" s="97"/>
    </row>
    <row r="7363" spans="25:25" x14ac:dyDescent="0.2">
      <c r="Y7363" s="97"/>
    </row>
    <row r="7364" spans="25:25" x14ac:dyDescent="0.2">
      <c r="Y7364" s="97"/>
    </row>
    <row r="7365" spans="25:25" x14ac:dyDescent="0.2">
      <c r="Y7365" s="97"/>
    </row>
    <row r="7366" spans="25:25" x14ac:dyDescent="0.2">
      <c r="Y7366" s="97"/>
    </row>
    <row r="7367" spans="25:25" x14ac:dyDescent="0.2">
      <c r="Y7367" s="97"/>
    </row>
    <row r="7368" spans="25:25" x14ac:dyDescent="0.2">
      <c r="Y7368" s="97"/>
    </row>
    <row r="7369" spans="25:25" x14ac:dyDescent="0.2">
      <c r="Y7369" s="97"/>
    </row>
    <row r="7370" spans="25:25" x14ac:dyDescent="0.2">
      <c r="Y7370" s="97"/>
    </row>
    <row r="7371" spans="25:25" x14ac:dyDescent="0.2">
      <c r="Y7371" s="97"/>
    </row>
    <row r="7372" spans="25:25" x14ac:dyDescent="0.2">
      <c r="Y7372" s="97"/>
    </row>
    <row r="7373" spans="25:25" x14ac:dyDescent="0.2">
      <c r="Y7373" s="97"/>
    </row>
    <row r="7374" spans="25:25" x14ac:dyDescent="0.2">
      <c r="Y7374" s="97"/>
    </row>
    <row r="7375" spans="25:25" x14ac:dyDescent="0.2">
      <c r="Y7375" s="97"/>
    </row>
    <row r="7376" spans="25:25" x14ac:dyDescent="0.2">
      <c r="Y7376" s="97"/>
    </row>
    <row r="7377" spans="25:25" x14ac:dyDescent="0.2">
      <c r="Y7377" s="97"/>
    </row>
    <row r="7378" spans="25:25" x14ac:dyDescent="0.2">
      <c r="Y7378" s="97"/>
    </row>
    <row r="7379" spans="25:25" x14ac:dyDescent="0.2">
      <c r="Y7379" s="97"/>
    </row>
    <row r="7380" spans="25:25" x14ac:dyDescent="0.2">
      <c r="Y7380" s="97"/>
    </row>
    <row r="7381" spans="25:25" x14ac:dyDescent="0.2">
      <c r="Y7381" s="97"/>
    </row>
    <row r="7382" spans="25:25" x14ac:dyDescent="0.2">
      <c r="Y7382" s="97"/>
    </row>
    <row r="7383" spans="25:25" x14ac:dyDescent="0.2">
      <c r="Y7383" s="97"/>
    </row>
    <row r="7384" spans="25:25" x14ac:dyDescent="0.2">
      <c r="Y7384" s="97"/>
    </row>
    <row r="7385" spans="25:25" x14ac:dyDescent="0.2">
      <c r="Y7385" s="97"/>
    </row>
    <row r="7386" spans="25:25" x14ac:dyDescent="0.2">
      <c r="Y7386" s="97"/>
    </row>
    <row r="7387" spans="25:25" x14ac:dyDescent="0.2">
      <c r="Y7387" s="97"/>
    </row>
    <row r="7388" spans="25:25" x14ac:dyDescent="0.2">
      <c r="Y7388" s="97"/>
    </row>
    <row r="7389" spans="25:25" x14ac:dyDescent="0.2">
      <c r="Y7389" s="97"/>
    </row>
    <row r="7390" spans="25:25" x14ac:dyDescent="0.2">
      <c r="Y7390" s="97"/>
    </row>
    <row r="7391" spans="25:25" x14ac:dyDescent="0.2">
      <c r="Y7391" s="97"/>
    </row>
    <row r="7392" spans="25:25" x14ac:dyDescent="0.2">
      <c r="Y7392" s="97"/>
    </row>
    <row r="7393" spans="25:25" x14ac:dyDescent="0.2">
      <c r="Y7393" s="97"/>
    </row>
    <row r="7394" spans="25:25" x14ac:dyDescent="0.2">
      <c r="Y7394" s="97"/>
    </row>
    <row r="7395" spans="25:25" x14ac:dyDescent="0.2">
      <c r="Y7395" s="97"/>
    </row>
    <row r="7396" spans="25:25" x14ac:dyDescent="0.2">
      <c r="Y7396" s="97"/>
    </row>
    <row r="7397" spans="25:25" x14ac:dyDescent="0.2">
      <c r="Y7397" s="97"/>
    </row>
    <row r="7398" spans="25:25" x14ac:dyDescent="0.2">
      <c r="Y7398" s="97"/>
    </row>
    <row r="7399" spans="25:25" x14ac:dyDescent="0.2">
      <c r="Y7399" s="97"/>
    </row>
    <row r="7400" spans="25:25" x14ac:dyDescent="0.2">
      <c r="Y7400" s="97"/>
    </row>
    <row r="7401" spans="25:25" x14ac:dyDescent="0.2">
      <c r="Y7401" s="97"/>
    </row>
    <row r="7402" spans="25:25" x14ac:dyDescent="0.2">
      <c r="Y7402" s="97"/>
    </row>
    <row r="7403" spans="25:25" x14ac:dyDescent="0.2">
      <c r="Y7403" s="97"/>
    </row>
    <row r="7404" spans="25:25" x14ac:dyDescent="0.2">
      <c r="Y7404" s="97"/>
    </row>
    <row r="7405" spans="25:25" x14ac:dyDescent="0.2">
      <c r="Y7405" s="97"/>
    </row>
    <row r="7406" spans="25:25" x14ac:dyDescent="0.2">
      <c r="Y7406" s="97"/>
    </row>
    <row r="7407" spans="25:25" x14ac:dyDescent="0.2">
      <c r="Y7407" s="97"/>
    </row>
    <row r="7408" spans="25:25" x14ac:dyDescent="0.2">
      <c r="Y7408" s="97"/>
    </row>
    <row r="7409" spans="25:25" x14ac:dyDescent="0.2">
      <c r="Y7409" s="97"/>
    </row>
    <row r="7410" spans="25:25" x14ac:dyDescent="0.2">
      <c r="Y7410" s="97"/>
    </row>
    <row r="7411" spans="25:25" x14ac:dyDescent="0.2">
      <c r="Y7411" s="97"/>
    </row>
    <row r="7412" spans="25:25" x14ac:dyDescent="0.2">
      <c r="Y7412" s="97"/>
    </row>
    <row r="7413" spans="25:25" x14ac:dyDescent="0.2">
      <c r="Y7413" s="97"/>
    </row>
    <row r="7414" spans="25:25" x14ac:dyDescent="0.2">
      <c r="Y7414" s="97"/>
    </row>
    <row r="7415" spans="25:25" x14ac:dyDescent="0.2">
      <c r="Y7415" s="97"/>
    </row>
    <row r="7416" spans="25:25" x14ac:dyDescent="0.2">
      <c r="Y7416" s="97"/>
    </row>
    <row r="7417" spans="25:25" x14ac:dyDescent="0.2">
      <c r="Y7417" s="97"/>
    </row>
    <row r="7418" spans="25:25" x14ac:dyDescent="0.2">
      <c r="Y7418" s="97"/>
    </row>
    <row r="7419" spans="25:25" x14ac:dyDescent="0.2">
      <c r="Y7419" s="97"/>
    </row>
    <row r="7420" spans="25:25" x14ac:dyDescent="0.2">
      <c r="Y7420" s="97"/>
    </row>
    <row r="7421" spans="25:25" x14ac:dyDescent="0.2">
      <c r="Y7421" s="97"/>
    </row>
    <row r="7422" spans="25:25" x14ac:dyDescent="0.2">
      <c r="Y7422" s="97"/>
    </row>
    <row r="7423" spans="25:25" x14ac:dyDescent="0.2">
      <c r="Y7423" s="97"/>
    </row>
    <row r="7424" spans="25:25" x14ac:dyDescent="0.2">
      <c r="Y7424" s="97"/>
    </row>
    <row r="7425" spans="25:25" x14ac:dyDescent="0.2">
      <c r="Y7425" s="97"/>
    </row>
    <row r="7426" spans="25:25" x14ac:dyDescent="0.2">
      <c r="Y7426" s="97"/>
    </row>
    <row r="7427" spans="25:25" x14ac:dyDescent="0.2">
      <c r="Y7427" s="97"/>
    </row>
    <row r="7428" spans="25:25" x14ac:dyDescent="0.2">
      <c r="Y7428" s="97"/>
    </row>
    <row r="7429" spans="25:25" x14ac:dyDescent="0.2">
      <c r="Y7429" s="97"/>
    </row>
    <row r="7430" spans="25:25" x14ac:dyDescent="0.2">
      <c r="Y7430" s="97"/>
    </row>
    <row r="7431" spans="25:25" x14ac:dyDescent="0.2">
      <c r="Y7431" s="97"/>
    </row>
    <row r="7432" spans="25:25" x14ac:dyDescent="0.2">
      <c r="Y7432" s="97"/>
    </row>
    <row r="7433" spans="25:25" x14ac:dyDescent="0.2">
      <c r="Y7433" s="97"/>
    </row>
    <row r="7434" spans="25:25" x14ac:dyDescent="0.2">
      <c r="Y7434" s="97"/>
    </row>
    <row r="7435" spans="25:25" x14ac:dyDescent="0.2">
      <c r="Y7435" s="97"/>
    </row>
    <row r="7436" spans="25:25" x14ac:dyDescent="0.2">
      <c r="Y7436" s="97"/>
    </row>
    <row r="7437" spans="25:25" x14ac:dyDescent="0.2">
      <c r="Y7437" s="97"/>
    </row>
    <row r="7438" spans="25:25" x14ac:dyDescent="0.2">
      <c r="Y7438" s="97"/>
    </row>
    <row r="7439" spans="25:25" x14ac:dyDescent="0.2">
      <c r="Y7439" s="97"/>
    </row>
    <row r="7440" spans="25:25" x14ac:dyDescent="0.2">
      <c r="Y7440" s="97"/>
    </row>
    <row r="7441" spans="25:25" x14ac:dyDescent="0.2">
      <c r="Y7441" s="97"/>
    </row>
    <row r="7442" spans="25:25" x14ac:dyDescent="0.2">
      <c r="Y7442" s="97"/>
    </row>
    <row r="7443" spans="25:25" x14ac:dyDescent="0.2">
      <c r="Y7443" s="97"/>
    </row>
    <row r="7444" spans="25:25" x14ac:dyDescent="0.2">
      <c r="Y7444" s="97"/>
    </row>
    <row r="7445" spans="25:25" x14ac:dyDescent="0.2">
      <c r="Y7445" s="97"/>
    </row>
    <row r="7446" spans="25:25" x14ac:dyDescent="0.2">
      <c r="Y7446" s="97"/>
    </row>
    <row r="7447" spans="25:25" x14ac:dyDescent="0.2">
      <c r="Y7447" s="97"/>
    </row>
    <row r="7448" spans="25:25" x14ac:dyDescent="0.2">
      <c r="Y7448" s="97"/>
    </row>
    <row r="7449" spans="25:25" x14ac:dyDescent="0.2">
      <c r="Y7449" s="97"/>
    </row>
    <row r="7450" spans="25:25" x14ac:dyDescent="0.2">
      <c r="Y7450" s="97"/>
    </row>
    <row r="7451" spans="25:25" x14ac:dyDescent="0.2">
      <c r="Y7451" s="97"/>
    </row>
    <row r="7452" spans="25:25" x14ac:dyDescent="0.2">
      <c r="Y7452" s="97"/>
    </row>
    <row r="7453" spans="25:25" x14ac:dyDescent="0.2">
      <c r="Y7453" s="97"/>
    </row>
    <row r="7454" spans="25:25" x14ac:dyDescent="0.2">
      <c r="Y7454" s="97"/>
    </row>
    <row r="7455" spans="25:25" x14ac:dyDescent="0.2">
      <c r="Y7455" s="97"/>
    </row>
    <row r="7456" spans="25:25" x14ac:dyDescent="0.2">
      <c r="Y7456" s="97"/>
    </row>
    <row r="7457" spans="25:25" x14ac:dyDescent="0.2">
      <c r="Y7457" s="97"/>
    </row>
    <row r="7458" spans="25:25" x14ac:dyDescent="0.2">
      <c r="Y7458" s="97"/>
    </row>
    <row r="7459" spans="25:25" x14ac:dyDescent="0.2">
      <c r="Y7459" s="97"/>
    </row>
    <row r="7460" spans="25:25" x14ac:dyDescent="0.2">
      <c r="Y7460" s="97"/>
    </row>
    <row r="7461" spans="25:25" x14ac:dyDescent="0.2">
      <c r="Y7461" s="97"/>
    </row>
    <row r="7462" spans="25:25" x14ac:dyDescent="0.2">
      <c r="Y7462" s="97"/>
    </row>
    <row r="7463" spans="25:25" x14ac:dyDescent="0.2">
      <c r="Y7463" s="97"/>
    </row>
    <row r="7464" spans="25:25" x14ac:dyDescent="0.2">
      <c r="Y7464" s="97"/>
    </row>
    <row r="7465" spans="25:25" x14ac:dyDescent="0.2">
      <c r="Y7465" s="97"/>
    </row>
    <row r="7466" spans="25:25" x14ac:dyDescent="0.2">
      <c r="Y7466" s="97"/>
    </row>
    <row r="7467" spans="25:25" x14ac:dyDescent="0.2">
      <c r="Y7467" s="97"/>
    </row>
    <row r="7468" spans="25:25" x14ac:dyDescent="0.2">
      <c r="Y7468" s="97"/>
    </row>
    <row r="7469" spans="25:25" x14ac:dyDescent="0.2">
      <c r="Y7469" s="97"/>
    </row>
    <row r="7470" spans="25:25" x14ac:dyDescent="0.2">
      <c r="Y7470" s="97"/>
    </row>
    <row r="7471" spans="25:25" x14ac:dyDescent="0.2">
      <c r="Y7471" s="97"/>
    </row>
    <row r="7472" spans="25:25" x14ac:dyDescent="0.2">
      <c r="Y7472" s="97"/>
    </row>
    <row r="7473" spans="25:25" x14ac:dyDescent="0.2">
      <c r="Y7473" s="97"/>
    </row>
    <row r="7474" spans="25:25" x14ac:dyDescent="0.2">
      <c r="Y7474" s="97"/>
    </row>
    <row r="7475" spans="25:25" x14ac:dyDescent="0.2">
      <c r="Y7475" s="97"/>
    </row>
    <row r="7476" spans="25:25" x14ac:dyDescent="0.2">
      <c r="Y7476" s="97"/>
    </row>
    <row r="7477" spans="25:25" x14ac:dyDescent="0.2">
      <c r="Y7477" s="97"/>
    </row>
    <row r="7478" spans="25:25" x14ac:dyDescent="0.2">
      <c r="Y7478" s="97"/>
    </row>
    <row r="7479" spans="25:25" x14ac:dyDescent="0.2">
      <c r="Y7479" s="97"/>
    </row>
    <row r="7480" spans="25:25" x14ac:dyDescent="0.2">
      <c r="Y7480" s="97"/>
    </row>
    <row r="7481" spans="25:25" x14ac:dyDescent="0.2">
      <c r="Y7481" s="97"/>
    </row>
    <row r="7482" spans="25:25" x14ac:dyDescent="0.2">
      <c r="Y7482" s="97"/>
    </row>
    <row r="7483" spans="25:25" x14ac:dyDescent="0.2">
      <c r="Y7483" s="97"/>
    </row>
    <row r="7484" spans="25:25" x14ac:dyDescent="0.2">
      <c r="Y7484" s="97"/>
    </row>
    <row r="7485" spans="25:25" x14ac:dyDescent="0.2">
      <c r="Y7485" s="97"/>
    </row>
    <row r="7486" spans="25:25" x14ac:dyDescent="0.2">
      <c r="Y7486" s="97"/>
    </row>
    <row r="7487" spans="25:25" x14ac:dyDescent="0.2">
      <c r="Y7487" s="97"/>
    </row>
    <row r="7488" spans="25:25" x14ac:dyDescent="0.2">
      <c r="Y7488" s="97"/>
    </row>
    <row r="7489" spans="25:25" x14ac:dyDescent="0.2">
      <c r="Y7489" s="97"/>
    </row>
    <row r="7490" spans="25:25" x14ac:dyDescent="0.2">
      <c r="Y7490" s="97"/>
    </row>
    <row r="7491" spans="25:25" x14ac:dyDescent="0.2">
      <c r="Y7491" s="97"/>
    </row>
    <row r="7492" spans="25:25" x14ac:dyDescent="0.2">
      <c r="Y7492" s="97"/>
    </row>
    <row r="7493" spans="25:25" x14ac:dyDescent="0.2">
      <c r="Y7493" s="97"/>
    </row>
    <row r="7494" spans="25:25" x14ac:dyDescent="0.2">
      <c r="Y7494" s="97"/>
    </row>
    <row r="7495" spans="25:25" x14ac:dyDescent="0.2">
      <c r="Y7495" s="97"/>
    </row>
    <row r="7496" spans="25:25" x14ac:dyDescent="0.2">
      <c r="Y7496" s="97"/>
    </row>
    <row r="7497" spans="25:25" x14ac:dyDescent="0.2">
      <c r="Y7497" s="97"/>
    </row>
    <row r="7498" spans="25:25" x14ac:dyDescent="0.2">
      <c r="Y7498" s="97"/>
    </row>
    <row r="7499" spans="25:25" x14ac:dyDescent="0.2">
      <c r="Y7499" s="97"/>
    </row>
    <row r="7500" spans="25:25" x14ac:dyDescent="0.2">
      <c r="Y7500" s="97"/>
    </row>
    <row r="7501" spans="25:25" x14ac:dyDescent="0.2">
      <c r="Y7501" s="97"/>
    </row>
    <row r="7502" spans="25:25" x14ac:dyDescent="0.2">
      <c r="Y7502" s="97"/>
    </row>
    <row r="7503" spans="25:25" x14ac:dyDescent="0.2">
      <c r="Y7503" s="97"/>
    </row>
    <row r="7504" spans="25:25" x14ac:dyDescent="0.2">
      <c r="Y7504" s="97"/>
    </row>
    <row r="7505" spans="25:25" x14ac:dyDescent="0.2">
      <c r="Y7505" s="97"/>
    </row>
    <row r="7506" spans="25:25" x14ac:dyDescent="0.2">
      <c r="Y7506" s="97"/>
    </row>
    <row r="7507" spans="25:25" x14ac:dyDescent="0.2">
      <c r="Y7507" s="97"/>
    </row>
    <row r="7508" spans="25:25" x14ac:dyDescent="0.2">
      <c r="Y7508" s="97"/>
    </row>
    <row r="7509" spans="25:25" x14ac:dyDescent="0.2">
      <c r="Y7509" s="97"/>
    </row>
    <row r="7510" spans="25:25" x14ac:dyDescent="0.2">
      <c r="Y7510" s="97"/>
    </row>
    <row r="7511" spans="25:25" x14ac:dyDescent="0.2">
      <c r="Y7511" s="97"/>
    </row>
    <row r="7512" spans="25:25" x14ac:dyDescent="0.2">
      <c r="Y7512" s="97"/>
    </row>
    <row r="7513" spans="25:25" x14ac:dyDescent="0.2">
      <c r="Y7513" s="97"/>
    </row>
    <row r="7514" spans="25:25" x14ac:dyDescent="0.2">
      <c r="Y7514" s="97"/>
    </row>
    <row r="7515" spans="25:25" x14ac:dyDescent="0.2">
      <c r="Y7515" s="97"/>
    </row>
    <row r="7516" spans="25:25" x14ac:dyDescent="0.2">
      <c r="Y7516" s="97"/>
    </row>
    <row r="7517" spans="25:25" x14ac:dyDescent="0.2">
      <c r="Y7517" s="97"/>
    </row>
    <row r="7518" spans="25:25" x14ac:dyDescent="0.2">
      <c r="Y7518" s="97"/>
    </row>
    <row r="7519" spans="25:25" x14ac:dyDescent="0.2">
      <c r="Y7519" s="97"/>
    </row>
    <row r="7520" spans="25:25" x14ac:dyDescent="0.2">
      <c r="Y7520" s="97"/>
    </row>
    <row r="7521" spans="25:25" x14ac:dyDescent="0.2">
      <c r="Y7521" s="97"/>
    </row>
    <row r="7522" spans="25:25" x14ac:dyDescent="0.2">
      <c r="Y7522" s="97"/>
    </row>
    <row r="7523" spans="25:25" x14ac:dyDescent="0.2">
      <c r="Y7523" s="97"/>
    </row>
    <row r="7524" spans="25:25" x14ac:dyDescent="0.2">
      <c r="Y7524" s="97"/>
    </row>
    <row r="7525" spans="25:25" x14ac:dyDescent="0.2">
      <c r="Y7525" s="97"/>
    </row>
    <row r="7526" spans="25:25" x14ac:dyDescent="0.2">
      <c r="Y7526" s="97"/>
    </row>
    <row r="7527" spans="25:25" x14ac:dyDescent="0.2">
      <c r="Y7527" s="97"/>
    </row>
    <row r="7528" spans="25:25" x14ac:dyDescent="0.2">
      <c r="Y7528" s="97"/>
    </row>
    <row r="7529" spans="25:25" x14ac:dyDescent="0.2">
      <c r="Y7529" s="97"/>
    </row>
    <row r="7530" spans="25:25" x14ac:dyDescent="0.2">
      <c r="Y7530" s="97"/>
    </row>
    <row r="7531" spans="25:25" x14ac:dyDescent="0.2">
      <c r="Y7531" s="97"/>
    </row>
    <row r="7532" spans="25:25" x14ac:dyDescent="0.2">
      <c r="Y7532" s="97"/>
    </row>
    <row r="7533" spans="25:25" x14ac:dyDescent="0.2">
      <c r="Y7533" s="97"/>
    </row>
    <row r="7534" spans="25:25" x14ac:dyDescent="0.2">
      <c r="Y7534" s="97"/>
    </row>
    <row r="7535" spans="25:25" x14ac:dyDescent="0.2">
      <c r="Y7535" s="97"/>
    </row>
    <row r="7536" spans="25:25" x14ac:dyDescent="0.2">
      <c r="Y7536" s="97"/>
    </row>
    <row r="7537" spans="25:25" x14ac:dyDescent="0.2">
      <c r="Y7537" s="97"/>
    </row>
    <row r="7538" spans="25:25" x14ac:dyDescent="0.2">
      <c r="Y7538" s="97"/>
    </row>
    <row r="7539" spans="25:25" x14ac:dyDescent="0.2">
      <c r="Y7539" s="97"/>
    </row>
    <row r="7540" spans="25:25" x14ac:dyDescent="0.2">
      <c r="Y7540" s="97"/>
    </row>
    <row r="7541" spans="25:25" x14ac:dyDescent="0.2">
      <c r="Y7541" s="97"/>
    </row>
    <row r="7542" spans="25:25" x14ac:dyDescent="0.2">
      <c r="Y7542" s="97"/>
    </row>
    <row r="7543" spans="25:25" x14ac:dyDescent="0.2">
      <c r="Y7543" s="97"/>
    </row>
    <row r="7544" spans="25:25" x14ac:dyDescent="0.2">
      <c r="Y7544" s="97"/>
    </row>
    <row r="7545" spans="25:25" x14ac:dyDescent="0.2">
      <c r="Y7545" s="97"/>
    </row>
    <row r="7546" spans="25:25" x14ac:dyDescent="0.2">
      <c r="Y7546" s="97"/>
    </row>
    <row r="7547" spans="25:25" x14ac:dyDescent="0.2">
      <c r="Y7547" s="97"/>
    </row>
    <row r="7548" spans="25:25" x14ac:dyDescent="0.2">
      <c r="Y7548" s="97"/>
    </row>
    <row r="7549" spans="25:25" x14ac:dyDescent="0.2">
      <c r="Y7549" s="97"/>
    </row>
    <row r="7550" spans="25:25" x14ac:dyDescent="0.2">
      <c r="Y7550" s="97"/>
    </row>
    <row r="7551" spans="25:25" x14ac:dyDescent="0.2">
      <c r="Y7551" s="97"/>
    </row>
    <row r="7552" spans="25:25" x14ac:dyDescent="0.2">
      <c r="Y7552" s="97"/>
    </row>
    <row r="7553" spans="25:25" x14ac:dyDescent="0.2">
      <c r="Y7553" s="97"/>
    </row>
    <row r="7554" spans="25:25" x14ac:dyDescent="0.2">
      <c r="Y7554" s="97"/>
    </row>
    <row r="7555" spans="25:25" x14ac:dyDescent="0.2">
      <c r="Y7555" s="97"/>
    </row>
    <row r="7556" spans="25:25" x14ac:dyDescent="0.2">
      <c r="Y7556" s="97"/>
    </row>
    <row r="7557" spans="25:25" x14ac:dyDescent="0.2">
      <c r="Y7557" s="97"/>
    </row>
    <row r="7558" spans="25:25" x14ac:dyDescent="0.2">
      <c r="Y7558" s="97"/>
    </row>
    <row r="7559" spans="25:25" x14ac:dyDescent="0.2">
      <c r="Y7559" s="97"/>
    </row>
    <row r="7560" spans="25:25" x14ac:dyDescent="0.2">
      <c r="Y7560" s="97"/>
    </row>
    <row r="7561" spans="25:25" x14ac:dyDescent="0.2">
      <c r="Y7561" s="97"/>
    </row>
    <row r="7562" spans="25:25" x14ac:dyDescent="0.2">
      <c r="Y7562" s="97"/>
    </row>
    <row r="7563" spans="25:25" x14ac:dyDescent="0.2">
      <c r="Y7563" s="97"/>
    </row>
    <row r="7564" spans="25:25" x14ac:dyDescent="0.2">
      <c r="Y7564" s="97"/>
    </row>
    <row r="7565" spans="25:25" x14ac:dyDescent="0.2">
      <c r="Y7565" s="97"/>
    </row>
    <row r="7566" spans="25:25" x14ac:dyDescent="0.2">
      <c r="Y7566" s="97"/>
    </row>
    <row r="7567" spans="25:25" x14ac:dyDescent="0.2">
      <c r="Y7567" s="97"/>
    </row>
    <row r="7568" spans="25:25" x14ac:dyDescent="0.2">
      <c r="Y7568" s="97"/>
    </row>
    <row r="7569" spans="25:25" x14ac:dyDescent="0.2">
      <c r="Y7569" s="97"/>
    </row>
    <row r="7570" spans="25:25" x14ac:dyDescent="0.2">
      <c r="Y7570" s="97"/>
    </row>
    <row r="7571" spans="25:25" x14ac:dyDescent="0.2">
      <c r="Y7571" s="97"/>
    </row>
    <row r="7572" spans="25:25" x14ac:dyDescent="0.2">
      <c r="Y7572" s="97"/>
    </row>
    <row r="7573" spans="25:25" x14ac:dyDescent="0.2">
      <c r="Y7573" s="97"/>
    </row>
    <row r="7574" spans="25:25" x14ac:dyDescent="0.2">
      <c r="Y7574" s="97"/>
    </row>
    <row r="7575" spans="25:25" x14ac:dyDescent="0.2">
      <c r="Y7575" s="97"/>
    </row>
    <row r="7576" spans="25:25" x14ac:dyDescent="0.2">
      <c r="Y7576" s="97"/>
    </row>
    <row r="7577" spans="25:25" x14ac:dyDescent="0.2">
      <c r="Y7577" s="97"/>
    </row>
    <row r="7578" spans="25:25" x14ac:dyDescent="0.2">
      <c r="Y7578" s="97"/>
    </row>
    <row r="7579" spans="25:25" x14ac:dyDescent="0.2">
      <c r="Y7579" s="97"/>
    </row>
    <row r="7580" spans="25:25" x14ac:dyDescent="0.2">
      <c r="Y7580" s="97"/>
    </row>
    <row r="7581" spans="25:25" x14ac:dyDescent="0.2">
      <c r="Y7581" s="97"/>
    </row>
    <row r="7582" spans="25:25" x14ac:dyDescent="0.2">
      <c r="Y7582" s="97"/>
    </row>
    <row r="7583" spans="25:25" x14ac:dyDescent="0.2">
      <c r="Y7583" s="97"/>
    </row>
    <row r="7584" spans="25:25" x14ac:dyDescent="0.2">
      <c r="Y7584" s="97"/>
    </row>
    <row r="7585" spans="25:25" x14ac:dyDescent="0.2">
      <c r="Y7585" s="97"/>
    </row>
    <row r="7586" spans="25:25" x14ac:dyDescent="0.2">
      <c r="Y7586" s="97"/>
    </row>
    <row r="7587" spans="25:25" x14ac:dyDescent="0.2">
      <c r="Y7587" s="97"/>
    </row>
    <row r="7588" spans="25:25" x14ac:dyDescent="0.2">
      <c r="Y7588" s="97"/>
    </row>
    <row r="7589" spans="25:25" x14ac:dyDescent="0.2">
      <c r="Y7589" s="97"/>
    </row>
    <row r="7590" spans="25:25" x14ac:dyDescent="0.2">
      <c r="Y7590" s="97"/>
    </row>
    <row r="7591" spans="25:25" x14ac:dyDescent="0.2">
      <c r="Y7591" s="97"/>
    </row>
    <row r="7592" spans="25:25" x14ac:dyDescent="0.2">
      <c r="Y7592" s="97"/>
    </row>
    <row r="7593" spans="25:25" x14ac:dyDescent="0.2">
      <c r="Y7593" s="97"/>
    </row>
    <row r="7594" spans="25:25" x14ac:dyDescent="0.2">
      <c r="Y7594" s="97"/>
    </row>
    <row r="7595" spans="25:25" x14ac:dyDescent="0.2">
      <c r="Y7595" s="97"/>
    </row>
    <row r="7596" spans="25:25" x14ac:dyDescent="0.2">
      <c r="Y7596" s="97"/>
    </row>
    <row r="7597" spans="25:25" x14ac:dyDescent="0.2">
      <c r="Y7597" s="97"/>
    </row>
    <row r="7598" spans="25:25" x14ac:dyDescent="0.2">
      <c r="Y7598" s="97"/>
    </row>
    <row r="7599" spans="25:25" x14ac:dyDescent="0.2">
      <c r="Y7599" s="97"/>
    </row>
    <row r="7600" spans="25:25" x14ac:dyDescent="0.2">
      <c r="Y7600" s="97"/>
    </row>
    <row r="7601" spans="25:25" x14ac:dyDescent="0.2">
      <c r="Y7601" s="97"/>
    </row>
    <row r="7602" spans="25:25" x14ac:dyDescent="0.2">
      <c r="Y7602" s="97"/>
    </row>
    <row r="7603" spans="25:25" x14ac:dyDescent="0.2">
      <c r="Y7603" s="97"/>
    </row>
    <row r="7604" spans="25:25" x14ac:dyDescent="0.2">
      <c r="Y7604" s="97"/>
    </row>
    <row r="7605" spans="25:25" x14ac:dyDescent="0.2">
      <c r="Y7605" s="97"/>
    </row>
    <row r="7606" spans="25:25" x14ac:dyDescent="0.2">
      <c r="Y7606" s="97"/>
    </row>
    <row r="7607" spans="25:25" x14ac:dyDescent="0.2">
      <c r="Y7607" s="97"/>
    </row>
    <row r="7608" spans="25:25" x14ac:dyDescent="0.2">
      <c r="Y7608" s="97"/>
    </row>
    <row r="7609" spans="25:25" x14ac:dyDescent="0.2">
      <c r="Y7609" s="97"/>
    </row>
    <row r="7610" spans="25:25" x14ac:dyDescent="0.2">
      <c r="Y7610" s="97"/>
    </row>
    <row r="7611" spans="25:25" x14ac:dyDescent="0.2">
      <c r="Y7611" s="97"/>
    </row>
    <row r="7612" spans="25:25" x14ac:dyDescent="0.2">
      <c r="Y7612" s="97"/>
    </row>
    <row r="7613" spans="25:25" x14ac:dyDescent="0.2">
      <c r="Y7613" s="97"/>
    </row>
    <row r="7614" spans="25:25" x14ac:dyDescent="0.2">
      <c r="Y7614" s="97"/>
    </row>
    <row r="7615" spans="25:25" x14ac:dyDescent="0.2">
      <c r="Y7615" s="97"/>
    </row>
    <row r="7616" spans="25:25" x14ac:dyDescent="0.2">
      <c r="Y7616" s="97"/>
    </row>
    <row r="7617" spans="25:25" x14ac:dyDescent="0.2">
      <c r="Y7617" s="97"/>
    </row>
    <row r="7618" spans="25:25" x14ac:dyDescent="0.2">
      <c r="Y7618" s="97"/>
    </row>
    <row r="7619" spans="25:25" x14ac:dyDescent="0.2">
      <c r="Y7619" s="97"/>
    </row>
    <row r="7620" spans="25:25" x14ac:dyDescent="0.2">
      <c r="Y7620" s="97"/>
    </row>
    <row r="7621" spans="25:25" x14ac:dyDescent="0.2">
      <c r="Y7621" s="97"/>
    </row>
    <row r="7622" spans="25:25" x14ac:dyDescent="0.2">
      <c r="Y7622" s="97"/>
    </row>
    <row r="7623" spans="25:25" x14ac:dyDescent="0.2">
      <c r="Y7623" s="97"/>
    </row>
    <row r="7624" spans="25:25" x14ac:dyDescent="0.2">
      <c r="Y7624" s="97"/>
    </row>
    <row r="7625" spans="25:25" x14ac:dyDescent="0.2">
      <c r="Y7625" s="97"/>
    </row>
    <row r="7626" spans="25:25" x14ac:dyDescent="0.2">
      <c r="Y7626" s="97"/>
    </row>
    <row r="7627" spans="25:25" x14ac:dyDescent="0.2">
      <c r="Y7627" s="97"/>
    </row>
    <row r="7628" spans="25:25" x14ac:dyDescent="0.2">
      <c r="Y7628" s="97"/>
    </row>
    <row r="7629" spans="25:25" x14ac:dyDescent="0.2">
      <c r="Y7629" s="97"/>
    </row>
    <row r="7630" spans="25:25" x14ac:dyDescent="0.2">
      <c r="Y7630" s="97"/>
    </row>
    <row r="7631" spans="25:25" x14ac:dyDescent="0.2">
      <c r="Y7631" s="97"/>
    </row>
    <row r="7632" spans="25:25" x14ac:dyDescent="0.2">
      <c r="Y7632" s="97"/>
    </row>
    <row r="7633" spans="25:25" x14ac:dyDescent="0.2">
      <c r="Y7633" s="97"/>
    </row>
    <row r="7634" spans="25:25" x14ac:dyDescent="0.2">
      <c r="Y7634" s="97"/>
    </row>
    <row r="7635" spans="25:25" x14ac:dyDescent="0.2">
      <c r="Y7635" s="97"/>
    </row>
    <row r="7636" spans="25:25" x14ac:dyDescent="0.2">
      <c r="Y7636" s="97"/>
    </row>
    <row r="7637" spans="25:25" x14ac:dyDescent="0.2">
      <c r="Y7637" s="97"/>
    </row>
    <row r="7638" spans="25:25" x14ac:dyDescent="0.2">
      <c r="Y7638" s="97"/>
    </row>
    <row r="7639" spans="25:25" x14ac:dyDescent="0.2">
      <c r="Y7639" s="97"/>
    </row>
    <row r="7640" spans="25:25" x14ac:dyDescent="0.2">
      <c r="Y7640" s="97"/>
    </row>
    <row r="7641" spans="25:25" x14ac:dyDescent="0.2">
      <c r="Y7641" s="97"/>
    </row>
    <row r="7642" spans="25:25" x14ac:dyDescent="0.2">
      <c r="Y7642" s="97"/>
    </row>
    <row r="7643" spans="25:25" x14ac:dyDescent="0.2">
      <c r="Y7643" s="97"/>
    </row>
    <row r="7644" spans="25:25" x14ac:dyDescent="0.2">
      <c r="Y7644" s="97"/>
    </row>
    <row r="7645" spans="25:25" x14ac:dyDescent="0.2">
      <c r="Y7645" s="97"/>
    </row>
    <row r="7646" spans="25:25" x14ac:dyDescent="0.2">
      <c r="Y7646" s="97"/>
    </row>
    <row r="7647" spans="25:25" x14ac:dyDescent="0.2">
      <c r="Y7647" s="97"/>
    </row>
    <row r="7648" spans="25:25" x14ac:dyDescent="0.2">
      <c r="Y7648" s="97"/>
    </row>
    <row r="7649" spans="25:25" x14ac:dyDescent="0.2">
      <c r="Y7649" s="97"/>
    </row>
    <row r="7650" spans="25:25" x14ac:dyDescent="0.2">
      <c r="Y7650" s="97"/>
    </row>
    <row r="7651" spans="25:25" x14ac:dyDescent="0.2">
      <c r="Y7651" s="97"/>
    </row>
    <row r="7652" spans="25:25" x14ac:dyDescent="0.2">
      <c r="Y7652" s="97"/>
    </row>
    <row r="7653" spans="25:25" x14ac:dyDescent="0.2">
      <c r="Y7653" s="97"/>
    </row>
    <row r="7654" spans="25:25" x14ac:dyDescent="0.2">
      <c r="Y7654" s="97"/>
    </row>
    <row r="7655" spans="25:25" x14ac:dyDescent="0.2">
      <c r="Y7655" s="97"/>
    </row>
    <row r="7656" spans="25:25" x14ac:dyDescent="0.2">
      <c r="Y7656" s="97"/>
    </row>
    <row r="7657" spans="25:25" x14ac:dyDescent="0.2">
      <c r="Y7657" s="97"/>
    </row>
    <row r="7658" spans="25:25" x14ac:dyDescent="0.2">
      <c r="Y7658" s="97"/>
    </row>
    <row r="7659" spans="25:25" x14ac:dyDescent="0.2">
      <c r="Y7659" s="97"/>
    </row>
    <row r="7660" spans="25:25" x14ac:dyDescent="0.2">
      <c r="Y7660" s="97"/>
    </row>
    <row r="7661" spans="25:25" x14ac:dyDescent="0.2">
      <c r="Y7661" s="97"/>
    </row>
    <row r="7662" spans="25:25" x14ac:dyDescent="0.2">
      <c r="Y7662" s="97"/>
    </row>
    <row r="7663" spans="25:25" x14ac:dyDescent="0.2">
      <c r="Y7663" s="97"/>
    </row>
    <row r="7664" spans="25:25" x14ac:dyDescent="0.2">
      <c r="Y7664" s="97"/>
    </row>
    <row r="7665" spans="25:25" x14ac:dyDescent="0.2">
      <c r="Y7665" s="97"/>
    </row>
    <row r="7666" spans="25:25" x14ac:dyDescent="0.2">
      <c r="Y7666" s="97"/>
    </row>
    <row r="7667" spans="25:25" x14ac:dyDescent="0.2">
      <c r="Y7667" s="97"/>
    </row>
    <row r="7668" spans="25:25" x14ac:dyDescent="0.2">
      <c r="Y7668" s="97"/>
    </row>
    <row r="7669" spans="25:25" x14ac:dyDescent="0.2">
      <c r="Y7669" s="97"/>
    </row>
    <row r="7670" spans="25:25" x14ac:dyDescent="0.2">
      <c r="Y7670" s="97"/>
    </row>
    <row r="7671" spans="25:25" x14ac:dyDescent="0.2">
      <c r="Y7671" s="97"/>
    </row>
    <row r="7672" spans="25:25" x14ac:dyDescent="0.2">
      <c r="Y7672" s="97"/>
    </row>
    <row r="7673" spans="25:25" x14ac:dyDescent="0.2">
      <c r="Y7673" s="97"/>
    </row>
    <row r="7674" spans="25:25" x14ac:dyDescent="0.2">
      <c r="Y7674" s="97"/>
    </row>
    <row r="7675" spans="25:25" x14ac:dyDescent="0.2">
      <c r="Y7675" s="97"/>
    </row>
    <row r="7676" spans="25:25" x14ac:dyDescent="0.2">
      <c r="Y7676" s="97"/>
    </row>
    <row r="7677" spans="25:25" x14ac:dyDescent="0.2">
      <c r="Y7677" s="97"/>
    </row>
    <row r="7678" spans="25:25" x14ac:dyDescent="0.2">
      <c r="Y7678" s="97"/>
    </row>
    <row r="7679" spans="25:25" x14ac:dyDescent="0.2">
      <c r="Y7679" s="97"/>
    </row>
    <row r="7680" spans="25:25" x14ac:dyDescent="0.2">
      <c r="Y7680" s="97"/>
    </row>
    <row r="7681" spans="25:25" x14ac:dyDescent="0.2">
      <c r="Y7681" s="97"/>
    </row>
    <row r="7682" spans="25:25" x14ac:dyDescent="0.2">
      <c r="Y7682" s="97"/>
    </row>
    <row r="7683" spans="25:25" x14ac:dyDescent="0.2">
      <c r="Y7683" s="97"/>
    </row>
    <row r="7684" spans="25:25" x14ac:dyDescent="0.2">
      <c r="Y7684" s="97"/>
    </row>
    <row r="7685" spans="25:25" x14ac:dyDescent="0.2">
      <c r="Y7685" s="97"/>
    </row>
    <row r="7686" spans="25:25" x14ac:dyDescent="0.2">
      <c r="Y7686" s="97"/>
    </row>
    <row r="7687" spans="25:25" x14ac:dyDescent="0.2">
      <c r="Y7687" s="97"/>
    </row>
    <row r="7688" spans="25:25" x14ac:dyDescent="0.2">
      <c r="Y7688" s="97"/>
    </row>
    <row r="7689" spans="25:25" x14ac:dyDescent="0.2">
      <c r="Y7689" s="97"/>
    </row>
    <row r="7690" spans="25:25" x14ac:dyDescent="0.2">
      <c r="Y7690" s="97"/>
    </row>
    <row r="7691" spans="25:25" x14ac:dyDescent="0.2">
      <c r="Y7691" s="97"/>
    </row>
    <row r="7692" spans="25:25" x14ac:dyDescent="0.2">
      <c r="Y7692" s="97"/>
    </row>
    <row r="7693" spans="25:25" x14ac:dyDescent="0.2">
      <c r="Y7693" s="97"/>
    </row>
    <row r="7694" spans="25:25" x14ac:dyDescent="0.2">
      <c r="Y7694" s="97"/>
    </row>
    <row r="7695" spans="25:25" x14ac:dyDescent="0.2">
      <c r="Y7695" s="97"/>
    </row>
    <row r="7696" spans="25:25" x14ac:dyDescent="0.2">
      <c r="Y7696" s="97"/>
    </row>
    <row r="7697" spans="25:25" x14ac:dyDescent="0.2">
      <c r="Y7697" s="97"/>
    </row>
    <row r="7698" spans="25:25" x14ac:dyDescent="0.2">
      <c r="Y7698" s="97"/>
    </row>
    <row r="7699" spans="25:25" x14ac:dyDescent="0.2">
      <c r="Y7699" s="97"/>
    </row>
    <row r="7700" spans="25:25" x14ac:dyDescent="0.2">
      <c r="Y7700" s="97"/>
    </row>
    <row r="7701" spans="25:25" x14ac:dyDescent="0.2">
      <c r="Y7701" s="97"/>
    </row>
    <row r="7702" spans="25:25" x14ac:dyDescent="0.2">
      <c r="Y7702" s="97"/>
    </row>
    <row r="7703" spans="25:25" x14ac:dyDescent="0.2">
      <c r="Y7703" s="97"/>
    </row>
    <row r="7704" spans="25:25" x14ac:dyDescent="0.2">
      <c r="Y7704" s="97"/>
    </row>
    <row r="7705" spans="25:25" x14ac:dyDescent="0.2">
      <c r="Y7705" s="97"/>
    </row>
    <row r="7706" spans="25:25" x14ac:dyDescent="0.2">
      <c r="Y7706" s="97"/>
    </row>
    <row r="7707" spans="25:25" x14ac:dyDescent="0.2">
      <c r="Y7707" s="97"/>
    </row>
    <row r="7708" spans="25:25" x14ac:dyDescent="0.2">
      <c r="Y7708" s="97"/>
    </row>
    <row r="7709" spans="25:25" x14ac:dyDescent="0.2">
      <c r="Y7709" s="97"/>
    </row>
    <row r="7710" spans="25:25" x14ac:dyDescent="0.2">
      <c r="Y7710" s="97"/>
    </row>
    <row r="7711" spans="25:25" x14ac:dyDescent="0.2">
      <c r="Y7711" s="97"/>
    </row>
    <row r="7712" spans="25:25" x14ac:dyDescent="0.2">
      <c r="Y7712" s="97"/>
    </row>
    <row r="7713" spans="25:25" x14ac:dyDescent="0.2">
      <c r="Y7713" s="97"/>
    </row>
    <row r="7714" spans="25:25" x14ac:dyDescent="0.2">
      <c r="Y7714" s="97"/>
    </row>
    <row r="7715" spans="25:25" x14ac:dyDescent="0.2">
      <c r="Y7715" s="97"/>
    </row>
    <row r="7716" spans="25:25" x14ac:dyDescent="0.2">
      <c r="Y7716" s="97"/>
    </row>
    <row r="7717" spans="25:25" x14ac:dyDescent="0.2">
      <c r="Y7717" s="97"/>
    </row>
    <row r="7718" spans="25:25" x14ac:dyDescent="0.2">
      <c r="Y7718" s="97"/>
    </row>
    <row r="7719" spans="25:25" x14ac:dyDescent="0.2">
      <c r="Y7719" s="97"/>
    </row>
    <row r="7720" spans="25:25" x14ac:dyDescent="0.2">
      <c r="Y7720" s="97"/>
    </row>
    <row r="7721" spans="25:25" x14ac:dyDescent="0.2">
      <c r="Y7721" s="97"/>
    </row>
    <row r="7722" spans="25:25" x14ac:dyDescent="0.2">
      <c r="Y7722" s="97"/>
    </row>
    <row r="7723" spans="25:25" x14ac:dyDescent="0.2">
      <c r="Y7723" s="97"/>
    </row>
    <row r="7724" spans="25:25" x14ac:dyDescent="0.2">
      <c r="Y7724" s="97"/>
    </row>
    <row r="7725" spans="25:25" x14ac:dyDescent="0.2">
      <c r="Y7725" s="97"/>
    </row>
    <row r="7726" spans="25:25" x14ac:dyDescent="0.2">
      <c r="Y7726" s="97"/>
    </row>
    <row r="7727" spans="25:25" x14ac:dyDescent="0.2">
      <c r="Y7727" s="97"/>
    </row>
    <row r="7728" spans="25:25" x14ac:dyDescent="0.2">
      <c r="Y7728" s="97"/>
    </row>
    <row r="7729" spans="25:25" x14ac:dyDescent="0.2">
      <c r="Y7729" s="97"/>
    </row>
    <row r="7730" spans="25:25" x14ac:dyDescent="0.2">
      <c r="Y7730" s="97"/>
    </row>
    <row r="7731" spans="25:25" x14ac:dyDescent="0.2">
      <c r="Y7731" s="97"/>
    </row>
    <row r="7732" spans="25:25" x14ac:dyDescent="0.2">
      <c r="Y7732" s="97"/>
    </row>
    <row r="7733" spans="25:25" x14ac:dyDescent="0.2">
      <c r="Y7733" s="97"/>
    </row>
    <row r="7734" spans="25:25" x14ac:dyDescent="0.2">
      <c r="Y7734" s="97"/>
    </row>
    <row r="7735" spans="25:25" x14ac:dyDescent="0.2">
      <c r="Y7735" s="97"/>
    </row>
    <row r="7736" spans="25:25" x14ac:dyDescent="0.2">
      <c r="Y7736" s="97"/>
    </row>
    <row r="7737" spans="25:25" x14ac:dyDescent="0.2">
      <c r="Y7737" s="97"/>
    </row>
    <row r="7738" spans="25:25" x14ac:dyDescent="0.2">
      <c r="Y7738" s="97"/>
    </row>
    <row r="7739" spans="25:25" x14ac:dyDescent="0.2">
      <c r="Y7739" s="97"/>
    </row>
    <row r="7740" spans="25:25" x14ac:dyDescent="0.2">
      <c r="Y7740" s="97"/>
    </row>
    <row r="7741" spans="25:25" x14ac:dyDescent="0.2">
      <c r="Y7741" s="97"/>
    </row>
    <row r="7742" spans="25:25" x14ac:dyDescent="0.2">
      <c r="Y7742" s="97"/>
    </row>
    <row r="7743" spans="25:25" x14ac:dyDescent="0.2">
      <c r="Y7743" s="97"/>
    </row>
    <row r="7744" spans="25:25" x14ac:dyDescent="0.2">
      <c r="Y7744" s="97"/>
    </row>
    <row r="7745" spans="25:25" x14ac:dyDescent="0.2">
      <c r="Y7745" s="97"/>
    </row>
    <row r="7746" spans="25:25" x14ac:dyDescent="0.2">
      <c r="Y7746" s="97"/>
    </row>
    <row r="7747" spans="25:25" x14ac:dyDescent="0.2">
      <c r="Y7747" s="97"/>
    </row>
    <row r="7748" spans="25:25" x14ac:dyDescent="0.2">
      <c r="Y7748" s="97"/>
    </row>
    <row r="7749" spans="25:25" x14ac:dyDescent="0.2">
      <c r="Y7749" s="97"/>
    </row>
    <row r="7750" spans="25:25" x14ac:dyDescent="0.2">
      <c r="Y7750" s="97"/>
    </row>
    <row r="7751" spans="25:25" x14ac:dyDescent="0.2">
      <c r="Y7751" s="97"/>
    </row>
    <row r="7752" spans="25:25" x14ac:dyDescent="0.2">
      <c r="Y7752" s="97"/>
    </row>
    <row r="7753" spans="25:25" x14ac:dyDescent="0.2">
      <c r="Y7753" s="97"/>
    </row>
    <row r="7754" spans="25:25" x14ac:dyDescent="0.2">
      <c r="Y7754" s="97"/>
    </row>
    <row r="7755" spans="25:25" x14ac:dyDescent="0.2">
      <c r="Y7755" s="97"/>
    </row>
    <row r="7756" spans="25:25" x14ac:dyDescent="0.2">
      <c r="Y7756" s="97"/>
    </row>
    <row r="7757" spans="25:25" x14ac:dyDescent="0.2">
      <c r="Y7757" s="97"/>
    </row>
    <row r="7758" spans="25:25" x14ac:dyDescent="0.2">
      <c r="Y7758" s="97"/>
    </row>
    <row r="7759" spans="25:25" x14ac:dyDescent="0.2">
      <c r="Y7759" s="97"/>
    </row>
    <row r="7760" spans="25:25" x14ac:dyDescent="0.2">
      <c r="Y7760" s="97"/>
    </row>
    <row r="7761" spans="25:25" x14ac:dyDescent="0.2">
      <c r="Y7761" s="97"/>
    </row>
    <row r="7762" spans="25:25" x14ac:dyDescent="0.2">
      <c r="Y7762" s="97"/>
    </row>
    <row r="7763" spans="25:25" x14ac:dyDescent="0.2">
      <c r="Y7763" s="97"/>
    </row>
    <row r="7764" spans="25:25" x14ac:dyDescent="0.2">
      <c r="Y7764" s="97"/>
    </row>
    <row r="7765" spans="25:25" x14ac:dyDescent="0.2">
      <c r="Y7765" s="97"/>
    </row>
    <row r="7766" spans="25:25" x14ac:dyDescent="0.2">
      <c r="Y7766" s="97"/>
    </row>
    <row r="7767" spans="25:25" x14ac:dyDescent="0.2">
      <c r="Y7767" s="97"/>
    </row>
    <row r="7768" spans="25:25" x14ac:dyDescent="0.2">
      <c r="Y7768" s="97"/>
    </row>
    <row r="7769" spans="25:25" x14ac:dyDescent="0.2">
      <c r="Y7769" s="97"/>
    </row>
    <row r="7770" spans="25:25" x14ac:dyDescent="0.2">
      <c r="Y7770" s="97"/>
    </row>
    <row r="7771" spans="25:25" x14ac:dyDescent="0.2">
      <c r="Y7771" s="97"/>
    </row>
    <row r="7772" spans="25:25" x14ac:dyDescent="0.2">
      <c r="Y7772" s="97"/>
    </row>
    <row r="7773" spans="25:25" x14ac:dyDescent="0.2">
      <c r="Y7773" s="97"/>
    </row>
    <row r="7774" spans="25:25" x14ac:dyDescent="0.2">
      <c r="Y7774" s="97"/>
    </row>
    <row r="7775" spans="25:25" x14ac:dyDescent="0.2">
      <c r="Y7775" s="97"/>
    </row>
    <row r="7776" spans="25:25" x14ac:dyDescent="0.2">
      <c r="Y7776" s="97"/>
    </row>
    <row r="7777" spans="25:25" x14ac:dyDescent="0.2">
      <c r="Y7777" s="97"/>
    </row>
    <row r="7778" spans="25:25" x14ac:dyDescent="0.2">
      <c r="Y7778" s="97"/>
    </row>
    <row r="7779" spans="25:25" x14ac:dyDescent="0.2">
      <c r="Y7779" s="97"/>
    </row>
    <row r="7780" spans="25:25" x14ac:dyDescent="0.2">
      <c r="Y7780" s="97"/>
    </row>
    <row r="7781" spans="25:25" x14ac:dyDescent="0.2">
      <c r="Y7781" s="97"/>
    </row>
    <row r="7782" spans="25:25" x14ac:dyDescent="0.2">
      <c r="Y7782" s="97"/>
    </row>
    <row r="7783" spans="25:25" x14ac:dyDescent="0.2">
      <c r="Y7783" s="97"/>
    </row>
    <row r="7784" spans="25:25" x14ac:dyDescent="0.2">
      <c r="Y7784" s="97"/>
    </row>
    <row r="7785" spans="25:25" x14ac:dyDescent="0.2">
      <c r="Y7785" s="97"/>
    </row>
    <row r="7786" spans="25:25" x14ac:dyDescent="0.2">
      <c r="Y7786" s="97"/>
    </row>
    <row r="7787" spans="25:25" x14ac:dyDescent="0.2">
      <c r="Y7787" s="97"/>
    </row>
    <row r="7788" spans="25:25" x14ac:dyDescent="0.2">
      <c r="Y7788" s="97"/>
    </row>
    <row r="7789" spans="25:25" x14ac:dyDescent="0.2">
      <c r="Y7789" s="97"/>
    </row>
    <row r="7790" spans="25:25" x14ac:dyDescent="0.2">
      <c r="Y7790" s="97"/>
    </row>
    <row r="7791" spans="25:25" x14ac:dyDescent="0.2">
      <c r="Y7791" s="97"/>
    </row>
    <row r="7792" spans="25:25" x14ac:dyDescent="0.2">
      <c r="Y7792" s="97"/>
    </row>
    <row r="7793" spans="25:25" x14ac:dyDescent="0.2">
      <c r="Y7793" s="97"/>
    </row>
    <row r="7794" spans="25:25" x14ac:dyDescent="0.2">
      <c r="Y7794" s="97"/>
    </row>
    <row r="7795" spans="25:25" x14ac:dyDescent="0.2">
      <c r="Y7795" s="97"/>
    </row>
    <row r="7796" spans="25:25" x14ac:dyDescent="0.2">
      <c r="Y7796" s="97"/>
    </row>
    <row r="7797" spans="25:25" x14ac:dyDescent="0.2">
      <c r="Y7797" s="97"/>
    </row>
    <row r="7798" spans="25:25" x14ac:dyDescent="0.2">
      <c r="Y7798" s="97"/>
    </row>
    <row r="7799" spans="25:25" x14ac:dyDescent="0.2">
      <c r="Y7799" s="97"/>
    </row>
    <row r="7800" spans="25:25" x14ac:dyDescent="0.2">
      <c r="Y7800" s="97"/>
    </row>
    <row r="7801" spans="25:25" x14ac:dyDescent="0.2">
      <c r="Y7801" s="97"/>
    </row>
    <row r="7802" spans="25:25" x14ac:dyDescent="0.2">
      <c r="Y7802" s="97"/>
    </row>
    <row r="7803" spans="25:25" x14ac:dyDescent="0.2">
      <c r="Y7803" s="97"/>
    </row>
    <row r="7804" spans="25:25" x14ac:dyDescent="0.2">
      <c r="Y7804" s="97"/>
    </row>
    <row r="7805" spans="25:25" x14ac:dyDescent="0.2">
      <c r="Y7805" s="97"/>
    </row>
    <row r="7806" spans="25:25" x14ac:dyDescent="0.2">
      <c r="Y7806" s="97"/>
    </row>
    <row r="7807" spans="25:25" x14ac:dyDescent="0.2">
      <c r="Y7807" s="97"/>
    </row>
    <row r="7808" spans="25:25" x14ac:dyDescent="0.2">
      <c r="Y7808" s="97"/>
    </row>
    <row r="7809" spans="25:25" x14ac:dyDescent="0.2">
      <c r="Y7809" s="97"/>
    </row>
    <row r="7810" spans="25:25" x14ac:dyDescent="0.2">
      <c r="Y7810" s="97"/>
    </row>
    <row r="7811" spans="25:25" x14ac:dyDescent="0.2">
      <c r="Y7811" s="97"/>
    </row>
    <row r="7812" spans="25:25" x14ac:dyDescent="0.2">
      <c r="Y7812" s="97"/>
    </row>
    <row r="7813" spans="25:25" x14ac:dyDescent="0.2">
      <c r="Y7813" s="97"/>
    </row>
    <row r="7814" spans="25:25" x14ac:dyDescent="0.2">
      <c r="Y7814" s="97"/>
    </row>
    <row r="7815" spans="25:25" x14ac:dyDescent="0.2">
      <c r="Y7815" s="97"/>
    </row>
    <row r="7816" spans="25:25" x14ac:dyDescent="0.2">
      <c r="Y7816" s="97"/>
    </row>
    <row r="7817" spans="25:25" x14ac:dyDescent="0.2">
      <c r="Y7817" s="97"/>
    </row>
    <row r="7818" spans="25:25" x14ac:dyDescent="0.2">
      <c r="Y7818" s="97"/>
    </row>
    <row r="7819" spans="25:25" x14ac:dyDescent="0.2">
      <c r="Y7819" s="97"/>
    </row>
    <row r="7820" spans="25:25" x14ac:dyDescent="0.2">
      <c r="Y7820" s="97"/>
    </row>
    <row r="7821" spans="25:25" x14ac:dyDescent="0.2">
      <c r="Y7821" s="97"/>
    </row>
    <row r="7822" spans="25:25" x14ac:dyDescent="0.2">
      <c r="Y7822" s="97"/>
    </row>
    <row r="7823" spans="25:25" x14ac:dyDescent="0.2">
      <c r="Y7823" s="97"/>
    </row>
    <row r="7824" spans="25:25" x14ac:dyDescent="0.2">
      <c r="Y7824" s="97"/>
    </row>
    <row r="7825" spans="25:25" x14ac:dyDescent="0.2">
      <c r="Y7825" s="97"/>
    </row>
    <row r="7826" spans="25:25" x14ac:dyDescent="0.2">
      <c r="Y7826" s="97"/>
    </row>
    <row r="7827" spans="25:25" x14ac:dyDescent="0.2">
      <c r="Y7827" s="97"/>
    </row>
    <row r="7828" spans="25:25" x14ac:dyDescent="0.2">
      <c r="Y7828" s="97"/>
    </row>
    <row r="7829" spans="25:25" x14ac:dyDescent="0.2">
      <c r="Y7829" s="97"/>
    </row>
    <row r="7830" spans="25:25" x14ac:dyDescent="0.2">
      <c r="Y7830" s="97"/>
    </row>
    <row r="7831" spans="25:25" x14ac:dyDescent="0.2">
      <c r="Y7831" s="97"/>
    </row>
    <row r="7832" spans="25:25" x14ac:dyDescent="0.2">
      <c r="Y7832" s="97"/>
    </row>
    <row r="7833" spans="25:25" x14ac:dyDescent="0.2">
      <c r="Y7833" s="97"/>
    </row>
    <row r="7834" spans="25:25" x14ac:dyDescent="0.2">
      <c r="Y7834" s="97"/>
    </row>
    <row r="7835" spans="25:25" x14ac:dyDescent="0.2">
      <c r="Y7835" s="97"/>
    </row>
    <row r="7836" spans="25:25" x14ac:dyDescent="0.2">
      <c r="Y7836" s="97"/>
    </row>
    <row r="7837" spans="25:25" x14ac:dyDescent="0.2">
      <c r="Y7837" s="97"/>
    </row>
    <row r="7838" spans="25:25" x14ac:dyDescent="0.2">
      <c r="Y7838" s="97"/>
    </row>
    <row r="7839" spans="25:25" x14ac:dyDescent="0.2">
      <c r="Y7839" s="97"/>
    </row>
    <row r="7840" spans="25:25" x14ac:dyDescent="0.2">
      <c r="Y7840" s="97"/>
    </row>
    <row r="7841" spans="25:25" x14ac:dyDescent="0.2">
      <c r="Y7841" s="97"/>
    </row>
    <row r="7842" spans="25:25" x14ac:dyDescent="0.2">
      <c r="Y7842" s="97"/>
    </row>
    <row r="7843" spans="25:25" x14ac:dyDescent="0.2">
      <c r="Y7843" s="97"/>
    </row>
    <row r="7844" spans="25:25" x14ac:dyDescent="0.2">
      <c r="Y7844" s="97"/>
    </row>
    <row r="7845" spans="25:25" x14ac:dyDescent="0.2">
      <c r="Y7845" s="97"/>
    </row>
    <row r="7846" spans="25:25" x14ac:dyDescent="0.2">
      <c r="Y7846" s="97"/>
    </row>
    <row r="7847" spans="25:25" x14ac:dyDescent="0.2">
      <c r="Y7847" s="97"/>
    </row>
    <row r="7848" spans="25:25" x14ac:dyDescent="0.2">
      <c r="Y7848" s="97"/>
    </row>
    <row r="7849" spans="25:25" x14ac:dyDescent="0.2">
      <c r="Y7849" s="97"/>
    </row>
    <row r="7850" spans="25:25" x14ac:dyDescent="0.2">
      <c r="Y7850" s="97"/>
    </row>
    <row r="7851" spans="25:25" x14ac:dyDescent="0.2">
      <c r="Y7851" s="97"/>
    </row>
    <row r="7852" spans="25:25" x14ac:dyDescent="0.2">
      <c r="Y7852" s="97"/>
    </row>
    <row r="7853" spans="25:25" x14ac:dyDescent="0.2">
      <c r="Y7853" s="97"/>
    </row>
    <row r="7854" spans="25:25" x14ac:dyDescent="0.2">
      <c r="Y7854" s="97"/>
    </row>
    <row r="7855" spans="25:25" x14ac:dyDescent="0.2">
      <c r="Y7855" s="97"/>
    </row>
    <row r="7856" spans="25:25" x14ac:dyDescent="0.2">
      <c r="Y7856" s="97"/>
    </row>
    <row r="7857" spans="25:25" x14ac:dyDescent="0.2">
      <c r="Y7857" s="97"/>
    </row>
    <row r="7858" spans="25:25" x14ac:dyDescent="0.2">
      <c r="Y7858" s="97"/>
    </row>
    <row r="7859" spans="25:25" x14ac:dyDescent="0.2">
      <c r="Y7859" s="97"/>
    </row>
    <row r="7860" spans="25:25" x14ac:dyDescent="0.2">
      <c r="Y7860" s="97"/>
    </row>
    <row r="7861" spans="25:25" x14ac:dyDescent="0.2">
      <c r="Y7861" s="97"/>
    </row>
    <row r="7862" spans="25:25" x14ac:dyDescent="0.2">
      <c r="Y7862" s="97"/>
    </row>
    <row r="7863" spans="25:25" x14ac:dyDescent="0.2">
      <c r="Y7863" s="97"/>
    </row>
    <row r="7864" spans="25:25" x14ac:dyDescent="0.2">
      <c r="Y7864" s="97"/>
    </row>
    <row r="7865" spans="25:25" x14ac:dyDescent="0.2">
      <c r="Y7865" s="97"/>
    </row>
    <row r="7866" spans="25:25" x14ac:dyDescent="0.2">
      <c r="Y7866" s="97"/>
    </row>
    <row r="7867" spans="25:25" x14ac:dyDescent="0.2">
      <c r="Y7867" s="97"/>
    </row>
    <row r="7868" spans="25:25" x14ac:dyDescent="0.2">
      <c r="Y7868" s="97"/>
    </row>
    <row r="7869" spans="25:25" x14ac:dyDescent="0.2">
      <c r="Y7869" s="97"/>
    </row>
    <row r="7870" spans="25:25" x14ac:dyDescent="0.2">
      <c r="Y7870" s="97"/>
    </row>
    <row r="7871" spans="25:25" x14ac:dyDescent="0.2">
      <c r="Y7871" s="97"/>
    </row>
    <row r="7872" spans="25:25" x14ac:dyDescent="0.2">
      <c r="Y7872" s="97"/>
    </row>
    <row r="7873" spans="25:25" x14ac:dyDescent="0.2">
      <c r="Y7873" s="97"/>
    </row>
    <row r="7874" spans="25:25" x14ac:dyDescent="0.2">
      <c r="Y7874" s="97"/>
    </row>
    <row r="7875" spans="25:25" x14ac:dyDescent="0.2">
      <c r="Y7875" s="97"/>
    </row>
    <row r="7876" spans="25:25" x14ac:dyDescent="0.2">
      <c r="Y7876" s="97"/>
    </row>
    <row r="7877" spans="25:25" x14ac:dyDescent="0.2">
      <c r="Y7877" s="97"/>
    </row>
    <row r="7878" spans="25:25" x14ac:dyDescent="0.2">
      <c r="Y7878" s="97"/>
    </row>
    <row r="7879" spans="25:25" x14ac:dyDescent="0.2">
      <c r="Y7879" s="97"/>
    </row>
    <row r="7880" spans="25:25" x14ac:dyDescent="0.2">
      <c r="Y7880" s="97"/>
    </row>
    <row r="7881" spans="25:25" x14ac:dyDescent="0.2">
      <c r="Y7881" s="97"/>
    </row>
    <row r="7882" spans="25:25" x14ac:dyDescent="0.2">
      <c r="Y7882" s="97"/>
    </row>
    <row r="7883" spans="25:25" x14ac:dyDescent="0.2">
      <c r="Y7883" s="97"/>
    </row>
    <row r="7884" spans="25:25" x14ac:dyDescent="0.2">
      <c r="Y7884" s="97"/>
    </row>
    <row r="7885" spans="25:25" x14ac:dyDescent="0.2">
      <c r="Y7885" s="97"/>
    </row>
    <row r="7886" spans="25:25" x14ac:dyDescent="0.2">
      <c r="Y7886" s="97"/>
    </row>
    <row r="7887" spans="25:25" x14ac:dyDescent="0.2">
      <c r="Y7887" s="97"/>
    </row>
    <row r="7888" spans="25:25" x14ac:dyDescent="0.2">
      <c r="Y7888" s="97"/>
    </row>
    <row r="7889" spans="25:25" x14ac:dyDescent="0.2">
      <c r="Y7889" s="97"/>
    </row>
    <row r="7890" spans="25:25" x14ac:dyDescent="0.2">
      <c r="Y7890" s="97"/>
    </row>
    <row r="7891" spans="25:25" x14ac:dyDescent="0.2">
      <c r="Y7891" s="97"/>
    </row>
    <row r="7892" spans="25:25" x14ac:dyDescent="0.2">
      <c r="Y7892" s="97"/>
    </row>
    <row r="7893" spans="25:25" x14ac:dyDescent="0.2">
      <c r="Y7893" s="97"/>
    </row>
    <row r="7894" spans="25:25" x14ac:dyDescent="0.2">
      <c r="Y7894" s="97"/>
    </row>
    <row r="7895" spans="25:25" x14ac:dyDescent="0.2">
      <c r="Y7895" s="97"/>
    </row>
    <row r="7896" spans="25:25" x14ac:dyDescent="0.2">
      <c r="Y7896" s="97"/>
    </row>
    <row r="7897" spans="25:25" x14ac:dyDescent="0.2">
      <c r="Y7897" s="97"/>
    </row>
    <row r="7898" spans="25:25" x14ac:dyDescent="0.2">
      <c r="Y7898" s="97"/>
    </row>
    <row r="7899" spans="25:25" x14ac:dyDescent="0.2">
      <c r="Y7899" s="97"/>
    </row>
    <row r="7900" spans="25:25" x14ac:dyDescent="0.2">
      <c r="Y7900" s="97"/>
    </row>
    <row r="7901" spans="25:25" x14ac:dyDescent="0.2">
      <c r="Y7901" s="97"/>
    </row>
    <row r="7902" spans="25:25" x14ac:dyDescent="0.2">
      <c r="Y7902" s="97"/>
    </row>
    <row r="7903" spans="25:25" x14ac:dyDescent="0.2">
      <c r="Y7903" s="97"/>
    </row>
    <row r="7904" spans="25:25" x14ac:dyDescent="0.2">
      <c r="Y7904" s="97"/>
    </row>
    <row r="7905" spans="25:25" x14ac:dyDescent="0.2">
      <c r="Y7905" s="97"/>
    </row>
    <row r="7906" spans="25:25" x14ac:dyDescent="0.2">
      <c r="Y7906" s="97"/>
    </row>
    <row r="7907" spans="25:25" x14ac:dyDescent="0.2">
      <c r="Y7907" s="97"/>
    </row>
    <row r="7908" spans="25:25" x14ac:dyDescent="0.2">
      <c r="Y7908" s="97"/>
    </row>
    <row r="7909" spans="25:25" x14ac:dyDescent="0.2">
      <c r="Y7909" s="97"/>
    </row>
    <row r="7910" spans="25:25" x14ac:dyDescent="0.2">
      <c r="Y7910" s="97"/>
    </row>
    <row r="7911" spans="25:25" x14ac:dyDescent="0.2">
      <c r="Y7911" s="97"/>
    </row>
    <row r="7912" spans="25:25" x14ac:dyDescent="0.2">
      <c r="Y7912" s="97"/>
    </row>
    <row r="7913" spans="25:25" x14ac:dyDescent="0.2">
      <c r="Y7913" s="97"/>
    </row>
    <row r="7914" spans="25:25" x14ac:dyDescent="0.2">
      <c r="Y7914" s="97"/>
    </row>
    <row r="7915" spans="25:25" x14ac:dyDescent="0.2">
      <c r="Y7915" s="97"/>
    </row>
    <row r="7916" spans="25:25" x14ac:dyDescent="0.2">
      <c r="Y7916" s="97"/>
    </row>
    <row r="7917" spans="25:25" x14ac:dyDescent="0.2">
      <c r="Y7917" s="97"/>
    </row>
    <row r="7918" spans="25:25" x14ac:dyDescent="0.2">
      <c r="Y7918" s="97"/>
    </row>
    <row r="7919" spans="25:25" x14ac:dyDescent="0.2">
      <c r="Y7919" s="97"/>
    </row>
    <row r="7920" spans="25:25" x14ac:dyDescent="0.2">
      <c r="Y7920" s="97"/>
    </row>
    <row r="7921" spans="25:25" x14ac:dyDescent="0.2">
      <c r="Y7921" s="97"/>
    </row>
    <row r="7922" spans="25:25" x14ac:dyDescent="0.2">
      <c r="Y7922" s="97"/>
    </row>
    <row r="7923" spans="25:25" x14ac:dyDescent="0.2">
      <c r="Y7923" s="97"/>
    </row>
    <row r="7924" spans="25:25" x14ac:dyDescent="0.2">
      <c r="Y7924" s="97"/>
    </row>
    <row r="7925" spans="25:25" x14ac:dyDescent="0.2">
      <c r="Y7925" s="97"/>
    </row>
    <row r="7926" spans="25:25" x14ac:dyDescent="0.2">
      <c r="Y7926" s="97"/>
    </row>
    <row r="7927" spans="25:25" x14ac:dyDescent="0.2">
      <c r="Y7927" s="97"/>
    </row>
    <row r="7928" spans="25:25" x14ac:dyDescent="0.2">
      <c r="Y7928" s="97"/>
    </row>
    <row r="7929" spans="25:25" x14ac:dyDescent="0.2">
      <c r="Y7929" s="97"/>
    </row>
    <row r="7930" spans="25:25" x14ac:dyDescent="0.2">
      <c r="Y7930" s="97"/>
    </row>
    <row r="7931" spans="25:25" x14ac:dyDescent="0.2">
      <c r="Y7931" s="97"/>
    </row>
    <row r="7932" spans="25:25" x14ac:dyDescent="0.2">
      <c r="Y7932" s="97"/>
    </row>
    <row r="7933" spans="25:25" x14ac:dyDescent="0.2">
      <c r="Y7933" s="97"/>
    </row>
    <row r="7934" spans="25:25" x14ac:dyDescent="0.2">
      <c r="Y7934" s="97"/>
    </row>
    <row r="7935" spans="25:25" x14ac:dyDescent="0.2">
      <c r="Y7935" s="97"/>
    </row>
    <row r="7936" spans="25:25" x14ac:dyDescent="0.2">
      <c r="Y7936" s="97"/>
    </row>
    <row r="7937" spans="25:25" x14ac:dyDescent="0.2">
      <c r="Y7937" s="97"/>
    </row>
    <row r="7938" spans="25:25" x14ac:dyDescent="0.2">
      <c r="Y7938" s="97"/>
    </row>
    <row r="7939" spans="25:25" x14ac:dyDescent="0.2">
      <c r="Y7939" s="97"/>
    </row>
    <row r="7940" spans="25:25" x14ac:dyDescent="0.2">
      <c r="Y7940" s="97"/>
    </row>
    <row r="7941" spans="25:25" x14ac:dyDescent="0.2">
      <c r="Y7941" s="97"/>
    </row>
    <row r="7942" spans="25:25" x14ac:dyDescent="0.2">
      <c r="Y7942" s="97"/>
    </row>
    <row r="7943" spans="25:25" x14ac:dyDescent="0.2">
      <c r="Y7943" s="97"/>
    </row>
    <row r="7944" spans="25:25" x14ac:dyDescent="0.2">
      <c r="Y7944" s="97"/>
    </row>
    <row r="7945" spans="25:25" x14ac:dyDescent="0.2">
      <c r="Y7945" s="97"/>
    </row>
    <row r="7946" spans="25:25" x14ac:dyDescent="0.2">
      <c r="Y7946" s="97"/>
    </row>
    <row r="7947" spans="25:25" x14ac:dyDescent="0.2">
      <c r="Y7947" s="97"/>
    </row>
    <row r="7948" spans="25:25" x14ac:dyDescent="0.2">
      <c r="Y7948" s="97"/>
    </row>
    <row r="7949" spans="25:25" x14ac:dyDescent="0.2">
      <c r="Y7949" s="97"/>
    </row>
    <row r="7950" spans="25:25" x14ac:dyDescent="0.2">
      <c r="Y7950" s="97"/>
    </row>
    <row r="7951" spans="25:25" x14ac:dyDescent="0.2">
      <c r="Y7951" s="97"/>
    </row>
    <row r="7952" spans="25:25" x14ac:dyDescent="0.2">
      <c r="Y7952" s="97"/>
    </row>
    <row r="7953" spans="25:25" x14ac:dyDescent="0.2">
      <c r="Y7953" s="97"/>
    </row>
    <row r="7954" spans="25:25" x14ac:dyDescent="0.2">
      <c r="Y7954" s="97"/>
    </row>
    <row r="7955" spans="25:25" x14ac:dyDescent="0.2">
      <c r="Y7955" s="97"/>
    </row>
    <row r="7956" spans="25:25" x14ac:dyDescent="0.2">
      <c r="Y7956" s="97"/>
    </row>
    <row r="7957" spans="25:25" x14ac:dyDescent="0.2">
      <c r="Y7957" s="97"/>
    </row>
    <row r="7958" spans="25:25" x14ac:dyDescent="0.2">
      <c r="Y7958" s="97"/>
    </row>
    <row r="7959" spans="25:25" x14ac:dyDescent="0.2">
      <c r="Y7959" s="97"/>
    </row>
    <row r="7960" spans="25:25" x14ac:dyDescent="0.2">
      <c r="Y7960" s="97"/>
    </row>
    <row r="7961" spans="25:25" x14ac:dyDescent="0.2">
      <c r="Y7961" s="97"/>
    </row>
    <row r="7962" spans="25:25" x14ac:dyDescent="0.2">
      <c r="Y7962" s="97"/>
    </row>
    <row r="7963" spans="25:25" x14ac:dyDescent="0.2">
      <c r="Y7963" s="97"/>
    </row>
    <row r="7964" spans="25:25" x14ac:dyDescent="0.2">
      <c r="Y7964" s="97"/>
    </row>
    <row r="7965" spans="25:25" x14ac:dyDescent="0.2">
      <c r="Y7965" s="97"/>
    </row>
    <row r="7966" spans="25:25" x14ac:dyDescent="0.2">
      <c r="Y7966" s="97"/>
    </row>
    <row r="7967" spans="25:25" x14ac:dyDescent="0.2">
      <c r="Y7967" s="97"/>
    </row>
    <row r="7968" spans="25:25" x14ac:dyDescent="0.2">
      <c r="Y7968" s="97"/>
    </row>
    <row r="7969" spans="25:25" x14ac:dyDescent="0.2">
      <c r="Y7969" s="97"/>
    </row>
    <row r="7970" spans="25:25" x14ac:dyDescent="0.2">
      <c r="Y7970" s="97"/>
    </row>
    <row r="7971" spans="25:25" x14ac:dyDescent="0.2">
      <c r="Y7971" s="97"/>
    </row>
    <row r="7972" spans="25:25" x14ac:dyDescent="0.2">
      <c r="Y7972" s="97"/>
    </row>
    <row r="7973" spans="25:25" x14ac:dyDescent="0.2">
      <c r="Y7973" s="97"/>
    </row>
    <row r="7974" spans="25:25" x14ac:dyDescent="0.2">
      <c r="Y7974" s="97"/>
    </row>
    <row r="7975" spans="25:25" x14ac:dyDescent="0.2">
      <c r="Y7975" s="97"/>
    </row>
    <row r="7976" spans="25:25" x14ac:dyDescent="0.2">
      <c r="Y7976" s="97"/>
    </row>
    <row r="7977" spans="25:25" x14ac:dyDescent="0.2">
      <c r="Y7977" s="97"/>
    </row>
    <row r="7978" spans="25:25" x14ac:dyDescent="0.2">
      <c r="Y7978" s="97"/>
    </row>
    <row r="7979" spans="25:25" x14ac:dyDescent="0.2">
      <c r="Y7979" s="97"/>
    </row>
    <row r="7980" spans="25:25" x14ac:dyDescent="0.2">
      <c r="Y7980" s="97"/>
    </row>
    <row r="7981" spans="25:25" x14ac:dyDescent="0.2">
      <c r="Y7981" s="97"/>
    </row>
    <row r="7982" spans="25:25" x14ac:dyDescent="0.2">
      <c r="Y7982" s="97"/>
    </row>
    <row r="7983" spans="25:25" x14ac:dyDescent="0.2">
      <c r="Y7983" s="97"/>
    </row>
    <row r="7984" spans="25:25" x14ac:dyDescent="0.2">
      <c r="Y7984" s="97"/>
    </row>
    <row r="7985" spans="25:25" x14ac:dyDescent="0.2">
      <c r="Y7985" s="97"/>
    </row>
    <row r="7986" spans="25:25" x14ac:dyDescent="0.2">
      <c r="Y7986" s="97"/>
    </row>
    <row r="7987" spans="25:25" x14ac:dyDescent="0.2">
      <c r="Y7987" s="97"/>
    </row>
    <row r="7988" spans="25:25" x14ac:dyDescent="0.2">
      <c r="Y7988" s="97"/>
    </row>
    <row r="7989" spans="25:25" x14ac:dyDescent="0.2">
      <c r="Y7989" s="97"/>
    </row>
    <row r="7990" spans="25:25" x14ac:dyDescent="0.2">
      <c r="Y7990" s="97"/>
    </row>
    <row r="7991" spans="25:25" x14ac:dyDescent="0.2">
      <c r="Y7991" s="97"/>
    </row>
    <row r="7992" spans="25:25" x14ac:dyDescent="0.2">
      <c r="Y7992" s="97"/>
    </row>
    <row r="7993" spans="25:25" x14ac:dyDescent="0.2">
      <c r="Y7993" s="97"/>
    </row>
    <row r="7994" spans="25:25" x14ac:dyDescent="0.2">
      <c r="Y7994" s="97"/>
    </row>
    <row r="7995" spans="25:25" x14ac:dyDescent="0.2">
      <c r="Y7995" s="97"/>
    </row>
    <row r="7996" spans="25:25" x14ac:dyDescent="0.2">
      <c r="Y7996" s="97"/>
    </row>
    <row r="7997" spans="25:25" x14ac:dyDescent="0.2">
      <c r="Y7997" s="97"/>
    </row>
    <row r="7998" spans="25:25" x14ac:dyDescent="0.2">
      <c r="Y7998" s="97"/>
    </row>
    <row r="7999" spans="25:25" x14ac:dyDescent="0.2">
      <c r="Y7999" s="97"/>
    </row>
    <row r="8000" spans="25:25" x14ac:dyDescent="0.2">
      <c r="Y8000" s="97"/>
    </row>
    <row r="8001" spans="25:25" x14ac:dyDescent="0.2">
      <c r="Y8001" s="97"/>
    </row>
    <row r="8002" spans="25:25" x14ac:dyDescent="0.2">
      <c r="Y8002" s="97"/>
    </row>
    <row r="8003" spans="25:25" x14ac:dyDescent="0.2">
      <c r="Y8003" s="97"/>
    </row>
    <row r="8004" spans="25:25" x14ac:dyDescent="0.2">
      <c r="Y8004" s="97"/>
    </row>
    <row r="8005" spans="25:25" x14ac:dyDescent="0.2">
      <c r="Y8005" s="97"/>
    </row>
    <row r="8006" spans="25:25" x14ac:dyDescent="0.2">
      <c r="Y8006" s="97"/>
    </row>
    <row r="8007" spans="25:25" x14ac:dyDescent="0.2">
      <c r="Y8007" s="97"/>
    </row>
    <row r="8008" spans="25:25" x14ac:dyDescent="0.2">
      <c r="Y8008" s="97"/>
    </row>
    <row r="8009" spans="25:25" x14ac:dyDescent="0.2">
      <c r="Y8009" s="97"/>
    </row>
    <row r="8010" spans="25:25" x14ac:dyDescent="0.2">
      <c r="Y8010" s="97"/>
    </row>
    <row r="8011" spans="25:25" x14ac:dyDescent="0.2">
      <c r="Y8011" s="97"/>
    </row>
    <row r="8012" spans="25:25" x14ac:dyDescent="0.2">
      <c r="Y8012" s="97"/>
    </row>
    <row r="8013" spans="25:25" x14ac:dyDescent="0.2">
      <c r="Y8013" s="97"/>
    </row>
    <row r="8014" spans="25:25" x14ac:dyDescent="0.2">
      <c r="Y8014" s="97"/>
    </row>
    <row r="8015" spans="25:25" x14ac:dyDescent="0.2">
      <c r="Y8015" s="97"/>
    </row>
    <row r="8016" spans="25:25" x14ac:dyDescent="0.2">
      <c r="Y8016" s="97"/>
    </row>
    <row r="8017" spans="25:25" x14ac:dyDescent="0.2">
      <c r="Y8017" s="97"/>
    </row>
    <row r="8018" spans="25:25" x14ac:dyDescent="0.2">
      <c r="Y8018" s="97"/>
    </row>
    <row r="8019" spans="25:25" x14ac:dyDescent="0.2">
      <c r="Y8019" s="97"/>
    </row>
    <row r="8020" spans="25:25" x14ac:dyDescent="0.2">
      <c r="Y8020" s="97"/>
    </row>
    <row r="8021" spans="25:25" x14ac:dyDescent="0.2">
      <c r="Y8021" s="97"/>
    </row>
    <row r="8022" spans="25:25" x14ac:dyDescent="0.2">
      <c r="Y8022" s="97"/>
    </row>
    <row r="8023" spans="25:25" x14ac:dyDescent="0.2">
      <c r="Y8023" s="97"/>
    </row>
    <row r="8024" spans="25:25" x14ac:dyDescent="0.2">
      <c r="Y8024" s="97"/>
    </row>
    <row r="8025" spans="25:25" x14ac:dyDescent="0.2">
      <c r="Y8025" s="97"/>
    </row>
    <row r="8026" spans="25:25" x14ac:dyDescent="0.2">
      <c r="Y8026" s="97"/>
    </row>
    <row r="8027" spans="25:25" x14ac:dyDescent="0.2">
      <c r="Y8027" s="97"/>
    </row>
    <row r="8028" spans="25:25" x14ac:dyDescent="0.2">
      <c r="Y8028" s="97"/>
    </row>
    <row r="8029" spans="25:25" x14ac:dyDescent="0.2">
      <c r="Y8029" s="97"/>
    </row>
    <row r="8030" spans="25:25" x14ac:dyDescent="0.2">
      <c r="Y8030" s="97"/>
    </row>
    <row r="8031" spans="25:25" x14ac:dyDescent="0.2">
      <c r="Y8031" s="97"/>
    </row>
    <row r="8032" spans="25:25" x14ac:dyDescent="0.2">
      <c r="Y8032" s="97"/>
    </row>
    <row r="8033" spans="25:25" x14ac:dyDescent="0.2">
      <c r="Y8033" s="97"/>
    </row>
    <row r="8034" spans="25:25" x14ac:dyDescent="0.2">
      <c r="Y8034" s="97"/>
    </row>
    <row r="8035" spans="25:25" x14ac:dyDescent="0.2">
      <c r="Y8035" s="97"/>
    </row>
    <row r="8036" spans="25:25" x14ac:dyDescent="0.2">
      <c r="Y8036" s="97"/>
    </row>
    <row r="8037" spans="25:25" x14ac:dyDescent="0.2">
      <c r="Y8037" s="97"/>
    </row>
    <row r="8038" spans="25:25" x14ac:dyDescent="0.2">
      <c r="Y8038" s="97"/>
    </row>
    <row r="8039" spans="25:25" x14ac:dyDescent="0.2">
      <c r="Y8039" s="97"/>
    </row>
    <row r="8040" spans="25:25" x14ac:dyDescent="0.2">
      <c r="Y8040" s="97"/>
    </row>
    <row r="8041" spans="25:25" x14ac:dyDescent="0.2">
      <c r="Y8041" s="97"/>
    </row>
    <row r="8042" spans="25:25" x14ac:dyDescent="0.2">
      <c r="Y8042" s="97"/>
    </row>
    <row r="8043" spans="25:25" x14ac:dyDescent="0.2">
      <c r="Y8043" s="97"/>
    </row>
    <row r="8044" spans="25:25" x14ac:dyDescent="0.2">
      <c r="Y8044" s="97"/>
    </row>
    <row r="8045" spans="25:25" x14ac:dyDescent="0.2">
      <c r="Y8045" s="97"/>
    </row>
    <row r="8046" spans="25:25" x14ac:dyDescent="0.2">
      <c r="Y8046" s="97"/>
    </row>
    <row r="8047" spans="25:25" x14ac:dyDescent="0.2">
      <c r="Y8047" s="97"/>
    </row>
    <row r="8048" spans="25:25" x14ac:dyDescent="0.2">
      <c r="Y8048" s="97"/>
    </row>
    <row r="8049" spans="25:25" x14ac:dyDescent="0.2">
      <c r="Y8049" s="97"/>
    </row>
    <row r="8050" spans="25:25" x14ac:dyDescent="0.2">
      <c r="Y8050" s="97"/>
    </row>
    <row r="8051" spans="25:25" x14ac:dyDescent="0.2">
      <c r="Y8051" s="97"/>
    </row>
    <row r="8052" spans="25:25" x14ac:dyDescent="0.2">
      <c r="Y8052" s="97"/>
    </row>
    <row r="8053" spans="25:25" x14ac:dyDescent="0.2">
      <c r="Y8053" s="97"/>
    </row>
    <row r="8054" spans="25:25" x14ac:dyDescent="0.2">
      <c r="Y8054" s="97"/>
    </row>
    <row r="8055" spans="25:25" x14ac:dyDescent="0.2">
      <c r="Y8055" s="97"/>
    </row>
    <row r="8056" spans="25:25" x14ac:dyDescent="0.2">
      <c r="Y8056" s="97"/>
    </row>
    <row r="8057" spans="25:25" x14ac:dyDescent="0.2">
      <c r="Y8057" s="97"/>
    </row>
    <row r="8058" spans="25:25" x14ac:dyDescent="0.2">
      <c r="Y8058" s="97"/>
    </row>
    <row r="8059" spans="25:25" x14ac:dyDescent="0.2">
      <c r="Y8059" s="97"/>
    </row>
    <row r="8060" spans="25:25" x14ac:dyDescent="0.2">
      <c r="Y8060" s="97"/>
    </row>
    <row r="8061" spans="25:25" x14ac:dyDescent="0.2">
      <c r="Y8061" s="97"/>
    </row>
    <row r="8062" spans="25:25" x14ac:dyDescent="0.2">
      <c r="Y8062" s="97"/>
    </row>
    <row r="8063" spans="25:25" x14ac:dyDescent="0.2">
      <c r="Y8063" s="97"/>
    </row>
    <row r="8064" spans="25:25" x14ac:dyDescent="0.2">
      <c r="Y8064" s="97"/>
    </row>
    <row r="8065" spans="25:25" x14ac:dyDescent="0.2">
      <c r="Y8065" s="97"/>
    </row>
    <row r="8066" spans="25:25" x14ac:dyDescent="0.2">
      <c r="Y8066" s="97"/>
    </row>
    <row r="8067" spans="25:25" x14ac:dyDescent="0.2">
      <c r="Y8067" s="97"/>
    </row>
    <row r="8068" spans="25:25" x14ac:dyDescent="0.2">
      <c r="Y8068" s="97"/>
    </row>
    <row r="8069" spans="25:25" x14ac:dyDescent="0.2">
      <c r="Y8069" s="97"/>
    </row>
    <row r="8070" spans="25:25" x14ac:dyDescent="0.2">
      <c r="Y8070" s="97"/>
    </row>
    <row r="8071" spans="25:25" x14ac:dyDescent="0.2">
      <c r="Y8071" s="97"/>
    </row>
    <row r="8072" spans="25:25" x14ac:dyDescent="0.2">
      <c r="Y8072" s="97"/>
    </row>
    <row r="8073" spans="25:25" x14ac:dyDescent="0.2">
      <c r="Y8073" s="97"/>
    </row>
    <row r="8074" spans="25:25" x14ac:dyDescent="0.2">
      <c r="Y8074" s="97"/>
    </row>
    <row r="8075" spans="25:25" x14ac:dyDescent="0.2">
      <c r="Y8075" s="97"/>
    </row>
    <row r="8076" spans="25:25" x14ac:dyDescent="0.2">
      <c r="Y8076" s="97"/>
    </row>
    <row r="8077" spans="25:25" x14ac:dyDescent="0.2">
      <c r="Y8077" s="97"/>
    </row>
    <row r="8078" spans="25:25" x14ac:dyDescent="0.2">
      <c r="Y8078" s="97"/>
    </row>
    <row r="8079" spans="25:25" x14ac:dyDescent="0.2">
      <c r="Y8079" s="97"/>
    </row>
    <row r="8080" spans="25:25" x14ac:dyDescent="0.2">
      <c r="Y8080" s="97"/>
    </row>
    <row r="8081" spans="25:25" x14ac:dyDescent="0.2">
      <c r="Y8081" s="97"/>
    </row>
    <row r="8082" spans="25:25" x14ac:dyDescent="0.2">
      <c r="Y8082" s="97"/>
    </row>
    <row r="8083" spans="25:25" x14ac:dyDescent="0.2">
      <c r="Y8083" s="97"/>
    </row>
    <row r="8084" spans="25:25" x14ac:dyDescent="0.2">
      <c r="Y8084" s="97"/>
    </row>
    <row r="8085" spans="25:25" x14ac:dyDescent="0.2">
      <c r="Y8085" s="97"/>
    </row>
    <row r="8086" spans="25:25" x14ac:dyDescent="0.2">
      <c r="Y8086" s="97"/>
    </row>
    <row r="8087" spans="25:25" x14ac:dyDescent="0.2">
      <c r="Y8087" s="97"/>
    </row>
    <row r="8088" spans="25:25" x14ac:dyDescent="0.2">
      <c r="Y8088" s="97"/>
    </row>
    <row r="8089" spans="25:25" x14ac:dyDescent="0.2">
      <c r="Y8089" s="97"/>
    </row>
    <row r="8090" spans="25:25" x14ac:dyDescent="0.2">
      <c r="Y8090" s="97"/>
    </row>
    <row r="8091" spans="25:25" x14ac:dyDescent="0.2">
      <c r="Y8091" s="97"/>
    </row>
    <row r="8092" spans="25:25" x14ac:dyDescent="0.2">
      <c r="Y8092" s="97"/>
    </row>
    <row r="8093" spans="25:25" x14ac:dyDescent="0.2">
      <c r="Y8093" s="97"/>
    </row>
    <row r="8094" spans="25:25" x14ac:dyDescent="0.2">
      <c r="Y8094" s="97"/>
    </row>
    <row r="8095" spans="25:25" x14ac:dyDescent="0.2">
      <c r="Y8095" s="97"/>
    </row>
    <row r="8096" spans="25:25" x14ac:dyDescent="0.2">
      <c r="Y8096" s="97"/>
    </row>
    <row r="8097" spans="25:25" x14ac:dyDescent="0.2">
      <c r="Y8097" s="97"/>
    </row>
    <row r="8098" spans="25:25" x14ac:dyDescent="0.2">
      <c r="Y8098" s="97"/>
    </row>
    <row r="8099" spans="25:25" x14ac:dyDescent="0.2">
      <c r="Y8099" s="97"/>
    </row>
    <row r="8100" spans="25:25" x14ac:dyDescent="0.2">
      <c r="Y8100" s="97"/>
    </row>
    <row r="8101" spans="25:25" x14ac:dyDescent="0.2">
      <c r="Y8101" s="97"/>
    </row>
    <row r="8102" spans="25:25" x14ac:dyDescent="0.2">
      <c r="Y8102" s="97"/>
    </row>
    <row r="8103" spans="25:25" x14ac:dyDescent="0.2">
      <c r="Y8103" s="97"/>
    </row>
    <row r="8104" spans="25:25" x14ac:dyDescent="0.2">
      <c r="Y8104" s="97"/>
    </row>
    <row r="8105" spans="25:25" x14ac:dyDescent="0.2">
      <c r="Y8105" s="97"/>
    </row>
    <row r="8106" spans="25:25" x14ac:dyDescent="0.2">
      <c r="Y8106" s="97"/>
    </row>
    <row r="8107" spans="25:25" x14ac:dyDescent="0.2">
      <c r="Y8107" s="97"/>
    </row>
    <row r="8108" spans="25:25" x14ac:dyDescent="0.2">
      <c r="Y8108" s="97"/>
    </row>
    <row r="8109" spans="25:25" x14ac:dyDescent="0.2">
      <c r="Y8109" s="97"/>
    </row>
    <row r="8110" spans="25:25" x14ac:dyDescent="0.2">
      <c r="Y8110" s="97"/>
    </row>
    <row r="8111" spans="25:25" x14ac:dyDescent="0.2">
      <c r="Y8111" s="97"/>
    </row>
    <row r="8112" spans="25:25" x14ac:dyDescent="0.2">
      <c r="Y8112" s="97"/>
    </row>
    <row r="8113" spans="25:25" x14ac:dyDescent="0.2">
      <c r="Y8113" s="97"/>
    </row>
    <row r="8114" spans="25:25" x14ac:dyDescent="0.2">
      <c r="Y8114" s="97"/>
    </row>
    <row r="8115" spans="25:25" x14ac:dyDescent="0.2">
      <c r="Y8115" s="97"/>
    </row>
    <row r="8116" spans="25:25" x14ac:dyDescent="0.2">
      <c r="Y8116" s="97"/>
    </row>
    <row r="8117" spans="25:25" x14ac:dyDescent="0.2">
      <c r="Y8117" s="97"/>
    </row>
    <row r="8118" spans="25:25" x14ac:dyDescent="0.2">
      <c r="Y8118" s="97"/>
    </row>
    <row r="8119" spans="25:25" x14ac:dyDescent="0.2">
      <c r="Y8119" s="97"/>
    </row>
    <row r="8120" spans="25:25" x14ac:dyDescent="0.2">
      <c r="Y8120" s="97"/>
    </row>
    <row r="8121" spans="25:25" x14ac:dyDescent="0.2">
      <c r="Y8121" s="97"/>
    </row>
    <row r="8122" spans="25:25" x14ac:dyDescent="0.2">
      <c r="Y8122" s="97"/>
    </row>
    <row r="8123" spans="25:25" x14ac:dyDescent="0.2">
      <c r="Y8123" s="97"/>
    </row>
    <row r="8124" spans="25:25" x14ac:dyDescent="0.2">
      <c r="Y8124" s="97"/>
    </row>
    <row r="8125" spans="25:25" x14ac:dyDescent="0.2">
      <c r="Y8125" s="97"/>
    </row>
    <row r="8126" spans="25:25" x14ac:dyDescent="0.2">
      <c r="Y8126" s="97"/>
    </row>
    <row r="8127" spans="25:25" x14ac:dyDescent="0.2">
      <c r="Y8127" s="97"/>
    </row>
    <row r="8128" spans="25:25" x14ac:dyDescent="0.2">
      <c r="Y8128" s="97"/>
    </row>
    <row r="8129" spans="25:25" x14ac:dyDescent="0.2">
      <c r="Y8129" s="97"/>
    </row>
    <row r="8130" spans="25:25" x14ac:dyDescent="0.2">
      <c r="Y8130" s="97"/>
    </row>
    <row r="8131" spans="25:25" x14ac:dyDescent="0.2">
      <c r="Y8131" s="97"/>
    </row>
    <row r="8132" spans="25:25" x14ac:dyDescent="0.2">
      <c r="Y8132" s="97"/>
    </row>
    <row r="8133" spans="25:25" x14ac:dyDescent="0.2">
      <c r="Y8133" s="97"/>
    </row>
    <row r="8134" spans="25:25" x14ac:dyDescent="0.2">
      <c r="Y8134" s="97"/>
    </row>
    <row r="8135" spans="25:25" x14ac:dyDescent="0.2">
      <c r="Y8135" s="97"/>
    </row>
    <row r="8136" spans="25:25" x14ac:dyDescent="0.2">
      <c r="Y8136" s="97"/>
    </row>
    <row r="8137" spans="25:25" x14ac:dyDescent="0.2">
      <c r="Y8137" s="97"/>
    </row>
    <row r="8138" spans="25:25" x14ac:dyDescent="0.2">
      <c r="Y8138" s="97"/>
    </row>
    <row r="8139" spans="25:25" x14ac:dyDescent="0.2">
      <c r="Y8139" s="97"/>
    </row>
    <row r="8140" spans="25:25" x14ac:dyDescent="0.2">
      <c r="Y8140" s="97"/>
    </row>
    <row r="8141" spans="25:25" x14ac:dyDescent="0.2">
      <c r="Y8141" s="97"/>
    </row>
    <row r="8142" spans="25:25" x14ac:dyDescent="0.2">
      <c r="Y8142" s="97"/>
    </row>
    <row r="8143" spans="25:25" x14ac:dyDescent="0.2">
      <c r="Y8143" s="97"/>
    </row>
    <row r="8144" spans="25:25" x14ac:dyDescent="0.2">
      <c r="Y8144" s="97"/>
    </row>
    <row r="8145" spans="25:25" x14ac:dyDescent="0.2">
      <c r="Y8145" s="97"/>
    </row>
    <row r="8146" spans="25:25" x14ac:dyDescent="0.2">
      <c r="Y8146" s="97"/>
    </row>
    <row r="8147" spans="25:25" x14ac:dyDescent="0.2">
      <c r="Y8147" s="97"/>
    </row>
    <row r="8148" spans="25:25" x14ac:dyDescent="0.2">
      <c r="Y8148" s="97"/>
    </row>
    <row r="8149" spans="25:25" x14ac:dyDescent="0.2">
      <c r="Y8149" s="97"/>
    </row>
    <row r="8150" spans="25:25" x14ac:dyDescent="0.2">
      <c r="Y8150" s="97"/>
    </row>
    <row r="8151" spans="25:25" x14ac:dyDescent="0.2">
      <c r="Y8151" s="97"/>
    </row>
    <row r="8152" spans="25:25" x14ac:dyDescent="0.2">
      <c r="Y8152" s="97"/>
    </row>
    <row r="8153" spans="25:25" x14ac:dyDescent="0.2">
      <c r="Y8153" s="97"/>
    </row>
    <row r="8154" spans="25:25" x14ac:dyDescent="0.2">
      <c r="Y8154" s="97"/>
    </row>
    <row r="8155" spans="25:25" x14ac:dyDescent="0.2">
      <c r="Y8155" s="97"/>
    </row>
    <row r="8156" spans="25:25" x14ac:dyDescent="0.2">
      <c r="Y8156" s="97"/>
    </row>
    <row r="8157" spans="25:25" x14ac:dyDescent="0.2">
      <c r="Y8157" s="97"/>
    </row>
    <row r="8158" spans="25:25" x14ac:dyDescent="0.2">
      <c r="Y8158" s="97"/>
    </row>
    <row r="8159" spans="25:25" x14ac:dyDescent="0.2">
      <c r="Y8159" s="97"/>
    </row>
    <row r="8160" spans="25:25" x14ac:dyDescent="0.2">
      <c r="Y8160" s="97"/>
    </row>
    <row r="8161" spans="25:25" x14ac:dyDescent="0.2">
      <c r="Y8161" s="97"/>
    </row>
    <row r="8162" spans="25:25" x14ac:dyDescent="0.2">
      <c r="Y8162" s="97"/>
    </row>
    <row r="8163" spans="25:25" x14ac:dyDescent="0.2">
      <c r="Y8163" s="97"/>
    </row>
    <row r="8164" spans="25:25" x14ac:dyDescent="0.2">
      <c r="Y8164" s="97"/>
    </row>
    <row r="8165" spans="25:25" x14ac:dyDescent="0.2">
      <c r="Y8165" s="97"/>
    </row>
    <row r="8166" spans="25:25" x14ac:dyDescent="0.2">
      <c r="Y8166" s="97"/>
    </row>
    <row r="8167" spans="25:25" x14ac:dyDescent="0.2">
      <c r="Y8167" s="97"/>
    </row>
    <row r="8168" spans="25:25" x14ac:dyDescent="0.2">
      <c r="Y8168" s="97"/>
    </row>
    <row r="8169" spans="25:25" x14ac:dyDescent="0.2">
      <c r="Y8169" s="97"/>
    </row>
    <row r="8170" spans="25:25" x14ac:dyDescent="0.2">
      <c r="Y8170" s="97"/>
    </row>
    <row r="8171" spans="25:25" x14ac:dyDescent="0.2">
      <c r="Y8171" s="97"/>
    </row>
    <row r="8172" spans="25:25" x14ac:dyDescent="0.2">
      <c r="Y8172" s="97"/>
    </row>
    <row r="8173" spans="25:25" x14ac:dyDescent="0.2">
      <c r="Y8173" s="97"/>
    </row>
    <row r="8174" spans="25:25" x14ac:dyDescent="0.2">
      <c r="Y8174" s="97"/>
    </row>
    <row r="8175" spans="25:25" x14ac:dyDescent="0.2">
      <c r="Y8175" s="97"/>
    </row>
    <row r="8176" spans="25:25" x14ac:dyDescent="0.2">
      <c r="Y8176" s="97"/>
    </row>
    <row r="8177" spans="25:25" x14ac:dyDescent="0.2">
      <c r="Y8177" s="97"/>
    </row>
    <row r="8178" spans="25:25" x14ac:dyDescent="0.2">
      <c r="Y8178" s="97"/>
    </row>
    <row r="8179" spans="25:25" x14ac:dyDescent="0.2">
      <c r="Y8179" s="97"/>
    </row>
    <row r="8180" spans="25:25" x14ac:dyDescent="0.2">
      <c r="Y8180" s="97"/>
    </row>
    <row r="8181" spans="25:25" x14ac:dyDescent="0.2">
      <c r="Y8181" s="97"/>
    </row>
    <row r="8182" spans="25:25" x14ac:dyDescent="0.2">
      <c r="Y8182" s="97"/>
    </row>
    <row r="8183" spans="25:25" x14ac:dyDescent="0.2">
      <c r="Y8183" s="97"/>
    </row>
    <row r="8184" spans="25:25" x14ac:dyDescent="0.2">
      <c r="Y8184" s="97"/>
    </row>
    <row r="8185" spans="25:25" x14ac:dyDescent="0.2">
      <c r="Y8185" s="97"/>
    </row>
    <row r="8186" spans="25:25" x14ac:dyDescent="0.2">
      <c r="Y8186" s="97"/>
    </row>
    <row r="8187" spans="25:25" x14ac:dyDescent="0.2">
      <c r="Y8187" s="97"/>
    </row>
    <row r="8188" spans="25:25" x14ac:dyDescent="0.2">
      <c r="Y8188" s="97"/>
    </row>
    <row r="8189" spans="25:25" x14ac:dyDescent="0.2">
      <c r="Y8189" s="97"/>
    </row>
    <row r="8190" spans="25:25" x14ac:dyDescent="0.2">
      <c r="Y8190" s="97"/>
    </row>
    <row r="8191" spans="25:25" x14ac:dyDescent="0.2">
      <c r="Y8191" s="97"/>
    </row>
    <row r="8192" spans="25:25" x14ac:dyDescent="0.2">
      <c r="Y8192" s="97"/>
    </row>
    <row r="8193" spans="25:25" x14ac:dyDescent="0.2">
      <c r="Y8193" s="97"/>
    </row>
    <row r="8194" spans="25:25" x14ac:dyDescent="0.2">
      <c r="Y8194" s="97"/>
    </row>
    <row r="8195" spans="25:25" x14ac:dyDescent="0.2">
      <c r="Y8195" s="97"/>
    </row>
    <row r="8196" spans="25:25" x14ac:dyDescent="0.2">
      <c r="Y8196" s="97"/>
    </row>
    <row r="8197" spans="25:25" x14ac:dyDescent="0.2">
      <c r="Y8197" s="97"/>
    </row>
    <row r="8198" spans="25:25" x14ac:dyDescent="0.2">
      <c r="Y8198" s="97"/>
    </row>
    <row r="8199" spans="25:25" x14ac:dyDescent="0.2">
      <c r="Y8199" s="97"/>
    </row>
    <row r="8200" spans="25:25" x14ac:dyDescent="0.2">
      <c r="Y8200" s="97"/>
    </row>
    <row r="8201" spans="25:25" x14ac:dyDescent="0.2">
      <c r="Y8201" s="97"/>
    </row>
    <row r="8202" spans="25:25" x14ac:dyDescent="0.2">
      <c r="Y8202" s="97"/>
    </row>
    <row r="8203" spans="25:25" x14ac:dyDescent="0.2">
      <c r="Y8203" s="97"/>
    </row>
    <row r="8204" spans="25:25" x14ac:dyDescent="0.2">
      <c r="Y8204" s="97"/>
    </row>
    <row r="8205" spans="25:25" x14ac:dyDescent="0.2">
      <c r="Y8205" s="97"/>
    </row>
    <row r="8206" spans="25:25" x14ac:dyDescent="0.2">
      <c r="Y8206" s="97"/>
    </row>
    <row r="8207" spans="25:25" x14ac:dyDescent="0.2">
      <c r="Y8207" s="97"/>
    </row>
    <row r="8208" spans="25:25" x14ac:dyDescent="0.2">
      <c r="Y8208" s="97"/>
    </row>
    <row r="8209" spans="25:25" x14ac:dyDescent="0.2">
      <c r="Y8209" s="97"/>
    </row>
    <row r="8210" spans="25:25" x14ac:dyDescent="0.2">
      <c r="Y8210" s="97"/>
    </row>
    <row r="8211" spans="25:25" x14ac:dyDescent="0.2">
      <c r="Y8211" s="97"/>
    </row>
    <row r="8212" spans="25:25" x14ac:dyDescent="0.2">
      <c r="Y8212" s="97"/>
    </row>
    <row r="8213" spans="25:25" x14ac:dyDescent="0.2">
      <c r="Y8213" s="97"/>
    </row>
    <row r="8214" spans="25:25" x14ac:dyDescent="0.2">
      <c r="Y8214" s="97"/>
    </row>
    <row r="8215" spans="25:25" x14ac:dyDescent="0.2">
      <c r="Y8215" s="97"/>
    </row>
    <row r="8216" spans="25:25" x14ac:dyDescent="0.2">
      <c r="Y8216" s="97"/>
    </row>
    <row r="8217" spans="25:25" x14ac:dyDescent="0.2">
      <c r="Y8217" s="97"/>
    </row>
    <row r="8218" spans="25:25" x14ac:dyDescent="0.2">
      <c r="Y8218" s="97"/>
    </row>
    <row r="8219" spans="25:25" x14ac:dyDescent="0.2">
      <c r="Y8219" s="97"/>
    </row>
    <row r="8220" spans="25:25" x14ac:dyDescent="0.2">
      <c r="Y8220" s="97"/>
    </row>
    <row r="8221" spans="25:25" x14ac:dyDescent="0.2">
      <c r="Y8221" s="97"/>
    </row>
    <row r="8222" spans="25:25" x14ac:dyDescent="0.2">
      <c r="Y8222" s="97"/>
    </row>
    <row r="8223" spans="25:25" x14ac:dyDescent="0.2">
      <c r="Y8223" s="97"/>
    </row>
    <row r="8224" spans="25:25" x14ac:dyDescent="0.2">
      <c r="Y8224" s="97"/>
    </row>
    <row r="8225" spans="25:25" x14ac:dyDescent="0.2">
      <c r="Y8225" s="97"/>
    </row>
    <row r="8226" spans="25:25" x14ac:dyDescent="0.2">
      <c r="Y8226" s="97"/>
    </row>
    <row r="8227" spans="25:25" x14ac:dyDescent="0.2">
      <c r="Y8227" s="97"/>
    </row>
    <row r="8228" spans="25:25" x14ac:dyDescent="0.2">
      <c r="Y8228" s="97"/>
    </row>
    <row r="8229" spans="25:25" x14ac:dyDescent="0.2">
      <c r="Y8229" s="97"/>
    </row>
    <row r="8230" spans="25:25" x14ac:dyDescent="0.2">
      <c r="Y8230" s="97"/>
    </row>
    <row r="8231" spans="25:25" x14ac:dyDescent="0.2">
      <c r="Y8231" s="97"/>
    </row>
    <row r="8232" spans="25:25" x14ac:dyDescent="0.2">
      <c r="Y8232" s="97"/>
    </row>
    <row r="8233" spans="25:25" x14ac:dyDescent="0.2">
      <c r="Y8233" s="97"/>
    </row>
    <row r="8234" spans="25:25" x14ac:dyDescent="0.2">
      <c r="Y8234" s="97"/>
    </row>
    <row r="8235" spans="25:25" x14ac:dyDescent="0.2">
      <c r="Y8235" s="97"/>
    </row>
    <row r="8236" spans="25:25" x14ac:dyDescent="0.2">
      <c r="Y8236" s="97"/>
    </row>
    <row r="8237" spans="25:25" x14ac:dyDescent="0.2">
      <c r="Y8237" s="97"/>
    </row>
    <row r="8238" spans="25:25" x14ac:dyDescent="0.2">
      <c r="Y8238" s="97"/>
    </row>
    <row r="8239" spans="25:25" x14ac:dyDescent="0.2">
      <c r="Y8239" s="97"/>
    </row>
    <row r="8240" spans="25:25" x14ac:dyDescent="0.2">
      <c r="Y8240" s="97"/>
    </row>
    <row r="8241" spans="25:25" x14ac:dyDescent="0.2">
      <c r="Y8241" s="97"/>
    </row>
    <row r="8242" spans="25:25" x14ac:dyDescent="0.2">
      <c r="Y8242" s="97"/>
    </row>
    <row r="8243" spans="25:25" x14ac:dyDescent="0.2">
      <c r="Y8243" s="97"/>
    </row>
    <row r="8244" spans="25:25" x14ac:dyDescent="0.2">
      <c r="Y8244" s="97"/>
    </row>
    <row r="8245" spans="25:25" x14ac:dyDescent="0.2">
      <c r="Y8245" s="97"/>
    </row>
    <row r="8246" spans="25:25" x14ac:dyDescent="0.2">
      <c r="Y8246" s="97"/>
    </row>
    <row r="8247" spans="25:25" x14ac:dyDescent="0.2">
      <c r="Y8247" s="97"/>
    </row>
    <row r="8248" spans="25:25" x14ac:dyDescent="0.2">
      <c r="Y8248" s="97"/>
    </row>
    <row r="8249" spans="25:25" x14ac:dyDescent="0.2">
      <c r="Y8249" s="97"/>
    </row>
    <row r="8250" spans="25:25" x14ac:dyDescent="0.2">
      <c r="Y8250" s="97"/>
    </row>
    <row r="8251" spans="25:25" x14ac:dyDescent="0.2">
      <c r="Y8251" s="97"/>
    </row>
    <row r="8252" spans="25:25" x14ac:dyDescent="0.2">
      <c r="Y8252" s="97"/>
    </row>
    <row r="8253" spans="25:25" x14ac:dyDescent="0.2">
      <c r="Y8253" s="97"/>
    </row>
    <row r="8254" spans="25:25" x14ac:dyDescent="0.2">
      <c r="Y8254" s="97"/>
    </row>
    <row r="8255" spans="25:25" x14ac:dyDescent="0.2">
      <c r="Y8255" s="97"/>
    </row>
    <row r="8256" spans="25:25" x14ac:dyDescent="0.2">
      <c r="Y8256" s="97"/>
    </row>
    <row r="8257" spans="25:25" x14ac:dyDescent="0.2">
      <c r="Y8257" s="97"/>
    </row>
    <row r="8258" spans="25:25" x14ac:dyDescent="0.2">
      <c r="Y8258" s="97"/>
    </row>
    <row r="8259" spans="25:25" x14ac:dyDescent="0.2">
      <c r="Y8259" s="97"/>
    </row>
    <row r="8260" spans="25:25" x14ac:dyDescent="0.2">
      <c r="Y8260" s="97"/>
    </row>
    <row r="8261" spans="25:25" x14ac:dyDescent="0.2">
      <c r="Y8261" s="97"/>
    </row>
    <row r="8262" spans="25:25" x14ac:dyDescent="0.2">
      <c r="Y8262" s="97"/>
    </row>
    <row r="8263" spans="25:25" x14ac:dyDescent="0.2">
      <c r="Y8263" s="97"/>
    </row>
    <row r="8264" spans="25:25" x14ac:dyDescent="0.2">
      <c r="Y8264" s="97"/>
    </row>
    <row r="8265" spans="25:25" x14ac:dyDescent="0.2">
      <c r="Y8265" s="97"/>
    </row>
    <row r="8266" spans="25:25" x14ac:dyDescent="0.2">
      <c r="Y8266" s="97"/>
    </row>
    <row r="8267" spans="25:25" x14ac:dyDescent="0.2">
      <c r="Y8267" s="97"/>
    </row>
    <row r="8268" spans="25:25" x14ac:dyDescent="0.2">
      <c r="Y8268" s="97"/>
    </row>
    <row r="8269" spans="25:25" x14ac:dyDescent="0.2">
      <c r="Y8269" s="97"/>
    </row>
    <row r="8270" spans="25:25" x14ac:dyDescent="0.2">
      <c r="Y8270" s="97"/>
    </row>
    <row r="8271" spans="25:25" x14ac:dyDescent="0.2">
      <c r="Y8271" s="97"/>
    </row>
    <row r="8272" spans="25:25" x14ac:dyDescent="0.2">
      <c r="Y8272" s="97"/>
    </row>
    <row r="8273" spans="25:25" x14ac:dyDescent="0.2">
      <c r="Y8273" s="97"/>
    </row>
    <row r="8274" spans="25:25" x14ac:dyDescent="0.2">
      <c r="Y8274" s="97"/>
    </row>
    <row r="8275" spans="25:25" x14ac:dyDescent="0.2">
      <c r="Y8275" s="97"/>
    </row>
    <row r="8276" spans="25:25" x14ac:dyDescent="0.2">
      <c r="Y8276" s="97"/>
    </row>
    <row r="8277" spans="25:25" x14ac:dyDescent="0.2">
      <c r="Y8277" s="97"/>
    </row>
    <row r="8278" spans="25:25" x14ac:dyDescent="0.2">
      <c r="Y8278" s="97"/>
    </row>
    <row r="8279" spans="25:25" x14ac:dyDescent="0.2">
      <c r="Y8279" s="97"/>
    </row>
    <row r="8280" spans="25:25" x14ac:dyDescent="0.2">
      <c r="Y8280" s="97"/>
    </row>
    <row r="8281" spans="25:25" x14ac:dyDescent="0.2">
      <c r="Y8281" s="97"/>
    </row>
    <row r="8282" spans="25:25" x14ac:dyDescent="0.2">
      <c r="Y8282" s="97"/>
    </row>
    <row r="8283" spans="25:25" x14ac:dyDescent="0.2">
      <c r="Y8283" s="97"/>
    </row>
    <row r="8284" spans="25:25" x14ac:dyDescent="0.2">
      <c r="Y8284" s="97"/>
    </row>
    <row r="8285" spans="25:25" x14ac:dyDescent="0.2">
      <c r="Y8285" s="97"/>
    </row>
    <row r="8286" spans="25:25" x14ac:dyDescent="0.2">
      <c r="Y8286" s="97"/>
    </row>
    <row r="8287" spans="25:25" x14ac:dyDescent="0.2">
      <c r="Y8287" s="97"/>
    </row>
    <row r="8288" spans="25:25" x14ac:dyDescent="0.2">
      <c r="Y8288" s="97"/>
    </row>
    <row r="8289" spans="25:25" x14ac:dyDescent="0.2">
      <c r="Y8289" s="97"/>
    </row>
    <row r="8290" spans="25:25" x14ac:dyDescent="0.2">
      <c r="Y8290" s="97"/>
    </row>
    <row r="8291" spans="25:25" x14ac:dyDescent="0.2">
      <c r="Y8291" s="97"/>
    </row>
    <row r="8292" spans="25:25" x14ac:dyDescent="0.2">
      <c r="Y8292" s="97"/>
    </row>
    <row r="8293" spans="25:25" x14ac:dyDescent="0.2">
      <c r="Y8293" s="97"/>
    </row>
    <row r="8294" spans="25:25" x14ac:dyDescent="0.2">
      <c r="Y8294" s="97"/>
    </row>
    <row r="8295" spans="25:25" x14ac:dyDescent="0.2">
      <c r="Y8295" s="97"/>
    </row>
    <row r="8296" spans="25:25" x14ac:dyDescent="0.2">
      <c r="Y8296" s="97"/>
    </row>
    <row r="8297" spans="25:25" x14ac:dyDescent="0.2">
      <c r="Y8297" s="97"/>
    </row>
    <row r="8298" spans="25:25" x14ac:dyDescent="0.2">
      <c r="Y8298" s="97"/>
    </row>
    <row r="8299" spans="25:25" x14ac:dyDescent="0.2">
      <c r="Y8299" s="97"/>
    </row>
    <row r="8300" spans="25:25" x14ac:dyDescent="0.2">
      <c r="Y8300" s="97"/>
    </row>
    <row r="8301" spans="25:25" x14ac:dyDescent="0.2">
      <c r="Y8301" s="97"/>
    </row>
    <row r="8302" spans="25:25" x14ac:dyDescent="0.2">
      <c r="Y8302" s="97"/>
    </row>
    <row r="8303" spans="25:25" x14ac:dyDescent="0.2">
      <c r="Y8303" s="97"/>
    </row>
    <row r="8304" spans="25:25" x14ac:dyDescent="0.2">
      <c r="Y8304" s="97"/>
    </row>
    <row r="8305" spans="25:25" x14ac:dyDescent="0.2">
      <c r="Y8305" s="97"/>
    </row>
    <row r="8306" spans="25:25" x14ac:dyDescent="0.2">
      <c r="Y8306" s="97"/>
    </row>
    <row r="8307" spans="25:25" x14ac:dyDescent="0.2">
      <c r="Y8307" s="97"/>
    </row>
    <row r="8308" spans="25:25" x14ac:dyDescent="0.2">
      <c r="Y8308" s="97"/>
    </row>
    <row r="8309" spans="25:25" x14ac:dyDescent="0.2">
      <c r="Y8309" s="97"/>
    </row>
    <row r="8310" spans="25:25" x14ac:dyDescent="0.2">
      <c r="Y8310" s="97"/>
    </row>
    <row r="8311" spans="25:25" x14ac:dyDescent="0.2">
      <c r="Y8311" s="97"/>
    </row>
    <row r="8312" spans="25:25" x14ac:dyDescent="0.2">
      <c r="Y8312" s="97"/>
    </row>
    <row r="8313" spans="25:25" x14ac:dyDescent="0.2">
      <c r="Y8313" s="97"/>
    </row>
    <row r="8314" spans="25:25" x14ac:dyDescent="0.2">
      <c r="Y8314" s="97"/>
    </row>
    <row r="8315" spans="25:25" x14ac:dyDescent="0.2">
      <c r="Y8315" s="97"/>
    </row>
    <row r="8316" spans="25:25" x14ac:dyDescent="0.2">
      <c r="Y8316" s="97"/>
    </row>
    <row r="8317" spans="25:25" x14ac:dyDescent="0.2">
      <c r="Y8317" s="97"/>
    </row>
    <row r="8318" spans="25:25" x14ac:dyDescent="0.2">
      <c r="Y8318" s="97"/>
    </row>
    <row r="8319" spans="25:25" x14ac:dyDescent="0.2">
      <c r="Y8319" s="97"/>
    </row>
    <row r="8320" spans="25:25" x14ac:dyDescent="0.2">
      <c r="Y8320" s="97"/>
    </row>
    <row r="8321" spans="25:25" x14ac:dyDescent="0.2">
      <c r="Y8321" s="97"/>
    </row>
    <row r="8322" spans="25:25" x14ac:dyDescent="0.2">
      <c r="Y8322" s="97"/>
    </row>
    <row r="8323" spans="25:25" x14ac:dyDescent="0.2">
      <c r="Y8323" s="97"/>
    </row>
    <row r="8324" spans="25:25" x14ac:dyDescent="0.2">
      <c r="Y8324" s="97"/>
    </row>
    <row r="8325" spans="25:25" x14ac:dyDescent="0.2">
      <c r="Y8325" s="97"/>
    </row>
    <row r="8326" spans="25:25" x14ac:dyDescent="0.2">
      <c r="Y8326" s="97"/>
    </row>
    <row r="8327" spans="25:25" x14ac:dyDescent="0.2">
      <c r="Y8327" s="97"/>
    </row>
    <row r="8328" spans="25:25" x14ac:dyDescent="0.2">
      <c r="Y8328" s="97"/>
    </row>
    <row r="8329" spans="25:25" x14ac:dyDescent="0.2">
      <c r="Y8329" s="97"/>
    </row>
    <row r="8330" spans="25:25" x14ac:dyDescent="0.2">
      <c r="Y8330" s="97"/>
    </row>
    <row r="8331" spans="25:25" x14ac:dyDescent="0.2">
      <c r="Y8331" s="97"/>
    </row>
    <row r="8332" spans="25:25" x14ac:dyDescent="0.2">
      <c r="Y8332" s="97"/>
    </row>
    <row r="8333" spans="25:25" x14ac:dyDescent="0.2">
      <c r="Y8333" s="97"/>
    </row>
    <row r="8334" spans="25:25" x14ac:dyDescent="0.2">
      <c r="Y8334" s="97"/>
    </row>
    <row r="8335" spans="25:25" x14ac:dyDescent="0.2">
      <c r="Y8335" s="97"/>
    </row>
    <row r="8336" spans="25:25" x14ac:dyDescent="0.2">
      <c r="Y8336" s="97"/>
    </row>
    <row r="8337" spans="25:25" x14ac:dyDescent="0.2">
      <c r="Y8337" s="97"/>
    </row>
    <row r="8338" spans="25:25" x14ac:dyDescent="0.2">
      <c r="Y8338" s="97"/>
    </row>
    <row r="8339" spans="25:25" x14ac:dyDescent="0.2">
      <c r="Y8339" s="97"/>
    </row>
    <row r="8340" spans="25:25" x14ac:dyDescent="0.2">
      <c r="Y8340" s="97"/>
    </row>
    <row r="8341" spans="25:25" x14ac:dyDescent="0.2">
      <c r="Y8341" s="97"/>
    </row>
    <row r="8342" spans="25:25" x14ac:dyDescent="0.2">
      <c r="Y8342" s="97"/>
    </row>
    <row r="8343" spans="25:25" x14ac:dyDescent="0.2">
      <c r="Y8343" s="97"/>
    </row>
    <row r="8344" spans="25:25" x14ac:dyDescent="0.2">
      <c r="Y8344" s="97"/>
    </row>
    <row r="8345" spans="25:25" x14ac:dyDescent="0.2">
      <c r="Y8345" s="97"/>
    </row>
    <row r="8346" spans="25:25" x14ac:dyDescent="0.2">
      <c r="Y8346" s="97"/>
    </row>
    <row r="8347" spans="25:25" x14ac:dyDescent="0.2">
      <c r="Y8347" s="97"/>
    </row>
    <row r="8348" spans="25:25" x14ac:dyDescent="0.2">
      <c r="Y8348" s="97"/>
    </row>
    <row r="8349" spans="25:25" x14ac:dyDescent="0.2">
      <c r="Y8349" s="97"/>
    </row>
    <row r="8350" spans="25:25" x14ac:dyDescent="0.2">
      <c r="Y8350" s="97"/>
    </row>
    <row r="8351" spans="25:25" x14ac:dyDescent="0.2">
      <c r="Y8351" s="97"/>
    </row>
    <row r="8352" spans="25:25" x14ac:dyDescent="0.2">
      <c r="Y8352" s="97"/>
    </row>
    <row r="8353" spans="25:25" x14ac:dyDescent="0.2">
      <c r="Y8353" s="97"/>
    </row>
    <row r="8354" spans="25:25" x14ac:dyDescent="0.2">
      <c r="Y8354" s="97"/>
    </row>
    <row r="8355" spans="25:25" x14ac:dyDescent="0.2">
      <c r="Y8355" s="97"/>
    </row>
    <row r="8356" spans="25:25" x14ac:dyDescent="0.2">
      <c r="Y8356" s="97"/>
    </row>
    <row r="8357" spans="25:25" x14ac:dyDescent="0.2">
      <c r="Y8357" s="97"/>
    </row>
    <row r="8358" spans="25:25" x14ac:dyDescent="0.2">
      <c r="Y8358" s="97"/>
    </row>
    <row r="8359" spans="25:25" x14ac:dyDescent="0.2">
      <c r="Y8359" s="97"/>
    </row>
    <row r="8360" spans="25:25" x14ac:dyDescent="0.2">
      <c r="Y8360" s="97"/>
    </row>
    <row r="8361" spans="25:25" x14ac:dyDescent="0.2">
      <c r="Y8361" s="97"/>
    </row>
    <row r="8362" spans="25:25" x14ac:dyDescent="0.2">
      <c r="Y8362" s="97"/>
    </row>
    <row r="8363" spans="25:25" x14ac:dyDescent="0.2">
      <c r="Y8363" s="97"/>
    </row>
    <row r="8364" spans="25:25" x14ac:dyDescent="0.2">
      <c r="Y8364" s="97"/>
    </row>
    <row r="8365" spans="25:25" x14ac:dyDescent="0.2">
      <c r="Y8365" s="97"/>
    </row>
    <row r="8366" spans="25:25" x14ac:dyDescent="0.2">
      <c r="Y8366" s="97"/>
    </row>
    <row r="8367" spans="25:25" x14ac:dyDescent="0.2">
      <c r="Y8367" s="97"/>
    </row>
    <row r="8368" spans="25:25" x14ac:dyDescent="0.2">
      <c r="Y8368" s="97"/>
    </row>
    <row r="8369" spans="25:25" x14ac:dyDescent="0.2">
      <c r="Y8369" s="97"/>
    </row>
    <row r="8370" spans="25:25" x14ac:dyDescent="0.2">
      <c r="Y8370" s="97"/>
    </row>
    <row r="8371" spans="25:25" x14ac:dyDescent="0.2">
      <c r="Y8371" s="97"/>
    </row>
    <row r="8372" spans="25:25" x14ac:dyDescent="0.2">
      <c r="Y8372" s="97"/>
    </row>
    <row r="8373" spans="25:25" x14ac:dyDescent="0.2">
      <c r="Y8373" s="97"/>
    </row>
    <row r="8374" spans="25:25" x14ac:dyDescent="0.2">
      <c r="Y8374" s="97"/>
    </row>
    <row r="8375" spans="25:25" x14ac:dyDescent="0.2">
      <c r="Y8375" s="97"/>
    </row>
    <row r="8376" spans="25:25" x14ac:dyDescent="0.2">
      <c r="Y8376" s="97"/>
    </row>
    <row r="8377" spans="25:25" x14ac:dyDescent="0.2">
      <c r="Y8377" s="97"/>
    </row>
    <row r="8378" spans="25:25" x14ac:dyDescent="0.2">
      <c r="Y8378" s="97"/>
    </row>
    <row r="8379" spans="25:25" x14ac:dyDescent="0.2">
      <c r="Y8379" s="97"/>
    </row>
    <row r="8380" spans="25:25" x14ac:dyDescent="0.2">
      <c r="Y8380" s="97"/>
    </row>
    <row r="8381" spans="25:25" x14ac:dyDescent="0.2">
      <c r="Y8381" s="97"/>
    </row>
    <row r="8382" spans="25:25" x14ac:dyDescent="0.2">
      <c r="Y8382" s="97"/>
    </row>
    <row r="8383" spans="25:25" x14ac:dyDescent="0.2">
      <c r="Y8383" s="97"/>
    </row>
    <row r="8384" spans="25:25" x14ac:dyDescent="0.2">
      <c r="Y8384" s="97"/>
    </row>
    <row r="8385" spans="25:25" x14ac:dyDescent="0.2">
      <c r="Y8385" s="97"/>
    </row>
    <row r="8386" spans="25:25" x14ac:dyDescent="0.2">
      <c r="Y8386" s="97"/>
    </row>
    <row r="8387" spans="25:25" x14ac:dyDescent="0.2">
      <c r="Y8387" s="97"/>
    </row>
    <row r="8388" spans="25:25" x14ac:dyDescent="0.2">
      <c r="Y8388" s="97"/>
    </row>
    <row r="8389" spans="25:25" x14ac:dyDescent="0.2">
      <c r="Y8389" s="97"/>
    </row>
    <row r="8390" spans="25:25" x14ac:dyDescent="0.2">
      <c r="Y8390" s="97"/>
    </row>
    <row r="8391" spans="25:25" x14ac:dyDescent="0.2">
      <c r="Y8391" s="97"/>
    </row>
    <row r="8392" spans="25:25" x14ac:dyDescent="0.2">
      <c r="Y8392" s="97"/>
    </row>
    <row r="8393" spans="25:25" x14ac:dyDescent="0.2">
      <c r="Y8393" s="97"/>
    </row>
    <row r="8394" spans="25:25" x14ac:dyDescent="0.2">
      <c r="Y8394" s="97"/>
    </row>
    <row r="8395" spans="25:25" x14ac:dyDescent="0.2">
      <c r="Y8395" s="97"/>
    </row>
    <row r="8396" spans="25:25" x14ac:dyDescent="0.2">
      <c r="Y8396" s="97"/>
    </row>
    <row r="8397" spans="25:25" x14ac:dyDescent="0.2">
      <c r="Y8397" s="97"/>
    </row>
    <row r="8398" spans="25:25" x14ac:dyDescent="0.2">
      <c r="Y8398" s="97"/>
    </row>
    <row r="8399" spans="25:25" x14ac:dyDescent="0.2">
      <c r="Y8399" s="97"/>
    </row>
    <row r="8400" spans="25:25" x14ac:dyDescent="0.2">
      <c r="Y8400" s="97"/>
    </row>
    <row r="8401" spans="25:25" x14ac:dyDescent="0.2">
      <c r="Y8401" s="97"/>
    </row>
    <row r="8402" spans="25:25" x14ac:dyDescent="0.2">
      <c r="Y8402" s="97"/>
    </row>
    <row r="8403" spans="25:25" x14ac:dyDescent="0.2">
      <c r="Y8403" s="97"/>
    </row>
    <row r="8404" spans="25:25" x14ac:dyDescent="0.2">
      <c r="Y8404" s="97"/>
    </row>
    <row r="8405" spans="25:25" x14ac:dyDescent="0.2">
      <c r="Y8405" s="97"/>
    </row>
    <row r="8406" spans="25:25" x14ac:dyDescent="0.2">
      <c r="Y8406" s="97"/>
    </row>
    <row r="8407" spans="25:25" x14ac:dyDescent="0.2">
      <c r="Y8407" s="97"/>
    </row>
    <row r="8408" spans="25:25" x14ac:dyDescent="0.2">
      <c r="Y8408" s="97"/>
    </row>
    <row r="8409" spans="25:25" x14ac:dyDescent="0.2">
      <c r="Y8409" s="97"/>
    </row>
    <row r="8410" spans="25:25" x14ac:dyDescent="0.2">
      <c r="Y8410" s="97"/>
    </row>
    <row r="8411" spans="25:25" x14ac:dyDescent="0.2">
      <c r="Y8411" s="97"/>
    </row>
    <row r="8412" spans="25:25" x14ac:dyDescent="0.2">
      <c r="Y8412" s="97"/>
    </row>
    <row r="8413" spans="25:25" x14ac:dyDescent="0.2">
      <c r="Y8413" s="97"/>
    </row>
    <row r="8414" spans="25:25" x14ac:dyDescent="0.2">
      <c r="Y8414" s="97"/>
    </row>
    <row r="8415" spans="25:25" x14ac:dyDescent="0.2">
      <c r="Y8415" s="97"/>
    </row>
    <row r="8416" spans="25:25" x14ac:dyDescent="0.2">
      <c r="Y8416" s="97"/>
    </row>
    <row r="8417" spans="25:25" x14ac:dyDescent="0.2">
      <c r="Y8417" s="97"/>
    </row>
    <row r="8418" spans="25:25" x14ac:dyDescent="0.2">
      <c r="Y8418" s="97"/>
    </row>
    <row r="8419" spans="25:25" x14ac:dyDescent="0.2">
      <c r="Y8419" s="97"/>
    </row>
    <row r="8420" spans="25:25" x14ac:dyDescent="0.2">
      <c r="Y8420" s="97"/>
    </row>
    <row r="8421" spans="25:25" x14ac:dyDescent="0.2">
      <c r="Y8421" s="97"/>
    </row>
    <row r="8422" spans="25:25" x14ac:dyDescent="0.2">
      <c r="Y8422" s="97"/>
    </row>
    <row r="8423" spans="25:25" x14ac:dyDescent="0.2">
      <c r="Y8423" s="97"/>
    </row>
    <row r="8424" spans="25:25" x14ac:dyDescent="0.2">
      <c r="Y8424" s="97"/>
    </row>
    <row r="8425" spans="25:25" x14ac:dyDescent="0.2">
      <c r="Y8425" s="97"/>
    </row>
    <row r="8426" spans="25:25" x14ac:dyDescent="0.2">
      <c r="Y8426" s="97"/>
    </row>
    <row r="8427" spans="25:25" x14ac:dyDescent="0.2">
      <c r="Y8427" s="97"/>
    </row>
    <row r="8428" spans="25:25" x14ac:dyDescent="0.2">
      <c r="Y8428" s="97"/>
    </row>
    <row r="8429" spans="25:25" x14ac:dyDescent="0.2">
      <c r="Y8429" s="97"/>
    </row>
    <row r="8430" spans="25:25" x14ac:dyDescent="0.2">
      <c r="Y8430" s="97"/>
    </row>
    <row r="8431" spans="25:25" x14ac:dyDescent="0.2">
      <c r="Y8431" s="97"/>
    </row>
    <row r="8432" spans="25:25" x14ac:dyDescent="0.2">
      <c r="Y8432" s="97"/>
    </row>
    <row r="8433" spans="25:25" x14ac:dyDescent="0.2">
      <c r="Y8433" s="97"/>
    </row>
    <row r="8434" spans="25:25" x14ac:dyDescent="0.2">
      <c r="Y8434" s="97"/>
    </row>
    <row r="8435" spans="25:25" x14ac:dyDescent="0.2">
      <c r="Y8435" s="97"/>
    </row>
    <row r="8436" spans="25:25" x14ac:dyDescent="0.2">
      <c r="Y8436" s="97"/>
    </row>
    <row r="8437" spans="25:25" x14ac:dyDescent="0.2">
      <c r="Y8437" s="97"/>
    </row>
    <row r="8438" spans="25:25" x14ac:dyDescent="0.2">
      <c r="Y8438" s="97"/>
    </row>
    <row r="8439" spans="25:25" x14ac:dyDescent="0.2">
      <c r="Y8439" s="97"/>
    </row>
    <row r="8440" spans="25:25" x14ac:dyDescent="0.2">
      <c r="Y8440" s="97"/>
    </row>
    <row r="8441" spans="25:25" x14ac:dyDescent="0.2">
      <c r="Y8441" s="97"/>
    </row>
    <row r="8442" spans="25:25" x14ac:dyDescent="0.2">
      <c r="Y8442" s="97"/>
    </row>
    <row r="8443" spans="25:25" x14ac:dyDescent="0.2">
      <c r="Y8443" s="97"/>
    </row>
    <row r="8444" spans="25:25" x14ac:dyDescent="0.2">
      <c r="Y8444" s="97"/>
    </row>
    <row r="8445" spans="25:25" x14ac:dyDescent="0.2">
      <c r="Y8445" s="97"/>
    </row>
    <row r="8446" spans="25:25" x14ac:dyDescent="0.2">
      <c r="Y8446" s="97"/>
    </row>
    <row r="8447" spans="25:25" x14ac:dyDescent="0.2">
      <c r="Y8447" s="97"/>
    </row>
    <row r="8448" spans="25:25" x14ac:dyDescent="0.2">
      <c r="Y8448" s="97"/>
    </row>
    <row r="8449" spans="25:25" x14ac:dyDescent="0.2">
      <c r="Y8449" s="97"/>
    </row>
    <row r="8450" spans="25:25" x14ac:dyDescent="0.2">
      <c r="Y8450" s="97"/>
    </row>
    <row r="8451" spans="25:25" x14ac:dyDescent="0.2">
      <c r="Y8451" s="97"/>
    </row>
    <row r="8452" spans="25:25" x14ac:dyDescent="0.2">
      <c r="Y8452" s="97"/>
    </row>
    <row r="8453" spans="25:25" x14ac:dyDescent="0.2">
      <c r="Y8453" s="97"/>
    </row>
    <row r="8454" spans="25:25" x14ac:dyDescent="0.2">
      <c r="Y8454" s="97"/>
    </row>
    <row r="8455" spans="25:25" x14ac:dyDescent="0.2">
      <c r="Y8455" s="97"/>
    </row>
    <row r="8456" spans="25:25" x14ac:dyDescent="0.2">
      <c r="Y8456" s="97"/>
    </row>
    <row r="8457" spans="25:25" x14ac:dyDescent="0.2">
      <c r="Y8457" s="97"/>
    </row>
    <row r="8458" spans="25:25" x14ac:dyDescent="0.2">
      <c r="Y8458" s="97"/>
    </row>
    <row r="8459" spans="25:25" x14ac:dyDescent="0.2">
      <c r="Y8459" s="97"/>
    </row>
    <row r="8460" spans="25:25" x14ac:dyDescent="0.2">
      <c r="Y8460" s="97"/>
    </row>
    <row r="8461" spans="25:25" x14ac:dyDescent="0.2">
      <c r="Y8461" s="97"/>
    </row>
    <row r="8462" spans="25:25" x14ac:dyDescent="0.2">
      <c r="Y8462" s="97"/>
    </row>
    <row r="8463" spans="25:25" x14ac:dyDescent="0.2">
      <c r="Y8463" s="97"/>
    </row>
    <row r="8464" spans="25:25" x14ac:dyDescent="0.2">
      <c r="Y8464" s="97"/>
    </row>
    <row r="8465" spans="25:25" x14ac:dyDescent="0.2">
      <c r="Y8465" s="97"/>
    </row>
    <row r="8466" spans="25:25" x14ac:dyDescent="0.2">
      <c r="Y8466" s="97"/>
    </row>
    <row r="8467" spans="25:25" x14ac:dyDescent="0.2">
      <c r="Y8467" s="97"/>
    </row>
    <row r="8468" spans="25:25" x14ac:dyDescent="0.2">
      <c r="Y8468" s="97"/>
    </row>
    <row r="8469" spans="25:25" x14ac:dyDescent="0.2">
      <c r="Y8469" s="97"/>
    </row>
    <row r="8470" spans="25:25" x14ac:dyDescent="0.2">
      <c r="Y8470" s="97"/>
    </row>
    <row r="8471" spans="25:25" x14ac:dyDescent="0.2">
      <c r="Y8471" s="97"/>
    </row>
    <row r="8472" spans="25:25" x14ac:dyDescent="0.2">
      <c r="Y8472" s="97"/>
    </row>
    <row r="8473" spans="25:25" x14ac:dyDescent="0.2">
      <c r="Y8473" s="97"/>
    </row>
    <row r="8474" spans="25:25" x14ac:dyDescent="0.2">
      <c r="Y8474" s="97"/>
    </row>
    <row r="8475" spans="25:25" x14ac:dyDescent="0.2">
      <c r="Y8475" s="97"/>
    </row>
    <row r="8476" spans="25:25" x14ac:dyDescent="0.2">
      <c r="Y8476" s="97"/>
    </row>
    <row r="8477" spans="25:25" x14ac:dyDescent="0.2">
      <c r="Y8477" s="97"/>
    </row>
    <row r="8478" spans="25:25" x14ac:dyDescent="0.2">
      <c r="Y8478" s="97"/>
    </row>
    <row r="8479" spans="25:25" x14ac:dyDescent="0.2">
      <c r="Y8479" s="97"/>
    </row>
    <row r="8480" spans="25:25" x14ac:dyDescent="0.2">
      <c r="Y8480" s="97"/>
    </row>
    <row r="8481" spans="25:25" x14ac:dyDescent="0.2">
      <c r="Y8481" s="97"/>
    </row>
    <row r="8482" spans="25:25" x14ac:dyDescent="0.2">
      <c r="Y8482" s="97"/>
    </row>
    <row r="8483" spans="25:25" x14ac:dyDescent="0.2">
      <c r="Y8483" s="97"/>
    </row>
    <row r="8484" spans="25:25" x14ac:dyDescent="0.2">
      <c r="Y8484" s="97"/>
    </row>
    <row r="8485" spans="25:25" x14ac:dyDescent="0.2">
      <c r="Y8485" s="97"/>
    </row>
    <row r="8486" spans="25:25" x14ac:dyDescent="0.2">
      <c r="Y8486" s="97"/>
    </row>
    <row r="8487" spans="25:25" x14ac:dyDescent="0.2">
      <c r="Y8487" s="97"/>
    </row>
    <row r="8488" spans="25:25" x14ac:dyDescent="0.2">
      <c r="Y8488" s="97"/>
    </row>
    <row r="8489" spans="25:25" x14ac:dyDescent="0.2">
      <c r="Y8489" s="97"/>
    </row>
    <row r="8490" spans="25:25" x14ac:dyDescent="0.2">
      <c r="Y8490" s="97"/>
    </row>
    <row r="8491" spans="25:25" x14ac:dyDescent="0.2">
      <c r="Y8491" s="97"/>
    </row>
    <row r="8492" spans="25:25" x14ac:dyDescent="0.2">
      <c r="Y8492" s="97"/>
    </row>
    <row r="8493" spans="25:25" x14ac:dyDescent="0.2">
      <c r="Y8493" s="97"/>
    </row>
    <row r="8494" spans="25:25" x14ac:dyDescent="0.2">
      <c r="Y8494" s="97"/>
    </row>
    <row r="8495" spans="25:25" x14ac:dyDescent="0.2">
      <c r="Y8495" s="97"/>
    </row>
    <row r="8496" spans="25:25" x14ac:dyDescent="0.2">
      <c r="Y8496" s="97"/>
    </row>
    <row r="8497" spans="25:25" x14ac:dyDescent="0.2">
      <c r="Y8497" s="97"/>
    </row>
    <row r="8498" spans="25:25" x14ac:dyDescent="0.2">
      <c r="Y8498" s="97"/>
    </row>
    <row r="8499" spans="25:25" x14ac:dyDescent="0.2">
      <c r="Y8499" s="97"/>
    </row>
    <row r="8500" spans="25:25" x14ac:dyDescent="0.2">
      <c r="Y8500" s="97"/>
    </row>
    <row r="8501" spans="25:25" x14ac:dyDescent="0.2">
      <c r="Y8501" s="97"/>
    </row>
    <row r="8502" spans="25:25" x14ac:dyDescent="0.2">
      <c r="Y8502" s="97"/>
    </row>
    <row r="8503" spans="25:25" x14ac:dyDescent="0.2">
      <c r="Y8503" s="97"/>
    </row>
    <row r="8504" spans="25:25" x14ac:dyDescent="0.2">
      <c r="Y8504" s="97"/>
    </row>
    <row r="8505" spans="25:25" x14ac:dyDescent="0.2">
      <c r="Y8505" s="97"/>
    </row>
    <row r="8506" spans="25:25" x14ac:dyDescent="0.2">
      <c r="Y8506" s="97"/>
    </row>
    <row r="8507" spans="25:25" x14ac:dyDescent="0.2">
      <c r="Y8507" s="97"/>
    </row>
    <row r="8508" spans="25:25" x14ac:dyDescent="0.2">
      <c r="Y8508" s="97"/>
    </row>
    <row r="8509" spans="25:25" x14ac:dyDescent="0.2">
      <c r="Y8509" s="97"/>
    </row>
    <row r="8510" spans="25:25" x14ac:dyDescent="0.2">
      <c r="Y8510" s="97"/>
    </row>
    <row r="8511" spans="25:25" x14ac:dyDescent="0.2">
      <c r="Y8511" s="97"/>
    </row>
    <row r="8512" spans="25:25" x14ac:dyDescent="0.2">
      <c r="Y8512" s="97"/>
    </row>
    <row r="8513" spans="25:25" x14ac:dyDescent="0.2">
      <c r="Y8513" s="97"/>
    </row>
    <row r="8514" spans="25:25" x14ac:dyDescent="0.2">
      <c r="Y8514" s="97"/>
    </row>
    <row r="8515" spans="25:25" x14ac:dyDescent="0.2">
      <c r="Y8515" s="97"/>
    </row>
    <row r="8516" spans="25:25" x14ac:dyDescent="0.2">
      <c r="Y8516" s="97"/>
    </row>
    <row r="8517" spans="25:25" x14ac:dyDescent="0.2">
      <c r="Y8517" s="97"/>
    </row>
    <row r="8518" spans="25:25" x14ac:dyDescent="0.2">
      <c r="Y8518" s="97"/>
    </row>
    <row r="8519" spans="25:25" x14ac:dyDescent="0.2">
      <c r="Y8519" s="97"/>
    </row>
    <row r="8520" spans="25:25" x14ac:dyDescent="0.2">
      <c r="Y8520" s="97"/>
    </row>
    <row r="8521" spans="25:25" x14ac:dyDescent="0.2">
      <c r="Y8521" s="97"/>
    </row>
    <row r="8522" spans="25:25" x14ac:dyDescent="0.2">
      <c r="Y8522" s="97"/>
    </row>
    <row r="8523" spans="25:25" x14ac:dyDescent="0.2">
      <c r="Y8523" s="97"/>
    </row>
    <row r="8524" spans="25:25" x14ac:dyDescent="0.2">
      <c r="Y8524" s="97"/>
    </row>
    <row r="8525" spans="25:25" x14ac:dyDescent="0.2">
      <c r="Y8525" s="97"/>
    </row>
    <row r="8526" spans="25:25" x14ac:dyDescent="0.2">
      <c r="Y8526" s="97"/>
    </row>
    <row r="8527" spans="25:25" x14ac:dyDescent="0.2">
      <c r="Y8527" s="97"/>
    </row>
    <row r="8528" spans="25:25" x14ac:dyDescent="0.2">
      <c r="Y8528" s="97"/>
    </row>
    <row r="8529" spans="25:25" x14ac:dyDescent="0.2">
      <c r="Y8529" s="97"/>
    </row>
    <row r="8530" spans="25:25" x14ac:dyDescent="0.2">
      <c r="Y8530" s="97"/>
    </row>
    <row r="8531" spans="25:25" x14ac:dyDescent="0.2">
      <c r="Y8531" s="97"/>
    </row>
    <row r="8532" spans="25:25" x14ac:dyDescent="0.2">
      <c r="Y8532" s="97"/>
    </row>
    <row r="8533" spans="25:25" x14ac:dyDescent="0.2">
      <c r="Y8533" s="97"/>
    </row>
    <row r="8534" spans="25:25" x14ac:dyDescent="0.2">
      <c r="Y8534" s="97"/>
    </row>
    <row r="8535" spans="25:25" x14ac:dyDescent="0.2">
      <c r="Y8535" s="97"/>
    </row>
    <row r="8536" spans="25:25" x14ac:dyDescent="0.2">
      <c r="Y8536" s="97"/>
    </row>
    <row r="8537" spans="25:25" x14ac:dyDescent="0.2">
      <c r="Y8537" s="97"/>
    </row>
    <row r="8538" spans="25:25" x14ac:dyDescent="0.2">
      <c r="Y8538" s="97"/>
    </row>
    <row r="8539" spans="25:25" x14ac:dyDescent="0.2">
      <c r="Y8539" s="97"/>
    </row>
    <row r="8540" spans="25:25" x14ac:dyDescent="0.2">
      <c r="Y8540" s="97"/>
    </row>
    <row r="8541" spans="25:25" x14ac:dyDescent="0.2">
      <c r="Y8541" s="97"/>
    </row>
    <row r="8542" spans="25:25" x14ac:dyDescent="0.2">
      <c r="Y8542" s="97"/>
    </row>
    <row r="8543" spans="25:25" x14ac:dyDescent="0.2">
      <c r="Y8543" s="97"/>
    </row>
    <row r="8544" spans="25:25" x14ac:dyDescent="0.2">
      <c r="Y8544" s="97"/>
    </row>
    <row r="8545" spans="25:25" x14ac:dyDescent="0.2">
      <c r="Y8545" s="97"/>
    </row>
    <row r="8546" spans="25:25" x14ac:dyDescent="0.2">
      <c r="Y8546" s="97"/>
    </row>
    <row r="8547" spans="25:25" x14ac:dyDescent="0.2">
      <c r="Y8547" s="97"/>
    </row>
    <row r="8548" spans="25:25" x14ac:dyDescent="0.2">
      <c r="Y8548" s="97"/>
    </row>
    <row r="8549" spans="25:25" x14ac:dyDescent="0.2">
      <c r="Y8549" s="97"/>
    </row>
    <row r="8550" spans="25:25" x14ac:dyDescent="0.2">
      <c r="Y8550" s="97"/>
    </row>
    <row r="8551" spans="25:25" x14ac:dyDescent="0.2">
      <c r="Y8551" s="97"/>
    </row>
    <row r="8552" spans="25:25" x14ac:dyDescent="0.2">
      <c r="Y8552" s="97"/>
    </row>
    <row r="8553" spans="25:25" x14ac:dyDescent="0.2">
      <c r="Y8553" s="97"/>
    </row>
    <row r="8554" spans="25:25" x14ac:dyDescent="0.2">
      <c r="Y8554" s="97"/>
    </row>
    <row r="8555" spans="25:25" x14ac:dyDescent="0.2">
      <c r="Y8555" s="97"/>
    </row>
    <row r="8556" spans="25:25" x14ac:dyDescent="0.2">
      <c r="Y8556" s="97"/>
    </row>
    <row r="8557" spans="25:25" x14ac:dyDescent="0.2">
      <c r="Y8557" s="97"/>
    </row>
    <row r="8558" spans="25:25" x14ac:dyDescent="0.2">
      <c r="Y8558" s="97"/>
    </row>
    <row r="8559" spans="25:25" x14ac:dyDescent="0.2">
      <c r="Y8559" s="97"/>
    </row>
    <row r="8560" spans="25:25" x14ac:dyDescent="0.2">
      <c r="Y8560" s="97"/>
    </row>
    <row r="8561" spans="25:25" x14ac:dyDescent="0.2">
      <c r="Y8561" s="97"/>
    </row>
    <row r="8562" spans="25:25" x14ac:dyDescent="0.2">
      <c r="Y8562" s="97"/>
    </row>
    <row r="8563" spans="25:25" x14ac:dyDescent="0.2">
      <c r="Y8563" s="97"/>
    </row>
    <row r="8564" spans="25:25" x14ac:dyDescent="0.2">
      <c r="Y8564" s="97"/>
    </row>
    <row r="8565" spans="25:25" x14ac:dyDescent="0.2">
      <c r="Y8565" s="97"/>
    </row>
    <row r="8566" spans="25:25" x14ac:dyDescent="0.2">
      <c r="Y8566" s="97"/>
    </row>
    <row r="8567" spans="25:25" x14ac:dyDescent="0.2">
      <c r="Y8567" s="97"/>
    </row>
    <row r="8568" spans="25:25" x14ac:dyDescent="0.2">
      <c r="Y8568" s="97"/>
    </row>
    <row r="8569" spans="25:25" x14ac:dyDescent="0.2">
      <c r="Y8569" s="97"/>
    </row>
    <row r="8570" spans="25:25" x14ac:dyDescent="0.2">
      <c r="Y8570" s="97"/>
    </row>
    <row r="8571" spans="25:25" x14ac:dyDescent="0.2">
      <c r="Y8571" s="97"/>
    </row>
    <row r="8572" spans="25:25" x14ac:dyDescent="0.2">
      <c r="Y8572" s="97"/>
    </row>
    <row r="8573" spans="25:25" x14ac:dyDescent="0.2">
      <c r="Y8573" s="97"/>
    </row>
    <row r="8574" spans="25:25" x14ac:dyDescent="0.2">
      <c r="Y8574" s="97"/>
    </row>
    <row r="8575" spans="25:25" x14ac:dyDescent="0.2">
      <c r="Y8575" s="97"/>
    </row>
    <row r="8576" spans="25:25" x14ac:dyDescent="0.2">
      <c r="Y8576" s="97"/>
    </row>
    <row r="8577" spans="25:25" x14ac:dyDescent="0.2">
      <c r="Y8577" s="97"/>
    </row>
    <row r="8578" spans="25:25" x14ac:dyDescent="0.2">
      <c r="Y8578" s="97"/>
    </row>
    <row r="8579" spans="25:25" x14ac:dyDescent="0.2">
      <c r="Y8579" s="97"/>
    </row>
    <row r="8580" spans="25:25" x14ac:dyDescent="0.2">
      <c r="Y8580" s="97"/>
    </row>
    <row r="8581" spans="25:25" x14ac:dyDescent="0.2">
      <c r="Y8581" s="97"/>
    </row>
    <row r="8582" spans="25:25" x14ac:dyDescent="0.2">
      <c r="Y8582" s="97"/>
    </row>
    <row r="8583" spans="25:25" x14ac:dyDescent="0.2">
      <c r="Y8583" s="97"/>
    </row>
    <row r="8584" spans="25:25" x14ac:dyDescent="0.2">
      <c r="Y8584" s="97"/>
    </row>
    <row r="8585" spans="25:25" x14ac:dyDescent="0.2">
      <c r="Y8585" s="97"/>
    </row>
    <row r="8586" spans="25:25" x14ac:dyDescent="0.2">
      <c r="Y8586" s="97"/>
    </row>
    <row r="8587" spans="25:25" x14ac:dyDescent="0.2">
      <c r="Y8587" s="97"/>
    </row>
    <row r="8588" spans="25:25" x14ac:dyDescent="0.2">
      <c r="Y8588" s="97"/>
    </row>
    <row r="8589" spans="25:25" x14ac:dyDescent="0.2">
      <c r="Y8589" s="97"/>
    </row>
    <row r="8590" spans="25:25" x14ac:dyDescent="0.2">
      <c r="Y8590" s="97"/>
    </row>
    <row r="8591" spans="25:25" x14ac:dyDescent="0.2">
      <c r="Y8591" s="97"/>
    </row>
    <row r="8592" spans="25:25" x14ac:dyDescent="0.2">
      <c r="Y8592" s="97"/>
    </row>
    <row r="8593" spans="25:25" x14ac:dyDescent="0.2">
      <c r="Y8593" s="97"/>
    </row>
    <row r="8594" spans="25:25" x14ac:dyDescent="0.2">
      <c r="Y8594" s="97"/>
    </row>
    <row r="8595" spans="25:25" x14ac:dyDescent="0.2">
      <c r="Y8595" s="97"/>
    </row>
    <row r="8596" spans="25:25" x14ac:dyDescent="0.2">
      <c r="Y8596" s="97"/>
    </row>
    <row r="8597" spans="25:25" x14ac:dyDescent="0.2">
      <c r="Y8597" s="97"/>
    </row>
    <row r="8598" spans="25:25" x14ac:dyDescent="0.2">
      <c r="Y8598" s="97"/>
    </row>
    <row r="8599" spans="25:25" x14ac:dyDescent="0.2">
      <c r="Y8599" s="97"/>
    </row>
    <row r="8600" spans="25:25" x14ac:dyDescent="0.2">
      <c r="Y8600" s="97"/>
    </row>
    <row r="8601" spans="25:25" x14ac:dyDescent="0.2">
      <c r="Y8601" s="97"/>
    </row>
    <row r="8602" spans="25:25" x14ac:dyDescent="0.2">
      <c r="Y8602" s="97"/>
    </row>
    <row r="8603" spans="25:25" x14ac:dyDescent="0.2">
      <c r="Y8603" s="97"/>
    </row>
    <row r="8604" spans="25:25" x14ac:dyDescent="0.2">
      <c r="Y8604" s="97"/>
    </row>
    <row r="8605" spans="25:25" x14ac:dyDescent="0.2">
      <c r="Y8605" s="97"/>
    </row>
    <row r="8606" spans="25:25" x14ac:dyDescent="0.2">
      <c r="Y8606" s="97"/>
    </row>
    <row r="8607" spans="25:25" x14ac:dyDescent="0.2">
      <c r="Y8607" s="97"/>
    </row>
    <row r="8608" spans="25:25" x14ac:dyDescent="0.2">
      <c r="Y8608" s="97"/>
    </row>
    <row r="8609" spans="25:25" x14ac:dyDescent="0.2">
      <c r="Y8609" s="97"/>
    </row>
    <row r="8610" spans="25:25" x14ac:dyDescent="0.2">
      <c r="Y8610" s="97"/>
    </row>
    <row r="8611" spans="25:25" x14ac:dyDescent="0.2">
      <c r="Y8611" s="97"/>
    </row>
    <row r="8612" spans="25:25" x14ac:dyDescent="0.2">
      <c r="Y8612" s="97"/>
    </row>
    <row r="8613" spans="25:25" x14ac:dyDescent="0.2">
      <c r="Y8613" s="97"/>
    </row>
    <row r="8614" spans="25:25" x14ac:dyDescent="0.2">
      <c r="Y8614" s="97"/>
    </row>
    <row r="8615" spans="25:25" x14ac:dyDescent="0.2">
      <c r="Y8615" s="97"/>
    </row>
    <row r="8616" spans="25:25" x14ac:dyDescent="0.2">
      <c r="Y8616" s="97"/>
    </row>
    <row r="8617" spans="25:25" x14ac:dyDescent="0.2">
      <c r="Y8617" s="97"/>
    </row>
    <row r="8618" spans="25:25" x14ac:dyDescent="0.2">
      <c r="Y8618" s="97"/>
    </row>
    <row r="8619" spans="25:25" x14ac:dyDescent="0.2">
      <c r="Y8619" s="97"/>
    </row>
    <row r="8620" spans="25:25" x14ac:dyDescent="0.2">
      <c r="Y8620" s="97"/>
    </row>
    <row r="8621" spans="25:25" x14ac:dyDescent="0.2">
      <c r="Y8621" s="97"/>
    </row>
    <row r="8622" spans="25:25" x14ac:dyDescent="0.2">
      <c r="Y8622" s="97"/>
    </row>
    <row r="8623" spans="25:25" x14ac:dyDescent="0.2">
      <c r="Y8623" s="97"/>
    </row>
    <row r="8624" spans="25:25" x14ac:dyDescent="0.2">
      <c r="Y8624" s="97"/>
    </row>
    <row r="8625" spans="25:25" x14ac:dyDescent="0.2">
      <c r="Y8625" s="97"/>
    </row>
    <row r="8626" spans="25:25" x14ac:dyDescent="0.2">
      <c r="Y8626" s="97"/>
    </row>
    <row r="8627" spans="25:25" x14ac:dyDescent="0.2">
      <c r="Y8627" s="97"/>
    </row>
    <row r="8628" spans="25:25" x14ac:dyDescent="0.2">
      <c r="Y8628" s="97"/>
    </row>
    <row r="8629" spans="25:25" x14ac:dyDescent="0.2">
      <c r="Y8629" s="97"/>
    </row>
    <row r="8630" spans="25:25" x14ac:dyDescent="0.2">
      <c r="Y8630" s="97"/>
    </row>
    <row r="8631" spans="25:25" x14ac:dyDescent="0.2">
      <c r="Y8631" s="97"/>
    </row>
    <row r="8632" spans="25:25" x14ac:dyDescent="0.2">
      <c r="Y8632" s="97"/>
    </row>
    <row r="8633" spans="25:25" x14ac:dyDescent="0.2">
      <c r="Y8633" s="97"/>
    </row>
    <row r="8634" spans="25:25" x14ac:dyDescent="0.2">
      <c r="Y8634" s="97"/>
    </row>
    <row r="8635" spans="25:25" x14ac:dyDescent="0.2">
      <c r="Y8635" s="97"/>
    </row>
    <row r="8636" spans="25:25" x14ac:dyDescent="0.2">
      <c r="Y8636" s="97"/>
    </row>
    <row r="8637" spans="25:25" x14ac:dyDescent="0.2">
      <c r="Y8637" s="97"/>
    </row>
    <row r="8638" spans="25:25" x14ac:dyDescent="0.2">
      <c r="Y8638" s="97"/>
    </row>
    <row r="8639" spans="25:25" x14ac:dyDescent="0.2">
      <c r="Y8639" s="97"/>
    </row>
    <row r="8640" spans="25:25" x14ac:dyDescent="0.2">
      <c r="Y8640" s="97"/>
    </row>
    <row r="8641" spans="25:25" x14ac:dyDescent="0.2">
      <c r="Y8641" s="97"/>
    </row>
    <row r="8642" spans="25:25" x14ac:dyDescent="0.2">
      <c r="Y8642" s="97"/>
    </row>
    <row r="8643" spans="25:25" x14ac:dyDescent="0.2">
      <c r="Y8643" s="97"/>
    </row>
    <row r="8644" spans="25:25" x14ac:dyDescent="0.2">
      <c r="Y8644" s="97"/>
    </row>
    <row r="8645" spans="25:25" x14ac:dyDescent="0.2">
      <c r="Y8645" s="97"/>
    </row>
    <row r="8646" spans="25:25" x14ac:dyDescent="0.2">
      <c r="Y8646" s="97"/>
    </row>
    <row r="8647" spans="25:25" x14ac:dyDescent="0.2">
      <c r="Y8647" s="97"/>
    </row>
    <row r="8648" spans="25:25" x14ac:dyDescent="0.2">
      <c r="Y8648" s="97"/>
    </row>
    <row r="8649" spans="25:25" x14ac:dyDescent="0.2">
      <c r="Y8649" s="97"/>
    </row>
    <row r="8650" spans="25:25" x14ac:dyDescent="0.2">
      <c r="Y8650" s="97"/>
    </row>
    <row r="8651" spans="25:25" x14ac:dyDescent="0.2">
      <c r="Y8651" s="97"/>
    </row>
    <row r="8652" spans="25:25" x14ac:dyDescent="0.2">
      <c r="Y8652" s="97"/>
    </row>
    <row r="8653" spans="25:25" x14ac:dyDescent="0.2">
      <c r="Y8653" s="97"/>
    </row>
    <row r="8654" spans="25:25" x14ac:dyDescent="0.2">
      <c r="Y8654" s="97"/>
    </row>
    <row r="8655" spans="25:25" x14ac:dyDescent="0.2">
      <c r="Y8655" s="97"/>
    </row>
    <row r="8656" spans="25:25" x14ac:dyDescent="0.2">
      <c r="Y8656" s="97"/>
    </row>
    <row r="8657" spans="25:25" x14ac:dyDescent="0.2">
      <c r="Y8657" s="97"/>
    </row>
    <row r="8658" spans="25:25" x14ac:dyDescent="0.2">
      <c r="Y8658" s="97"/>
    </row>
    <row r="8659" spans="25:25" x14ac:dyDescent="0.2">
      <c r="Y8659" s="97"/>
    </row>
    <row r="8660" spans="25:25" x14ac:dyDescent="0.2">
      <c r="Y8660" s="97"/>
    </row>
    <row r="8661" spans="25:25" x14ac:dyDescent="0.2">
      <c r="Y8661" s="97"/>
    </row>
    <row r="8662" spans="25:25" x14ac:dyDescent="0.2">
      <c r="Y8662" s="97"/>
    </row>
    <row r="8663" spans="25:25" x14ac:dyDescent="0.2">
      <c r="Y8663" s="97"/>
    </row>
    <row r="8664" spans="25:25" x14ac:dyDescent="0.2">
      <c r="Y8664" s="97"/>
    </row>
    <row r="8665" spans="25:25" x14ac:dyDescent="0.2">
      <c r="Y8665" s="97"/>
    </row>
    <row r="8666" spans="25:25" x14ac:dyDescent="0.2">
      <c r="Y8666" s="97"/>
    </row>
    <row r="8667" spans="25:25" x14ac:dyDescent="0.2">
      <c r="Y8667" s="97"/>
    </row>
    <row r="8668" spans="25:25" x14ac:dyDescent="0.2">
      <c r="Y8668" s="97"/>
    </row>
    <row r="8669" spans="25:25" x14ac:dyDescent="0.2">
      <c r="Y8669" s="97"/>
    </row>
    <row r="8670" spans="25:25" x14ac:dyDescent="0.2">
      <c r="Y8670" s="97"/>
    </row>
    <row r="8671" spans="25:25" x14ac:dyDescent="0.2">
      <c r="Y8671" s="97"/>
    </row>
    <row r="8672" spans="25:25" x14ac:dyDescent="0.2">
      <c r="Y8672" s="97"/>
    </row>
    <row r="8673" spans="25:25" x14ac:dyDescent="0.2">
      <c r="Y8673" s="97"/>
    </row>
    <row r="8674" spans="25:25" x14ac:dyDescent="0.2">
      <c r="Y8674" s="97"/>
    </row>
    <row r="8675" spans="25:25" x14ac:dyDescent="0.2">
      <c r="Y8675" s="97"/>
    </row>
    <row r="8676" spans="25:25" x14ac:dyDescent="0.2">
      <c r="Y8676" s="97"/>
    </row>
    <row r="8677" spans="25:25" x14ac:dyDescent="0.2">
      <c r="Y8677" s="97"/>
    </row>
    <row r="8678" spans="25:25" x14ac:dyDescent="0.2">
      <c r="Y8678" s="97"/>
    </row>
    <row r="8679" spans="25:25" x14ac:dyDescent="0.2">
      <c r="Y8679" s="97"/>
    </row>
    <row r="8680" spans="25:25" x14ac:dyDescent="0.2">
      <c r="Y8680" s="97"/>
    </row>
    <row r="8681" spans="25:25" x14ac:dyDescent="0.2">
      <c r="Y8681" s="97"/>
    </row>
    <row r="8682" spans="25:25" x14ac:dyDescent="0.2">
      <c r="Y8682" s="97"/>
    </row>
    <row r="8683" spans="25:25" x14ac:dyDescent="0.2">
      <c r="Y8683" s="97"/>
    </row>
    <row r="8684" spans="25:25" x14ac:dyDescent="0.2">
      <c r="Y8684" s="97"/>
    </row>
    <row r="8685" spans="25:25" x14ac:dyDescent="0.2">
      <c r="Y8685" s="97"/>
    </row>
    <row r="8686" spans="25:25" x14ac:dyDescent="0.2">
      <c r="Y8686" s="97"/>
    </row>
    <row r="8687" spans="25:25" x14ac:dyDescent="0.2">
      <c r="Y8687" s="97"/>
    </row>
    <row r="8688" spans="25:25" x14ac:dyDescent="0.2">
      <c r="Y8688" s="97"/>
    </row>
    <row r="8689" spans="25:25" x14ac:dyDescent="0.2">
      <c r="Y8689" s="97"/>
    </row>
    <row r="8690" spans="25:25" x14ac:dyDescent="0.2">
      <c r="Y8690" s="97"/>
    </row>
    <row r="8691" spans="25:25" x14ac:dyDescent="0.2">
      <c r="Y8691" s="97"/>
    </row>
    <row r="8692" spans="25:25" x14ac:dyDescent="0.2">
      <c r="Y8692" s="97"/>
    </row>
    <row r="8693" spans="25:25" x14ac:dyDescent="0.2">
      <c r="Y8693" s="97"/>
    </row>
    <row r="8694" spans="25:25" x14ac:dyDescent="0.2">
      <c r="Y8694" s="97"/>
    </row>
    <row r="8695" spans="25:25" x14ac:dyDescent="0.2">
      <c r="Y8695" s="97"/>
    </row>
    <row r="8696" spans="25:25" x14ac:dyDescent="0.2">
      <c r="Y8696" s="97"/>
    </row>
    <row r="8697" spans="25:25" x14ac:dyDescent="0.2">
      <c r="Y8697" s="97"/>
    </row>
    <row r="8698" spans="25:25" x14ac:dyDescent="0.2">
      <c r="Y8698" s="97"/>
    </row>
    <row r="8699" spans="25:25" x14ac:dyDescent="0.2">
      <c r="Y8699" s="97"/>
    </row>
    <row r="8700" spans="25:25" x14ac:dyDescent="0.2">
      <c r="Y8700" s="97"/>
    </row>
    <row r="8701" spans="25:25" x14ac:dyDescent="0.2">
      <c r="Y8701" s="97"/>
    </row>
    <row r="8702" spans="25:25" x14ac:dyDescent="0.2">
      <c r="Y8702" s="97"/>
    </row>
    <row r="8703" spans="25:25" x14ac:dyDescent="0.2">
      <c r="Y8703" s="97"/>
    </row>
    <row r="8704" spans="25:25" x14ac:dyDescent="0.2">
      <c r="Y8704" s="97"/>
    </row>
    <row r="8705" spans="25:25" x14ac:dyDescent="0.2">
      <c r="Y8705" s="97"/>
    </row>
    <row r="8706" spans="25:25" x14ac:dyDescent="0.2">
      <c r="Y8706" s="97"/>
    </row>
    <row r="8707" spans="25:25" x14ac:dyDescent="0.2">
      <c r="Y8707" s="97"/>
    </row>
    <row r="8708" spans="25:25" x14ac:dyDescent="0.2">
      <c r="Y8708" s="97"/>
    </row>
    <row r="8709" spans="25:25" x14ac:dyDescent="0.2">
      <c r="Y8709" s="97"/>
    </row>
    <row r="8710" spans="25:25" x14ac:dyDescent="0.2">
      <c r="Y8710" s="97"/>
    </row>
    <row r="8711" spans="25:25" x14ac:dyDescent="0.2">
      <c r="Y8711" s="97"/>
    </row>
    <row r="8712" spans="25:25" x14ac:dyDescent="0.2">
      <c r="Y8712" s="97"/>
    </row>
    <row r="8713" spans="25:25" x14ac:dyDescent="0.2">
      <c r="Y8713" s="97"/>
    </row>
    <row r="8714" spans="25:25" x14ac:dyDescent="0.2">
      <c r="Y8714" s="97"/>
    </row>
    <row r="8715" spans="25:25" x14ac:dyDescent="0.2">
      <c r="Y8715" s="97"/>
    </row>
    <row r="8716" spans="25:25" x14ac:dyDescent="0.2">
      <c r="Y8716" s="97"/>
    </row>
    <row r="8717" spans="25:25" x14ac:dyDescent="0.2">
      <c r="Y8717" s="97"/>
    </row>
    <row r="8718" spans="25:25" x14ac:dyDescent="0.2">
      <c r="Y8718" s="97"/>
    </row>
    <row r="8719" spans="25:25" x14ac:dyDescent="0.2">
      <c r="Y8719" s="97"/>
    </row>
    <row r="8720" spans="25:25" x14ac:dyDescent="0.2">
      <c r="Y8720" s="97"/>
    </row>
    <row r="8721" spans="25:25" x14ac:dyDescent="0.2">
      <c r="Y8721" s="97"/>
    </row>
    <row r="8722" spans="25:25" x14ac:dyDescent="0.2">
      <c r="Y8722" s="97"/>
    </row>
    <row r="8723" spans="25:25" x14ac:dyDescent="0.2">
      <c r="Y8723" s="97"/>
    </row>
    <row r="8724" spans="25:25" x14ac:dyDescent="0.2">
      <c r="Y8724" s="97"/>
    </row>
    <row r="8725" spans="25:25" x14ac:dyDescent="0.2">
      <c r="Y8725" s="97"/>
    </row>
    <row r="8726" spans="25:25" x14ac:dyDescent="0.2">
      <c r="Y8726" s="97"/>
    </row>
    <row r="8727" spans="25:25" x14ac:dyDescent="0.2">
      <c r="Y8727" s="97"/>
    </row>
    <row r="8728" spans="25:25" x14ac:dyDescent="0.2">
      <c r="Y8728" s="97"/>
    </row>
    <row r="8729" spans="25:25" x14ac:dyDescent="0.2">
      <c r="Y8729" s="97"/>
    </row>
    <row r="8730" spans="25:25" x14ac:dyDescent="0.2">
      <c r="Y8730" s="97"/>
    </row>
    <row r="8731" spans="25:25" x14ac:dyDescent="0.2">
      <c r="Y8731" s="97"/>
    </row>
    <row r="8732" spans="25:25" x14ac:dyDescent="0.2">
      <c r="Y8732" s="97"/>
    </row>
    <row r="8733" spans="25:25" x14ac:dyDescent="0.2">
      <c r="Y8733" s="97"/>
    </row>
    <row r="8734" spans="25:25" x14ac:dyDescent="0.2">
      <c r="Y8734" s="97"/>
    </row>
    <row r="8735" spans="25:25" x14ac:dyDescent="0.2">
      <c r="Y8735" s="97"/>
    </row>
    <row r="8736" spans="25:25" x14ac:dyDescent="0.2">
      <c r="Y8736" s="97"/>
    </row>
    <row r="8737" spans="25:25" x14ac:dyDescent="0.2">
      <c r="Y8737" s="97"/>
    </row>
    <row r="8738" spans="25:25" x14ac:dyDescent="0.2">
      <c r="Y8738" s="97"/>
    </row>
    <row r="8739" spans="25:25" x14ac:dyDescent="0.2">
      <c r="Y8739" s="97"/>
    </row>
    <row r="8740" spans="25:25" x14ac:dyDescent="0.2">
      <c r="Y8740" s="97"/>
    </row>
    <row r="8741" spans="25:25" x14ac:dyDescent="0.2">
      <c r="Y8741" s="97"/>
    </row>
    <row r="8742" spans="25:25" x14ac:dyDescent="0.2">
      <c r="Y8742" s="97"/>
    </row>
    <row r="8743" spans="25:25" x14ac:dyDescent="0.2">
      <c r="Y8743" s="97"/>
    </row>
    <row r="8744" spans="25:25" x14ac:dyDescent="0.2">
      <c r="Y8744" s="97"/>
    </row>
    <row r="8745" spans="25:25" x14ac:dyDescent="0.2">
      <c r="Y8745" s="97"/>
    </row>
    <row r="8746" spans="25:25" x14ac:dyDescent="0.2">
      <c r="Y8746" s="97"/>
    </row>
    <row r="8747" spans="25:25" x14ac:dyDescent="0.2">
      <c r="Y8747" s="97"/>
    </row>
    <row r="8748" spans="25:25" x14ac:dyDescent="0.2">
      <c r="Y8748" s="97"/>
    </row>
    <row r="8749" spans="25:25" x14ac:dyDescent="0.2">
      <c r="Y8749" s="97"/>
    </row>
    <row r="8750" spans="25:25" x14ac:dyDescent="0.2">
      <c r="Y8750" s="97"/>
    </row>
    <row r="8751" spans="25:25" x14ac:dyDescent="0.2">
      <c r="Y8751" s="97"/>
    </row>
    <row r="8752" spans="25:25" x14ac:dyDescent="0.2">
      <c r="Y8752" s="97"/>
    </row>
    <row r="8753" spans="25:25" x14ac:dyDescent="0.2">
      <c r="Y8753" s="97"/>
    </row>
    <row r="8754" spans="25:25" x14ac:dyDescent="0.2">
      <c r="Y8754" s="97"/>
    </row>
    <row r="8755" spans="25:25" x14ac:dyDescent="0.2">
      <c r="Y8755" s="97"/>
    </row>
    <row r="8756" spans="25:25" x14ac:dyDescent="0.2">
      <c r="Y8756" s="97"/>
    </row>
    <row r="8757" spans="25:25" x14ac:dyDescent="0.2">
      <c r="Y8757" s="97"/>
    </row>
    <row r="8758" spans="25:25" x14ac:dyDescent="0.2">
      <c r="Y8758" s="97"/>
    </row>
    <row r="8759" spans="25:25" x14ac:dyDescent="0.2">
      <c r="Y8759" s="97"/>
    </row>
    <row r="8760" spans="25:25" x14ac:dyDescent="0.2">
      <c r="Y8760" s="97"/>
    </row>
    <row r="8761" spans="25:25" x14ac:dyDescent="0.2">
      <c r="Y8761" s="97"/>
    </row>
    <row r="8762" spans="25:25" x14ac:dyDescent="0.2">
      <c r="Y8762" s="97"/>
    </row>
    <row r="8763" spans="25:25" x14ac:dyDescent="0.2">
      <c r="Y8763" s="97"/>
    </row>
    <row r="8764" spans="25:25" x14ac:dyDescent="0.2">
      <c r="Y8764" s="97"/>
    </row>
    <row r="8765" spans="25:25" x14ac:dyDescent="0.2">
      <c r="Y8765" s="97"/>
    </row>
    <row r="8766" spans="25:25" x14ac:dyDescent="0.2">
      <c r="Y8766" s="97"/>
    </row>
    <row r="8767" spans="25:25" x14ac:dyDescent="0.2">
      <c r="Y8767" s="97"/>
    </row>
    <row r="8768" spans="25:25" x14ac:dyDescent="0.2">
      <c r="Y8768" s="97"/>
    </row>
    <row r="8769" spans="25:25" x14ac:dyDescent="0.2">
      <c r="Y8769" s="97"/>
    </row>
    <row r="8770" spans="25:25" x14ac:dyDescent="0.2">
      <c r="Y8770" s="97"/>
    </row>
    <row r="8771" spans="25:25" x14ac:dyDescent="0.2">
      <c r="Y8771" s="97"/>
    </row>
    <row r="8772" spans="25:25" x14ac:dyDescent="0.2">
      <c r="Y8772" s="97"/>
    </row>
    <row r="8773" spans="25:25" x14ac:dyDescent="0.2">
      <c r="Y8773" s="97"/>
    </row>
    <row r="8774" spans="25:25" x14ac:dyDescent="0.2">
      <c r="Y8774" s="97"/>
    </row>
    <row r="8775" spans="25:25" x14ac:dyDescent="0.2">
      <c r="Y8775" s="97"/>
    </row>
    <row r="8776" spans="25:25" x14ac:dyDescent="0.2">
      <c r="Y8776" s="97"/>
    </row>
    <row r="8777" spans="25:25" x14ac:dyDescent="0.2">
      <c r="Y8777" s="97"/>
    </row>
    <row r="8778" spans="25:25" x14ac:dyDescent="0.2">
      <c r="Y8778" s="97"/>
    </row>
    <row r="8779" spans="25:25" x14ac:dyDescent="0.2">
      <c r="Y8779" s="97"/>
    </row>
    <row r="8780" spans="25:25" x14ac:dyDescent="0.2">
      <c r="Y8780" s="97"/>
    </row>
    <row r="8781" spans="25:25" x14ac:dyDescent="0.2">
      <c r="Y8781" s="97"/>
    </row>
    <row r="8782" spans="25:25" x14ac:dyDescent="0.2">
      <c r="Y8782" s="97"/>
    </row>
    <row r="8783" spans="25:25" x14ac:dyDescent="0.2">
      <c r="Y8783" s="97"/>
    </row>
    <row r="8784" spans="25:25" x14ac:dyDescent="0.2">
      <c r="Y8784" s="97"/>
    </row>
    <row r="8785" spans="25:25" x14ac:dyDescent="0.2">
      <c r="Y8785" s="97"/>
    </row>
    <row r="8786" spans="25:25" x14ac:dyDescent="0.2">
      <c r="Y8786" s="97"/>
    </row>
    <row r="8787" spans="25:25" x14ac:dyDescent="0.2">
      <c r="Y8787" s="97"/>
    </row>
    <row r="8788" spans="25:25" x14ac:dyDescent="0.2">
      <c r="Y8788" s="97"/>
    </row>
    <row r="8789" spans="25:25" x14ac:dyDescent="0.2">
      <c r="Y8789" s="97"/>
    </row>
    <row r="8790" spans="25:25" x14ac:dyDescent="0.2">
      <c r="Y8790" s="97"/>
    </row>
    <row r="8791" spans="25:25" x14ac:dyDescent="0.2">
      <c r="Y8791" s="97"/>
    </row>
    <row r="8792" spans="25:25" x14ac:dyDescent="0.2">
      <c r="Y8792" s="97"/>
    </row>
    <row r="8793" spans="25:25" x14ac:dyDescent="0.2">
      <c r="Y8793" s="97"/>
    </row>
    <row r="8794" spans="25:25" x14ac:dyDescent="0.2">
      <c r="Y8794" s="97"/>
    </row>
    <row r="8795" spans="25:25" x14ac:dyDescent="0.2">
      <c r="Y8795" s="97"/>
    </row>
    <row r="8796" spans="25:25" x14ac:dyDescent="0.2">
      <c r="Y8796" s="97"/>
    </row>
    <row r="8797" spans="25:25" x14ac:dyDescent="0.2">
      <c r="Y8797" s="97"/>
    </row>
    <row r="8798" spans="25:25" x14ac:dyDescent="0.2">
      <c r="Y8798" s="97"/>
    </row>
    <row r="8799" spans="25:25" x14ac:dyDescent="0.2">
      <c r="Y8799" s="97"/>
    </row>
    <row r="8800" spans="25:25" x14ac:dyDescent="0.2">
      <c r="Y8800" s="97"/>
    </row>
    <row r="8801" spans="25:25" x14ac:dyDescent="0.2">
      <c r="Y8801" s="97"/>
    </row>
    <row r="8802" spans="25:25" x14ac:dyDescent="0.2">
      <c r="Y8802" s="97"/>
    </row>
    <row r="8803" spans="25:25" x14ac:dyDescent="0.2">
      <c r="Y8803" s="97"/>
    </row>
    <row r="8804" spans="25:25" x14ac:dyDescent="0.2">
      <c r="Y8804" s="97"/>
    </row>
    <row r="8805" spans="25:25" x14ac:dyDescent="0.2">
      <c r="Y8805" s="97"/>
    </row>
    <row r="8806" spans="25:25" x14ac:dyDescent="0.2">
      <c r="Y8806" s="97"/>
    </row>
    <row r="8807" spans="25:25" x14ac:dyDescent="0.2">
      <c r="Y8807" s="97"/>
    </row>
    <row r="8808" spans="25:25" x14ac:dyDescent="0.2">
      <c r="Y8808" s="97"/>
    </row>
    <row r="8809" spans="25:25" x14ac:dyDescent="0.2">
      <c r="Y8809" s="97"/>
    </row>
    <row r="8810" spans="25:25" x14ac:dyDescent="0.2">
      <c r="Y8810" s="97"/>
    </row>
    <row r="8811" spans="25:25" x14ac:dyDescent="0.2">
      <c r="Y8811" s="97"/>
    </row>
    <row r="8812" spans="25:25" x14ac:dyDescent="0.2">
      <c r="Y8812" s="97"/>
    </row>
    <row r="8813" spans="25:25" x14ac:dyDescent="0.2">
      <c r="Y8813" s="97"/>
    </row>
    <row r="8814" spans="25:25" x14ac:dyDescent="0.2">
      <c r="Y8814" s="97"/>
    </row>
    <row r="8815" spans="25:25" x14ac:dyDescent="0.2">
      <c r="Y8815" s="97"/>
    </row>
    <row r="8816" spans="25:25" x14ac:dyDescent="0.2">
      <c r="Y8816" s="97"/>
    </row>
    <row r="8817" spans="25:25" x14ac:dyDescent="0.2">
      <c r="Y8817" s="97"/>
    </row>
    <row r="8818" spans="25:25" x14ac:dyDescent="0.2">
      <c r="Y8818" s="97"/>
    </row>
    <row r="8819" spans="25:25" x14ac:dyDescent="0.2">
      <c r="Y8819" s="97"/>
    </row>
    <row r="8820" spans="25:25" x14ac:dyDescent="0.2">
      <c r="Y8820" s="97"/>
    </row>
    <row r="8821" spans="25:25" x14ac:dyDescent="0.2">
      <c r="Y8821" s="97"/>
    </row>
    <row r="8822" spans="25:25" x14ac:dyDescent="0.2">
      <c r="Y8822" s="97"/>
    </row>
    <row r="8823" spans="25:25" x14ac:dyDescent="0.2">
      <c r="Y8823" s="97"/>
    </row>
    <row r="8824" spans="25:25" x14ac:dyDescent="0.2">
      <c r="Y8824" s="97"/>
    </row>
    <row r="8825" spans="25:25" x14ac:dyDescent="0.2">
      <c r="Y8825" s="97"/>
    </row>
    <row r="8826" spans="25:25" x14ac:dyDescent="0.2">
      <c r="Y8826" s="97"/>
    </row>
    <row r="8827" spans="25:25" x14ac:dyDescent="0.2">
      <c r="Y8827" s="97"/>
    </row>
    <row r="8828" spans="25:25" x14ac:dyDescent="0.2">
      <c r="Y8828" s="97"/>
    </row>
    <row r="8829" spans="25:25" x14ac:dyDescent="0.2">
      <c r="Y8829" s="97"/>
    </row>
    <row r="8830" spans="25:25" x14ac:dyDescent="0.2">
      <c r="Y8830" s="97"/>
    </row>
    <row r="8831" spans="25:25" x14ac:dyDescent="0.2">
      <c r="Y8831" s="97"/>
    </row>
    <row r="8832" spans="25:25" x14ac:dyDescent="0.2">
      <c r="Y8832" s="97"/>
    </row>
    <row r="8833" spans="25:25" x14ac:dyDescent="0.2">
      <c r="Y8833" s="97"/>
    </row>
    <row r="8834" spans="25:25" x14ac:dyDescent="0.2">
      <c r="Y8834" s="97"/>
    </row>
    <row r="8835" spans="25:25" x14ac:dyDescent="0.2">
      <c r="Y8835" s="97"/>
    </row>
    <row r="8836" spans="25:25" x14ac:dyDescent="0.2">
      <c r="Y8836" s="97"/>
    </row>
    <row r="8837" spans="25:25" x14ac:dyDescent="0.2">
      <c r="Y8837" s="97"/>
    </row>
    <row r="8838" spans="25:25" x14ac:dyDescent="0.2">
      <c r="Y8838" s="97"/>
    </row>
    <row r="8839" spans="25:25" x14ac:dyDescent="0.2">
      <c r="Y8839" s="97"/>
    </row>
    <row r="8840" spans="25:25" x14ac:dyDescent="0.2">
      <c r="Y8840" s="97"/>
    </row>
    <row r="8841" spans="25:25" x14ac:dyDescent="0.2">
      <c r="Y8841" s="97"/>
    </row>
    <row r="8842" spans="25:25" x14ac:dyDescent="0.2">
      <c r="Y8842" s="97"/>
    </row>
    <row r="8843" spans="25:25" x14ac:dyDescent="0.2">
      <c r="Y8843" s="97"/>
    </row>
    <row r="8844" spans="25:25" x14ac:dyDescent="0.2">
      <c r="Y8844" s="97"/>
    </row>
    <row r="8845" spans="25:25" x14ac:dyDescent="0.2">
      <c r="Y8845" s="97"/>
    </row>
    <row r="8846" spans="25:25" x14ac:dyDescent="0.2">
      <c r="Y8846" s="97"/>
    </row>
    <row r="8847" spans="25:25" x14ac:dyDescent="0.2">
      <c r="Y8847" s="97"/>
    </row>
    <row r="8848" spans="25:25" x14ac:dyDescent="0.2">
      <c r="Y8848" s="97"/>
    </row>
    <row r="8849" spans="25:25" x14ac:dyDescent="0.2">
      <c r="Y8849" s="97"/>
    </row>
    <row r="8850" spans="25:25" x14ac:dyDescent="0.2">
      <c r="Y8850" s="97"/>
    </row>
    <row r="8851" spans="25:25" x14ac:dyDescent="0.2">
      <c r="Y8851" s="97"/>
    </row>
    <row r="8852" spans="25:25" x14ac:dyDescent="0.2">
      <c r="Y8852" s="97"/>
    </row>
    <row r="8853" spans="25:25" x14ac:dyDescent="0.2">
      <c r="Y8853" s="97"/>
    </row>
    <row r="8854" spans="25:25" x14ac:dyDescent="0.2">
      <c r="Y8854" s="97"/>
    </row>
    <row r="8855" spans="25:25" x14ac:dyDescent="0.2">
      <c r="Y8855" s="97"/>
    </row>
    <row r="8856" spans="25:25" x14ac:dyDescent="0.2">
      <c r="Y8856" s="97"/>
    </row>
    <row r="8857" spans="25:25" x14ac:dyDescent="0.2">
      <c r="Y8857" s="97"/>
    </row>
    <row r="8858" spans="25:25" x14ac:dyDescent="0.2">
      <c r="Y8858" s="97"/>
    </row>
    <row r="8859" spans="25:25" x14ac:dyDescent="0.2">
      <c r="Y8859" s="97"/>
    </row>
    <row r="8860" spans="25:25" x14ac:dyDescent="0.2">
      <c r="Y8860" s="97"/>
    </row>
    <row r="8861" spans="25:25" x14ac:dyDescent="0.2">
      <c r="Y8861" s="97"/>
    </row>
    <row r="8862" spans="25:25" x14ac:dyDescent="0.2">
      <c r="Y8862" s="97"/>
    </row>
    <row r="8863" spans="25:25" x14ac:dyDescent="0.2">
      <c r="Y8863" s="97"/>
    </row>
    <row r="8864" spans="25:25" x14ac:dyDescent="0.2">
      <c r="Y8864" s="97"/>
    </row>
    <row r="8865" spans="25:25" x14ac:dyDescent="0.2">
      <c r="Y8865" s="97"/>
    </row>
    <row r="8866" spans="25:25" x14ac:dyDescent="0.2">
      <c r="Y8866" s="97"/>
    </row>
    <row r="8867" spans="25:25" x14ac:dyDescent="0.2">
      <c r="Y8867" s="97"/>
    </row>
    <row r="8868" spans="25:25" x14ac:dyDescent="0.2">
      <c r="Y8868" s="97"/>
    </row>
    <row r="8869" spans="25:25" x14ac:dyDescent="0.2">
      <c r="Y8869" s="97"/>
    </row>
    <row r="8870" spans="25:25" x14ac:dyDescent="0.2">
      <c r="Y8870" s="97"/>
    </row>
    <row r="8871" spans="25:25" x14ac:dyDescent="0.2">
      <c r="Y8871" s="97"/>
    </row>
    <row r="8872" spans="25:25" x14ac:dyDescent="0.2">
      <c r="Y8872" s="97"/>
    </row>
    <row r="8873" spans="25:25" x14ac:dyDescent="0.2">
      <c r="Y8873" s="97"/>
    </row>
    <row r="8874" spans="25:25" x14ac:dyDescent="0.2">
      <c r="Y8874" s="97"/>
    </row>
    <row r="8875" spans="25:25" x14ac:dyDescent="0.2">
      <c r="Y8875" s="97"/>
    </row>
    <row r="8876" spans="25:25" x14ac:dyDescent="0.2">
      <c r="Y8876" s="97"/>
    </row>
    <row r="8877" spans="25:25" x14ac:dyDescent="0.2">
      <c r="Y8877" s="97"/>
    </row>
    <row r="8878" spans="25:25" x14ac:dyDescent="0.2">
      <c r="Y8878" s="97"/>
    </row>
    <row r="8879" spans="25:25" x14ac:dyDescent="0.2">
      <c r="Y8879" s="97"/>
    </row>
    <row r="8880" spans="25:25" x14ac:dyDescent="0.2">
      <c r="Y8880" s="97"/>
    </row>
    <row r="8881" spans="25:25" x14ac:dyDescent="0.2">
      <c r="Y8881" s="97"/>
    </row>
    <row r="8882" spans="25:25" x14ac:dyDescent="0.2">
      <c r="Y8882" s="97"/>
    </row>
    <row r="8883" spans="25:25" x14ac:dyDescent="0.2">
      <c r="Y8883" s="97"/>
    </row>
    <row r="8884" spans="25:25" x14ac:dyDescent="0.2">
      <c r="Y8884" s="97"/>
    </row>
    <row r="8885" spans="25:25" x14ac:dyDescent="0.2">
      <c r="Y8885" s="97"/>
    </row>
    <row r="8886" spans="25:25" x14ac:dyDescent="0.2">
      <c r="Y8886" s="97"/>
    </row>
    <row r="8887" spans="25:25" x14ac:dyDescent="0.2">
      <c r="Y8887" s="97"/>
    </row>
    <row r="8888" spans="25:25" x14ac:dyDescent="0.2">
      <c r="Y8888" s="97"/>
    </row>
    <row r="8889" spans="25:25" x14ac:dyDescent="0.2">
      <c r="Y8889" s="97"/>
    </row>
    <row r="8890" spans="25:25" x14ac:dyDescent="0.2">
      <c r="Y8890" s="97"/>
    </row>
    <row r="8891" spans="25:25" x14ac:dyDescent="0.2">
      <c r="Y8891" s="97"/>
    </row>
    <row r="8892" spans="25:25" x14ac:dyDescent="0.2">
      <c r="Y8892" s="97"/>
    </row>
    <row r="8893" spans="25:25" x14ac:dyDescent="0.2">
      <c r="Y8893" s="97"/>
    </row>
    <row r="8894" spans="25:25" x14ac:dyDescent="0.2">
      <c r="Y8894" s="97"/>
    </row>
    <row r="8895" spans="25:25" x14ac:dyDescent="0.2">
      <c r="Y8895" s="97"/>
    </row>
    <row r="8896" spans="25:25" x14ac:dyDescent="0.2">
      <c r="Y8896" s="97"/>
    </row>
    <row r="8897" spans="25:25" x14ac:dyDescent="0.2">
      <c r="Y8897" s="97"/>
    </row>
    <row r="8898" spans="25:25" x14ac:dyDescent="0.2">
      <c r="Y8898" s="97"/>
    </row>
    <row r="8899" spans="25:25" x14ac:dyDescent="0.2">
      <c r="Y8899" s="97"/>
    </row>
    <row r="8900" spans="25:25" x14ac:dyDescent="0.2">
      <c r="Y8900" s="97"/>
    </row>
    <row r="8901" spans="25:25" x14ac:dyDescent="0.2">
      <c r="Y8901" s="97"/>
    </row>
    <row r="8902" spans="25:25" x14ac:dyDescent="0.2">
      <c r="Y8902" s="97"/>
    </row>
    <row r="8903" spans="25:25" x14ac:dyDescent="0.2">
      <c r="Y8903" s="97"/>
    </row>
    <row r="8904" spans="25:25" x14ac:dyDescent="0.2">
      <c r="Y8904" s="97"/>
    </row>
    <row r="8905" spans="25:25" x14ac:dyDescent="0.2">
      <c r="Y8905" s="97"/>
    </row>
    <row r="8906" spans="25:25" x14ac:dyDescent="0.2">
      <c r="Y8906" s="97"/>
    </row>
    <row r="8907" spans="25:25" x14ac:dyDescent="0.2">
      <c r="Y8907" s="97"/>
    </row>
    <row r="8908" spans="25:25" x14ac:dyDescent="0.2">
      <c r="Y8908" s="97"/>
    </row>
    <row r="8909" spans="25:25" x14ac:dyDescent="0.2">
      <c r="Y8909" s="97"/>
    </row>
    <row r="8910" spans="25:25" x14ac:dyDescent="0.2">
      <c r="Y8910" s="97"/>
    </row>
    <row r="8911" spans="25:25" x14ac:dyDescent="0.2">
      <c r="Y8911" s="97"/>
    </row>
    <row r="8912" spans="25:25" x14ac:dyDescent="0.2">
      <c r="Y8912" s="97"/>
    </row>
    <row r="8913" spans="25:25" x14ac:dyDescent="0.2">
      <c r="Y8913" s="97"/>
    </row>
    <row r="8914" spans="25:25" x14ac:dyDescent="0.2">
      <c r="Y8914" s="97"/>
    </row>
    <row r="8915" spans="25:25" x14ac:dyDescent="0.2">
      <c r="Y8915" s="97"/>
    </row>
    <row r="8916" spans="25:25" x14ac:dyDescent="0.2">
      <c r="Y8916" s="97"/>
    </row>
    <row r="8917" spans="25:25" x14ac:dyDescent="0.2">
      <c r="Y8917" s="97"/>
    </row>
    <row r="8918" spans="25:25" x14ac:dyDescent="0.2">
      <c r="Y8918" s="97"/>
    </row>
    <row r="8919" spans="25:25" x14ac:dyDescent="0.2">
      <c r="Y8919" s="97"/>
    </row>
    <row r="8920" spans="25:25" x14ac:dyDescent="0.2">
      <c r="Y8920" s="97"/>
    </row>
    <row r="8921" spans="25:25" x14ac:dyDescent="0.2">
      <c r="Y8921" s="97"/>
    </row>
    <row r="8922" spans="25:25" x14ac:dyDescent="0.2">
      <c r="Y8922" s="97"/>
    </row>
    <row r="8923" spans="25:25" x14ac:dyDescent="0.2">
      <c r="Y8923" s="97"/>
    </row>
    <row r="8924" spans="25:25" x14ac:dyDescent="0.2">
      <c r="Y8924" s="97"/>
    </row>
    <row r="8925" spans="25:25" x14ac:dyDescent="0.2">
      <c r="Y8925" s="97"/>
    </row>
    <row r="8926" spans="25:25" x14ac:dyDescent="0.2">
      <c r="Y8926" s="97"/>
    </row>
    <row r="8927" spans="25:25" x14ac:dyDescent="0.2">
      <c r="Y8927" s="97"/>
    </row>
    <row r="8928" spans="25:25" x14ac:dyDescent="0.2">
      <c r="Y8928" s="97"/>
    </row>
    <row r="8929" spans="25:25" x14ac:dyDescent="0.2">
      <c r="Y8929" s="97"/>
    </row>
    <row r="8930" spans="25:25" x14ac:dyDescent="0.2">
      <c r="Y8930" s="97"/>
    </row>
    <row r="8931" spans="25:25" x14ac:dyDescent="0.2">
      <c r="Y8931" s="97"/>
    </row>
    <row r="8932" spans="25:25" x14ac:dyDescent="0.2">
      <c r="Y8932" s="97"/>
    </row>
    <row r="8933" spans="25:25" x14ac:dyDescent="0.2">
      <c r="Y8933" s="97"/>
    </row>
    <row r="8934" spans="25:25" x14ac:dyDescent="0.2">
      <c r="Y8934" s="97"/>
    </row>
    <row r="8935" spans="25:25" x14ac:dyDescent="0.2">
      <c r="Y8935" s="97"/>
    </row>
    <row r="8936" spans="25:25" x14ac:dyDescent="0.2">
      <c r="Y8936" s="97"/>
    </row>
    <row r="8937" spans="25:25" x14ac:dyDescent="0.2">
      <c r="Y8937" s="97"/>
    </row>
    <row r="8938" spans="25:25" x14ac:dyDescent="0.2">
      <c r="Y8938" s="97"/>
    </row>
    <row r="8939" spans="25:25" x14ac:dyDescent="0.2">
      <c r="Y8939" s="97"/>
    </row>
    <row r="8940" spans="25:25" x14ac:dyDescent="0.2">
      <c r="Y8940" s="97"/>
    </row>
    <row r="8941" spans="25:25" x14ac:dyDescent="0.2">
      <c r="Y8941" s="97"/>
    </row>
    <row r="8942" spans="25:25" x14ac:dyDescent="0.2">
      <c r="Y8942" s="97"/>
    </row>
    <row r="8943" spans="25:25" x14ac:dyDescent="0.2">
      <c r="Y8943" s="97"/>
    </row>
    <row r="8944" spans="25:25" x14ac:dyDescent="0.2">
      <c r="Y8944" s="97"/>
    </row>
    <row r="8945" spans="25:25" x14ac:dyDescent="0.2">
      <c r="Y8945" s="97"/>
    </row>
    <row r="8946" spans="25:25" x14ac:dyDescent="0.2">
      <c r="Y8946" s="97"/>
    </row>
    <row r="8947" spans="25:25" x14ac:dyDescent="0.2">
      <c r="Y8947" s="97"/>
    </row>
    <row r="8948" spans="25:25" x14ac:dyDescent="0.2">
      <c r="Y8948" s="97"/>
    </row>
    <row r="8949" spans="25:25" x14ac:dyDescent="0.2">
      <c r="Y8949" s="97"/>
    </row>
    <row r="8950" spans="25:25" x14ac:dyDescent="0.2">
      <c r="Y8950" s="97"/>
    </row>
    <row r="8951" spans="25:25" x14ac:dyDescent="0.2">
      <c r="Y8951" s="97"/>
    </row>
    <row r="8952" spans="25:25" x14ac:dyDescent="0.2">
      <c r="Y8952" s="97"/>
    </row>
    <row r="8953" spans="25:25" x14ac:dyDescent="0.2">
      <c r="Y8953" s="97"/>
    </row>
    <row r="8954" spans="25:25" x14ac:dyDescent="0.2">
      <c r="Y8954" s="97"/>
    </row>
    <row r="8955" spans="25:25" x14ac:dyDescent="0.2">
      <c r="Y8955" s="97"/>
    </row>
    <row r="8956" spans="25:25" x14ac:dyDescent="0.2">
      <c r="Y8956" s="97"/>
    </row>
    <row r="8957" spans="25:25" x14ac:dyDescent="0.2">
      <c r="Y8957" s="97"/>
    </row>
    <row r="8958" spans="25:25" x14ac:dyDescent="0.2">
      <c r="Y8958" s="97"/>
    </row>
    <row r="8959" spans="25:25" x14ac:dyDescent="0.2">
      <c r="Y8959" s="97"/>
    </row>
    <row r="8960" spans="25:25" x14ac:dyDescent="0.2">
      <c r="Y8960" s="97"/>
    </row>
    <row r="8961" spans="25:25" x14ac:dyDescent="0.2">
      <c r="Y8961" s="97"/>
    </row>
    <row r="8962" spans="25:25" x14ac:dyDescent="0.2">
      <c r="Y8962" s="97"/>
    </row>
    <row r="8963" spans="25:25" x14ac:dyDescent="0.2">
      <c r="Y8963" s="97"/>
    </row>
    <row r="8964" spans="25:25" x14ac:dyDescent="0.2">
      <c r="Y8964" s="97"/>
    </row>
    <row r="8965" spans="25:25" x14ac:dyDescent="0.2">
      <c r="Y8965" s="97"/>
    </row>
    <row r="8966" spans="25:25" x14ac:dyDescent="0.2">
      <c r="Y8966" s="97"/>
    </row>
    <row r="8967" spans="25:25" x14ac:dyDescent="0.2">
      <c r="Y8967" s="97"/>
    </row>
    <row r="8968" spans="25:25" x14ac:dyDescent="0.2">
      <c r="Y8968" s="97"/>
    </row>
    <row r="8969" spans="25:25" x14ac:dyDescent="0.2">
      <c r="Y8969" s="97"/>
    </row>
    <row r="8970" spans="25:25" x14ac:dyDescent="0.2">
      <c r="Y8970" s="97"/>
    </row>
    <row r="8971" spans="25:25" x14ac:dyDescent="0.2">
      <c r="Y8971" s="97"/>
    </row>
    <row r="8972" spans="25:25" x14ac:dyDescent="0.2">
      <c r="Y8972" s="97"/>
    </row>
    <row r="8973" spans="25:25" x14ac:dyDescent="0.2">
      <c r="Y8973" s="97"/>
    </row>
    <row r="8974" spans="25:25" x14ac:dyDescent="0.2">
      <c r="Y8974" s="97"/>
    </row>
    <row r="8975" spans="25:25" x14ac:dyDescent="0.2">
      <c r="Y8975" s="97"/>
    </row>
    <row r="8976" spans="25:25" x14ac:dyDescent="0.2">
      <c r="Y8976" s="97"/>
    </row>
    <row r="8977" spans="25:25" x14ac:dyDescent="0.2">
      <c r="Y8977" s="97"/>
    </row>
    <row r="8978" spans="25:25" x14ac:dyDescent="0.2">
      <c r="Y8978" s="97"/>
    </row>
    <row r="8979" spans="25:25" x14ac:dyDescent="0.2">
      <c r="Y8979" s="97"/>
    </row>
    <row r="8980" spans="25:25" x14ac:dyDescent="0.2">
      <c r="Y8980" s="97"/>
    </row>
    <row r="8981" spans="25:25" x14ac:dyDescent="0.2">
      <c r="Y8981" s="97"/>
    </row>
    <row r="8982" spans="25:25" x14ac:dyDescent="0.2">
      <c r="Y8982" s="97"/>
    </row>
    <row r="8983" spans="25:25" x14ac:dyDescent="0.2">
      <c r="Y8983" s="97"/>
    </row>
    <row r="8984" spans="25:25" x14ac:dyDescent="0.2">
      <c r="Y8984" s="97"/>
    </row>
    <row r="8985" spans="25:25" x14ac:dyDescent="0.2">
      <c r="Y8985" s="97"/>
    </row>
    <row r="8986" spans="25:25" x14ac:dyDescent="0.2">
      <c r="Y8986" s="97"/>
    </row>
    <row r="8987" spans="25:25" x14ac:dyDescent="0.2">
      <c r="Y8987" s="97"/>
    </row>
    <row r="8988" spans="25:25" x14ac:dyDescent="0.2">
      <c r="Y8988" s="97"/>
    </row>
    <row r="8989" spans="25:25" x14ac:dyDescent="0.2">
      <c r="Y8989" s="97"/>
    </row>
    <row r="8990" spans="25:25" x14ac:dyDescent="0.2">
      <c r="Y8990" s="97"/>
    </row>
    <row r="8991" spans="25:25" x14ac:dyDescent="0.2">
      <c r="Y8991" s="97"/>
    </row>
    <row r="8992" spans="25:25" x14ac:dyDescent="0.2">
      <c r="Y8992" s="97"/>
    </row>
    <row r="8993" spans="25:25" x14ac:dyDescent="0.2">
      <c r="Y8993" s="97"/>
    </row>
    <row r="8994" spans="25:25" x14ac:dyDescent="0.2">
      <c r="Y8994" s="97"/>
    </row>
    <row r="8995" spans="25:25" x14ac:dyDescent="0.2">
      <c r="Y8995" s="97"/>
    </row>
    <row r="8996" spans="25:25" x14ac:dyDescent="0.2">
      <c r="Y8996" s="97"/>
    </row>
    <row r="8997" spans="25:25" x14ac:dyDescent="0.2">
      <c r="Y8997" s="97"/>
    </row>
    <row r="8998" spans="25:25" x14ac:dyDescent="0.2">
      <c r="Y8998" s="97"/>
    </row>
    <row r="8999" spans="25:25" x14ac:dyDescent="0.2">
      <c r="Y8999" s="97"/>
    </row>
    <row r="9000" spans="25:25" x14ac:dyDescent="0.2">
      <c r="Y9000" s="97"/>
    </row>
    <row r="9001" spans="25:25" x14ac:dyDescent="0.2">
      <c r="Y9001" s="97"/>
    </row>
    <row r="9002" spans="25:25" x14ac:dyDescent="0.2">
      <c r="Y9002" s="97"/>
    </row>
    <row r="9003" spans="25:25" x14ac:dyDescent="0.2">
      <c r="Y9003" s="97"/>
    </row>
    <row r="9004" spans="25:25" x14ac:dyDescent="0.2">
      <c r="Y9004" s="97"/>
    </row>
    <row r="9005" spans="25:25" x14ac:dyDescent="0.2">
      <c r="Y9005" s="97"/>
    </row>
    <row r="9006" spans="25:25" x14ac:dyDescent="0.2">
      <c r="Y9006" s="97"/>
    </row>
    <row r="9007" spans="25:25" x14ac:dyDescent="0.2">
      <c r="Y9007" s="97"/>
    </row>
    <row r="9008" spans="25:25" x14ac:dyDescent="0.2">
      <c r="Y9008" s="97"/>
    </row>
    <row r="9009" spans="25:25" x14ac:dyDescent="0.2">
      <c r="Y9009" s="97"/>
    </row>
    <row r="9010" spans="25:25" x14ac:dyDescent="0.2">
      <c r="Y9010" s="97"/>
    </row>
    <row r="9011" spans="25:25" x14ac:dyDescent="0.2">
      <c r="Y9011" s="97"/>
    </row>
    <row r="9012" spans="25:25" x14ac:dyDescent="0.2">
      <c r="Y9012" s="97"/>
    </row>
    <row r="9013" spans="25:25" x14ac:dyDescent="0.2">
      <c r="Y9013" s="97"/>
    </row>
    <row r="9014" spans="25:25" x14ac:dyDescent="0.2">
      <c r="Y9014" s="97"/>
    </row>
    <row r="9015" spans="25:25" x14ac:dyDescent="0.2">
      <c r="Y9015" s="97"/>
    </row>
    <row r="9016" spans="25:25" x14ac:dyDescent="0.2">
      <c r="Y9016" s="97"/>
    </row>
    <row r="9017" spans="25:25" x14ac:dyDescent="0.2">
      <c r="Y9017" s="97"/>
    </row>
    <row r="9018" spans="25:25" x14ac:dyDescent="0.2">
      <c r="Y9018" s="97"/>
    </row>
    <row r="9019" spans="25:25" x14ac:dyDescent="0.2">
      <c r="Y9019" s="97"/>
    </row>
    <row r="9020" spans="25:25" x14ac:dyDescent="0.2">
      <c r="Y9020" s="97"/>
    </row>
    <row r="9021" spans="25:25" x14ac:dyDescent="0.2">
      <c r="Y9021" s="97"/>
    </row>
    <row r="9022" spans="25:25" x14ac:dyDescent="0.2">
      <c r="Y9022" s="97"/>
    </row>
    <row r="9023" spans="25:25" x14ac:dyDescent="0.2">
      <c r="Y9023" s="97"/>
    </row>
    <row r="9024" spans="25:25" x14ac:dyDescent="0.2">
      <c r="Y9024" s="97"/>
    </row>
    <row r="9025" spans="25:25" x14ac:dyDescent="0.2">
      <c r="Y9025" s="97"/>
    </row>
    <row r="9026" spans="25:25" x14ac:dyDescent="0.2">
      <c r="Y9026" s="97"/>
    </row>
    <row r="9027" spans="25:25" x14ac:dyDescent="0.2">
      <c r="Y9027" s="97"/>
    </row>
    <row r="9028" spans="25:25" x14ac:dyDescent="0.2">
      <c r="Y9028" s="97"/>
    </row>
    <row r="9029" spans="25:25" x14ac:dyDescent="0.2">
      <c r="Y9029" s="97"/>
    </row>
    <row r="9030" spans="25:25" x14ac:dyDescent="0.2">
      <c r="Y9030" s="97"/>
    </row>
    <row r="9031" spans="25:25" x14ac:dyDescent="0.2">
      <c r="Y9031" s="97"/>
    </row>
    <row r="9032" spans="25:25" x14ac:dyDescent="0.2">
      <c r="Y9032" s="97"/>
    </row>
    <row r="9033" spans="25:25" x14ac:dyDescent="0.2">
      <c r="Y9033" s="97"/>
    </row>
    <row r="9034" spans="25:25" x14ac:dyDescent="0.2">
      <c r="Y9034" s="97"/>
    </row>
    <row r="9035" spans="25:25" x14ac:dyDescent="0.2">
      <c r="Y9035" s="97"/>
    </row>
    <row r="9036" spans="25:25" x14ac:dyDescent="0.2">
      <c r="Y9036" s="97"/>
    </row>
    <row r="9037" spans="25:25" x14ac:dyDescent="0.2">
      <c r="Y9037" s="97"/>
    </row>
    <row r="9038" spans="25:25" x14ac:dyDescent="0.2">
      <c r="Y9038" s="97"/>
    </row>
    <row r="9039" spans="25:25" x14ac:dyDescent="0.2">
      <c r="Y9039" s="97"/>
    </row>
    <row r="9040" spans="25:25" x14ac:dyDescent="0.2">
      <c r="Y9040" s="97"/>
    </row>
    <row r="9041" spans="25:25" x14ac:dyDescent="0.2">
      <c r="Y9041" s="97"/>
    </row>
    <row r="9042" spans="25:25" x14ac:dyDescent="0.2">
      <c r="Y9042" s="97"/>
    </row>
    <row r="9043" spans="25:25" x14ac:dyDescent="0.2">
      <c r="Y9043" s="97"/>
    </row>
    <row r="9044" spans="25:25" x14ac:dyDescent="0.2">
      <c r="Y9044" s="97"/>
    </row>
    <row r="9045" spans="25:25" x14ac:dyDescent="0.2">
      <c r="Y9045" s="97"/>
    </row>
    <row r="9046" spans="25:25" x14ac:dyDescent="0.2">
      <c r="Y9046" s="97"/>
    </row>
    <row r="9047" spans="25:25" x14ac:dyDescent="0.2">
      <c r="Y9047" s="97"/>
    </row>
    <row r="9048" spans="25:25" x14ac:dyDescent="0.2">
      <c r="Y9048" s="97"/>
    </row>
    <row r="9049" spans="25:25" x14ac:dyDescent="0.2">
      <c r="Y9049" s="97"/>
    </row>
    <row r="9050" spans="25:25" x14ac:dyDescent="0.2">
      <c r="Y9050" s="97"/>
    </row>
    <row r="9051" spans="25:25" x14ac:dyDescent="0.2">
      <c r="Y9051" s="97"/>
    </row>
    <row r="9052" spans="25:25" x14ac:dyDescent="0.2">
      <c r="Y9052" s="97"/>
    </row>
    <row r="9053" spans="25:25" x14ac:dyDescent="0.2">
      <c r="Y9053" s="97"/>
    </row>
    <row r="9054" spans="25:25" x14ac:dyDescent="0.2">
      <c r="Y9054" s="97"/>
    </row>
    <row r="9055" spans="25:25" x14ac:dyDescent="0.2">
      <c r="Y9055" s="97"/>
    </row>
    <row r="9056" spans="25:25" x14ac:dyDescent="0.2">
      <c r="Y9056" s="97"/>
    </row>
    <row r="9057" spans="25:25" x14ac:dyDescent="0.2">
      <c r="Y9057" s="97"/>
    </row>
    <row r="9058" spans="25:25" x14ac:dyDescent="0.2">
      <c r="Y9058" s="97"/>
    </row>
    <row r="9059" spans="25:25" x14ac:dyDescent="0.2">
      <c r="Y9059" s="97"/>
    </row>
    <row r="9060" spans="25:25" x14ac:dyDescent="0.2">
      <c r="Y9060" s="97"/>
    </row>
    <row r="9061" spans="25:25" x14ac:dyDescent="0.2">
      <c r="Y9061" s="97"/>
    </row>
    <row r="9062" spans="25:25" x14ac:dyDescent="0.2">
      <c r="Y9062" s="97"/>
    </row>
    <row r="9063" spans="25:25" x14ac:dyDescent="0.2">
      <c r="Y9063" s="97"/>
    </row>
    <row r="9064" spans="25:25" x14ac:dyDescent="0.2">
      <c r="Y9064" s="97"/>
    </row>
    <row r="9065" spans="25:25" x14ac:dyDescent="0.2">
      <c r="Y9065" s="97"/>
    </row>
    <row r="9066" spans="25:25" x14ac:dyDescent="0.2">
      <c r="Y9066" s="97"/>
    </row>
    <row r="9067" spans="25:25" x14ac:dyDescent="0.2">
      <c r="Y9067" s="97"/>
    </row>
    <row r="9068" spans="25:25" x14ac:dyDescent="0.2">
      <c r="Y9068" s="97"/>
    </row>
    <row r="9069" spans="25:25" x14ac:dyDescent="0.2">
      <c r="Y9069" s="97"/>
    </row>
    <row r="9070" spans="25:25" x14ac:dyDescent="0.2">
      <c r="Y9070" s="97"/>
    </row>
    <row r="9071" spans="25:25" x14ac:dyDescent="0.2">
      <c r="Y9071" s="97"/>
    </row>
    <row r="9072" spans="25:25" x14ac:dyDescent="0.2">
      <c r="Y9072" s="97"/>
    </row>
    <row r="9073" spans="25:25" x14ac:dyDescent="0.2">
      <c r="Y9073" s="97"/>
    </row>
    <row r="9074" spans="25:25" x14ac:dyDescent="0.2">
      <c r="Y9074" s="97"/>
    </row>
    <row r="9075" spans="25:25" x14ac:dyDescent="0.2">
      <c r="Y9075" s="97"/>
    </row>
    <row r="9076" spans="25:25" x14ac:dyDescent="0.2">
      <c r="Y9076" s="97"/>
    </row>
    <row r="9077" spans="25:25" x14ac:dyDescent="0.2">
      <c r="Y9077" s="97"/>
    </row>
    <row r="9078" spans="25:25" x14ac:dyDescent="0.2">
      <c r="Y9078" s="97"/>
    </row>
    <row r="9079" spans="25:25" x14ac:dyDescent="0.2">
      <c r="Y9079" s="97"/>
    </row>
    <row r="9080" spans="25:25" x14ac:dyDescent="0.2">
      <c r="Y9080" s="97"/>
    </row>
    <row r="9081" spans="25:25" x14ac:dyDescent="0.2">
      <c r="Y9081" s="97"/>
    </row>
    <row r="9082" spans="25:25" x14ac:dyDescent="0.2">
      <c r="Y9082" s="97"/>
    </row>
    <row r="9083" spans="25:25" x14ac:dyDescent="0.2">
      <c r="Y9083" s="97"/>
    </row>
    <row r="9084" spans="25:25" x14ac:dyDescent="0.2">
      <c r="Y9084" s="97"/>
    </row>
    <row r="9085" spans="25:25" x14ac:dyDescent="0.2">
      <c r="Y9085" s="97"/>
    </row>
    <row r="9086" spans="25:25" x14ac:dyDescent="0.2">
      <c r="Y9086" s="97"/>
    </row>
    <row r="9087" spans="25:25" x14ac:dyDescent="0.2">
      <c r="Y9087" s="97"/>
    </row>
    <row r="9088" spans="25:25" x14ac:dyDescent="0.2">
      <c r="Y9088" s="97"/>
    </row>
    <row r="9089" spans="25:25" x14ac:dyDescent="0.2">
      <c r="Y9089" s="97"/>
    </row>
    <row r="9090" spans="25:25" x14ac:dyDescent="0.2">
      <c r="Y9090" s="97"/>
    </row>
    <row r="9091" spans="25:25" x14ac:dyDescent="0.2">
      <c r="Y9091" s="97"/>
    </row>
    <row r="9092" spans="25:25" x14ac:dyDescent="0.2">
      <c r="Y9092" s="97"/>
    </row>
    <row r="9093" spans="25:25" x14ac:dyDescent="0.2">
      <c r="Y9093" s="97"/>
    </row>
    <row r="9094" spans="25:25" x14ac:dyDescent="0.2">
      <c r="Y9094" s="97"/>
    </row>
    <row r="9095" spans="25:25" x14ac:dyDescent="0.2">
      <c r="Y9095" s="97"/>
    </row>
    <row r="9096" spans="25:25" x14ac:dyDescent="0.2">
      <c r="Y9096" s="97"/>
    </row>
    <row r="9097" spans="25:25" x14ac:dyDescent="0.2">
      <c r="Y9097" s="97"/>
    </row>
    <row r="9098" spans="25:25" x14ac:dyDescent="0.2">
      <c r="Y9098" s="97"/>
    </row>
    <row r="9099" spans="25:25" x14ac:dyDescent="0.2">
      <c r="Y9099" s="97"/>
    </row>
    <row r="9100" spans="25:25" x14ac:dyDescent="0.2">
      <c r="Y9100" s="97"/>
    </row>
    <row r="9101" spans="25:25" x14ac:dyDescent="0.2">
      <c r="Y9101" s="97"/>
    </row>
    <row r="9102" spans="25:25" x14ac:dyDescent="0.2">
      <c r="Y9102" s="97"/>
    </row>
    <row r="9103" spans="25:25" x14ac:dyDescent="0.2">
      <c r="Y9103" s="97"/>
    </row>
    <row r="9104" spans="25:25" x14ac:dyDescent="0.2">
      <c r="Y9104" s="97"/>
    </row>
    <row r="9105" spans="25:25" x14ac:dyDescent="0.2">
      <c r="Y9105" s="97"/>
    </row>
    <row r="9106" spans="25:25" x14ac:dyDescent="0.2">
      <c r="Y9106" s="97"/>
    </row>
    <row r="9107" spans="25:25" x14ac:dyDescent="0.2">
      <c r="Y9107" s="97"/>
    </row>
    <row r="9108" spans="25:25" x14ac:dyDescent="0.2">
      <c r="Y9108" s="97"/>
    </row>
    <row r="9109" spans="25:25" x14ac:dyDescent="0.2">
      <c r="Y9109" s="97"/>
    </row>
    <row r="9110" spans="25:25" x14ac:dyDescent="0.2">
      <c r="Y9110" s="97"/>
    </row>
    <row r="9111" spans="25:25" x14ac:dyDescent="0.2">
      <c r="Y9111" s="97"/>
    </row>
    <row r="9112" spans="25:25" x14ac:dyDescent="0.2">
      <c r="Y9112" s="97"/>
    </row>
    <row r="9113" spans="25:25" x14ac:dyDescent="0.2">
      <c r="Y9113" s="97"/>
    </row>
    <row r="9114" spans="25:25" x14ac:dyDescent="0.2">
      <c r="Y9114" s="97"/>
    </row>
    <row r="9115" spans="25:25" x14ac:dyDescent="0.2">
      <c r="Y9115" s="97"/>
    </row>
    <row r="9116" spans="25:25" x14ac:dyDescent="0.2">
      <c r="Y9116" s="97"/>
    </row>
    <row r="9117" spans="25:25" x14ac:dyDescent="0.2">
      <c r="Y9117" s="97"/>
    </row>
    <row r="9118" spans="25:25" x14ac:dyDescent="0.2">
      <c r="Y9118" s="97"/>
    </row>
    <row r="9119" spans="25:25" x14ac:dyDescent="0.2">
      <c r="Y9119" s="97"/>
    </row>
    <row r="9120" spans="25:25" x14ac:dyDescent="0.2">
      <c r="Y9120" s="97"/>
    </row>
    <row r="9121" spans="25:25" x14ac:dyDescent="0.2">
      <c r="Y9121" s="97"/>
    </row>
    <row r="9122" spans="25:25" x14ac:dyDescent="0.2">
      <c r="Y9122" s="97"/>
    </row>
    <row r="9123" spans="25:25" x14ac:dyDescent="0.2">
      <c r="Y9123" s="97"/>
    </row>
    <row r="9124" spans="25:25" x14ac:dyDescent="0.2">
      <c r="Y9124" s="97"/>
    </row>
    <row r="9125" spans="25:25" x14ac:dyDescent="0.2">
      <c r="Y9125" s="97"/>
    </row>
    <row r="9126" spans="25:25" x14ac:dyDescent="0.2">
      <c r="Y9126" s="97"/>
    </row>
    <row r="9127" spans="25:25" x14ac:dyDescent="0.2">
      <c r="Y9127" s="97"/>
    </row>
    <row r="9128" spans="25:25" x14ac:dyDescent="0.2">
      <c r="Y9128" s="97"/>
    </row>
    <row r="9129" spans="25:25" x14ac:dyDescent="0.2">
      <c r="Y9129" s="97"/>
    </row>
    <row r="9130" spans="25:25" x14ac:dyDescent="0.2">
      <c r="Y9130" s="97"/>
    </row>
    <row r="9131" spans="25:25" x14ac:dyDescent="0.2">
      <c r="Y9131" s="97"/>
    </row>
    <row r="9132" spans="25:25" x14ac:dyDescent="0.2">
      <c r="Y9132" s="97"/>
    </row>
    <row r="9133" spans="25:25" x14ac:dyDescent="0.2">
      <c r="Y9133" s="97"/>
    </row>
    <row r="9134" spans="25:25" x14ac:dyDescent="0.2">
      <c r="Y9134" s="97"/>
    </row>
    <row r="9135" spans="25:25" x14ac:dyDescent="0.2">
      <c r="Y9135" s="97"/>
    </row>
    <row r="9136" spans="25:25" x14ac:dyDescent="0.2">
      <c r="Y9136" s="97"/>
    </row>
    <row r="9137" spans="25:25" x14ac:dyDescent="0.2">
      <c r="Y9137" s="97"/>
    </row>
    <row r="9138" spans="25:25" x14ac:dyDescent="0.2">
      <c r="Y9138" s="97"/>
    </row>
    <row r="9139" spans="25:25" x14ac:dyDescent="0.2">
      <c r="Y9139" s="97"/>
    </row>
    <row r="9140" spans="25:25" x14ac:dyDescent="0.2">
      <c r="Y9140" s="97"/>
    </row>
    <row r="9141" spans="25:25" x14ac:dyDescent="0.2">
      <c r="Y9141" s="97"/>
    </row>
    <row r="9142" spans="25:25" x14ac:dyDescent="0.2">
      <c r="Y9142" s="97"/>
    </row>
    <row r="9143" spans="25:25" x14ac:dyDescent="0.2">
      <c r="Y9143" s="97"/>
    </row>
    <row r="9144" spans="25:25" x14ac:dyDescent="0.2">
      <c r="Y9144" s="97"/>
    </row>
    <row r="9145" spans="25:25" x14ac:dyDescent="0.2">
      <c r="Y9145" s="97"/>
    </row>
    <row r="9146" spans="25:25" x14ac:dyDescent="0.2">
      <c r="Y9146" s="97"/>
    </row>
    <row r="9147" spans="25:25" x14ac:dyDescent="0.2">
      <c r="Y9147" s="97"/>
    </row>
    <row r="9148" spans="25:25" x14ac:dyDescent="0.2">
      <c r="Y9148" s="97"/>
    </row>
    <row r="9149" spans="25:25" x14ac:dyDescent="0.2">
      <c r="Y9149" s="97"/>
    </row>
    <row r="9150" spans="25:25" x14ac:dyDescent="0.2">
      <c r="Y9150" s="97"/>
    </row>
    <row r="9151" spans="25:25" x14ac:dyDescent="0.2">
      <c r="Y9151" s="97"/>
    </row>
    <row r="9152" spans="25:25" x14ac:dyDescent="0.2">
      <c r="Y9152" s="97"/>
    </row>
    <row r="9153" spans="25:25" x14ac:dyDescent="0.2">
      <c r="Y9153" s="97"/>
    </row>
    <row r="9154" spans="25:25" x14ac:dyDescent="0.2">
      <c r="Y9154" s="97"/>
    </row>
    <row r="9155" spans="25:25" x14ac:dyDescent="0.2">
      <c r="Y9155" s="97"/>
    </row>
    <row r="9156" spans="25:25" x14ac:dyDescent="0.2">
      <c r="Y9156" s="97"/>
    </row>
    <row r="9157" spans="25:25" x14ac:dyDescent="0.2">
      <c r="Y9157" s="97"/>
    </row>
    <row r="9158" spans="25:25" x14ac:dyDescent="0.2">
      <c r="Y9158" s="97"/>
    </row>
    <row r="9159" spans="25:25" x14ac:dyDescent="0.2">
      <c r="Y9159" s="97"/>
    </row>
    <row r="9160" spans="25:25" x14ac:dyDescent="0.2">
      <c r="Y9160" s="97"/>
    </row>
    <row r="9161" spans="25:25" x14ac:dyDescent="0.2">
      <c r="Y9161" s="97"/>
    </row>
    <row r="9162" spans="25:25" x14ac:dyDescent="0.2">
      <c r="Y9162" s="97"/>
    </row>
    <row r="9163" spans="25:25" x14ac:dyDescent="0.2">
      <c r="Y9163" s="97"/>
    </row>
    <row r="9164" spans="25:25" x14ac:dyDescent="0.2">
      <c r="Y9164" s="97"/>
    </row>
    <row r="9165" spans="25:25" x14ac:dyDescent="0.2">
      <c r="Y9165" s="97"/>
    </row>
    <row r="9166" spans="25:25" x14ac:dyDescent="0.2">
      <c r="Y9166" s="97"/>
    </row>
    <row r="9167" spans="25:25" x14ac:dyDescent="0.2">
      <c r="Y9167" s="97"/>
    </row>
    <row r="9168" spans="25:25" x14ac:dyDescent="0.2">
      <c r="Y9168" s="97"/>
    </row>
    <row r="9169" spans="25:25" x14ac:dyDescent="0.2">
      <c r="Y9169" s="97"/>
    </row>
    <row r="9170" spans="25:25" x14ac:dyDescent="0.2">
      <c r="Y9170" s="97"/>
    </row>
    <row r="9171" spans="25:25" x14ac:dyDescent="0.2">
      <c r="Y9171" s="97"/>
    </row>
    <row r="9172" spans="25:25" x14ac:dyDescent="0.2">
      <c r="Y9172" s="97"/>
    </row>
    <row r="9173" spans="25:25" x14ac:dyDescent="0.2">
      <c r="Y9173" s="97"/>
    </row>
    <row r="9174" spans="25:25" x14ac:dyDescent="0.2">
      <c r="Y9174" s="97"/>
    </row>
    <row r="9175" spans="25:25" x14ac:dyDescent="0.2">
      <c r="Y9175" s="97"/>
    </row>
    <row r="9176" spans="25:25" x14ac:dyDescent="0.2">
      <c r="Y9176" s="97"/>
    </row>
    <row r="9177" spans="25:25" x14ac:dyDescent="0.2">
      <c r="Y9177" s="97"/>
    </row>
    <row r="9178" spans="25:25" x14ac:dyDescent="0.2">
      <c r="Y9178" s="97"/>
    </row>
    <row r="9179" spans="25:25" x14ac:dyDescent="0.2">
      <c r="Y9179" s="97"/>
    </row>
    <row r="9180" spans="25:25" x14ac:dyDescent="0.2">
      <c r="Y9180" s="97"/>
    </row>
    <row r="9181" spans="25:25" x14ac:dyDescent="0.2">
      <c r="Y9181" s="97"/>
    </row>
    <row r="9182" spans="25:25" x14ac:dyDescent="0.2">
      <c r="Y9182" s="97"/>
    </row>
    <row r="9183" spans="25:25" x14ac:dyDescent="0.2">
      <c r="Y9183" s="97"/>
    </row>
    <row r="9184" spans="25:25" x14ac:dyDescent="0.2">
      <c r="Y9184" s="97"/>
    </row>
    <row r="9185" spans="25:25" x14ac:dyDescent="0.2">
      <c r="Y9185" s="97"/>
    </row>
    <row r="9186" spans="25:25" x14ac:dyDescent="0.2">
      <c r="Y9186" s="97"/>
    </row>
    <row r="9187" spans="25:25" x14ac:dyDescent="0.2">
      <c r="Y9187" s="97"/>
    </row>
    <row r="9188" spans="25:25" x14ac:dyDescent="0.2">
      <c r="Y9188" s="97"/>
    </row>
    <row r="9189" spans="25:25" x14ac:dyDescent="0.2">
      <c r="Y9189" s="97"/>
    </row>
    <row r="9190" spans="25:25" x14ac:dyDescent="0.2">
      <c r="Y9190" s="97"/>
    </row>
    <row r="9191" spans="25:25" x14ac:dyDescent="0.2">
      <c r="Y9191" s="97"/>
    </row>
    <row r="9192" spans="25:25" x14ac:dyDescent="0.2">
      <c r="Y9192" s="97"/>
    </row>
    <row r="9193" spans="25:25" x14ac:dyDescent="0.2">
      <c r="Y9193" s="97"/>
    </row>
    <row r="9194" spans="25:25" x14ac:dyDescent="0.2">
      <c r="Y9194" s="97"/>
    </row>
    <row r="9195" spans="25:25" x14ac:dyDescent="0.2">
      <c r="Y9195" s="97"/>
    </row>
    <row r="9196" spans="25:25" x14ac:dyDescent="0.2">
      <c r="Y9196" s="97"/>
    </row>
    <row r="9197" spans="25:25" x14ac:dyDescent="0.2">
      <c r="Y9197" s="97"/>
    </row>
    <row r="9198" spans="25:25" x14ac:dyDescent="0.2">
      <c r="Y9198" s="97"/>
    </row>
    <row r="9199" spans="25:25" x14ac:dyDescent="0.2">
      <c r="Y9199" s="97"/>
    </row>
    <row r="9200" spans="25:25" x14ac:dyDescent="0.2">
      <c r="Y9200" s="97"/>
    </row>
    <row r="9201" spans="25:25" x14ac:dyDescent="0.2">
      <c r="Y9201" s="97"/>
    </row>
    <row r="9202" spans="25:25" x14ac:dyDescent="0.2">
      <c r="Y9202" s="97"/>
    </row>
    <row r="9203" spans="25:25" x14ac:dyDescent="0.2">
      <c r="Y9203" s="97"/>
    </row>
    <row r="9204" spans="25:25" x14ac:dyDescent="0.2">
      <c r="Y9204" s="97"/>
    </row>
    <row r="9205" spans="25:25" x14ac:dyDescent="0.2">
      <c r="Y9205" s="97"/>
    </row>
    <row r="9206" spans="25:25" x14ac:dyDescent="0.2">
      <c r="Y9206" s="97"/>
    </row>
    <row r="9207" spans="25:25" x14ac:dyDescent="0.2">
      <c r="Y9207" s="97"/>
    </row>
    <row r="9208" spans="25:25" x14ac:dyDescent="0.2">
      <c r="Y9208" s="97"/>
    </row>
    <row r="9209" spans="25:25" x14ac:dyDescent="0.2">
      <c r="Y9209" s="97"/>
    </row>
    <row r="9210" spans="25:25" x14ac:dyDescent="0.2">
      <c r="Y9210" s="97"/>
    </row>
    <row r="9211" spans="25:25" x14ac:dyDescent="0.2">
      <c r="Y9211" s="97"/>
    </row>
    <row r="9212" spans="25:25" x14ac:dyDescent="0.2">
      <c r="Y9212" s="97"/>
    </row>
    <row r="9213" spans="25:25" x14ac:dyDescent="0.2">
      <c r="Y9213" s="97"/>
    </row>
    <row r="9214" spans="25:25" x14ac:dyDescent="0.2">
      <c r="Y9214" s="97"/>
    </row>
    <row r="9215" spans="25:25" x14ac:dyDescent="0.2">
      <c r="Y9215" s="97"/>
    </row>
    <row r="9216" spans="25:25" x14ac:dyDescent="0.2">
      <c r="Y9216" s="97"/>
    </row>
    <row r="9217" spans="25:25" x14ac:dyDescent="0.2">
      <c r="Y9217" s="97"/>
    </row>
    <row r="9218" spans="25:25" x14ac:dyDescent="0.2">
      <c r="Y9218" s="97"/>
    </row>
    <row r="9219" spans="25:25" x14ac:dyDescent="0.2">
      <c r="Y9219" s="97"/>
    </row>
    <row r="9220" spans="25:25" x14ac:dyDescent="0.2">
      <c r="Y9220" s="97"/>
    </row>
    <row r="9221" spans="25:25" x14ac:dyDescent="0.2">
      <c r="Y9221" s="97"/>
    </row>
    <row r="9222" spans="25:25" x14ac:dyDescent="0.2">
      <c r="Y9222" s="97"/>
    </row>
    <row r="9223" spans="25:25" x14ac:dyDescent="0.2">
      <c r="Y9223" s="97"/>
    </row>
    <row r="9224" spans="25:25" x14ac:dyDescent="0.2">
      <c r="Y9224" s="97"/>
    </row>
    <row r="9225" spans="25:25" x14ac:dyDescent="0.2">
      <c r="Y9225" s="97"/>
    </row>
    <row r="9226" spans="25:25" x14ac:dyDescent="0.2">
      <c r="Y9226" s="97"/>
    </row>
    <row r="9227" spans="25:25" x14ac:dyDescent="0.2">
      <c r="Y9227" s="97"/>
    </row>
    <row r="9228" spans="25:25" x14ac:dyDescent="0.2">
      <c r="Y9228" s="97"/>
    </row>
    <row r="9229" spans="25:25" x14ac:dyDescent="0.2">
      <c r="Y9229" s="97"/>
    </row>
    <row r="9230" spans="25:25" x14ac:dyDescent="0.2">
      <c r="Y9230" s="97"/>
    </row>
    <row r="9231" spans="25:25" x14ac:dyDescent="0.2">
      <c r="Y9231" s="97"/>
    </row>
    <row r="9232" spans="25:25" x14ac:dyDescent="0.2">
      <c r="Y9232" s="97"/>
    </row>
    <row r="9233" spans="25:25" x14ac:dyDescent="0.2">
      <c r="Y9233" s="97"/>
    </row>
    <row r="9234" spans="25:25" x14ac:dyDescent="0.2">
      <c r="Y9234" s="97"/>
    </row>
    <row r="9235" spans="25:25" x14ac:dyDescent="0.2">
      <c r="Y9235" s="97"/>
    </row>
    <row r="9236" spans="25:25" x14ac:dyDescent="0.2">
      <c r="Y9236" s="97"/>
    </row>
    <row r="9237" spans="25:25" x14ac:dyDescent="0.2">
      <c r="Y9237" s="97"/>
    </row>
    <row r="9238" spans="25:25" x14ac:dyDescent="0.2">
      <c r="Y9238" s="97"/>
    </row>
    <row r="9239" spans="25:25" x14ac:dyDescent="0.2">
      <c r="Y9239" s="97"/>
    </row>
    <row r="9240" spans="25:25" x14ac:dyDescent="0.2">
      <c r="Y9240" s="97"/>
    </row>
    <row r="9241" spans="25:25" x14ac:dyDescent="0.2">
      <c r="Y9241" s="97"/>
    </row>
    <row r="9242" spans="25:25" x14ac:dyDescent="0.2">
      <c r="Y9242" s="97"/>
    </row>
    <row r="9243" spans="25:25" x14ac:dyDescent="0.2">
      <c r="Y9243" s="97"/>
    </row>
    <row r="9244" spans="25:25" x14ac:dyDescent="0.2">
      <c r="Y9244" s="97"/>
    </row>
    <row r="9245" spans="25:25" x14ac:dyDescent="0.2">
      <c r="Y9245" s="97"/>
    </row>
    <row r="9246" spans="25:25" x14ac:dyDescent="0.2">
      <c r="Y9246" s="97"/>
    </row>
    <row r="9247" spans="25:25" x14ac:dyDescent="0.2">
      <c r="Y9247" s="97"/>
    </row>
    <row r="9248" spans="25:25" x14ac:dyDescent="0.2">
      <c r="Y9248" s="97"/>
    </row>
    <row r="9249" spans="25:25" x14ac:dyDescent="0.2">
      <c r="Y9249" s="97"/>
    </row>
    <row r="9250" spans="25:25" x14ac:dyDescent="0.2">
      <c r="Y9250" s="97"/>
    </row>
    <row r="9251" spans="25:25" x14ac:dyDescent="0.2">
      <c r="Y9251" s="97"/>
    </row>
    <row r="9252" spans="25:25" x14ac:dyDescent="0.2">
      <c r="Y9252" s="97"/>
    </row>
    <row r="9253" spans="25:25" x14ac:dyDescent="0.2">
      <c r="Y9253" s="97"/>
    </row>
    <row r="9254" spans="25:25" x14ac:dyDescent="0.2">
      <c r="Y9254" s="97"/>
    </row>
    <row r="9255" spans="25:25" x14ac:dyDescent="0.2">
      <c r="Y9255" s="97"/>
    </row>
    <row r="9256" spans="25:25" x14ac:dyDescent="0.2">
      <c r="Y9256" s="97"/>
    </row>
    <row r="9257" spans="25:25" x14ac:dyDescent="0.2">
      <c r="Y9257" s="97"/>
    </row>
    <row r="9258" spans="25:25" x14ac:dyDescent="0.2">
      <c r="Y9258" s="97"/>
    </row>
    <row r="9259" spans="25:25" x14ac:dyDescent="0.2">
      <c r="Y9259" s="97"/>
    </row>
    <row r="9260" spans="25:25" x14ac:dyDescent="0.2">
      <c r="Y9260" s="97"/>
    </row>
    <row r="9261" spans="25:25" x14ac:dyDescent="0.2">
      <c r="Y9261" s="97"/>
    </row>
    <row r="9262" spans="25:25" x14ac:dyDescent="0.2">
      <c r="Y9262" s="97"/>
    </row>
    <row r="9263" spans="25:25" x14ac:dyDescent="0.2">
      <c r="Y9263" s="97"/>
    </row>
    <row r="9264" spans="25:25" x14ac:dyDescent="0.2">
      <c r="Y9264" s="97"/>
    </row>
    <row r="9265" spans="25:25" x14ac:dyDescent="0.2">
      <c r="Y9265" s="97"/>
    </row>
    <row r="9266" spans="25:25" x14ac:dyDescent="0.2">
      <c r="Y9266" s="97"/>
    </row>
    <row r="9267" spans="25:25" x14ac:dyDescent="0.2">
      <c r="Y9267" s="97"/>
    </row>
    <row r="9268" spans="25:25" x14ac:dyDescent="0.2">
      <c r="Y9268" s="97"/>
    </row>
    <row r="9269" spans="25:25" x14ac:dyDescent="0.2">
      <c r="Y9269" s="97"/>
    </row>
    <row r="9270" spans="25:25" x14ac:dyDescent="0.2">
      <c r="Y9270" s="97"/>
    </row>
    <row r="9271" spans="25:25" x14ac:dyDescent="0.2">
      <c r="Y9271" s="97"/>
    </row>
    <row r="9272" spans="25:25" x14ac:dyDescent="0.2">
      <c r="Y9272" s="97"/>
    </row>
    <row r="9273" spans="25:25" x14ac:dyDescent="0.2">
      <c r="Y9273" s="97"/>
    </row>
    <row r="9274" spans="25:25" x14ac:dyDescent="0.2">
      <c r="Y9274" s="97"/>
    </row>
    <row r="9275" spans="25:25" x14ac:dyDescent="0.2">
      <c r="Y9275" s="97"/>
    </row>
    <row r="9276" spans="25:25" x14ac:dyDescent="0.2">
      <c r="Y9276" s="97"/>
    </row>
    <row r="9277" spans="25:25" x14ac:dyDescent="0.2">
      <c r="Y9277" s="97"/>
    </row>
    <row r="9278" spans="25:25" x14ac:dyDescent="0.2">
      <c r="Y9278" s="97"/>
    </row>
    <row r="9279" spans="25:25" x14ac:dyDescent="0.2">
      <c r="Y9279" s="97"/>
    </row>
    <row r="9280" spans="25:25" x14ac:dyDescent="0.2">
      <c r="Y9280" s="97"/>
    </row>
    <row r="9281" spans="25:25" x14ac:dyDescent="0.2">
      <c r="Y9281" s="97"/>
    </row>
    <row r="9282" spans="25:25" x14ac:dyDescent="0.2">
      <c r="Y9282" s="97"/>
    </row>
    <row r="9283" spans="25:25" x14ac:dyDescent="0.2">
      <c r="Y9283" s="97"/>
    </row>
    <row r="9284" spans="25:25" x14ac:dyDescent="0.2">
      <c r="Y9284" s="97"/>
    </row>
    <row r="9285" spans="25:25" x14ac:dyDescent="0.2">
      <c r="Y9285" s="97"/>
    </row>
    <row r="9286" spans="25:25" x14ac:dyDescent="0.2">
      <c r="Y9286" s="97"/>
    </row>
    <row r="9287" spans="25:25" x14ac:dyDescent="0.2">
      <c r="Y9287" s="97"/>
    </row>
    <row r="9288" spans="25:25" x14ac:dyDescent="0.2">
      <c r="Y9288" s="97"/>
    </row>
    <row r="9289" spans="25:25" x14ac:dyDescent="0.2">
      <c r="Y9289" s="97"/>
    </row>
    <row r="9290" spans="25:25" x14ac:dyDescent="0.2">
      <c r="Y9290" s="97"/>
    </row>
    <row r="9291" spans="25:25" x14ac:dyDescent="0.2">
      <c r="Y9291" s="97"/>
    </row>
    <row r="9292" spans="25:25" x14ac:dyDescent="0.2">
      <c r="Y9292" s="97"/>
    </row>
    <row r="9293" spans="25:25" x14ac:dyDescent="0.2">
      <c r="Y9293" s="97"/>
    </row>
    <row r="9294" spans="25:25" x14ac:dyDescent="0.2">
      <c r="Y9294" s="97"/>
    </row>
    <row r="9295" spans="25:25" x14ac:dyDescent="0.2">
      <c r="Y9295" s="97"/>
    </row>
    <row r="9296" spans="25:25" x14ac:dyDescent="0.2">
      <c r="Y9296" s="97"/>
    </row>
    <row r="9297" spans="25:25" x14ac:dyDescent="0.2">
      <c r="Y9297" s="97"/>
    </row>
    <row r="9298" spans="25:25" x14ac:dyDescent="0.2">
      <c r="Y9298" s="97"/>
    </row>
    <row r="9299" spans="25:25" x14ac:dyDescent="0.2">
      <c r="Y9299" s="97"/>
    </row>
    <row r="9300" spans="25:25" x14ac:dyDescent="0.2">
      <c r="Y9300" s="97"/>
    </row>
    <row r="9301" spans="25:25" x14ac:dyDescent="0.2">
      <c r="Y9301" s="97"/>
    </row>
    <row r="9302" spans="25:25" x14ac:dyDescent="0.2">
      <c r="Y9302" s="97"/>
    </row>
    <row r="9303" spans="25:25" x14ac:dyDescent="0.2">
      <c r="Y9303" s="97"/>
    </row>
    <row r="9304" spans="25:25" x14ac:dyDescent="0.2">
      <c r="Y9304" s="97"/>
    </row>
    <row r="9305" spans="25:25" x14ac:dyDescent="0.2">
      <c r="Y9305" s="97"/>
    </row>
    <row r="9306" spans="25:25" x14ac:dyDescent="0.2">
      <c r="Y9306" s="97"/>
    </row>
    <row r="9307" spans="25:25" x14ac:dyDescent="0.2">
      <c r="Y9307" s="97"/>
    </row>
    <row r="9308" spans="25:25" x14ac:dyDescent="0.2">
      <c r="Y9308" s="97"/>
    </row>
    <row r="9309" spans="25:25" x14ac:dyDescent="0.2">
      <c r="Y9309" s="97"/>
    </row>
    <row r="9310" spans="25:25" x14ac:dyDescent="0.2">
      <c r="Y9310" s="97"/>
    </row>
    <row r="9311" spans="25:25" x14ac:dyDescent="0.2">
      <c r="Y9311" s="97"/>
    </row>
    <row r="9312" spans="25:25" x14ac:dyDescent="0.2">
      <c r="Y9312" s="97"/>
    </row>
    <row r="9313" spans="25:25" x14ac:dyDescent="0.2">
      <c r="Y9313" s="97"/>
    </row>
    <row r="9314" spans="25:25" x14ac:dyDescent="0.2">
      <c r="Y9314" s="97"/>
    </row>
    <row r="9315" spans="25:25" x14ac:dyDescent="0.2">
      <c r="Y9315" s="97"/>
    </row>
    <row r="9316" spans="25:25" x14ac:dyDescent="0.2">
      <c r="Y9316" s="97"/>
    </row>
    <row r="9317" spans="25:25" x14ac:dyDescent="0.2">
      <c r="Y9317" s="97"/>
    </row>
    <row r="9318" spans="25:25" x14ac:dyDescent="0.2">
      <c r="Y9318" s="97"/>
    </row>
    <row r="9319" spans="25:25" x14ac:dyDescent="0.2">
      <c r="Y9319" s="97"/>
    </row>
    <row r="9320" spans="25:25" x14ac:dyDescent="0.2">
      <c r="Y9320" s="97"/>
    </row>
    <row r="9321" spans="25:25" x14ac:dyDescent="0.2">
      <c r="Y9321" s="97"/>
    </row>
    <row r="9322" spans="25:25" x14ac:dyDescent="0.2">
      <c r="Y9322" s="97"/>
    </row>
    <row r="9323" spans="25:25" x14ac:dyDescent="0.2">
      <c r="Y9323" s="97"/>
    </row>
    <row r="9324" spans="25:25" x14ac:dyDescent="0.2">
      <c r="Y9324" s="97"/>
    </row>
    <row r="9325" spans="25:25" x14ac:dyDescent="0.2">
      <c r="Y9325" s="97"/>
    </row>
    <row r="9326" spans="25:25" x14ac:dyDescent="0.2">
      <c r="Y9326" s="97"/>
    </row>
    <row r="9327" spans="25:25" x14ac:dyDescent="0.2">
      <c r="Y9327" s="97"/>
    </row>
    <row r="9328" spans="25:25" x14ac:dyDescent="0.2">
      <c r="Y9328" s="97"/>
    </row>
    <row r="9329" spans="25:25" x14ac:dyDescent="0.2">
      <c r="Y9329" s="97"/>
    </row>
    <row r="9330" spans="25:25" x14ac:dyDescent="0.2">
      <c r="Y9330" s="97"/>
    </row>
    <row r="9331" spans="25:25" x14ac:dyDescent="0.2">
      <c r="Y9331" s="97"/>
    </row>
    <row r="9332" spans="25:25" x14ac:dyDescent="0.2">
      <c r="Y9332" s="97"/>
    </row>
    <row r="9333" spans="25:25" x14ac:dyDescent="0.2">
      <c r="Y9333" s="97"/>
    </row>
    <row r="9334" spans="25:25" x14ac:dyDescent="0.2">
      <c r="Y9334" s="97"/>
    </row>
    <row r="9335" spans="25:25" x14ac:dyDescent="0.2">
      <c r="Y9335" s="97"/>
    </row>
    <row r="9336" spans="25:25" x14ac:dyDescent="0.2">
      <c r="Y9336" s="97"/>
    </row>
    <row r="9337" spans="25:25" x14ac:dyDescent="0.2">
      <c r="Y9337" s="97"/>
    </row>
    <row r="9338" spans="25:25" x14ac:dyDescent="0.2">
      <c r="Y9338" s="97"/>
    </row>
    <row r="9339" spans="25:25" x14ac:dyDescent="0.2">
      <c r="Y9339" s="97"/>
    </row>
    <row r="9340" spans="25:25" x14ac:dyDescent="0.2">
      <c r="Y9340" s="97"/>
    </row>
    <row r="9341" spans="25:25" x14ac:dyDescent="0.2">
      <c r="Y9341" s="97"/>
    </row>
    <row r="9342" spans="25:25" x14ac:dyDescent="0.2">
      <c r="Y9342" s="97"/>
    </row>
    <row r="9343" spans="25:25" x14ac:dyDescent="0.2">
      <c r="Y9343" s="97"/>
    </row>
    <row r="9344" spans="25:25" x14ac:dyDescent="0.2">
      <c r="Y9344" s="97"/>
    </row>
    <row r="9345" spans="25:25" x14ac:dyDescent="0.2">
      <c r="Y9345" s="97"/>
    </row>
    <row r="9346" spans="25:25" x14ac:dyDescent="0.2">
      <c r="Y9346" s="97"/>
    </row>
    <row r="9347" spans="25:25" x14ac:dyDescent="0.2">
      <c r="Y9347" s="97"/>
    </row>
    <row r="9348" spans="25:25" x14ac:dyDescent="0.2">
      <c r="Y9348" s="97"/>
    </row>
    <row r="9349" spans="25:25" x14ac:dyDescent="0.2">
      <c r="Y9349" s="97"/>
    </row>
    <row r="9350" spans="25:25" x14ac:dyDescent="0.2">
      <c r="Y9350" s="97"/>
    </row>
    <row r="9351" spans="25:25" x14ac:dyDescent="0.2">
      <c r="Y9351" s="97"/>
    </row>
    <row r="9352" spans="25:25" x14ac:dyDescent="0.2">
      <c r="Y9352" s="97"/>
    </row>
    <row r="9353" spans="25:25" x14ac:dyDescent="0.2">
      <c r="Y9353" s="97"/>
    </row>
    <row r="9354" spans="25:25" x14ac:dyDescent="0.2">
      <c r="Y9354" s="97"/>
    </row>
    <row r="9355" spans="25:25" x14ac:dyDescent="0.2">
      <c r="Y9355" s="97"/>
    </row>
    <row r="9356" spans="25:25" x14ac:dyDescent="0.2">
      <c r="Y9356" s="97"/>
    </row>
    <row r="9357" spans="25:25" x14ac:dyDescent="0.2">
      <c r="Y9357" s="97"/>
    </row>
    <row r="9358" spans="25:25" x14ac:dyDescent="0.2">
      <c r="Y9358" s="97"/>
    </row>
    <row r="9359" spans="25:25" x14ac:dyDescent="0.2">
      <c r="Y9359" s="97"/>
    </row>
    <row r="9360" spans="25:25" x14ac:dyDescent="0.2">
      <c r="Y9360" s="97"/>
    </row>
    <row r="9361" spans="25:25" x14ac:dyDescent="0.2">
      <c r="Y9361" s="97"/>
    </row>
    <row r="9362" spans="25:25" x14ac:dyDescent="0.2">
      <c r="Y9362" s="97"/>
    </row>
    <row r="9363" spans="25:25" x14ac:dyDescent="0.2">
      <c r="Y9363" s="97"/>
    </row>
    <row r="9364" spans="25:25" x14ac:dyDescent="0.2">
      <c r="Y9364" s="97"/>
    </row>
    <row r="9365" spans="25:25" x14ac:dyDescent="0.2">
      <c r="Y9365" s="97"/>
    </row>
    <row r="9366" spans="25:25" x14ac:dyDescent="0.2">
      <c r="Y9366" s="97"/>
    </row>
    <row r="9367" spans="25:25" x14ac:dyDescent="0.2">
      <c r="Y9367" s="97"/>
    </row>
    <row r="9368" spans="25:25" x14ac:dyDescent="0.2">
      <c r="Y9368" s="97"/>
    </row>
    <row r="9369" spans="25:25" x14ac:dyDescent="0.2">
      <c r="Y9369" s="97"/>
    </row>
    <row r="9370" spans="25:25" x14ac:dyDescent="0.2">
      <c r="Y9370" s="97"/>
    </row>
    <row r="9371" spans="25:25" x14ac:dyDescent="0.2">
      <c r="Y9371" s="97"/>
    </row>
    <row r="9372" spans="25:25" x14ac:dyDescent="0.2">
      <c r="Y9372" s="97"/>
    </row>
    <row r="9373" spans="25:25" x14ac:dyDescent="0.2">
      <c r="Y9373" s="97"/>
    </row>
    <row r="9374" spans="25:25" x14ac:dyDescent="0.2">
      <c r="Y9374" s="97"/>
    </row>
    <row r="9375" spans="25:25" x14ac:dyDescent="0.2">
      <c r="Y9375" s="97"/>
    </row>
    <row r="9376" spans="25:25" x14ac:dyDescent="0.2">
      <c r="Y9376" s="97"/>
    </row>
    <row r="9377" spans="25:25" x14ac:dyDescent="0.2">
      <c r="Y9377" s="97"/>
    </row>
    <row r="9378" spans="25:25" x14ac:dyDescent="0.2">
      <c r="Y9378" s="97"/>
    </row>
    <row r="9379" spans="25:25" x14ac:dyDescent="0.2">
      <c r="Y9379" s="97"/>
    </row>
    <row r="9380" spans="25:25" x14ac:dyDescent="0.2">
      <c r="Y9380" s="97"/>
    </row>
    <row r="9381" spans="25:25" x14ac:dyDescent="0.2">
      <c r="Y9381" s="97"/>
    </row>
    <row r="9382" spans="25:25" x14ac:dyDescent="0.2">
      <c r="Y9382" s="97"/>
    </row>
    <row r="9383" spans="25:25" x14ac:dyDescent="0.2">
      <c r="Y9383" s="97"/>
    </row>
    <row r="9384" spans="25:25" x14ac:dyDescent="0.2">
      <c r="Y9384" s="97"/>
    </row>
    <row r="9385" spans="25:25" x14ac:dyDescent="0.2">
      <c r="Y9385" s="97"/>
    </row>
    <row r="9386" spans="25:25" x14ac:dyDescent="0.2">
      <c r="Y9386" s="97"/>
    </row>
    <row r="9387" spans="25:25" x14ac:dyDescent="0.2">
      <c r="Y9387" s="97"/>
    </row>
    <row r="9388" spans="25:25" x14ac:dyDescent="0.2">
      <c r="Y9388" s="97"/>
    </row>
    <row r="9389" spans="25:25" x14ac:dyDescent="0.2">
      <c r="Y9389" s="97"/>
    </row>
    <row r="9390" spans="25:25" x14ac:dyDescent="0.2">
      <c r="Y9390" s="97"/>
    </row>
    <row r="9391" spans="25:25" x14ac:dyDescent="0.2">
      <c r="Y9391" s="97"/>
    </row>
    <row r="9392" spans="25:25" x14ac:dyDescent="0.2">
      <c r="Y9392" s="97"/>
    </row>
    <row r="9393" spans="25:25" x14ac:dyDescent="0.2">
      <c r="Y9393" s="97"/>
    </row>
    <row r="9394" spans="25:25" x14ac:dyDescent="0.2">
      <c r="Y9394" s="97"/>
    </row>
    <row r="9395" spans="25:25" x14ac:dyDescent="0.2">
      <c r="Y9395" s="97"/>
    </row>
    <row r="9396" spans="25:25" x14ac:dyDescent="0.2">
      <c r="Y9396" s="97"/>
    </row>
    <row r="9397" spans="25:25" x14ac:dyDescent="0.2">
      <c r="Y9397" s="97"/>
    </row>
    <row r="9398" spans="25:25" x14ac:dyDescent="0.2">
      <c r="Y9398" s="97"/>
    </row>
    <row r="9399" spans="25:25" x14ac:dyDescent="0.2">
      <c r="Y9399" s="97"/>
    </row>
    <row r="9400" spans="25:25" x14ac:dyDescent="0.2">
      <c r="Y9400" s="97"/>
    </row>
    <row r="9401" spans="25:25" x14ac:dyDescent="0.2">
      <c r="Y9401" s="97"/>
    </row>
    <row r="9402" spans="25:25" x14ac:dyDescent="0.2">
      <c r="Y9402" s="97"/>
    </row>
    <row r="9403" spans="25:25" x14ac:dyDescent="0.2">
      <c r="Y9403" s="97"/>
    </row>
    <row r="9404" spans="25:25" x14ac:dyDescent="0.2">
      <c r="Y9404" s="97"/>
    </row>
    <row r="9405" spans="25:25" x14ac:dyDescent="0.2">
      <c r="Y9405" s="97"/>
    </row>
    <row r="9406" spans="25:25" x14ac:dyDescent="0.2">
      <c r="Y9406" s="97"/>
    </row>
    <row r="9407" spans="25:25" x14ac:dyDescent="0.2">
      <c r="Y9407" s="97"/>
    </row>
    <row r="9408" spans="25:25" x14ac:dyDescent="0.2">
      <c r="Y9408" s="97"/>
    </row>
    <row r="9409" spans="25:25" x14ac:dyDescent="0.2">
      <c r="Y9409" s="97"/>
    </row>
    <row r="9410" spans="25:25" x14ac:dyDescent="0.2">
      <c r="Y9410" s="97"/>
    </row>
    <row r="9411" spans="25:25" x14ac:dyDescent="0.2">
      <c r="Y9411" s="97"/>
    </row>
    <row r="9412" spans="25:25" x14ac:dyDescent="0.2">
      <c r="Y9412" s="97"/>
    </row>
    <row r="9413" spans="25:25" x14ac:dyDescent="0.2">
      <c r="Y9413" s="97"/>
    </row>
    <row r="9414" spans="25:25" x14ac:dyDescent="0.2">
      <c r="Y9414" s="97"/>
    </row>
    <row r="9415" spans="25:25" x14ac:dyDescent="0.2">
      <c r="Y9415" s="97"/>
    </row>
    <row r="9416" spans="25:25" x14ac:dyDescent="0.2">
      <c r="Y9416" s="97"/>
    </row>
    <row r="9417" spans="25:25" x14ac:dyDescent="0.2">
      <c r="Y9417" s="97"/>
    </row>
    <row r="9418" spans="25:25" x14ac:dyDescent="0.2">
      <c r="Y9418" s="97"/>
    </row>
    <row r="9419" spans="25:25" x14ac:dyDescent="0.2">
      <c r="Y9419" s="97"/>
    </row>
    <row r="9420" spans="25:25" x14ac:dyDescent="0.2">
      <c r="Y9420" s="97"/>
    </row>
    <row r="9421" spans="25:25" x14ac:dyDescent="0.2">
      <c r="Y9421" s="97"/>
    </row>
    <row r="9422" spans="25:25" x14ac:dyDescent="0.2">
      <c r="Y9422" s="97"/>
    </row>
    <row r="9423" spans="25:25" x14ac:dyDescent="0.2">
      <c r="Y9423" s="97"/>
    </row>
    <row r="9424" spans="25:25" x14ac:dyDescent="0.2">
      <c r="Y9424" s="97"/>
    </row>
    <row r="9425" spans="25:25" x14ac:dyDescent="0.2">
      <c r="Y9425" s="97"/>
    </row>
    <row r="9426" spans="25:25" x14ac:dyDescent="0.2">
      <c r="Y9426" s="97"/>
    </row>
    <row r="9427" spans="25:25" x14ac:dyDescent="0.2">
      <c r="Y9427" s="97"/>
    </row>
    <row r="9428" spans="25:25" x14ac:dyDescent="0.2">
      <c r="Y9428" s="97"/>
    </row>
    <row r="9429" spans="25:25" x14ac:dyDescent="0.2">
      <c r="Y9429" s="97"/>
    </row>
    <row r="9430" spans="25:25" x14ac:dyDescent="0.2">
      <c r="Y9430" s="97"/>
    </row>
    <row r="9431" spans="25:25" x14ac:dyDescent="0.2">
      <c r="Y9431" s="97"/>
    </row>
    <row r="9432" spans="25:25" x14ac:dyDescent="0.2">
      <c r="Y9432" s="97"/>
    </row>
    <row r="9433" spans="25:25" x14ac:dyDescent="0.2">
      <c r="Y9433" s="97"/>
    </row>
    <row r="9434" spans="25:25" x14ac:dyDescent="0.2">
      <c r="Y9434" s="97"/>
    </row>
    <row r="9435" spans="25:25" x14ac:dyDescent="0.2">
      <c r="Y9435" s="97"/>
    </row>
    <row r="9436" spans="25:25" x14ac:dyDescent="0.2">
      <c r="Y9436" s="97"/>
    </row>
    <row r="9437" spans="25:25" x14ac:dyDescent="0.2">
      <c r="Y9437" s="97"/>
    </row>
    <row r="9438" spans="25:25" x14ac:dyDescent="0.2">
      <c r="Y9438" s="97"/>
    </row>
    <row r="9439" spans="25:25" x14ac:dyDescent="0.2">
      <c r="Y9439" s="97"/>
    </row>
    <row r="9440" spans="25:25" x14ac:dyDescent="0.2">
      <c r="Y9440" s="97"/>
    </row>
    <row r="9441" spans="25:25" x14ac:dyDescent="0.2">
      <c r="Y9441" s="97"/>
    </row>
    <row r="9442" spans="25:25" x14ac:dyDescent="0.2">
      <c r="Y9442" s="97"/>
    </row>
    <row r="9443" spans="25:25" x14ac:dyDescent="0.2">
      <c r="Y9443" s="97"/>
    </row>
    <row r="9444" spans="25:25" x14ac:dyDescent="0.2">
      <c r="Y9444" s="97"/>
    </row>
    <row r="9445" spans="25:25" x14ac:dyDescent="0.2">
      <c r="Y9445" s="97"/>
    </row>
    <row r="9446" spans="25:25" x14ac:dyDescent="0.2">
      <c r="Y9446" s="97"/>
    </row>
    <row r="9447" spans="25:25" x14ac:dyDescent="0.2">
      <c r="Y9447" s="97"/>
    </row>
    <row r="9448" spans="25:25" x14ac:dyDescent="0.2">
      <c r="Y9448" s="97"/>
    </row>
    <row r="9449" spans="25:25" x14ac:dyDescent="0.2">
      <c r="Y9449" s="97"/>
    </row>
    <row r="9450" spans="25:25" x14ac:dyDescent="0.2">
      <c r="Y9450" s="97"/>
    </row>
    <row r="9451" spans="25:25" x14ac:dyDescent="0.2">
      <c r="Y9451" s="97"/>
    </row>
    <row r="9452" spans="25:25" x14ac:dyDescent="0.2">
      <c r="Y9452" s="97"/>
    </row>
    <row r="9453" spans="25:25" x14ac:dyDescent="0.2">
      <c r="Y9453" s="97"/>
    </row>
    <row r="9454" spans="25:25" x14ac:dyDescent="0.2">
      <c r="Y9454" s="97"/>
    </row>
    <row r="9455" spans="25:25" x14ac:dyDescent="0.2">
      <c r="Y9455" s="97"/>
    </row>
    <row r="9456" spans="25:25" x14ac:dyDescent="0.2">
      <c r="Y9456" s="97"/>
    </row>
    <row r="9457" spans="25:25" x14ac:dyDescent="0.2">
      <c r="Y9457" s="97"/>
    </row>
    <row r="9458" spans="25:25" x14ac:dyDescent="0.2">
      <c r="Y9458" s="97"/>
    </row>
    <row r="9459" spans="25:25" x14ac:dyDescent="0.2">
      <c r="Y9459" s="97"/>
    </row>
    <row r="9460" spans="25:25" x14ac:dyDescent="0.2">
      <c r="Y9460" s="97"/>
    </row>
    <row r="9461" spans="25:25" x14ac:dyDescent="0.2">
      <c r="Y9461" s="97"/>
    </row>
    <row r="9462" spans="25:25" x14ac:dyDescent="0.2">
      <c r="Y9462" s="97"/>
    </row>
    <row r="9463" spans="25:25" x14ac:dyDescent="0.2">
      <c r="Y9463" s="97"/>
    </row>
    <row r="9464" spans="25:25" x14ac:dyDescent="0.2">
      <c r="Y9464" s="97"/>
    </row>
    <row r="9465" spans="25:25" x14ac:dyDescent="0.2">
      <c r="Y9465" s="97"/>
    </row>
    <row r="9466" spans="25:25" x14ac:dyDescent="0.2">
      <c r="Y9466" s="97"/>
    </row>
    <row r="9467" spans="25:25" x14ac:dyDescent="0.2">
      <c r="Y9467" s="97"/>
    </row>
    <row r="9468" spans="25:25" x14ac:dyDescent="0.2">
      <c r="Y9468" s="97"/>
    </row>
    <row r="9469" spans="25:25" x14ac:dyDescent="0.2">
      <c r="Y9469" s="97"/>
    </row>
    <row r="9470" spans="25:25" x14ac:dyDescent="0.2">
      <c r="Y9470" s="97"/>
    </row>
    <row r="9471" spans="25:25" x14ac:dyDescent="0.2">
      <c r="Y9471" s="97"/>
    </row>
    <row r="9472" spans="25:25" x14ac:dyDescent="0.2">
      <c r="Y9472" s="97"/>
    </row>
    <row r="9473" spans="25:25" x14ac:dyDescent="0.2">
      <c r="Y9473" s="97"/>
    </row>
    <row r="9474" spans="25:25" x14ac:dyDescent="0.2">
      <c r="Y9474" s="97"/>
    </row>
    <row r="9475" spans="25:25" x14ac:dyDescent="0.2">
      <c r="Y9475" s="97"/>
    </row>
    <row r="9476" spans="25:25" x14ac:dyDescent="0.2">
      <c r="Y9476" s="97"/>
    </row>
    <row r="9477" spans="25:25" x14ac:dyDescent="0.2">
      <c r="Y9477" s="97"/>
    </row>
    <row r="9478" spans="25:25" x14ac:dyDescent="0.2">
      <c r="Y9478" s="97"/>
    </row>
    <row r="9479" spans="25:25" x14ac:dyDescent="0.2">
      <c r="Y9479" s="97"/>
    </row>
    <row r="9480" spans="25:25" x14ac:dyDescent="0.2">
      <c r="Y9480" s="97"/>
    </row>
    <row r="9481" spans="25:25" x14ac:dyDescent="0.2">
      <c r="Y9481" s="97"/>
    </row>
    <row r="9482" spans="25:25" x14ac:dyDescent="0.2">
      <c r="Y9482" s="97"/>
    </row>
    <row r="9483" spans="25:25" x14ac:dyDescent="0.2">
      <c r="Y9483" s="97"/>
    </row>
    <row r="9484" spans="25:25" x14ac:dyDescent="0.2">
      <c r="Y9484" s="97"/>
    </row>
    <row r="9485" spans="25:25" x14ac:dyDescent="0.2">
      <c r="Y9485" s="97"/>
    </row>
    <row r="9486" spans="25:25" x14ac:dyDescent="0.2">
      <c r="Y9486" s="97"/>
    </row>
    <row r="9487" spans="25:25" x14ac:dyDescent="0.2">
      <c r="Y9487" s="97"/>
    </row>
    <row r="9488" spans="25:25" x14ac:dyDescent="0.2">
      <c r="Y9488" s="97"/>
    </row>
    <row r="9489" spans="25:25" x14ac:dyDescent="0.2">
      <c r="Y9489" s="97"/>
    </row>
    <row r="9490" spans="25:25" x14ac:dyDescent="0.2">
      <c r="Y9490" s="97"/>
    </row>
    <row r="9491" spans="25:25" x14ac:dyDescent="0.2">
      <c r="Y9491" s="97"/>
    </row>
    <row r="9492" spans="25:25" x14ac:dyDescent="0.2">
      <c r="Y9492" s="97"/>
    </row>
    <row r="9493" spans="25:25" x14ac:dyDescent="0.2">
      <c r="Y9493" s="97"/>
    </row>
    <row r="9494" spans="25:25" x14ac:dyDescent="0.2">
      <c r="Y9494" s="97"/>
    </row>
    <row r="9495" spans="25:25" x14ac:dyDescent="0.2">
      <c r="Y9495" s="97"/>
    </row>
    <row r="9496" spans="25:25" x14ac:dyDescent="0.2">
      <c r="Y9496" s="97"/>
    </row>
    <row r="9497" spans="25:25" x14ac:dyDescent="0.2">
      <c r="Y9497" s="97"/>
    </row>
    <row r="9498" spans="25:25" x14ac:dyDescent="0.2">
      <c r="Y9498" s="97"/>
    </row>
    <row r="9499" spans="25:25" x14ac:dyDescent="0.2">
      <c r="Y9499" s="97"/>
    </row>
    <row r="9500" spans="25:25" x14ac:dyDescent="0.2">
      <c r="Y9500" s="97"/>
    </row>
    <row r="9501" spans="25:25" x14ac:dyDescent="0.2">
      <c r="Y9501" s="97"/>
    </row>
    <row r="9502" spans="25:25" x14ac:dyDescent="0.2">
      <c r="Y9502" s="97"/>
    </row>
    <row r="9503" spans="25:25" x14ac:dyDescent="0.2">
      <c r="Y9503" s="97"/>
    </row>
    <row r="9504" spans="25:25" x14ac:dyDescent="0.2">
      <c r="Y9504" s="97"/>
    </row>
    <row r="9505" spans="25:25" x14ac:dyDescent="0.2">
      <c r="Y9505" s="97"/>
    </row>
    <row r="9506" spans="25:25" x14ac:dyDescent="0.2">
      <c r="Y9506" s="97"/>
    </row>
    <row r="9507" spans="25:25" x14ac:dyDescent="0.2">
      <c r="Y9507" s="97"/>
    </row>
    <row r="9508" spans="25:25" x14ac:dyDescent="0.2">
      <c r="Y9508" s="97"/>
    </row>
    <row r="9509" spans="25:25" x14ac:dyDescent="0.2">
      <c r="Y9509" s="97"/>
    </row>
    <row r="9510" spans="25:25" x14ac:dyDescent="0.2">
      <c r="Y9510" s="97"/>
    </row>
    <row r="9511" spans="25:25" x14ac:dyDescent="0.2">
      <c r="Y9511" s="97"/>
    </row>
    <row r="9512" spans="25:25" x14ac:dyDescent="0.2">
      <c r="Y9512" s="97"/>
    </row>
    <row r="9513" spans="25:25" x14ac:dyDescent="0.2">
      <c r="Y9513" s="97"/>
    </row>
    <row r="9514" spans="25:25" x14ac:dyDescent="0.2">
      <c r="Y9514" s="97"/>
    </row>
    <row r="9515" spans="25:25" x14ac:dyDescent="0.2">
      <c r="Y9515" s="97"/>
    </row>
    <row r="9516" spans="25:25" x14ac:dyDescent="0.2">
      <c r="Y9516" s="97"/>
    </row>
    <row r="9517" spans="25:25" x14ac:dyDescent="0.2">
      <c r="Y9517" s="97"/>
    </row>
    <row r="9518" spans="25:25" x14ac:dyDescent="0.2">
      <c r="Y9518" s="97"/>
    </row>
    <row r="9519" spans="25:25" x14ac:dyDescent="0.2">
      <c r="Y9519" s="97"/>
    </row>
    <row r="9520" spans="25:25" x14ac:dyDescent="0.2">
      <c r="Y9520" s="97"/>
    </row>
    <row r="9521" spans="25:25" x14ac:dyDescent="0.2">
      <c r="Y9521" s="97"/>
    </row>
    <row r="9522" spans="25:25" x14ac:dyDescent="0.2">
      <c r="Y9522" s="97"/>
    </row>
    <row r="9523" spans="25:25" x14ac:dyDescent="0.2">
      <c r="Y9523" s="97"/>
    </row>
    <row r="9524" spans="25:25" x14ac:dyDescent="0.2">
      <c r="Y9524" s="97"/>
    </row>
    <row r="9525" spans="25:25" x14ac:dyDescent="0.2">
      <c r="Y9525" s="97"/>
    </row>
    <row r="9526" spans="25:25" x14ac:dyDescent="0.2">
      <c r="Y9526" s="97"/>
    </row>
    <row r="9527" spans="25:25" x14ac:dyDescent="0.2">
      <c r="Y9527" s="97"/>
    </row>
    <row r="9528" spans="25:25" x14ac:dyDescent="0.2">
      <c r="Y9528" s="97"/>
    </row>
    <row r="9529" spans="25:25" x14ac:dyDescent="0.2">
      <c r="Y9529" s="97"/>
    </row>
    <row r="9530" spans="25:25" x14ac:dyDescent="0.2">
      <c r="Y9530" s="97"/>
    </row>
    <row r="9531" spans="25:25" x14ac:dyDescent="0.2">
      <c r="Y9531" s="97"/>
    </row>
    <row r="9532" spans="25:25" x14ac:dyDescent="0.2">
      <c r="Y9532" s="97"/>
    </row>
    <row r="9533" spans="25:25" x14ac:dyDescent="0.2">
      <c r="Y9533" s="97"/>
    </row>
    <row r="9534" spans="25:25" x14ac:dyDescent="0.2">
      <c r="Y9534" s="97"/>
    </row>
    <row r="9535" spans="25:25" x14ac:dyDescent="0.2">
      <c r="Y9535" s="97"/>
    </row>
    <row r="9536" spans="25:25" x14ac:dyDescent="0.2">
      <c r="Y9536" s="97"/>
    </row>
    <row r="9537" spans="25:25" x14ac:dyDescent="0.2">
      <c r="Y9537" s="97"/>
    </row>
    <row r="9538" spans="25:25" x14ac:dyDescent="0.2">
      <c r="Y9538" s="97"/>
    </row>
    <row r="9539" spans="25:25" x14ac:dyDescent="0.2">
      <c r="Y9539" s="97"/>
    </row>
    <row r="9540" spans="25:25" x14ac:dyDescent="0.2">
      <c r="Y9540" s="97"/>
    </row>
    <row r="9541" spans="25:25" x14ac:dyDescent="0.2">
      <c r="Y9541" s="97"/>
    </row>
    <row r="9542" spans="25:25" x14ac:dyDescent="0.2">
      <c r="Y9542" s="97"/>
    </row>
    <row r="9543" spans="25:25" x14ac:dyDescent="0.2">
      <c r="Y9543" s="97"/>
    </row>
    <row r="9544" spans="25:25" x14ac:dyDescent="0.2">
      <c r="Y9544" s="97"/>
    </row>
    <row r="9545" spans="25:25" x14ac:dyDescent="0.2">
      <c r="Y9545" s="97"/>
    </row>
    <row r="9546" spans="25:25" x14ac:dyDescent="0.2">
      <c r="Y9546" s="97"/>
    </row>
    <row r="9547" spans="25:25" x14ac:dyDescent="0.2">
      <c r="Y9547" s="97"/>
    </row>
    <row r="9548" spans="25:25" x14ac:dyDescent="0.2">
      <c r="Y9548" s="97"/>
    </row>
    <row r="9549" spans="25:25" x14ac:dyDescent="0.2">
      <c r="Y9549" s="97"/>
    </row>
    <row r="9550" spans="25:25" x14ac:dyDescent="0.2">
      <c r="Y9550" s="97"/>
    </row>
    <row r="9551" spans="25:25" x14ac:dyDescent="0.2">
      <c r="Y9551" s="97"/>
    </row>
    <row r="9552" spans="25:25" x14ac:dyDescent="0.2">
      <c r="Y9552" s="97"/>
    </row>
    <row r="9553" spans="25:25" x14ac:dyDescent="0.2">
      <c r="Y9553" s="97"/>
    </row>
    <row r="9554" spans="25:25" x14ac:dyDescent="0.2">
      <c r="Y9554" s="97"/>
    </row>
    <row r="9555" spans="25:25" x14ac:dyDescent="0.2">
      <c r="Y9555" s="97"/>
    </row>
    <row r="9556" spans="25:25" x14ac:dyDescent="0.2">
      <c r="Y9556" s="97"/>
    </row>
    <row r="9557" spans="25:25" x14ac:dyDescent="0.2">
      <c r="Y9557" s="97"/>
    </row>
    <row r="9558" spans="25:25" x14ac:dyDescent="0.2">
      <c r="Y9558" s="97"/>
    </row>
    <row r="9559" spans="25:25" x14ac:dyDescent="0.2">
      <c r="Y9559" s="97"/>
    </row>
    <row r="9560" spans="25:25" x14ac:dyDescent="0.2">
      <c r="Y9560" s="97"/>
    </row>
    <row r="9561" spans="25:25" x14ac:dyDescent="0.2">
      <c r="Y9561" s="97"/>
    </row>
    <row r="9562" spans="25:25" x14ac:dyDescent="0.2">
      <c r="Y9562" s="97"/>
    </row>
    <row r="9563" spans="25:25" x14ac:dyDescent="0.2">
      <c r="Y9563" s="97"/>
    </row>
    <row r="9564" spans="25:25" x14ac:dyDescent="0.2">
      <c r="Y9564" s="97"/>
    </row>
    <row r="9565" spans="25:25" x14ac:dyDescent="0.2">
      <c r="Y9565" s="97"/>
    </row>
    <row r="9566" spans="25:25" x14ac:dyDescent="0.2">
      <c r="Y9566" s="97"/>
    </row>
    <row r="9567" spans="25:25" x14ac:dyDescent="0.2">
      <c r="Y9567" s="97"/>
    </row>
    <row r="9568" spans="25:25" x14ac:dyDescent="0.2">
      <c r="Y9568" s="97"/>
    </row>
    <row r="9569" spans="25:25" x14ac:dyDescent="0.2">
      <c r="Y9569" s="97"/>
    </row>
    <row r="9570" spans="25:25" x14ac:dyDescent="0.2">
      <c r="Y9570" s="97"/>
    </row>
    <row r="9571" spans="25:25" x14ac:dyDescent="0.2">
      <c r="Y9571" s="97"/>
    </row>
    <row r="9572" spans="25:25" x14ac:dyDescent="0.2">
      <c r="Y9572" s="97"/>
    </row>
    <row r="9573" spans="25:25" x14ac:dyDescent="0.2">
      <c r="Y9573" s="97"/>
    </row>
    <row r="9574" spans="25:25" x14ac:dyDescent="0.2">
      <c r="Y9574" s="97"/>
    </row>
    <row r="9575" spans="25:25" x14ac:dyDescent="0.2">
      <c r="Y9575" s="97"/>
    </row>
    <row r="9576" spans="25:25" x14ac:dyDescent="0.2">
      <c r="Y9576" s="97"/>
    </row>
    <row r="9577" spans="25:25" x14ac:dyDescent="0.2">
      <c r="Y9577" s="97"/>
    </row>
    <row r="9578" spans="25:25" x14ac:dyDescent="0.2">
      <c r="Y9578" s="97"/>
    </row>
    <row r="9579" spans="25:25" x14ac:dyDescent="0.2">
      <c r="Y9579" s="97"/>
    </row>
    <row r="9580" spans="25:25" x14ac:dyDescent="0.2">
      <c r="Y9580" s="97"/>
    </row>
    <row r="9581" spans="25:25" x14ac:dyDescent="0.2">
      <c r="Y9581" s="97"/>
    </row>
    <row r="9582" spans="25:25" x14ac:dyDescent="0.2">
      <c r="Y9582" s="97"/>
    </row>
    <row r="9583" spans="25:25" x14ac:dyDescent="0.2">
      <c r="Y9583" s="97"/>
    </row>
    <row r="9584" spans="25:25" x14ac:dyDescent="0.2">
      <c r="Y9584" s="97"/>
    </row>
    <row r="9585" spans="25:25" x14ac:dyDescent="0.2">
      <c r="Y9585" s="97"/>
    </row>
    <row r="9586" spans="25:25" x14ac:dyDescent="0.2">
      <c r="Y9586" s="97"/>
    </row>
    <row r="9587" spans="25:25" x14ac:dyDescent="0.2">
      <c r="Y9587" s="97"/>
    </row>
    <row r="9588" spans="25:25" x14ac:dyDescent="0.2">
      <c r="Y9588" s="97"/>
    </row>
    <row r="9589" spans="25:25" x14ac:dyDescent="0.2">
      <c r="Y9589" s="97"/>
    </row>
    <row r="9590" spans="25:25" x14ac:dyDescent="0.2">
      <c r="Y9590" s="97"/>
    </row>
    <row r="9591" spans="25:25" x14ac:dyDescent="0.2">
      <c r="Y9591" s="97"/>
    </row>
    <row r="9592" spans="25:25" x14ac:dyDescent="0.2">
      <c r="Y9592" s="97"/>
    </row>
    <row r="9593" spans="25:25" x14ac:dyDescent="0.2">
      <c r="Y9593" s="97"/>
    </row>
    <row r="9594" spans="25:25" x14ac:dyDescent="0.2">
      <c r="Y9594" s="97"/>
    </row>
    <row r="9595" spans="25:25" x14ac:dyDescent="0.2">
      <c r="Y9595" s="97"/>
    </row>
    <row r="9596" spans="25:25" x14ac:dyDescent="0.2">
      <c r="Y9596" s="97"/>
    </row>
    <row r="9597" spans="25:25" x14ac:dyDescent="0.2">
      <c r="Y9597" s="97"/>
    </row>
    <row r="9598" spans="25:25" x14ac:dyDescent="0.2">
      <c r="Y9598" s="97"/>
    </row>
    <row r="9599" spans="25:25" x14ac:dyDescent="0.2">
      <c r="Y9599" s="97"/>
    </row>
    <row r="9600" spans="25:25" x14ac:dyDescent="0.2">
      <c r="Y9600" s="97"/>
    </row>
    <row r="9601" spans="25:25" x14ac:dyDescent="0.2">
      <c r="Y9601" s="97"/>
    </row>
    <row r="9602" spans="25:25" x14ac:dyDescent="0.2">
      <c r="Y9602" s="97"/>
    </row>
    <row r="9603" spans="25:25" x14ac:dyDescent="0.2">
      <c r="Y9603" s="97"/>
    </row>
    <row r="9604" spans="25:25" x14ac:dyDescent="0.2">
      <c r="Y9604" s="97"/>
    </row>
    <row r="9605" spans="25:25" x14ac:dyDescent="0.2">
      <c r="Y9605" s="97"/>
    </row>
    <row r="9606" spans="25:25" x14ac:dyDescent="0.2">
      <c r="Y9606" s="97"/>
    </row>
    <row r="9607" spans="25:25" x14ac:dyDescent="0.2">
      <c r="Y9607" s="97"/>
    </row>
    <row r="9608" spans="25:25" x14ac:dyDescent="0.2">
      <c r="Y9608" s="97"/>
    </row>
    <row r="9609" spans="25:25" x14ac:dyDescent="0.2">
      <c r="Y9609" s="97"/>
    </row>
    <row r="9610" spans="25:25" x14ac:dyDescent="0.2">
      <c r="Y9610" s="97"/>
    </row>
    <row r="9611" spans="25:25" x14ac:dyDescent="0.2">
      <c r="Y9611" s="97"/>
    </row>
    <row r="9612" spans="25:25" x14ac:dyDescent="0.2">
      <c r="Y9612" s="97"/>
    </row>
    <row r="9613" spans="25:25" x14ac:dyDescent="0.2">
      <c r="Y9613" s="97"/>
    </row>
    <row r="9614" spans="25:25" x14ac:dyDescent="0.2">
      <c r="Y9614" s="97"/>
    </row>
    <row r="9615" spans="25:25" x14ac:dyDescent="0.2">
      <c r="Y9615" s="97"/>
    </row>
    <row r="9616" spans="25:25" x14ac:dyDescent="0.2">
      <c r="Y9616" s="97"/>
    </row>
    <row r="9617" spans="25:25" x14ac:dyDescent="0.2">
      <c r="Y9617" s="97"/>
    </row>
    <row r="9618" spans="25:25" x14ac:dyDescent="0.2">
      <c r="Y9618" s="97"/>
    </row>
    <row r="9619" spans="25:25" x14ac:dyDescent="0.2">
      <c r="Y9619" s="97"/>
    </row>
    <row r="9620" spans="25:25" x14ac:dyDescent="0.2">
      <c r="Y9620" s="97"/>
    </row>
    <row r="9621" spans="25:25" x14ac:dyDescent="0.2">
      <c r="Y9621" s="97"/>
    </row>
    <row r="9622" spans="25:25" x14ac:dyDescent="0.2">
      <c r="Y9622" s="97"/>
    </row>
    <row r="9623" spans="25:25" x14ac:dyDescent="0.2">
      <c r="Y9623" s="97"/>
    </row>
    <row r="9624" spans="25:25" x14ac:dyDescent="0.2">
      <c r="Y9624" s="97"/>
    </row>
    <row r="9625" spans="25:25" x14ac:dyDescent="0.2">
      <c r="Y9625" s="97"/>
    </row>
    <row r="9626" spans="25:25" x14ac:dyDescent="0.2">
      <c r="Y9626" s="97"/>
    </row>
    <row r="9627" spans="25:25" x14ac:dyDescent="0.2">
      <c r="Y9627" s="97"/>
    </row>
    <row r="9628" spans="25:25" x14ac:dyDescent="0.2">
      <c r="Y9628" s="97"/>
    </row>
    <row r="9629" spans="25:25" x14ac:dyDescent="0.2">
      <c r="Y9629" s="97"/>
    </row>
    <row r="9630" spans="25:25" x14ac:dyDescent="0.2">
      <c r="Y9630" s="97"/>
    </row>
    <row r="9631" spans="25:25" x14ac:dyDescent="0.2">
      <c r="Y9631" s="97"/>
    </row>
    <row r="9632" spans="25:25" x14ac:dyDescent="0.2">
      <c r="Y9632" s="97"/>
    </row>
    <row r="9633" spans="25:25" x14ac:dyDescent="0.2">
      <c r="Y9633" s="97"/>
    </row>
    <row r="9634" spans="25:25" x14ac:dyDescent="0.2">
      <c r="Y9634" s="97"/>
    </row>
    <row r="9635" spans="25:25" x14ac:dyDescent="0.2">
      <c r="Y9635" s="97"/>
    </row>
    <row r="9636" spans="25:25" x14ac:dyDescent="0.2">
      <c r="Y9636" s="97"/>
    </row>
    <row r="9637" spans="25:25" x14ac:dyDescent="0.2">
      <c r="Y9637" s="97"/>
    </row>
    <row r="9638" spans="25:25" x14ac:dyDescent="0.2">
      <c r="Y9638" s="97"/>
    </row>
    <row r="9639" spans="25:25" x14ac:dyDescent="0.2">
      <c r="Y9639" s="97"/>
    </row>
    <row r="9640" spans="25:25" x14ac:dyDescent="0.2">
      <c r="Y9640" s="97"/>
    </row>
    <row r="9641" spans="25:25" x14ac:dyDescent="0.2">
      <c r="Y9641" s="97"/>
    </row>
    <row r="9642" spans="25:25" x14ac:dyDescent="0.2">
      <c r="Y9642" s="97"/>
    </row>
    <row r="9643" spans="25:25" x14ac:dyDescent="0.2">
      <c r="Y9643" s="97"/>
    </row>
    <row r="9644" spans="25:25" x14ac:dyDescent="0.2">
      <c r="Y9644" s="97"/>
    </row>
    <row r="9645" spans="25:25" x14ac:dyDescent="0.2">
      <c r="Y9645" s="97"/>
    </row>
    <row r="9646" spans="25:25" x14ac:dyDescent="0.2">
      <c r="Y9646" s="97"/>
    </row>
    <row r="9647" spans="25:25" x14ac:dyDescent="0.2">
      <c r="Y9647" s="97"/>
    </row>
    <row r="9648" spans="25:25" x14ac:dyDescent="0.2">
      <c r="Y9648" s="97"/>
    </row>
    <row r="9649" spans="25:25" x14ac:dyDescent="0.2">
      <c r="Y9649" s="97"/>
    </row>
    <row r="9650" spans="25:25" x14ac:dyDescent="0.2">
      <c r="Y9650" s="97"/>
    </row>
    <row r="9651" spans="25:25" x14ac:dyDescent="0.2">
      <c r="Y9651" s="97"/>
    </row>
    <row r="9652" spans="25:25" x14ac:dyDescent="0.2">
      <c r="Y9652" s="97"/>
    </row>
    <row r="9653" spans="25:25" x14ac:dyDescent="0.2">
      <c r="Y9653" s="97"/>
    </row>
    <row r="9654" spans="25:25" x14ac:dyDescent="0.2">
      <c r="Y9654" s="97"/>
    </row>
    <row r="9655" spans="25:25" x14ac:dyDescent="0.2">
      <c r="Y9655" s="97"/>
    </row>
    <row r="9656" spans="25:25" x14ac:dyDescent="0.2">
      <c r="Y9656" s="97"/>
    </row>
    <row r="9657" spans="25:25" x14ac:dyDescent="0.2">
      <c r="Y9657" s="97"/>
    </row>
    <row r="9658" spans="25:25" x14ac:dyDescent="0.2">
      <c r="Y9658" s="97"/>
    </row>
    <row r="9659" spans="25:25" x14ac:dyDescent="0.2">
      <c r="Y9659" s="97"/>
    </row>
    <row r="9660" spans="25:25" x14ac:dyDescent="0.2">
      <c r="Y9660" s="97"/>
    </row>
    <row r="9661" spans="25:25" x14ac:dyDescent="0.2">
      <c r="Y9661" s="97"/>
    </row>
    <row r="9662" spans="25:25" x14ac:dyDescent="0.2">
      <c r="Y9662" s="97"/>
    </row>
    <row r="9663" spans="25:25" x14ac:dyDescent="0.2">
      <c r="Y9663" s="97"/>
    </row>
    <row r="9664" spans="25:25" x14ac:dyDescent="0.2">
      <c r="Y9664" s="97"/>
    </row>
    <row r="9665" spans="25:25" x14ac:dyDescent="0.2">
      <c r="Y9665" s="97"/>
    </row>
    <row r="9666" spans="25:25" x14ac:dyDescent="0.2">
      <c r="Y9666" s="97"/>
    </row>
    <row r="9667" spans="25:25" x14ac:dyDescent="0.2">
      <c r="Y9667" s="97"/>
    </row>
    <row r="9668" spans="25:25" x14ac:dyDescent="0.2">
      <c r="Y9668" s="97"/>
    </row>
    <row r="9669" spans="25:25" x14ac:dyDescent="0.2">
      <c r="Y9669" s="97"/>
    </row>
    <row r="9670" spans="25:25" x14ac:dyDescent="0.2">
      <c r="Y9670" s="97"/>
    </row>
    <row r="9671" spans="25:25" x14ac:dyDescent="0.2">
      <c r="Y9671" s="97"/>
    </row>
    <row r="9672" spans="25:25" x14ac:dyDescent="0.2">
      <c r="Y9672" s="97"/>
    </row>
    <row r="9673" spans="25:25" x14ac:dyDescent="0.2">
      <c r="Y9673" s="97"/>
    </row>
    <row r="9674" spans="25:25" x14ac:dyDescent="0.2">
      <c r="Y9674" s="97"/>
    </row>
    <row r="9675" spans="25:25" x14ac:dyDescent="0.2">
      <c r="Y9675" s="97"/>
    </row>
    <row r="9676" spans="25:25" x14ac:dyDescent="0.2">
      <c r="Y9676" s="97"/>
    </row>
    <row r="9677" spans="25:25" x14ac:dyDescent="0.2">
      <c r="Y9677" s="97"/>
    </row>
    <row r="9678" spans="25:25" x14ac:dyDescent="0.2">
      <c r="Y9678" s="97"/>
    </row>
    <row r="9679" spans="25:25" x14ac:dyDescent="0.2">
      <c r="Y9679" s="97"/>
    </row>
    <row r="9680" spans="25:25" x14ac:dyDescent="0.2">
      <c r="Y9680" s="97"/>
    </row>
    <row r="9681" spans="25:25" x14ac:dyDescent="0.2">
      <c r="Y9681" s="97"/>
    </row>
    <row r="9682" spans="25:25" x14ac:dyDescent="0.2">
      <c r="Y9682" s="97"/>
    </row>
    <row r="9683" spans="25:25" x14ac:dyDescent="0.2">
      <c r="Y9683" s="97"/>
    </row>
    <row r="9684" spans="25:25" x14ac:dyDescent="0.2">
      <c r="Y9684" s="97"/>
    </row>
    <row r="9685" spans="25:25" x14ac:dyDescent="0.2">
      <c r="Y9685" s="97"/>
    </row>
    <row r="9686" spans="25:25" x14ac:dyDescent="0.2">
      <c r="Y9686" s="97"/>
    </row>
    <row r="9687" spans="25:25" x14ac:dyDescent="0.2">
      <c r="Y9687" s="97"/>
    </row>
    <row r="9688" spans="25:25" x14ac:dyDescent="0.2">
      <c r="Y9688" s="97"/>
    </row>
    <row r="9689" spans="25:25" x14ac:dyDescent="0.2">
      <c r="Y9689" s="97"/>
    </row>
    <row r="9690" spans="25:25" x14ac:dyDescent="0.2">
      <c r="Y9690" s="97"/>
    </row>
    <row r="9691" spans="25:25" x14ac:dyDescent="0.2">
      <c r="Y9691" s="97"/>
    </row>
    <row r="9692" spans="25:25" x14ac:dyDescent="0.2">
      <c r="Y9692" s="97"/>
    </row>
    <row r="9693" spans="25:25" x14ac:dyDescent="0.2">
      <c r="Y9693" s="97"/>
    </row>
    <row r="9694" spans="25:25" x14ac:dyDescent="0.2">
      <c r="Y9694" s="97"/>
    </row>
    <row r="9695" spans="25:25" x14ac:dyDescent="0.2">
      <c r="Y9695" s="97"/>
    </row>
    <row r="9696" spans="25:25" x14ac:dyDescent="0.2">
      <c r="Y9696" s="97"/>
    </row>
    <row r="9697" spans="25:25" x14ac:dyDescent="0.2">
      <c r="Y9697" s="97"/>
    </row>
    <row r="9698" spans="25:25" x14ac:dyDescent="0.2">
      <c r="Y9698" s="97"/>
    </row>
    <row r="9699" spans="25:25" x14ac:dyDescent="0.2">
      <c r="Y9699" s="97"/>
    </row>
    <row r="9700" spans="25:25" x14ac:dyDescent="0.2">
      <c r="Y9700" s="97"/>
    </row>
    <row r="9701" spans="25:25" x14ac:dyDescent="0.2">
      <c r="Y9701" s="97"/>
    </row>
    <row r="9702" spans="25:25" x14ac:dyDescent="0.2">
      <c r="Y9702" s="97"/>
    </row>
    <row r="9703" spans="25:25" x14ac:dyDescent="0.2">
      <c r="Y9703" s="97"/>
    </row>
    <row r="9704" spans="25:25" x14ac:dyDescent="0.2">
      <c r="Y9704" s="97"/>
    </row>
    <row r="9705" spans="25:25" x14ac:dyDescent="0.2">
      <c r="Y9705" s="97"/>
    </row>
    <row r="9706" spans="25:25" x14ac:dyDescent="0.2">
      <c r="Y9706" s="97"/>
    </row>
    <row r="9707" spans="25:25" x14ac:dyDescent="0.2">
      <c r="Y9707" s="97"/>
    </row>
    <row r="9708" spans="25:25" x14ac:dyDescent="0.2">
      <c r="Y9708" s="97"/>
    </row>
    <row r="9709" spans="25:25" x14ac:dyDescent="0.2">
      <c r="Y9709" s="97"/>
    </row>
    <row r="9710" spans="25:25" x14ac:dyDescent="0.2">
      <c r="Y9710" s="97"/>
    </row>
    <row r="9711" spans="25:25" x14ac:dyDescent="0.2">
      <c r="Y9711" s="97"/>
    </row>
    <row r="9712" spans="25:25" x14ac:dyDescent="0.2">
      <c r="Y9712" s="97"/>
    </row>
    <row r="9713" spans="25:25" x14ac:dyDescent="0.2">
      <c r="Y9713" s="97"/>
    </row>
    <row r="9714" spans="25:25" x14ac:dyDescent="0.2">
      <c r="Y9714" s="97"/>
    </row>
    <row r="9715" spans="25:25" x14ac:dyDescent="0.2">
      <c r="Y9715" s="97"/>
    </row>
    <row r="9716" spans="25:25" x14ac:dyDescent="0.2">
      <c r="Y9716" s="97"/>
    </row>
    <row r="9717" spans="25:25" x14ac:dyDescent="0.2">
      <c r="Y9717" s="97"/>
    </row>
    <row r="9718" spans="25:25" x14ac:dyDescent="0.2">
      <c r="Y9718" s="97"/>
    </row>
    <row r="9719" spans="25:25" x14ac:dyDescent="0.2">
      <c r="Y9719" s="97"/>
    </row>
    <row r="9720" spans="25:25" x14ac:dyDescent="0.2">
      <c r="Y9720" s="97"/>
    </row>
    <row r="9721" spans="25:25" x14ac:dyDescent="0.2">
      <c r="Y9721" s="97"/>
    </row>
    <row r="9722" spans="25:25" x14ac:dyDescent="0.2">
      <c r="Y9722" s="97"/>
    </row>
    <row r="9723" spans="25:25" x14ac:dyDescent="0.2">
      <c r="Y9723" s="97"/>
    </row>
    <row r="9724" spans="25:25" x14ac:dyDescent="0.2">
      <c r="Y9724" s="97"/>
    </row>
    <row r="9725" spans="25:25" x14ac:dyDescent="0.2">
      <c r="Y9725" s="97"/>
    </row>
    <row r="9726" spans="25:25" x14ac:dyDescent="0.2">
      <c r="Y9726" s="97"/>
    </row>
    <row r="9727" spans="25:25" x14ac:dyDescent="0.2">
      <c r="Y9727" s="97"/>
    </row>
    <row r="9728" spans="25:25" x14ac:dyDescent="0.2">
      <c r="Y9728" s="97"/>
    </row>
    <row r="9729" spans="25:25" x14ac:dyDescent="0.2">
      <c r="Y9729" s="97"/>
    </row>
    <row r="9730" spans="25:25" x14ac:dyDescent="0.2">
      <c r="Y9730" s="97"/>
    </row>
    <row r="9731" spans="25:25" x14ac:dyDescent="0.2">
      <c r="Y9731" s="97"/>
    </row>
    <row r="9732" spans="25:25" x14ac:dyDescent="0.2">
      <c r="Y9732" s="97"/>
    </row>
    <row r="9733" spans="25:25" x14ac:dyDescent="0.2">
      <c r="Y9733" s="97"/>
    </row>
    <row r="9734" spans="25:25" x14ac:dyDescent="0.2">
      <c r="Y9734" s="97"/>
    </row>
    <row r="9735" spans="25:25" x14ac:dyDescent="0.2">
      <c r="Y9735" s="97"/>
    </row>
    <row r="9736" spans="25:25" x14ac:dyDescent="0.2">
      <c r="Y9736" s="97"/>
    </row>
    <row r="9737" spans="25:25" x14ac:dyDescent="0.2">
      <c r="Y9737" s="97"/>
    </row>
    <row r="9738" spans="25:25" x14ac:dyDescent="0.2">
      <c r="Y9738" s="97"/>
    </row>
    <row r="9739" spans="25:25" x14ac:dyDescent="0.2">
      <c r="Y9739" s="97"/>
    </row>
    <row r="9740" spans="25:25" x14ac:dyDescent="0.2">
      <c r="Y9740" s="97"/>
    </row>
    <row r="9741" spans="25:25" x14ac:dyDescent="0.2">
      <c r="Y9741" s="97"/>
    </row>
    <row r="9742" spans="25:25" x14ac:dyDescent="0.2">
      <c r="Y9742" s="97"/>
    </row>
    <row r="9743" spans="25:25" x14ac:dyDescent="0.2">
      <c r="Y9743" s="97"/>
    </row>
    <row r="9744" spans="25:25" x14ac:dyDescent="0.2">
      <c r="Y9744" s="97"/>
    </row>
    <row r="9745" spans="25:25" x14ac:dyDescent="0.2">
      <c r="Y9745" s="97"/>
    </row>
    <row r="9746" spans="25:25" x14ac:dyDescent="0.2">
      <c r="Y9746" s="97"/>
    </row>
    <row r="9747" spans="25:25" x14ac:dyDescent="0.2">
      <c r="Y9747" s="97"/>
    </row>
    <row r="9748" spans="25:25" x14ac:dyDescent="0.2">
      <c r="Y9748" s="97"/>
    </row>
    <row r="9749" spans="25:25" x14ac:dyDescent="0.2">
      <c r="Y9749" s="97"/>
    </row>
    <row r="9750" spans="25:25" x14ac:dyDescent="0.2">
      <c r="Y9750" s="97"/>
    </row>
    <row r="9751" spans="25:25" x14ac:dyDescent="0.2">
      <c r="Y9751" s="97"/>
    </row>
    <row r="9752" spans="25:25" x14ac:dyDescent="0.2">
      <c r="Y9752" s="97"/>
    </row>
    <row r="9753" spans="25:25" x14ac:dyDescent="0.2">
      <c r="Y9753" s="97"/>
    </row>
    <row r="9754" spans="25:25" x14ac:dyDescent="0.2">
      <c r="Y9754" s="97"/>
    </row>
    <row r="9755" spans="25:25" x14ac:dyDescent="0.2">
      <c r="Y9755" s="97"/>
    </row>
    <row r="9756" spans="25:25" x14ac:dyDescent="0.2">
      <c r="Y9756" s="97"/>
    </row>
    <row r="9757" spans="25:25" x14ac:dyDescent="0.2">
      <c r="Y9757" s="97"/>
    </row>
    <row r="9758" spans="25:25" x14ac:dyDescent="0.2">
      <c r="Y9758" s="97"/>
    </row>
    <row r="9759" spans="25:25" x14ac:dyDescent="0.2">
      <c r="Y9759" s="97"/>
    </row>
    <row r="9760" spans="25:25" x14ac:dyDescent="0.2">
      <c r="Y9760" s="97"/>
    </row>
    <row r="9761" spans="25:25" x14ac:dyDescent="0.2">
      <c r="Y9761" s="97"/>
    </row>
    <row r="9762" spans="25:25" x14ac:dyDescent="0.2">
      <c r="Y9762" s="97"/>
    </row>
    <row r="9763" spans="25:25" x14ac:dyDescent="0.2">
      <c r="Y9763" s="97"/>
    </row>
    <row r="9764" spans="25:25" x14ac:dyDescent="0.2">
      <c r="Y9764" s="97"/>
    </row>
    <row r="9765" spans="25:25" x14ac:dyDescent="0.2">
      <c r="Y9765" s="97"/>
    </row>
    <row r="9766" spans="25:25" x14ac:dyDescent="0.2">
      <c r="Y9766" s="97"/>
    </row>
    <row r="9767" spans="25:25" x14ac:dyDescent="0.2">
      <c r="Y9767" s="97"/>
    </row>
    <row r="9768" spans="25:25" x14ac:dyDescent="0.2">
      <c r="Y9768" s="97"/>
    </row>
    <row r="9769" spans="25:25" x14ac:dyDescent="0.2">
      <c r="Y9769" s="97"/>
    </row>
    <row r="9770" spans="25:25" x14ac:dyDescent="0.2">
      <c r="Y9770" s="97"/>
    </row>
    <row r="9771" spans="25:25" x14ac:dyDescent="0.2">
      <c r="Y9771" s="97"/>
    </row>
    <row r="9772" spans="25:25" x14ac:dyDescent="0.2">
      <c r="Y9772" s="97"/>
    </row>
    <row r="9773" spans="25:25" x14ac:dyDescent="0.2">
      <c r="Y9773" s="97"/>
    </row>
    <row r="9774" spans="25:25" x14ac:dyDescent="0.2">
      <c r="Y9774" s="97"/>
    </row>
    <row r="9775" spans="25:25" x14ac:dyDescent="0.2">
      <c r="Y9775" s="97"/>
    </row>
    <row r="9776" spans="25:25" x14ac:dyDescent="0.2">
      <c r="Y9776" s="97"/>
    </row>
    <row r="9777" spans="25:25" x14ac:dyDescent="0.2">
      <c r="Y9777" s="97"/>
    </row>
    <row r="9778" spans="25:25" x14ac:dyDescent="0.2">
      <c r="Y9778" s="97"/>
    </row>
    <row r="9779" spans="25:25" x14ac:dyDescent="0.2">
      <c r="Y9779" s="97"/>
    </row>
    <row r="9780" spans="25:25" x14ac:dyDescent="0.2">
      <c r="Y9780" s="97"/>
    </row>
    <row r="9781" spans="25:25" x14ac:dyDescent="0.2">
      <c r="Y9781" s="97"/>
    </row>
    <row r="9782" spans="25:25" x14ac:dyDescent="0.2">
      <c r="Y9782" s="97"/>
    </row>
    <row r="9783" spans="25:25" x14ac:dyDescent="0.2">
      <c r="Y9783" s="97"/>
    </row>
    <row r="9784" spans="25:25" x14ac:dyDescent="0.2">
      <c r="Y9784" s="97"/>
    </row>
    <row r="9785" spans="25:25" x14ac:dyDescent="0.2">
      <c r="Y9785" s="97"/>
    </row>
    <row r="9786" spans="25:25" x14ac:dyDescent="0.2">
      <c r="Y9786" s="97"/>
    </row>
    <row r="9787" spans="25:25" x14ac:dyDescent="0.2">
      <c r="Y9787" s="97"/>
    </row>
    <row r="9788" spans="25:25" x14ac:dyDescent="0.2">
      <c r="Y9788" s="97"/>
    </row>
    <row r="9789" spans="25:25" x14ac:dyDescent="0.2">
      <c r="Y9789" s="97"/>
    </row>
    <row r="9790" spans="25:25" x14ac:dyDescent="0.2">
      <c r="Y9790" s="97"/>
    </row>
    <row r="9791" spans="25:25" x14ac:dyDescent="0.2">
      <c r="Y9791" s="97"/>
    </row>
    <row r="9792" spans="25:25" x14ac:dyDescent="0.2">
      <c r="Y9792" s="97"/>
    </row>
    <row r="9793" spans="25:25" x14ac:dyDescent="0.2">
      <c r="Y9793" s="97"/>
    </row>
    <row r="9794" spans="25:25" x14ac:dyDescent="0.2">
      <c r="Y9794" s="97"/>
    </row>
    <row r="9795" spans="25:25" x14ac:dyDescent="0.2">
      <c r="Y9795" s="97"/>
    </row>
    <row r="9796" spans="25:25" x14ac:dyDescent="0.2">
      <c r="Y9796" s="97"/>
    </row>
    <row r="9797" spans="25:25" x14ac:dyDescent="0.2">
      <c r="Y9797" s="97"/>
    </row>
    <row r="9798" spans="25:25" x14ac:dyDescent="0.2">
      <c r="Y9798" s="97"/>
    </row>
    <row r="9799" spans="25:25" x14ac:dyDescent="0.2">
      <c r="Y9799" s="97"/>
    </row>
    <row r="9800" spans="25:25" x14ac:dyDescent="0.2">
      <c r="Y9800" s="97"/>
    </row>
    <row r="9801" spans="25:25" x14ac:dyDescent="0.2">
      <c r="Y9801" s="97"/>
    </row>
    <row r="9802" spans="25:25" x14ac:dyDescent="0.2">
      <c r="Y9802" s="97"/>
    </row>
    <row r="9803" spans="25:25" x14ac:dyDescent="0.2">
      <c r="Y9803" s="97"/>
    </row>
    <row r="9804" spans="25:25" x14ac:dyDescent="0.2">
      <c r="Y9804" s="97"/>
    </row>
    <row r="9805" spans="25:25" x14ac:dyDescent="0.2">
      <c r="Y9805" s="97"/>
    </row>
    <row r="9806" spans="25:25" x14ac:dyDescent="0.2">
      <c r="Y9806" s="97"/>
    </row>
    <row r="9807" spans="25:25" x14ac:dyDescent="0.2">
      <c r="Y9807" s="97"/>
    </row>
    <row r="9808" spans="25:25" x14ac:dyDescent="0.2">
      <c r="Y9808" s="97"/>
    </row>
    <row r="9809" spans="25:25" x14ac:dyDescent="0.2">
      <c r="Y9809" s="97"/>
    </row>
    <row r="9810" spans="25:25" x14ac:dyDescent="0.2">
      <c r="Y9810" s="97"/>
    </row>
    <row r="9811" spans="25:25" x14ac:dyDescent="0.2">
      <c r="Y9811" s="97"/>
    </row>
    <row r="9812" spans="25:25" x14ac:dyDescent="0.2">
      <c r="Y9812" s="97"/>
    </row>
    <row r="9813" spans="25:25" x14ac:dyDescent="0.2">
      <c r="Y9813" s="97"/>
    </row>
    <row r="9814" spans="25:25" x14ac:dyDescent="0.2">
      <c r="Y9814" s="97"/>
    </row>
    <row r="9815" spans="25:25" x14ac:dyDescent="0.2">
      <c r="Y9815" s="97"/>
    </row>
    <row r="9816" spans="25:25" x14ac:dyDescent="0.2">
      <c r="Y9816" s="97"/>
    </row>
    <row r="9817" spans="25:25" x14ac:dyDescent="0.2">
      <c r="Y9817" s="97"/>
    </row>
    <row r="9818" spans="25:25" x14ac:dyDescent="0.2">
      <c r="Y9818" s="97"/>
    </row>
    <row r="9819" spans="25:25" x14ac:dyDescent="0.2">
      <c r="Y9819" s="97"/>
    </row>
    <row r="9820" spans="25:25" x14ac:dyDescent="0.2">
      <c r="Y9820" s="97"/>
    </row>
    <row r="9821" spans="25:25" x14ac:dyDescent="0.2">
      <c r="Y9821" s="97"/>
    </row>
    <row r="9822" spans="25:25" x14ac:dyDescent="0.2">
      <c r="Y9822" s="97"/>
    </row>
    <row r="9823" spans="25:25" x14ac:dyDescent="0.2">
      <c r="Y9823" s="97"/>
    </row>
    <row r="9824" spans="25:25" x14ac:dyDescent="0.2">
      <c r="Y9824" s="97"/>
    </row>
    <row r="9825" spans="25:25" x14ac:dyDescent="0.2">
      <c r="Y9825" s="97"/>
    </row>
    <row r="9826" spans="25:25" x14ac:dyDescent="0.2">
      <c r="Y9826" s="97"/>
    </row>
    <row r="9827" spans="25:25" x14ac:dyDescent="0.2">
      <c r="Y9827" s="97"/>
    </row>
    <row r="9828" spans="25:25" x14ac:dyDescent="0.2">
      <c r="Y9828" s="97"/>
    </row>
    <row r="9829" spans="25:25" x14ac:dyDescent="0.2">
      <c r="Y9829" s="97"/>
    </row>
    <row r="9830" spans="25:25" x14ac:dyDescent="0.2">
      <c r="Y9830" s="97"/>
    </row>
    <row r="9831" spans="25:25" x14ac:dyDescent="0.2">
      <c r="Y9831" s="97"/>
    </row>
    <row r="9832" spans="25:25" x14ac:dyDescent="0.2">
      <c r="Y9832" s="97"/>
    </row>
    <row r="9833" spans="25:25" x14ac:dyDescent="0.2">
      <c r="Y9833" s="97"/>
    </row>
    <row r="9834" spans="25:25" x14ac:dyDescent="0.2">
      <c r="Y9834" s="97"/>
    </row>
    <row r="9835" spans="25:25" x14ac:dyDescent="0.2">
      <c r="Y9835" s="97"/>
    </row>
    <row r="9836" spans="25:25" x14ac:dyDescent="0.2">
      <c r="Y9836" s="97"/>
    </row>
    <row r="9837" spans="25:25" x14ac:dyDescent="0.2">
      <c r="Y9837" s="97"/>
    </row>
    <row r="9838" spans="25:25" x14ac:dyDescent="0.2">
      <c r="Y9838" s="97"/>
    </row>
    <row r="9839" spans="25:25" x14ac:dyDescent="0.2">
      <c r="Y9839" s="97"/>
    </row>
    <row r="9840" spans="25:25" x14ac:dyDescent="0.2">
      <c r="Y9840" s="97"/>
    </row>
    <row r="9841" spans="25:25" x14ac:dyDescent="0.2">
      <c r="Y9841" s="97"/>
    </row>
    <row r="9842" spans="25:25" x14ac:dyDescent="0.2">
      <c r="Y9842" s="97"/>
    </row>
    <row r="9843" spans="25:25" x14ac:dyDescent="0.2">
      <c r="Y9843" s="97"/>
    </row>
    <row r="9844" spans="25:25" x14ac:dyDescent="0.2">
      <c r="Y9844" s="97"/>
    </row>
    <row r="9845" spans="25:25" x14ac:dyDescent="0.2">
      <c r="Y9845" s="97"/>
    </row>
    <row r="9846" spans="25:25" x14ac:dyDescent="0.2">
      <c r="Y9846" s="97"/>
    </row>
    <row r="9847" spans="25:25" x14ac:dyDescent="0.2">
      <c r="Y9847" s="97"/>
    </row>
    <row r="9848" spans="25:25" x14ac:dyDescent="0.2">
      <c r="Y9848" s="97"/>
    </row>
    <row r="9849" spans="25:25" x14ac:dyDescent="0.2">
      <c r="Y9849" s="97"/>
    </row>
    <row r="9850" spans="25:25" x14ac:dyDescent="0.2">
      <c r="Y9850" s="97"/>
    </row>
    <row r="9851" spans="25:25" x14ac:dyDescent="0.2">
      <c r="Y9851" s="97"/>
    </row>
    <row r="9852" spans="25:25" x14ac:dyDescent="0.2">
      <c r="Y9852" s="97"/>
    </row>
    <row r="9853" spans="25:25" x14ac:dyDescent="0.2">
      <c r="Y9853" s="97"/>
    </row>
    <row r="9854" spans="25:25" x14ac:dyDescent="0.2">
      <c r="Y9854" s="97"/>
    </row>
    <row r="9855" spans="25:25" x14ac:dyDescent="0.2">
      <c r="Y9855" s="97"/>
    </row>
    <row r="9856" spans="25:25" x14ac:dyDescent="0.2">
      <c r="Y9856" s="97"/>
    </row>
    <row r="9857" spans="25:25" x14ac:dyDescent="0.2">
      <c r="Y9857" s="97"/>
    </row>
    <row r="9858" spans="25:25" x14ac:dyDescent="0.2">
      <c r="Y9858" s="97"/>
    </row>
    <row r="9859" spans="25:25" x14ac:dyDescent="0.2">
      <c r="Y9859" s="97"/>
    </row>
    <row r="9860" spans="25:25" x14ac:dyDescent="0.2">
      <c r="Y9860" s="97"/>
    </row>
    <row r="9861" spans="25:25" x14ac:dyDescent="0.2">
      <c r="Y9861" s="97"/>
    </row>
    <row r="9862" spans="25:25" x14ac:dyDescent="0.2">
      <c r="Y9862" s="97"/>
    </row>
    <row r="9863" spans="25:25" x14ac:dyDescent="0.2">
      <c r="Y9863" s="97"/>
    </row>
    <row r="9864" spans="25:25" x14ac:dyDescent="0.2">
      <c r="Y9864" s="97"/>
    </row>
    <row r="9865" spans="25:25" x14ac:dyDescent="0.2">
      <c r="Y9865" s="97"/>
    </row>
    <row r="9866" spans="25:25" x14ac:dyDescent="0.2">
      <c r="Y9866" s="97"/>
    </row>
    <row r="9867" spans="25:25" x14ac:dyDescent="0.2">
      <c r="Y9867" s="97"/>
    </row>
    <row r="9868" spans="25:25" x14ac:dyDescent="0.2">
      <c r="Y9868" s="97"/>
    </row>
    <row r="9869" spans="25:25" x14ac:dyDescent="0.2">
      <c r="Y9869" s="97"/>
    </row>
    <row r="9870" spans="25:25" x14ac:dyDescent="0.2">
      <c r="Y9870" s="97"/>
    </row>
    <row r="9871" spans="25:25" x14ac:dyDescent="0.2">
      <c r="Y9871" s="97"/>
    </row>
    <row r="9872" spans="25:25" x14ac:dyDescent="0.2">
      <c r="Y9872" s="97"/>
    </row>
    <row r="9873" spans="25:25" x14ac:dyDescent="0.2">
      <c r="Y9873" s="97"/>
    </row>
    <row r="9874" spans="25:25" x14ac:dyDescent="0.2">
      <c r="Y9874" s="97"/>
    </row>
    <row r="9875" spans="25:25" x14ac:dyDescent="0.2">
      <c r="Y9875" s="97"/>
    </row>
    <row r="9876" spans="25:25" x14ac:dyDescent="0.2">
      <c r="Y9876" s="97"/>
    </row>
    <row r="9877" spans="25:25" x14ac:dyDescent="0.2">
      <c r="Y9877" s="97"/>
    </row>
    <row r="9878" spans="25:25" x14ac:dyDescent="0.2">
      <c r="Y9878" s="97"/>
    </row>
    <row r="9879" spans="25:25" x14ac:dyDescent="0.2">
      <c r="Y9879" s="97"/>
    </row>
    <row r="9880" spans="25:25" x14ac:dyDescent="0.2">
      <c r="Y9880" s="97"/>
    </row>
    <row r="9881" spans="25:25" x14ac:dyDescent="0.2">
      <c r="Y9881" s="97"/>
    </row>
    <row r="9882" spans="25:25" x14ac:dyDescent="0.2">
      <c r="Y9882" s="97"/>
    </row>
    <row r="9883" spans="25:25" x14ac:dyDescent="0.2">
      <c r="Y9883" s="97"/>
    </row>
    <row r="9884" spans="25:25" x14ac:dyDescent="0.2">
      <c r="Y9884" s="97"/>
    </row>
    <row r="9885" spans="25:25" x14ac:dyDescent="0.2">
      <c r="Y9885" s="97"/>
    </row>
    <row r="9886" spans="25:25" x14ac:dyDescent="0.2">
      <c r="Y9886" s="97"/>
    </row>
    <row r="9887" spans="25:25" x14ac:dyDescent="0.2">
      <c r="Y9887" s="97"/>
    </row>
    <row r="9888" spans="25:25" x14ac:dyDescent="0.2">
      <c r="Y9888" s="97"/>
    </row>
    <row r="9889" spans="25:25" x14ac:dyDescent="0.2">
      <c r="Y9889" s="97"/>
    </row>
    <row r="9890" spans="25:25" x14ac:dyDescent="0.2">
      <c r="Y9890" s="97"/>
    </row>
    <row r="9891" spans="25:25" x14ac:dyDescent="0.2">
      <c r="Y9891" s="97"/>
    </row>
    <row r="9892" spans="25:25" x14ac:dyDescent="0.2">
      <c r="Y9892" s="97"/>
    </row>
    <row r="9893" spans="25:25" x14ac:dyDescent="0.2">
      <c r="Y9893" s="97"/>
    </row>
    <row r="9894" spans="25:25" x14ac:dyDescent="0.2">
      <c r="Y9894" s="97"/>
    </row>
    <row r="9895" spans="25:25" x14ac:dyDescent="0.2">
      <c r="Y9895" s="97"/>
    </row>
    <row r="9896" spans="25:25" x14ac:dyDescent="0.2">
      <c r="Y9896" s="97"/>
    </row>
    <row r="9897" spans="25:25" x14ac:dyDescent="0.2">
      <c r="Y9897" s="97"/>
    </row>
    <row r="9898" spans="25:25" x14ac:dyDescent="0.2">
      <c r="Y9898" s="97"/>
    </row>
    <row r="9899" spans="25:25" x14ac:dyDescent="0.2">
      <c r="Y9899" s="97"/>
    </row>
    <row r="9900" spans="25:25" x14ac:dyDescent="0.2">
      <c r="Y9900" s="97"/>
    </row>
    <row r="9901" spans="25:25" x14ac:dyDescent="0.2">
      <c r="Y9901" s="97"/>
    </row>
    <row r="9902" spans="25:25" x14ac:dyDescent="0.2">
      <c r="Y9902" s="97"/>
    </row>
    <row r="9903" spans="25:25" x14ac:dyDescent="0.2">
      <c r="Y9903" s="97"/>
    </row>
    <row r="9904" spans="25:25" x14ac:dyDescent="0.2">
      <c r="Y9904" s="97"/>
    </row>
    <row r="9905" spans="25:25" x14ac:dyDescent="0.2">
      <c r="Y9905" s="97"/>
    </row>
    <row r="9906" spans="25:25" x14ac:dyDescent="0.2">
      <c r="Y9906" s="97"/>
    </row>
    <row r="9907" spans="25:25" x14ac:dyDescent="0.2">
      <c r="Y9907" s="97"/>
    </row>
    <row r="9908" spans="25:25" x14ac:dyDescent="0.2">
      <c r="Y9908" s="97"/>
    </row>
    <row r="9909" spans="25:25" x14ac:dyDescent="0.2">
      <c r="Y9909" s="97"/>
    </row>
    <row r="9910" spans="25:25" x14ac:dyDescent="0.2">
      <c r="Y9910" s="97"/>
    </row>
    <row r="9911" spans="25:25" x14ac:dyDescent="0.2">
      <c r="Y9911" s="97"/>
    </row>
    <row r="9912" spans="25:25" x14ac:dyDescent="0.2">
      <c r="Y9912" s="97"/>
    </row>
    <row r="9913" spans="25:25" x14ac:dyDescent="0.2">
      <c r="Y9913" s="97"/>
    </row>
    <row r="9914" spans="25:25" x14ac:dyDescent="0.2">
      <c r="Y9914" s="97"/>
    </row>
    <row r="9915" spans="25:25" x14ac:dyDescent="0.2">
      <c r="Y9915" s="97"/>
    </row>
    <row r="9916" spans="25:25" x14ac:dyDescent="0.2">
      <c r="Y9916" s="97"/>
    </row>
    <row r="9917" spans="25:25" x14ac:dyDescent="0.2">
      <c r="Y9917" s="97"/>
    </row>
    <row r="9918" spans="25:25" x14ac:dyDescent="0.2">
      <c r="Y9918" s="97"/>
    </row>
    <row r="9919" spans="25:25" x14ac:dyDescent="0.2">
      <c r="Y9919" s="97"/>
    </row>
    <row r="9920" spans="25:25" x14ac:dyDescent="0.2">
      <c r="Y9920" s="97"/>
    </row>
    <row r="9921" spans="25:25" x14ac:dyDescent="0.2">
      <c r="Y9921" s="97"/>
    </row>
    <row r="9922" spans="25:25" x14ac:dyDescent="0.2">
      <c r="Y9922" s="97"/>
    </row>
    <row r="9923" spans="25:25" x14ac:dyDescent="0.2">
      <c r="Y9923" s="97"/>
    </row>
    <row r="9924" spans="25:25" x14ac:dyDescent="0.2">
      <c r="Y9924" s="97"/>
    </row>
    <row r="9925" spans="25:25" x14ac:dyDescent="0.2">
      <c r="Y9925" s="97"/>
    </row>
    <row r="9926" spans="25:25" x14ac:dyDescent="0.2">
      <c r="Y9926" s="97"/>
    </row>
    <row r="9927" spans="25:25" x14ac:dyDescent="0.2">
      <c r="Y9927" s="97"/>
    </row>
    <row r="9928" spans="25:25" x14ac:dyDescent="0.2">
      <c r="Y9928" s="97"/>
    </row>
    <row r="9929" spans="25:25" x14ac:dyDescent="0.2">
      <c r="Y9929" s="97"/>
    </row>
    <row r="9930" spans="25:25" x14ac:dyDescent="0.2">
      <c r="Y9930" s="97"/>
    </row>
    <row r="9931" spans="25:25" x14ac:dyDescent="0.2">
      <c r="Y9931" s="97"/>
    </row>
    <row r="9932" spans="25:25" x14ac:dyDescent="0.2">
      <c r="Y9932" s="97"/>
    </row>
    <row r="9933" spans="25:25" x14ac:dyDescent="0.2">
      <c r="Y9933" s="97"/>
    </row>
    <row r="9934" spans="25:25" x14ac:dyDescent="0.2">
      <c r="Y9934" s="97"/>
    </row>
    <row r="9935" spans="25:25" x14ac:dyDescent="0.2">
      <c r="Y9935" s="97"/>
    </row>
    <row r="9936" spans="25:25" x14ac:dyDescent="0.2">
      <c r="Y9936" s="97"/>
    </row>
    <row r="9937" spans="25:25" x14ac:dyDescent="0.2">
      <c r="Y9937" s="97"/>
    </row>
    <row r="9938" spans="25:25" x14ac:dyDescent="0.2">
      <c r="Y9938" s="97"/>
    </row>
    <row r="9939" spans="25:25" x14ac:dyDescent="0.2">
      <c r="Y9939" s="97"/>
    </row>
    <row r="9940" spans="25:25" x14ac:dyDescent="0.2">
      <c r="Y9940" s="97"/>
    </row>
    <row r="9941" spans="25:25" x14ac:dyDescent="0.2">
      <c r="Y9941" s="97"/>
    </row>
    <row r="9942" spans="25:25" x14ac:dyDescent="0.2">
      <c r="Y9942" s="97"/>
    </row>
    <row r="9943" spans="25:25" x14ac:dyDescent="0.2">
      <c r="Y9943" s="97"/>
    </row>
    <row r="9944" spans="25:25" x14ac:dyDescent="0.2">
      <c r="Y9944" s="97"/>
    </row>
    <row r="9945" spans="25:25" x14ac:dyDescent="0.2">
      <c r="Y9945" s="97"/>
    </row>
    <row r="9946" spans="25:25" x14ac:dyDescent="0.2">
      <c r="Y9946" s="97"/>
    </row>
    <row r="9947" spans="25:25" x14ac:dyDescent="0.2">
      <c r="Y9947" s="97"/>
    </row>
    <row r="9948" spans="25:25" x14ac:dyDescent="0.2">
      <c r="Y9948" s="97"/>
    </row>
    <row r="9949" spans="25:25" x14ac:dyDescent="0.2">
      <c r="Y9949" s="97"/>
    </row>
    <row r="9950" spans="25:25" x14ac:dyDescent="0.2">
      <c r="Y9950" s="97"/>
    </row>
    <row r="9951" spans="25:25" x14ac:dyDescent="0.2">
      <c r="Y9951" s="97"/>
    </row>
    <row r="9952" spans="25:25" x14ac:dyDescent="0.2">
      <c r="Y9952" s="97"/>
    </row>
    <row r="9953" spans="25:25" x14ac:dyDescent="0.2">
      <c r="Y9953" s="97"/>
    </row>
    <row r="9954" spans="25:25" x14ac:dyDescent="0.2">
      <c r="Y9954" s="97"/>
    </row>
    <row r="9955" spans="25:25" x14ac:dyDescent="0.2">
      <c r="Y9955" s="97"/>
    </row>
    <row r="9956" spans="25:25" x14ac:dyDescent="0.2">
      <c r="Y9956" s="97"/>
    </row>
    <row r="9957" spans="25:25" x14ac:dyDescent="0.2">
      <c r="Y9957" s="97"/>
    </row>
    <row r="9958" spans="25:25" x14ac:dyDescent="0.2">
      <c r="Y9958" s="97"/>
    </row>
    <row r="9959" spans="25:25" x14ac:dyDescent="0.2">
      <c r="Y9959" s="97"/>
    </row>
    <row r="9960" spans="25:25" x14ac:dyDescent="0.2">
      <c r="Y9960" s="97"/>
    </row>
    <row r="9961" spans="25:25" x14ac:dyDescent="0.2">
      <c r="Y9961" s="97"/>
    </row>
    <row r="9962" spans="25:25" x14ac:dyDescent="0.2">
      <c r="Y9962" s="97"/>
    </row>
    <row r="9963" spans="25:25" x14ac:dyDescent="0.2">
      <c r="Y9963" s="97"/>
    </row>
    <row r="9964" spans="25:25" x14ac:dyDescent="0.2">
      <c r="Y9964" s="97"/>
    </row>
    <row r="9965" spans="25:25" x14ac:dyDescent="0.2">
      <c r="Y9965" s="97"/>
    </row>
    <row r="9966" spans="25:25" x14ac:dyDescent="0.2">
      <c r="Y9966" s="97"/>
    </row>
    <row r="9967" spans="25:25" x14ac:dyDescent="0.2">
      <c r="Y9967" s="97"/>
    </row>
    <row r="9968" spans="25:25" x14ac:dyDescent="0.2">
      <c r="Y9968" s="97"/>
    </row>
    <row r="9969" spans="25:25" x14ac:dyDescent="0.2">
      <c r="Y9969" s="97"/>
    </row>
    <row r="9970" spans="25:25" x14ac:dyDescent="0.2">
      <c r="Y9970" s="97"/>
    </row>
    <row r="9971" spans="25:25" x14ac:dyDescent="0.2">
      <c r="Y9971" s="97"/>
    </row>
    <row r="9972" spans="25:25" x14ac:dyDescent="0.2">
      <c r="Y9972" s="97"/>
    </row>
    <row r="9973" spans="25:25" x14ac:dyDescent="0.2">
      <c r="Y9973" s="97"/>
    </row>
    <row r="9974" spans="25:25" x14ac:dyDescent="0.2">
      <c r="Y9974" s="97"/>
    </row>
    <row r="9975" spans="25:25" x14ac:dyDescent="0.2">
      <c r="Y9975" s="97"/>
    </row>
    <row r="9976" spans="25:25" x14ac:dyDescent="0.2">
      <c r="Y9976" s="97"/>
    </row>
    <row r="9977" spans="25:25" x14ac:dyDescent="0.2">
      <c r="Y9977" s="97"/>
    </row>
    <row r="9978" spans="25:25" x14ac:dyDescent="0.2">
      <c r="Y9978" s="97"/>
    </row>
    <row r="9979" spans="25:25" x14ac:dyDescent="0.2">
      <c r="Y9979" s="97"/>
    </row>
    <row r="9980" spans="25:25" x14ac:dyDescent="0.2">
      <c r="Y9980" s="97"/>
    </row>
    <row r="9981" spans="25:25" x14ac:dyDescent="0.2">
      <c r="Y9981" s="97"/>
    </row>
    <row r="9982" spans="25:25" x14ac:dyDescent="0.2">
      <c r="Y9982" s="97"/>
    </row>
    <row r="9983" spans="25:25" x14ac:dyDescent="0.2">
      <c r="Y9983" s="97"/>
    </row>
    <row r="9984" spans="25:25" x14ac:dyDescent="0.2">
      <c r="Y9984" s="97"/>
    </row>
    <row r="9985" spans="25:25" x14ac:dyDescent="0.2">
      <c r="Y9985" s="97"/>
    </row>
    <row r="9986" spans="25:25" x14ac:dyDescent="0.2">
      <c r="Y9986" s="97"/>
    </row>
    <row r="9987" spans="25:25" x14ac:dyDescent="0.2">
      <c r="Y9987" s="97"/>
    </row>
    <row r="9988" spans="25:25" x14ac:dyDescent="0.2">
      <c r="Y9988" s="97"/>
    </row>
    <row r="9989" spans="25:25" x14ac:dyDescent="0.2">
      <c r="Y9989" s="97"/>
    </row>
    <row r="9990" spans="25:25" x14ac:dyDescent="0.2">
      <c r="Y9990" s="97"/>
    </row>
    <row r="9991" spans="25:25" x14ac:dyDescent="0.2">
      <c r="Y9991" s="97"/>
    </row>
    <row r="9992" spans="25:25" x14ac:dyDescent="0.2">
      <c r="Y9992" s="97"/>
    </row>
    <row r="9993" spans="25:25" x14ac:dyDescent="0.2">
      <c r="Y9993" s="97"/>
    </row>
    <row r="9994" spans="25:25" x14ac:dyDescent="0.2">
      <c r="Y9994" s="97"/>
    </row>
    <row r="9995" spans="25:25" x14ac:dyDescent="0.2">
      <c r="Y9995" s="97"/>
    </row>
    <row r="9996" spans="25:25" x14ac:dyDescent="0.2">
      <c r="Y9996" s="97"/>
    </row>
    <row r="9997" spans="25:25" x14ac:dyDescent="0.2">
      <c r="Y9997" s="97"/>
    </row>
    <row r="9998" spans="25:25" x14ac:dyDescent="0.2">
      <c r="Y9998" s="97"/>
    </row>
    <row r="9999" spans="25:25" x14ac:dyDescent="0.2">
      <c r="Y9999" s="97"/>
    </row>
    <row r="10000" spans="25:25" x14ac:dyDescent="0.2">
      <c r="Y10000" s="97"/>
    </row>
    <row r="10001" spans="25:25" x14ac:dyDescent="0.2">
      <c r="Y10001" s="97"/>
    </row>
    <row r="10002" spans="25:25" x14ac:dyDescent="0.2">
      <c r="Y10002" s="97"/>
    </row>
    <row r="10003" spans="25:25" x14ac:dyDescent="0.2">
      <c r="Y10003" s="97"/>
    </row>
    <row r="10004" spans="25:25" x14ac:dyDescent="0.2">
      <c r="Y10004" s="97"/>
    </row>
    <row r="10005" spans="25:25" x14ac:dyDescent="0.2">
      <c r="Y10005" s="97"/>
    </row>
    <row r="10006" spans="25:25" x14ac:dyDescent="0.2">
      <c r="Y10006" s="97"/>
    </row>
    <row r="10007" spans="25:25" x14ac:dyDescent="0.2">
      <c r="Y10007" s="97"/>
    </row>
    <row r="10008" spans="25:25" x14ac:dyDescent="0.2">
      <c r="Y10008" s="97"/>
    </row>
    <row r="10009" spans="25:25" x14ac:dyDescent="0.2">
      <c r="Y10009" s="97"/>
    </row>
    <row r="10010" spans="25:25" x14ac:dyDescent="0.2">
      <c r="Y10010" s="97"/>
    </row>
    <row r="10011" spans="25:25" x14ac:dyDescent="0.2">
      <c r="Y10011" s="97"/>
    </row>
    <row r="10012" spans="25:25" x14ac:dyDescent="0.2">
      <c r="Y10012" s="97"/>
    </row>
    <row r="10013" spans="25:25" x14ac:dyDescent="0.2">
      <c r="Y10013" s="97"/>
    </row>
    <row r="10014" spans="25:25" x14ac:dyDescent="0.2">
      <c r="Y10014" s="97"/>
    </row>
    <row r="10015" spans="25:25" x14ac:dyDescent="0.2">
      <c r="Y10015" s="97"/>
    </row>
    <row r="10016" spans="25:25" x14ac:dyDescent="0.2">
      <c r="Y10016" s="97"/>
    </row>
    <row r="10017" spans="25:25" x14ac:dyDescent="0.2">
      <c r="Y10017" s="97"/>
    </row>
    <row r="10018" spans="25:25" x14ac:dyDescent="0.2">
      <c r="Y10018" s="97"/>
    </row>
    <row r="10019" spans="25:25" x14ac:dyDescent="0.2">
      <c r="Y10019" s="97"/>
    </row>
    <row r="10020" spans="25:25" x14ac:dyDescent="0.2">
      <c r="Y10020" s="97"/>
    </row>
    <row r="10021" spans="25:25" x14ac:dyDescent="0.2">
      <c r="Y10021" s="97"/>
    </row>
    <row r="10022" spans="25:25" x14ac:dyDescent="0.2">
      <c r="Y10022" s="97"/>
    </row>
    <row r="10023" spans="25:25" x14ac:dyDescent="0.2">
      <c r="Y10023" s="97"/>
    </row>
    <row r="10024" spans="25:25" x14ac:dyDescent="0.2">
      <c r="Y10024" s="97"/>
    </row>
    <row r="10025" spans="25:25" x14ac:dyDescent="0.2">
      <c r="Y10025" s="97"/>
    </row>
    <row r="10026" spans="25:25" x14ac:dyDescent="0.2">
      <c r="Y10026" s="97"/>
    </row>
    <row r="10027" spans="25:25" x14ac:dyDescent="0.2">
      <c r="Y10027" s="97"/>
    </row>
    <row r="10028" spans="25:25" x14ac:dyDescent="0.2">
      <c r="Y10028" s="97"/>
    </row>
    <row r="10029" spans="25:25" x14ac:dyDescent="0.2">
      <c r="Y10029" s="97"/>
    </row>
    <row r="10030" spans="25:25" x14ac:dyDescent="0.2">
      <c r="Y10030" s="97"/>
    </row>
    <row r="10031" spans="25:25" x14ac:dyDescent="0.2">
      <c r="Y10031" s="97"/>
    </row>
    <row r="10032" spans="25:25" x14ac:dyDescent="0.2">
      <c r="Y10032" s="97"/>
    </row>
    <row r="10033" spans="25:25" x14ac:dyDescent="0.2">
      <c r="Y10033" s="97"/>
    </row>
    <row r="10034" spans="25:25" x14ac:dyDescent="0.2">
      <c r="Y10034" s="97"/>
    </row>
    <row r="10035" spans="25:25" x14ac:dyDescent="0.2">
      <c r="Y10035" s="97"/>
    </row>
    <row r="10036" spans="25:25" x14ac:dyDescent="0.2">
      <c r="Y10036" s="97"/>
    </row>
    <row r="10037" spans="25:25" x14ac:dyDescent="0.2">
      <c r="Y10037" s="97"/>
    </row>
    <row r="10038" spans="25:25" x14ac:dyDescent="0.2">
      <c r="Y10038" s="97"/>
    </row>
    <row r="10039" spans="25:25" x14ac:dyDescent="0.2">
      <c r="Y10039" s="97"/>
    </row>
    <row r="10040" spans="25:25" x14ac:dyDescent="0.2">
      <c r="Y10040" s="97"/>
    </row>
    <row r="10041" spans="25:25" x14ac:dyDescent="0.2">
      <c r="Y10041" s="97"/>
    </row>
    <row r="10042" spans="25:25" x14ac:dyDescent="0.2">
      <c r="Y10042" s="97"/>
    </row>
    <row r="10043" spans="25:25" x14ac:dyDescent="0.2">
      <c r="Y10043" s="97"/>
    </row>
    <row r="10044" spans="25:25" x14ac:dyDescent="0.2">
      <c r="Y10044" s="97"/>
    </row>
    <row r="10045" spans="25:25" x14ac:dyDescent="0.2">
      <c r="Y10045" s="97"/>
    </row>
    <row r="10046" spans="25:25" x14ac:dyDescent="0.2">
      <c r="Y10046" s="97"/>
    </row>
    <row r="10047" spans="25:25" x14ac:dyDescent="0.2">
      <c r="Y10047" s="97"/>
    </row>
    <row r="10048" spans="25:25" x14ac:dyDescent="0.2">
      <c r="Y10048" s="97"/>
    </row>
    <row r="10049" spans="25:25" x14ac:dyDescent="0.2">
      <c r="Y10049" s="97"/>
    </row>
    <row r="10050" spans="25:25" x14ac:dyDescent="0.2">
      <c r="Y10050" s="97"/>
    </row>
    <row r="10051" spans="25:25" x14ac:dyDescent="0.2">
      <c r="Y10051" s="97"/>
    </row>
    <row r="10052" spans="25:25" x14ac:dyDescent="0.2">
      <c r="Y10052" s="97"/>
    </row>
    <row r="10053" spans="25:25" x14ac:dyDescent="0.2">
      <c r="Y10053" s="97"/>
    </row>
    <row r="10054" spans="25:25" x14ac:dyDescent="0.2">
      <c r="Y10054" s="97"/>
    </row>
    <row r="10055" spans="25:25" x14ac:dyDescent="0.2">
      <c r="Y10055" s="97"/>
    </row>
    <row r="10056" spans="25:25" x14ac:dyDescent="0.2">
      <c r="Y10056" s="97"/>
    </row>
    <row r="10057" spans="25:25" x14ac:dyDescent="0.2">
      <c r="Y10057" s="97"/>
    </row>
    <row r="10058" spans="25:25" x14ac:dyDescent="0.2">
      <c r="Y10058" s="97"/>
    </row>
    <row r="10059" spans="25:25" x14ac:dyDescent="0.2">
      <c r="Y10059" s="97"/>
    </row>
    <row r="10060" spans="25:25" x14ac:dyDescent="0.2">
      <c r="Y10060" s="97"/>
    </row>
    <row r="10061" spans="25:25" x14ac:dyDescent="0.2">
      <c r="Y10061" s="97"/>
    </row>
    <row r="10062" spans="25:25" x14ac:dyDescent="0.2">
      <c r="Y10062" s="97"/>
    </row>
    <row r="10063" spans="25:25" x14ac:dyDescent="0.2">
      <c r="Y10063" s="97"/>
    </row>
    <row r="10064" spans="25:25" x14ac:dyDescent="0.2">
      <c r="Y10064" s="97"/>
    </row>
    <row r="10065" spans="25:25" x14ac:dyDescent="0.2">
      <c r="Y10065" s="97"/>
    </row>
    <row r="10066" spans="25:25" x14ac:dyDescent="0.2">
      <c r="Y10066" s="97"/>
    </row>
    <row r="10067" spans="25:25" x14ac:dyDescent="0.2">
      <c r="Y10067" s="97"/>
    </row>
    <row r="10068" spans="25:25" x14ac:dyDescent="0.2">
      <c r="Y10068" s="97"/>
    </row>
    <row r="10069" spans="25:25" x14ac:dyDescent="0.2">
      <c r="Y10069" s="97"/>
    </row>
    <row r="10070" spans="25:25" x14ac:dyDescent="0.2">
      <c r="Y10070" s="97"/>
    </row>
    <row r="10071" spans="25:25" x14ac:dyDescent="0.2">
      <c r="Y10071" s="97"/>
    </row>
    <row r="10072" spans="25:25" x14ac:dyDescent="0.2">
      <c r="Y10072" s="97"/>
    </row>
    <row r="10073" spans="25:25" x14ac:dyDescent="0.2">
      <c r="Y10073" s="97"/>
    </row>
    <row r="10074" spans="25:25" x14ac:dyDescent="0.2">
      <c r="Y10074" s="97"/>
    </row>
    <row r="10075" spans="25:25" x14ac:dyDescent="0.2">
      <c r="Y10075" s="97"/>
    </row>
    <row r="10076" spans="25:25" x14ac:dyDescent="0.2">
      <c r="Y10076" s="97"/>
    </row>
    <row r="10077" spans="25:25" x14ac:dyDescent="0.2">
      <c r="Y10077" s="97"/>
    </row>
    <row r="10078" spans="25:25" x14ac:dyDescent="0.2">
      <c r="Y10078" s="97"/>
    </row>
    <row r="10079" spans="25:25" x14ac:dyDescent="0.2">
      <c r="Y10079" s="97"/>
    </row>
    <row r="10080" spans="25:25" x14ac:dyDescent="0.2">
      <c r="Y10080" s="97"/>
    </row>
    <row r="10081" spans="25:25" x14ac:dyDescent="0.2">
      <c r="Y10081" s="97"/>
    </row>
    <row r="10082" spans="25:25" x14ac:dyDescent="0.2">
      <c r="Y10082" s="97"/>
    </row>
    <row r="10083" spans="25:25" x14ac:dyDescent="0.2">
      <c r="Y10083" s="97"/>
    </row>
    <row r="10084" spans="25:25" x14ac:dyDescent="0.2">
      <c r="Y10084" s="97"/>
    </row>
    <row r="10085" spans="25:25" x14ac:dyDescent="0.2">
      <c r="Y10085" s="97"/>
    </row>
    <row r="10086" spans="25:25" x14ac:dyDescent="0.2">
      <c r="Y10086" s="97"/>
    </row>
    <row r="10087" spans="25:25" x14ac:dyDescent="0.2">
      <c r="Y10087" s="97"/>
    </row>
    <row r="10088" spans="25:25" x14ac:dyDescent="0.2">
      <c r="Y10088" s="97"/>
    </row>
    <row r="10089" spans="25:25" x14ac:dyDescent="0.2">
      <c r="Y10089" s="97"/>
    </row>
    <row r="10090" spans="25:25" x14ac:dyDescent="0.2">
      <c r="Y10090" s="97"/>
    </row>
    <row r="10091" spans="25:25" x14ac:dyDescent="0.2">
      <c r="Y10091" s="97"/>
    </row>
    <row r="10092" spans="25:25" x14ac:dyDescent="0.2">
      <c r="Y10092" s="97"/>
    </row>
    <row r="10093" spans="25:25" x14ac:dyDescent="0.2">
      <c r="Y10093" s="97"/>
    </row>
    <row r="10094" spans="25:25" x14ac:dyDescent="0.2">
      <c r="Y10094" s="97"/>
    </row>
    <row r="10095" spans="25:25" x14ac:dyDescent="0.2">
      <c r="Y10095" s="97"/>
    </row>
    <row r="10096" spans="25:25" x14ac:dyDescent="0.2">
      <c r="Y10096" s="97"/>
    </row>
    <row r="10097" spans="25:25" x14ac:dyDescent="0.2">
      <c r="Y10097" s="97"/>
    </row>
    <row r="10098" spans="25:25" x14ac:dyDescent="0.2">
      <c r="Y10098" s="97"/>
    </row>
    <row r="10099" spans="25:25" x14ac:dyDescent="0.2">
      <c r="Y10099" s="97"/>
    </row>
    <row r="10100" spans="25:25" x14ac:dyDescent="0.2">
      <c r="Y10100" s="97"/>
    </row>
    <row r="10101" spans="25:25" x14ac:dyDescent="0.2">
      <c r="Y10101" s="97"/>
    </row>
    <row r="10102" spans="25:25" x14ac:dyDescent="0.2">
      <c r="Y10102" s="97"/>
    </row>
    <row r="10103" spans="25:25" x14ac:dyDescent="0.2">
      <c r="Y10103" s="97"/>
    </row>
    <row r="10104" spans="25:25" x14ac:dyDescent="0.2">
      <c r="Y10104" s="97"/>
    </row>
    <row r="10105" spans="25:25" x14ac:dyDescent="0.2">
      <c r="Y10105" s="97"/>
    </row>
    <row r="10106" spans="25:25" x14ac:dyDescent="0.2">
      <c r="Y10106" s="97"/>
    </row>
    <row r="10107" spans="25:25" x14ac:dyDescent="0.2">
      <c r="Y10107" s="97"/>
    </row>
    <row r="10108" spans="25:25" x14ac:dyDescent="0.2">
      <c r="Y10108" s="97"/>
    </row>
    <row r="10109" spans="25:25" x14ac:dyDescent="0.2">
      <c r="Y10109" s="97"/>
    </row>
    <row r="10110" spans="25:25" x14ac:dyDescent="0.2">
      <c r="Y10110" s="97"/>
    </row>
    <row r="10111" spans="25:25" x14ac:dyDescent="0.2">
      <c r="Y10111" s="97"/>
    </row>
    <row r="10112" spans="25:25" x14ac:dyDescent="0.2">
      <c r="Y10112" s="97"/>
    </row>
    <row r="10113" spans="25:25" x14ac:dyDescent="0.2">
      <c r="Y10113" s="97"/>
    </row>
    <row r="10114" spans="25:25" x14ac:dyDescent="0.2">
      <c r="Y10114" s="97"/>
    </row>
    <row r="10115" spans="25:25" x14ac:dyDescent="0.2">
      <c r="Y10115" s="97"/>
    </row>
    <row r="10116" spans="25:25" x14ac:dyDescent="0.2">
      <c r="Y10116" s="97"/>
    </row>
    <row r="10117" spans="25:25" x14ac:dyDescent="0.2">
      <c r="Y10117" s="97"/>
    </row>
    <row r="10118" spans="25:25" x14ac:dyDescent="0.2">
      <c r="Y10118" s="97"/>
    </row>
    <row r="10119" spans="25:25" x14ac:dyDescent="0.2">
      <c r="Y10119" s="97"/>
    </row>
    <row r="10120" spans="25:25" x14ac:dyDescent="0.2">
      <c r="Y10120" s="97"/>
    </row>
    <row r="10121" spans="25:25" x14ac:dyDescent="0.2">
      <c r="Y10121" s="97"/>
    </row>
    <row r="10122" spans="25:25" x14ac:dyDescent="0.2">
      <c r="Y10122" s="97"/>
    </row>
    <row r="10123" spans="25:25" x14ac:dyDescent="0.2">
      <c r="Y10123" s="97"/>
    </row>
    <row r="10124" spans="25:25" x14ac:dyDescent="0.2">
      <c r="Y10124" s="97"/>
    </row>
    <row r="10125" spans="25:25" x14ac:dyDescent="0.2">
      <c r="Y10125" s="97"/>
    </row>
    <row r="10126" spans="25:25" x14ac:dyDescent="0.2">
      <c r="Y10126" s="97"/>
    </row>
    <row r="10127" spans="25:25" x14ac:dyDescent="0.2">
      <c r="Y10127" s="97"/>
    </row>
    <row r="10128" spans="25:25" x14ac:dyDescent="0.2">
      <c r="Y10128" s="97"/>
    </row>
    <row r="10129" spans="25:25" x14ac:dyDescent="0.2">
      <c r="Y10129" s="97"/>
    </row>
    <row r="10130" spans="25:25" x14ac:dyDescent="0.2">
      <c r="Y10130" s="97"/>
    </row>
    <row r="10131" spans="25:25" x14ac:dyDescent="0.2">
      <c r="Y10131" s="97"/>
    </row>
    <row r="10132" spans="25:25" x14ac:dyDescent="0.2">
      <c r="Y10132" s="97"/>
    </row>
    <row r="10133" spans="25:25" x14ac:dyDescent="0.2">
      <c r="Y10133" s="97"/>
    </row>
    <row r="10134" spans="25:25" x14ac:dyDescent="0.2">
      <c r="Y10134" s="97"/>
    </row>
    <row r="10135" spans="25:25" x14ac:dyDescent="0.2">
      <c r="Y10135" s="97"/>
    </row>
    <row r="10136" spans="25:25" x14ac:dyDescent="0.2">
      <c r="Y10136" s="97"/>
    </row>
    <row r="10137" spans="25:25" x14ac:dyDescent="0.2">
      <c r="Y10137" s="97"/>
    </row>
    <row r="10138" spans="25:25" x14ac:dyDescent="0.2">
      <c r="Y10138" s="97"/>
    </row>
    <row r="10139" spans="25:25" x14ac:dyDescent="0.2">
      <c r="Y10139" s="97"/>
    </row>
    <row r="10140" spans="25:25" x14ac:dyDescent="0.2">
      <c r="Y10140" s="97"/>
    </row>
    <row r="10141" spans="25:25" x14ac:dyDescent="0.2">
      <c r="Y10141" s="97"/>
    </row>
    <row r="10142" spans="25:25" x14ac:dyDescent="0.2">
      <c r="Y10142" s="97"/>
    </row>
    <row r="10143" spans="25:25" x14ac:dyDescent="0.2">
      <c r="Y10143" s="97"/>
    </row>
    <row r="10144" spans="25:25" x14ac:dyDescent="0.2">
      <c r="Y10144" s="97"/>
    </row>
    <row r="10145" spans="25:25" x14ac:dyDescent="0.2">
      <c r="Y10145" s="97"/>
    </row>
    <row r="10146" spans="25:25" x14ac:dyDescent="0.2">
      <c r="Y10146" s="97"/>
    </row>
    <row r="10147" spans="25:25" x14ac:dyDescent="0.2">
      <c r="Y10147" s="97"/>
    </row>
    <row r="10148" spans="25:25" x14ac:dyDescent="0.2">
      <c r="Y10148" s="97"/>
    </row>
    <row r="10149" spans="25:25" x14ac:dyDescent="0.2">
      <c r="Y10149" s="97"/>
    </row>
    <row r="10150" spans="25:25" x14ac:dyDescent="0.2">
      <c r="Y10150" s="97"/>
    </row>
    <row r="10151" spans="25:25" x14ac:dyDescent="0.2">
      <c r="Y10151" s="97"/>
    </row>
    <row r="10152" spans="25:25" x14ac:dyDescent="0.2">
      <c r="Y10152" s="97"/>
    </row>
    <row r="10153" spans="25:25" x14ac:dyDescent="0.2">
      <c r="Y10153" s="97"/>
    </row>
    <row r="10154" spans="25:25" x14ac:dyDescent="0.2">
      <c r="Y10154" s="97"/>
    </row>
    <row r="10155" spans="25:25" x14ac:dyDescent="0.2">
      <c r="Y10155" s="97"/>
    </row>
    <row r="10156" spans="25:25" x14ac:dyDescent="0.2">
      <c r="Y10156" s="97"/>
    </row>
    <row r="10157" spans="25:25" x14ac:dyDescent="0.2">
      <c r="Y10157" s="97"/>
    </row>
    <row r="10158" spans="25:25" x14ac:dyDescent="0.2">
      <c r="Y10158" s="97"/>
    </row>
    <row r="10159" spans="25:25" x14ac:dyDescent="0.2">
      <c r="Y10159" s="97"/>
    </row>
    <row r="10160" spans="25:25" x14ac:dyDescent="0.2">
      <c r="Y10160" s="97"/>
    </row>
    <row r="10161" spans="25:25" x14ac:dyDescent="0.2">
      <c r="Y10161" s="97"/>
    </row>
    <row r="10162" spans="25:25" x14ac:dyDescent="0.2">
      <c r="Y10162" s="97"/>
    </row>
    <row r="10163" spans="25:25" x14ac:dyDescent="0.2">
      <c r="Y10163" s="97"/>
    </row>
    <row r="10164" spans="25:25" x14ac:dyDescent="0.2">
      <c r="Y10164" s="97"/>
    </row>
    <row r="10165" spans="25:25" x14ac:dyDescent="0.2">
      <c r="Y10165" s="97"/>
    </row>
    <row r="10166" spans="25:25" x14ac:dyDescent="0.2">
      <c r="Y10166" s="97"/>
    </row>
    <row r="10167" spans="25:25" x14ac:dyDescent="0.2">
      <c r="Y10167" s="97"/>
    </row>
    <row r="10168" spans="25:25" x14ac:dyDescent="0.2">
      <c r="Y10168" s="97"/>
    </row>
    <row r="10169" spans="25:25" x14ac:dyDescent="0.2">
      <c r="Y10169" s="97"/>
    </row>
    <row r="10170" spans="25:25" x14ac:dyDescent="0.2">
      <c r="Y10170" s="97"/>
    </row>
    <row r="10171" spans="25:25" x14ac:dyDescent="0.2">
      <c r="Y10171" s="97"/>
    </row>
    <row r="10172" spans="25:25" x14ac:dyDescent="0.2">
      <c r="Y10172" s="97"/>
    </row>
    <row r="10173" spans="25:25" x14ac:dyDescent="0.2">
      <c r="Y10173" s="97"/>
    </row>
    <row r="10174" spans="25:25" x14ac:dyDescent="0.2">
      <c r="Y10174" s="97"/>
    </row>
    <row r="10175" spans="25:25" x14ac:dyDescent="0.2">
      <c r="Y10175" s="97"/>
    </row>
    <row r="10176" spans="25:25" x14ac:dyDescent="0.2">
      <c r="Y10176" s="97"/>
    </row>
    <row r="10177" spans="25:25" x14ac:dyDescent="0.2">
      <c r="Y10177" s="97"/>
    </row>
    <row r="10178" spans="25:25" x14ac:dyDescent="0.2">
      <c r="Y10178" s="97"/>
    </row>
    <row r="10179" spans="25:25" x14ac:dyDescent="0.2">
      <c r="Y10179" s="97"/>
    </row>
    <row r="10180" spans="25:25" x14ac:dyDescent="0.2">
      <c r="Y10180" s="97"/>
    </row>
    <row r="10181" spans="25:25" x14ac:dyDescent="0.2">
      <c r="Y10181" s="97"/>
    </row>
    <row r="10182" spans="25:25" x14ac:dyDescent="0.2">
      <c r="Y10182" s="97"/>
    </row>
    <row r="10183" spans="25:25" x14ac:dyDescent="0.2">
      <c r="Y10183" s="97"/>
    </row>
    <row r="10184" spans="25:25" x14ac:dyDescent="0.2">
      <c r="Y10184" s="97"/>
    </row>
    <row r="10185" spans="25:25" x14ac:dyDescent="0.2">
      <c r="Y10185" s="97"/>
    </row>
    <row r="10186" spans="25:25" x14ac:dyDescent="0.2">
      <c r="Y10186" s="97"/>
    </row>
    <row r="10187" spans="25:25" x14ac:dyDescent="0.2">
      <c r="Y10187" s="97"/>
    </row>
    <row r="10188" spans="25:25" x14ac:dyDescent="0.2">
      <c r="Y10188" s="97"/>
    </row>
    <row r="10189" spans="25:25" x14ac:dyDescent="0.2">
      <c r="Y10189" s="97"/>
    </row>
    <row r="10190" spans="25:25" x14ac:dyDescent="0.2">
      <c r="Y10190" s="97"/>
    </row>
    <row r="10191" spans="25:25" x14ac:dyDescent="0.2">
      <c r="Y10191" s="97"/>
    </row>
    <row r="10192" spans="25:25" x14ac:dyDescent="0.2">
      <c r="Y10192" s="97"/>
    </row>
    <row r="10193" spans="25:25" x14ac:dyDescent="0.2">
      <c r="Y10193" s="97"/>
    </row>
    <row r="10194" spans="25:25" x14ac:dyDescent="0.2">
      <c r="Y10194" s="97"/>
    </row>
    <row r="10195" spans="25:25" x14ac:dyDescent="0.2">
      <c r="Y10195" s="97"/>
    </row>
    <row r="10196" spans="25:25" x14ac:dyDescent="0.2">
      <c r="Y10196" s="97"/>
    </row>
    <row r="10197" spans="25:25" x14ac:dyDescent="0.2">
      <c r="Y10197" s="97"/>
    </row>
    <row r="10198" spans="25:25" x14ac:dyDescent="0.2">
      <c r="Y10198" s="97"/>
    </row>
    <row r="10199" spans="25:25" x14ac:dyDescent="0.2">
      <c r="Y10199" s="97"/>
    </row>
    <row r="10200" spans="25:25" x14ac:dyDescent="0.2">
      <c r="Y10200" s="97"/>
    </row>
    <row r="10201" spans="25:25" x14ac:dyDescent="0.2">
      <c r="Y10201" s="97"/>
    </row>
    <row r="10202" spans="25:25" x14ac:dyDescent="0.2">
      <c r="Y10202" s="97"/>
    </row>
    <row r="10203" spans="25:25" x14ac:dyDescent="0.2">
      <c r="Y10203" s="97"/>
    </row>
    <row r="10204" spans="25:25" x14ac:dyDescent="0.2">
      <c r="Y10204" s="97"/>
    </row>
    <row r="10205" spans="25:25" x14ac:dyDescent="0.2">
      <c r="Y10205" s="97"/>
    </row>
    <row r="10206" spans="25:25" x14ac:dyDescent="0.2">
      <c r="Y10206" s="97"/>
    </row>
    <row r="10207" spans="25:25" x14ac:dyDescent="0.2">
      <c r="Y10207" s="97"/>
    </row>
    <row r="10208" spans="25:25" x14ac:dyDescent="0.2">
      <c r="Y10208" s="97"/>
    </row>
    <row r="10209" spans="25:25" x14ac:dyDescent="0.2">
      <c r="Y10209" s="97"/>
    </row>
    <row r="10210" spans="25:25" x14ac:dyDescent="0.2">
      <c r="Y10210" s="97"/>
    </row>
    <row r="10211" spans="25:25" x14ac:dyDescent="0.2">
      <c r="Y10211" s="97"/>
    </row>
    <row r="10212" spans="25:25" x14ac:dyDescent="0.2">
      <c r="Y10212" s="97"/>
    </row>
    <row r="10213" spans="25:25" x14ac:dyDescent="0.2">
      <c r="Y10213" s="97"/>
    </row>
    <row r="10214" spans="25:25" x14ac:dyDescent="0.2">
      <c r="Y10214" s="97"/>
    </row>
    <row r="10215" spans="25:25" x14ac:dyDescent="0.2">
      <c r="Y10215" s="97"/>
    </row>
    <row r="10216" spans="25:25" x14ac:dyDescent="0.2">
      <c r="Y10216" s="97"/>
    </row>
    <row r="10217" spans="25:25" x14ac:dyDescent="0.2">
      <c r="Y10217" s="97"/>
    </row>
    <row r="10218" spans="25:25" x14ac:dyDescent="0.2">
      <c r="Y10218" s="97"/>
    </row>
    <row r="10219" spans="25:25" x14ac:dyDescent="0.2">
      <c r="Y10219" s="97"/>
    </row>
    <row r="10220" spans="25:25" x14ac:dyDescent="0.2">
      <c r="Y10220" s="97"/>
    </row>
    <row r="10221" spans="25:25" x14ac:dyDescent="0.2">
      <c r="Y10221" s="97"/>
    </row>
    <row r="10222" spans="25:25" x14ac:dyDescent="0.2">
      <c r="Y10222" s="97"/>
    </row>
    <row r="10223" spans="25:25" x14ac:dyDescent="0.2">
      <c r="Y10223" s="97"/>
    </row>
    <row r="10224" spans="25:25" x14ac:dyDescent="0.2">
      <c r="Y10224" s="97"/>
    </row>
    <row r="10225" spans="25:25" x14ac:dyDescent="0.2">
      <c r="Y10225" s="97"/>
    </row>
    <row r="10226" spans="25:25" x14ac:dyDescent="0.2">
      <c r="Y10226" s="97"/>
    </row>
    <row r="10227" spans="25:25" x14ac:dyDescent="0.2">
      <c r="Y10227" s="97"/>
    </row>
    <row r="10228" spans="25:25" x14ac:dyDescent="0.2">
      <c r="Y10228" s="97"/>
    </row>
    <row r="10229" spans="25:25" x14ac:dyDescent="0.2">
      <c r="Y10229" s="97"/>
    </row>
    <row r="10230" spans="25:25" x14ac:dyDescent="0.2">
      <c r="Y10230" s="97"/>
    </row>
    <row r="10231" spans="25:25" x14ac:dyDescent="0.2">
      <c r="Y10231" s="97"/>
    </row>
    <row r="10232" spans="25:25" x14ac:dyDescent="0.2">
      <c r="Y10232" s="97"/>
    </row>
    <row r="10233" spans="25:25" x14ac:dyDescent="0.2">
      <c r="Y10233" s="97"/>
    </row>
    <row r="10234" spans="25:25" x14ac:dyDescent="0.2">
      <c r="Y10234" s="97"/>
    </row>
    <row r="10235" spans="25:25" x14ac:dyDescent="0.2">
      <c r="Y10235" s="97"/>
    </row>
    <row r="10236" spans="25:25" x14ac:dyDescent="0.2">
      <c r="Y10236" s="97"/>
    </row>
    <row r="10237" spans="25:25" x14ac:dyDescent="0.2">
      <c r="Y10237" s="97"/>
    </row>
    <row r="10238" spans="25:25" x14ac:dyDescent="0.2">
      <c r="Y10238" s="97"/>
    </row>
    <row r="10239" spans="25:25" x14ac:dyDescent="0.2">
      <c r="Y10239" s="97"/>
    </row>
    <row r="10240" spans="25:25" x14ac:dyDescent="0.2">
      <c r="Y10240" s="97"/>
    </row>
    <row r="10241" spans="25:25" x14ac:dyDescent="0.2">
      <c r="Y10241" s="97"/>
    </row>
    <row r="10242" spans="25:25" x14ac:dyDescent="0.2">
      <c r="Y10242" s="97"/>
    </row>
    <row r="10243" spans="25:25" x14ac:dyDescent="0.2">
      <c r="Y10243" s="97"/>
    </row>
    <row r="10244" spans="25:25" x14ac:dyDescent="0.2">
      <c r="Y10244" s="97"/>
    </row>
    <row r="10245" spans="25:25" x14ac:dyDescent="0.2">
      <c r="Y10245" s="97"/>
    </row>
    <row r="10246" spans="25:25" x14ac:dyDescent="0.2">
      <c r="Y10246" s="97"/>
    </row>
    <row r="10247" spans="25:25" x14ac:dyDescent="0.2">
      <c r="Y10247" s="97"/>
    </row>
    <row r="10248" spans="25:25" x14ac:dyDescent="0.2">
      <c r="Y10248" s="97"/>
    </row>
    <row r="10249" spans="25:25" x14ac:dyDescent="0.2">
      <c r="Y10249" s="97"/>
    </row>
    <row r="10250" spans="25:25" x14ac:dyDescent="0.2">
      <c r="Y10250" s="97"/>
    </row>
    <row r="10251" spans="25:25" x14ac:dyDescent="0.2">
      <c r="Y10251" s="97"/>
    </row>
    <row r="10252" spans="25:25" x14ac:dyDescent="0.2">
      <c r="Y10252" s="97"/>
    </row>
    <row r="10253" spans="25:25" x14ac:dyDescent="0.2">
      <c r="Y10253" s="97"/>
    </row>
    <row r="10254" spans="25:25" x14ac:dyDescent="0.2">
      <c r="Y10254" s="97"/>
    </row>
    <row r="10255" spans="25:25" x14ac:dyDescent="0.2">
      <c r="Y10255" s="97"/>
    </row>
    <row r="10256" spans="25:25" x14ac:dyDescent="0.2">
      <c r="Y10256" s="97"/>
    </row>
    <row r="10257" spans="25:25" x14ac:dyDescent="0.2">
      <c r="Y10257" s="97"/>
    </row>
    <row r="10258" spans="25:25" x14ac:dyDescent="0.2">
      <c r="Y10258" s="97"/>
    </row>
    <row r="10259" spans="25:25" x14ac:dyDescent="0.2">
      <c r="Y10259" s="97"/>
    </row>
    <row r="10260" spans="25:25" x14ac:dyDescent="0.2">
      <c r="Y10260" s="97"/>
    </row>
    <row r="10261" spans="25:25" x14ac:dyDescent="0.2">
      <c r="Y10261" s="97"/>
    </row>
    <row r="10262" spans="25:25" x14ac:dyDescent="0.2">
      <c r="Y10262" s="97"/>
    </row>
    <row r="10263" spans="25:25" x14ac:dyDescent="0.2">
      <c r="Y10263" s="97"/>
    </row>
    <row r="10264" spans="25:25" x14ac:dyDescent="0.2">
      <c r="Y10264" s="97"/>
    </row>
    <row r="10265" spans="25:25" x14ac:dyDescent="0.2">
      <c r="Y10265" s="97"/>
    </row>
    <row r="10266" spans="25:25" x14ac:dyDescent="0.2">
      <c r="Y10266" s="97"/>
    </row>
    <row r="10267" spans="25:25" x14ac:dyDescent="0.2">
      <c r="Y10267" s="97"/>
    </row>
    <row r="10268" spans="25:25" x14ac:dyDescent="0.2">
      <c r="Y10268" s="97"/>
    </row>
    <row r="10269" spans="25:25" x14ac:dyDescent="0.2">
      <c r="Y10269" s="97"/>
    </row>
    <row r="10270" spans="25:25" x14ac:dyDescent="0.2">
      <c r="Y10270" s="97"/>
    </row>
    <row r="10271" spans="25:25" x14ac:dyDescent="0.2">
      <c r="Y10271" s="97"/>
    </row>
    <row r="10272" spans="25:25" x14ac:dyDescent="0.2">
      <c r="Y10272" s="97"/>
    </row>
    <row r="10273" spans="25:25" x14ac:dyDescent="0.2">
      <c r="Y10273" s="97"/>
    </row>
    <row r="10274" spans="25:25" x14ac:dyDescent="0.2">
      <c r="Y10274" s="97"/>
    </row>
    <row r="10275" spans="25:25" x14ac:dyDescent="0.2">
      <c r="Y10275" s="97"/>
    </row>
    <row r="10276" spans="25:25" x14ac:dyDescent="0.2">
      <c r="Y10276" s="97"/>
    </row>
    <row r="10277" spans="25:25" x14ac:dyDescent="0.2">
      <c r="Y10277" s="97"/>
    </row>
    <row r="10278" spans="25:25" x14ac:dyDescent="0.2">
      <c r="Y10278" s="97"/>
    </row>
    <row r="10279" spans="25:25" x14ac:dyDescent="0.2">
      <c r="Y10279" s="97"/>
    </row>
    <row r="10280" spans="25:25" x14ac:dyDescent="0.2">
      <c r="Y10280" s="97"/>
    </row>
    <row r="10281" spans="25:25" x14ac:dyDescent="0.2">
      <c r="Y10281" s="97"/>
    </row>
    <row r="10282" spans="25:25" x14ac:dyDescent="0.2">
      <c r="Y10282" s="97"/>
    </row>
    <row r="10283" spans="25:25" x14ac:dyDescent="0.2">
      <c r="Y10283" s="97"/>
    </row>
    <row r="10284" spans="25:25" x14ac:dyDescent="0.2">
      <c r="Y10284" s="97"/>
    </row>
    <row r="10285" spans="25:25" x14ac:dyDescent="0.2">
      <c r="Y10285" s="97"/>
    </row>
    <row r="10286" spans="25:25" x14ac:dyDescent="0.2">
      <c r="Y10286" s="97"/>
    </row>
    <row r="10287" spans="25:25" x14ac:dyDescent="0.2">
      <c r="Y10287" s="97"/>
    </row>
    <row r="10288" spans="25:25" x14ac:dyDescent="0.2">
      <c r="Y10288" s="97"/>
    </row>
    <row r="10289" spans="25:25" x14ac:dyDescent="0.2">
      <c r="Y10289" s="97"/>
    </row>
    <row r="10290" spans="25:25" x14ac:dyDescent="0.2">
      <c r="Y10290" s="97"/>
    </row>
    <row r="10291" spans="25:25" x14ac:dyDescent="0.2">
      <c r="Y10291" s="97"/>
    </row>
    <row r="10292" spans="25:25" x14ac:dyDescent="0.2">
      <c r="Y10292" s="97"/>
    </row>
    <row r="10293" spans="25:25" x14ac:dyDescent="0.2">
      <c r="Y10293" s="97"/>
    </row>
    <row r="10294" spans="25:25" x14ac:dyDescent="0.2">
      <c r="Y10294" s="97"/>
    </row>
    <row r="10295" spans="25:25" x14ac:dyDescent="0.2">
      <c r="Y10295" s="97"/>
    </row>
    <row r="10296" spans="25:25" x14ac:dyDescent="0.2">
      <c r="Y10296" s="97"/>
    </row>
    <row r="10297" spans="25:25" x14ac:dyDescent="0.2">
      <c r="Y10297" s="97"/>
    </row>
    <row r="10298" spans="25:25" x14ac:dyDescent="0.2">
      <c r="Y10298" s="97"/>
    </row>
    <row r="10299" spans="25:25" x14ac:dyDescent="0.2">
      <c r="Y10299" s="97"/>
    </row>
    <row r="10300" spans="25:25" x14ac:dyDescent="0.2">
      <c r="Y10300" s="97"/>
    </row>
    <row r="10301" spans="25:25" x14ac:dyDescent="0.2">
      <c r="Y10301" s="97"/>
    </row>
    <row r="10302" spans="25:25" x14ac:dyDescent="0.2">
      <c r="Y10302" s="97"/>
    </row>
    <row r="10303" spans="25:25" x14ac:dyDescent="0.2">
      <c r="Y10303" s="97"/>
    </row>
    <row r="10304" spans="25:25" x14ac:dyDescent="0.2">
      <c r="Y10304" s="97"/>
    </row>
    <row r="10305" spans="25:25" x14ac:dyDescent="0.2">
      <c r="Y10305" s="97"/>
    </row>
    <row r="10306" spans="25:25" x14ac:dyDescent="0.2">
      <c r="Y10306" s="97"/>
    </row>
    <row r="10307" spans="25:25" x14ac:dyDescent="0.2">
      <c r="Y10307" s="97"/>
    </row>
    <row r="10308" spans="25:25" x14ac:dyDescent="0.2">
      <c r="Y10308" s="97"/>
    </row>
    <row r="10309" spans="25:25" x14ac:dyDescent="0.2">
      <c r="Y10309" s="97"/>
    </row>
    <row r="10310" spans="25:25" x14ac:dyDescent="0.2">
      <c r="Y10310" s="97"/>
    </row>
    <row r="10311" spans="25:25" x14ac:dyDescent="0.2">
      <c r="Y10311" s="97"/>
    </row>
    <row r="10312" spans="25:25" x14ac:dyDescent="0.2">
      <c r="Y10312" s="97"/>
    </row>
    <row r="10313" spans="25:25" x14ac:dyDescent="0.2">
      <c r="Y10313" s="97"/>
    </row>
    <row r="10314" spans="25:25" x14ac:dyDescent="0.2">
      <c r="Y10314" s="97"/>
    </row>
    <row r="10315" spans="25:25" x14ac:dyDescent="0.2">
      <c r="Y10315" s="97"/>
    </row>
    <row r="10316" spans="25:25" x14ac:dyDescent="0.2">
      <c r="Y10316" s="97"/>
    </row>
    <row r="10317" spans="25:25" x14ac:dyDescent="0.2">
      <c r="Y10317" s="97"/>
    </row>
    <row r="10318" spans="25:25" x14ac:dyDescent="0.2">
      <c r="Y10318" s="97"/>
    </row>
    <row r="10319" spans="25:25" x14ac:dyDescent="0.2">
      <c r="Y10319" s="97"/>
    </row>
    <row r="10320" spans="25:25" x14ac:dyDescent="0.2">
      <c r="Y10320" s="97"/>
    </row>
    <row r="10321" spans="25:25" x14ac:dyDescent="0.2">
      <c r="Y10321" s="97"/>
    </row>
    <row r="10322" spans="25:25" x14ac:dyDescent="0.2">
      <c r="Y10322" s="97"/>
    </row>
    <row r="10323" spans="25:25" x14ac:dyDescent="0.2">
      <c r="Y10323" s="97"/>
    </row>
    <row r="10324" spans="25:25" x14ac:dyDescent="0.2">
      <c r="Y10324" s="97"/>
    </row>
    <row r="10325" spans="25:25" x14ac:dyDescent="0.2">
      <c r="Y10325" s="97"/>
    </row>
    <row r="10326" spans="25:25" x14ac:dyDescent="0.2">
      <c r="Y10326" s="97"/>
    </row>
    <row r="10327" spans="25:25" x14ac:dyDescent="0.2">
      <c r="Y10327" s="97"/>
    </row>
    <row r="10328" spans="25:25" x14ac:dyDescent="0.2">
      <c r="Y10328" s="97"/>
    </row>
    <row r="10329" spans="25:25" x14ac:dyDescent="0.2">
      <c r="Y10329" s="97"/>
    </row>
    <row r="10330" spans="25:25" x14ac:dyDescent="0.2">
      <c r="Y10330" s="97"/>
    </row>
    <row r="10331" spans="25:25" x14ac:dyDescent="0.2">
      <c r="Y10331" s="97"/>
    </row>
    <row r="10332" spans="25:25" x14ac:dyDescent="0.2">
      <c r="Y10332" s="97"/>
    </row>
    <row r="10333" spans="25:25" x14ac:dyDescent="0.2">
      <c r="Y10333" s="97"/>
    </row>
    <row r="10334" spans="25:25" x14ac:dyDescent="0.2">
      <c r="Y10334" s="97"/>
    </row>
    <row r="10335" spans="25:25" x14ac:dyDescent="0.2">
      <c r="Y10335" s="97"/>
    </row>
    <row r="10336" spans="25:25" x14ac:dyDescent="0.2">
      <c r="Y10336" s="97"/>
    </row>
    <row r="10337" spans="25:25" x14ac:dyDescent="0.2">
      <c r="Y10337" s="97"/>
    </row>
    <row r="10338" spans="25:25" x14ac:dyDescent="0.2">
      <c r="Y10338" s="97"/>
    </row>
    <row r="10339" spans="25:25" x14ac:dyDescent="0.2">
      <c r="Y10339" s="97"/>
    </row>
    <row r="10340" spans="25:25" x14ac:dyDescent="0.2">
      <c r="Y10340" s="97"/>
    </row>
    <row r="10341" spans="25:25" x14ac:dyDescent="0.2">
      <c r="Y10341" s="97"/>
    </row>
    <row r="10342" spans="25:25" x14ac:dyDescent="0.2">
      <c r="Y10342" s="97"/>
    </row>
    <row r="10343" spans="25:25" x14ac:dyDescent="0.2">
      <c r="Y10343" s="97"/>
    </row>
    <row r="10344" spans="25:25" x14ac:dyDescent="0.2">
      <c r="Y10344" s="97"/>
    </row>
    <row r="10345" spans="25:25" x14ac:dyDescent="0.2">
      <c r="Y10345" s="97"/>
    </row>
    <row r="10346" spans="25:25" x14ac:dyDescent="0.2">
      <c r="Y10346" s="97"/>
    </row>
    <row r="10347" spans="25:25" x14ac:dyDescent="0.2">
      <c r="Y10347" s="97"/>
    </row>
    <row r="10348" spans="25:25" x14ac:dyDescent="0.2">
      <c r="Y10348" s="97"/>
    </row>
    <row r="10349" spans="25:25" x14ac:dyDescent="0.2">
      <c r="Y10349" s="97"/>
    </row>
    <row r="10350" spans="25:25" x14ac:dyDescent="0.2">
      <c r="Y10350" s="97"/>
    </row>
    <row r="10351" spans="25:25" x14ac:dyDescent="0.2">
      <c r="Y10351" s="97"/>
    </row>
    <row r="10352" spans="25:25" x14ac:dyDescent="0.2">
      <c r="Y10352" s="97"/>
    </row>
    <row r="10353" spans="25:25" x14ac:dyDescent="0.2">
      <c r="Y10353" s="97"/>
    </row>
    <row r="10354" spans="25:25" x14ac:dyDescent="0.2">
      <c r="Y10354" s="97"/>
    </row>
    <row r="10355" spans="25:25" x14ac:dyDescent="0.2">
      <c r="Y10355" s="97"/>
    </row>
    <row r="10356" spans="25:25" x14ac:dyDescent="0.2">
      <c r="Y10356" s="97"/>
    </row>
    <row r="10357" spans="25:25" x14ac:dyDescent="0.2">
      <c r="Y10357" s="97"/>
    </row>
    <row r="10358" spans="25:25" x14ac:dyDescent="0.2">
      <c r="Y10358" s="97"/>
    </row>
    <row r="10359" spans="25:25" x14ac:dyDescent="0.2">
      <c r="Y10359" s="97"/>
    </row>
    <row r="10360" spans="25:25" x14ac:dyDescent="0.2">
      <c r="Y10360" s="97"/>
    </row>
    <row r="10361" spans="25:25" x14ac:dyDescent="0.2">
      <c r="Y10361" s="97"/>
    </row>
    <row r="10362" spans="25:25" x14ac:dyDescent="0.2">
      <c r="Y10362" s="97"/>
    </row>
    <row r="10363" spans="25:25" x14ac:dyDescent="0.2">
      <c r="Y10363" s="97"/>
    </row>
    <row r="10364" spans="25:25" x14ac:dyDescent="0.2">
      <c r="Y10364" s="97"/>
    </row>
    <row r="10365" spans="25:25" x14ac:dyDescent="0.2">
      <c r="Y10365" s="97"/>
    </row>
    <row r="10366" spans="25:25" x14ac:dyDescent="0.2">
      <c r="Y10366" s="97"/>
    </row>
    <row r="10367" spans="25:25" x14ac:dyDescent="0.2">
      <c r="Y10367" s="97"/>
    </row>
    <row r="10368" spans="25:25" x14ac:dyDescent="0.2">
      <c r="Y10368" s="97"/>
    </row>
    <row r="10369" spans="25:25" x14ac:dyDescent="0.2">
      <c r="Y10369" s="97"/>
    </row>
    <row r="10370" spans="25:25" x14ac:dyDescent="0.2">
      <c r="Y10370" s="97"/>
    </row>
    <row r="10371" spans="25:25" x14ac:dyDescent="0.2">
      <c r="Y10371" s="97"/>
    </row>
    <row r="10372" spans="25:25" x14ac:dyDescent="0.2">
      <c r="Y10372" s="97"/>
    </row>
    <row r="10373" spans="25:25" x14ac:dyDescent="0.2">
      <c r="Y10373" s="97"/>
    </row>
    <row r="10374" spans="25:25" x14ac:dyDescent="0.2">
      <c r="Y10374" s="97"/>
    </row>
    <row r="10375" spans="25:25" x14ac:dyDescent="0.2">
      <c r="Y10375" s="97"/>
    </row>
    <row r="10376" spans="25:25" x14ac:dyDescent="0.2">
      <c r="Y10376" s="97"/>
    </row>
    <row r="10377" spans="25:25" x14ac:dyDescent="0.2">
      <c r="Y10377" s="97"/>
    </row>
    <row r="10378" spans="25:25" x14ac:dyDescent="0.2">
      <c r="Y10378" s="97"/>
    </row>
    <row r="10379" spans="25:25" x14ac:dyDescent="0.2">
      <c r="Y10379" s="97"/>
    </row>
    <row r="10380" spans="25:25" x14ac:dyDescent="0.2">
      <c r="Y10380" s="97"/>
    </row>
    <row r="10381" spans="25:25" x14ac:dyDescent="0.2">
      <c r="Y10381" s="97"/>
    </row>
    <row r="10382" spans="25:25" x14ac:dyDescent="0.2">
      <c r="Y10382" s="97"/>
    </row>
    <row r="10383" spans="25:25" x14ac:dyDescent="0.2">
      <c r="Y10383" s="97"/>
    </row>
    <row r="10384" spans="25:25" x14ac:dyDescent="0.2">
      <c r="Y10384" s="97"/>
    </row>
    <row r="10385" spans="25:25" x14ac:dyDescent="0.2">
      <c r="Y10385" s="97"/>
    </row>
    <row r="10386" spans="25:25" x14ac:dyDescent="0.2">
      <c r="Y10386" s="97"/>
    </row>
    <row r="10387" spans="25:25" x14ac:dyDescent="0.2">
      <c r="Y10387" s="97"/>
    </row>
    <row r="10388" spans="25:25" x14ac:dyDescent="0.2">
      <c r="Y10388" s="97"/>
    </row>
    <row r="10389" spans="25:25" x14ac:dyDescent="0.2">
      <c r="Y10389" s="97"/>
    </row>
    <row r="10390" spans="25:25" x14ac:dyDescent="0.2">
      <c r="Y10390" s="97"/>
    </row>
    <row r="10391" spans="25:25" x14ac:dyDescent="0.2">
      <c r="Y10391" s="97"/>
    </row>
    <row r="10392" spans="25:25" x14ac:dyDescent="0.2">
      <c r="Y10392" s="97"/>
    </row>
    <row r="10393" spans="25:25" x14ac:dyDescent="0.2">
      <c r="Y10393" s="97"/>
    </row>
    <row r="10394" spans="25:25" x14ac:dyDescent="0.2">
      <c r="Y10394" s="97"/>
    </row>
    <row r="10395" spans="25:25" x14ac:dyDescent="0.2">
      <c r="Y10395" s="97"/>
    </row>
    <row r="10396" spans="25:25" x14ac:dyDescent="0.2">
      <c r="Y10396" s="97"/>
    </row>
    <row r="10397" spans="25:25" x14ac:dyDescent="0.2">
      <c r="Y10397" s="97"/>
    </row>
    <row r="10398" spans="25:25" x14ac:dyDescent="0.2">
      <c r="Y10398" s="97"/>
    </row>
    <row r="10399" spans="25:25" x14ac:dyDescent="0.2">
      <c r="Y10399" s="97"/>
    </row>
    <row r="10400" spans="25:25" x14ac:dyDescent="0.2">
      <c r="Y10400" s="97"/>
    </row>
    <row r="10401" spans="25:25" x14ac:dyDescent="0.2">
      <c r="Y10401" s="97"/>
    </row>
    <row r="10402" spans="25:25" x14ac:dyDescent="0.2">
      <c r="Y10402" s="97"/>
    </row>
    <row r="10403" spans="25:25" x14ac:dyDescent="0.2">
      <c r="Y10403" s="97"/>
    </row>
    <row r="10404" spans="25:25" x14ac:dyDescent="0.2">
      <c r="Y10404" s="97"/>
    </row>
    <row r="10405" spans="25:25" x14ac:dyDescent="0.2">
      <c r="Y10405" s="97"/>
    </row>
    <row r="10406" spans="25:25" x14ac:dyDescent="0.2">
      <c r="Y10406" s="97"/>
    </row>
    <row r="10407" spans="25:25" x14ac:dyDescent="0.2">
      <c r="Y10407" s="97"/>
    </row>
    <row r="10408" spans="25:25" x14ac:dyDescent="0.2">
      <c r="Y10408" s="97"/>
    </row>
    <row r="10409" spans="25:25" x14ac:dyDescent="0.2">
      <c r="Y10409" s="97"/>
    </row>
    <row r="10410" spans="25:25" x14ac:dyDescent="0.2">
      <c r="Y10410" s="97"/>
    </row>
    <row r="10411" spans="25:25" x14ac:dyDescent="0.2">
      <c r="Y10411" s="97"/>
    </row>
    <row r="10412" spans="25:25" x14ac:dyDescent="0.2">
      <c r="Y10412" s="97"/>
    </row>
    <row r="10413" spans="25:25" x14ac:dyDescent="0.2">
      <c r="Y10413" s="97"/>
    </row>
    <row r="10414" spans="25:25" x14ac:dyDescent="0.2">
      <c r="Y10414" s="97"/>
    </row>
    <row r="10415" spans="25:25" x14ac:dyDescent="0.2">
      <c r="Y10415" s="97"/>
    </row>
    <row r="10416" spans="25:25" x14ac:dyDescent="0.2">
      <c r="Y10416" s="97"/>
    </row>
    <row r="10417" spans="25:25" x14ac:dyDescent="0.2">
      <c r="Y10417" s="97"/>
    </row>
    <row r="10418" spans="25:25" x14ac:dyDescent="0.2">
      <c r="Y10418" s="97"/>
    </row>
    <row r="10419" spans="25:25" x14ac:dyDescent="0.2">
      <c r="Y10419" s="97"/>
    </row>
    <row r="10420" spans="25:25" x14ac:dyDescent="0.2">
      <c r="Y10420" s="97"/>
    </row>
    <row r="10421" spans="25:25" x14ac:dyDescent="0.2">
      <c r="Y10421" s="97"/>
    </row>
    <row r="10422" spans="25:25" x14ac:dyDescent="0.2">
      <c r="Y10422" s="97"/>
    </row>
    <row r="10423" spans="25:25" x14ac:dyDescent="0.2">
      <c r="Y10423" s="97"/>
    </row>
    <row r="10424" spans="25:25" x14ac:dyDescent="0.2">
      <c r="Y10424" s="97"/>
    </row>
    <row r="10425" spans="25:25" x14ac:dyDescent="0.2">
      <c r="Y10425" s="97"/>
    </row>
    <row r="10426" spans="25:25" x14ac:dyDescent="0.2">
      <c r="Y10426" s="97"/>
    </row>
    <row r="10427" spans="25:25" x14ac:dyDescent="0.2">
      <c r="Y10427" s="97"/>
    </row>
    <row r="10428" spans="25:25" x14ac:dyDescent="0.2">
      <c r="Y10428" s="97"/>
    </row>
    <row r="10429" spans="25:25" x14ac:dyDescent="0.2">
      <c r="Y10429" s="97"/>
    </row>
    <row r="10430" spans="25:25" x14ac:dyDescent="0.2">
      <c r="Y10430" s="97"/>
    </row>
    <row r="10431" spans="25:25" x14ac:dyDescent="0.2">
      <c r="Y10431" s="97"/>
    </row>
    <row r="10432" spans="25:25" x14ac:dyDescent="0.2">
      <c r="Y10432" s="97"/>
    </row>
    <row r="10433" spans="25:25" x14ac:dyDescent="0.2">
      <c r="Y10433" s="97"/>
    </row>
    <row r="10434" spans="25:25" x14ac:dyDescent="0.2">
      <c r="Y10434" s="97"/>
    </row>
    <row r="10435" spans="25:25" x14ac:dyDescent="0.2">
      <c r="Y10435" s="97"/>
    </row>
    <row r="10436" spans="25:25" x14ac:dyDescent="0.2">
      <c r="Y10436" s="97"/>
    </row>
    <row r="10437" spans="25:25" x14ac:dyDescent="0.2">
      <c r="Y10437" s="97"/>
    </row>
    <row r="10438" spans="25:25" x14ac:dyDescent="0.2">
      <c r="Y10438" s="97"/>
    </row>
    <row r="10439" spans="25:25" x14ac:dyDescent="0.2">
      <c r="Y10439" s="97"/>
    </row>
    <row r="10440" spans="25:25" x14ac:dyDescent="0.2">
      <c r="Y10440" s="97"/>
    </row>
    <row r="10441" spans="25:25" x14ac:dyDescent="0.2">
      <c r="Y10441" s="97"/>
    </row>
    <row r="10442" spans="25:25" x14ac:dyDescent="0.2">
      <c r="Y10442" s="97"/>
    </row>
    <row r="10443" spans="25:25" x14ac:dyDescent="0.2">
      <c r="Y10443" s="97"/>
    </row>
    <row r="10444" spans="25:25" x14ac:dyDescent="0.2">
      <c r="Y10444" s="97"/>
    </row>
    <row r="10445" spans="25:25" x14ac:dyDescent="0.2">
      <c r="Y10445" s="97"/>
    </row>
    <row r="10446" spans="25:25" x14ac:dyDescent="0.2">
      <c r="Y10446" s="97"/>
    </row>
    <row r="10447" spans="25:25" x14ac:dyDescent="0.2">
      <c r="Y10447" s="97"/>
    </row>
    <row r="10448" spans="25:25" x14ac:dyDescent="0.2">
      <c r="Y10448" s="97"/>
    </row>
    <row r="10449" spans="25:25" x14ac:dyDescent="0.2">
      <c r="Y10449" s="97"/>
    </row>
    <row r="10450" spans="25:25" x14ac:dyDescent="0.2">
      <c r="Y10450" s="97"/>
    </row>
    <row r="10451" spans="25:25" x14ac:dyDescent="0.2">
      <c r="Y10451" s="97"/>
    </row>
    <row r="10452" spans="25:25" x14ac:dyDescent="0.2">
      <c r="Y10452" s="97"/>
    </row>
    <row r="10453" spans="25:25" x14ac:dyDescent="0.2">
      <c r="Y10453" s="97"/>
    </row>
    <row r="10454" spans="25:25" x14ac:dyDescent="0.2">
      <c r="Y10454" s="97"/>
    </row>
    <row r="10455" spans="25:25" x14ac:dyDescent="0.2">
      <c r="Y10455" s="97"/>
    </row>
    <row r="10456" spans="25:25" x14ac:dyDescent="0.2">
      <c r="Y10456" s="97"/>
    </row>
    <row r="10457" spans="25:25" x14ac:dyDescent="0.2">
      <c r="Y10457" s="97"/>
    </row>
    <row r="10458" spans="25:25" x14ac:dyDescent="0.2">
      <c r="Y10458" s="97"/>
    </row>
    <row r="10459" spans="25:25" x14ac:dyDescent="0.2">
      <c r="Y10459" s="97"/>
    </row>
    <row r="10460" spans="25:25" x14ac:dyDescent="0.2">
      <c r="Y10460" s="97"/>
    </row>
    <row r="10461" spans="25:25" x14ac:dyDescent="0.2">
      <c r="Y10461" s="97"/>
    </row>
    <row r="10462" spans="25:25" x14ac:dyDescent="0.2">
      <c r="Y10462" s="97"/>
    </row>
    <row r="10463" spans="25:25" x14ac:dyDescent="0.2">
      <c r="Y10463" s="97"/>
    </row>
    <row r="10464" spans="25:25" x14ac:dyDescent="0.2">
      <c r="Y10464" s="97"/>
    </row>
    <row r="10465" spans="25:25" x14ac:dyDescent="0.2">
      <c r="Y10465" s="97"/>
    </row>
    <row r="10466" spans="25:25" x14ac:dyDescent="0.2">
      <c r="Y10466" s="97"/>
    </row>
    <row r="10467" spans="25:25" x14ac:dyDescent="0.2">
      <c r="Y10467" s="97"/>
    </row>
    <row r="10468" spans="25:25" x14ac:dyDescent="0.2">
      <c r="Y10468" s="97"/>
    </row>
    <row r="10469" spans="25:25" x14ac:dyDescent="0.2">
      <c r="Y10469" s="97"/>
    </row>
    <row r="10470" spans="25:25" x14ac:dyDescent="0.2">
      <c r="Y10470" s="97"/>
    </row>
    <row r="10471" spans="25:25" x14ac:dyDescent="0.2">
      <c r="Y10471" s="97"/>
    </row>
    <row r="10472" spans="25:25" x14ac:dyDescent="0.2">
      <c r="Y10472" s="97"/>
    </row>
    <row r="10473" spans="25:25" x14ac:dyDescent="0.2">
      <c r="Y10473" s="97"/>
    </row>
    <row r="10474" spans="25:25" x14ac:dyDescent="0.2">
      <c r="Y10474" s="97"/>
    </row>
    <row r="10475" spans="25:25" x14ac:dyDescent="0.2">
      <c r="Y10475" s="97"/>
    </row>
    <row r="10476" spans="25:25" x14ac:dyDescent="0.2">
      <c r="Y10476" s="97"/>
    </row>
    <row r="10477" spans="25:25" x14ac:dyDescent="0.2">
      <c r="Y10477" s="97"/>
    </row>
    <row r="10478" spans="25:25" x14ac:dyDescent="0.2">
      <c r="Y10478" s="97"/>
    </row>
    <row r="10479" spans="25:25" x14ac:dyDescent="0.2">
      <c r="Y10479" s="97"/>
    </row>
    <row r="10480" spans="25:25" x14ac:dyDescent="0.2">
      <c r="Y10480" s="97"/>
    </row>
    <row r="10481" spans="25:25" x14ac:dyDescent="0.2">
      <c r="Y10481" s="97"/>
    </row>
    <row r="10482" spans="25:25" x14ac:dyDescent="0.2">
      <c r="Y10482" s="97"/>
    </row>
    <row r="10483" spans="25:25" x14ac:dyDescent="0.2">
      <c r="Y10483" s="97"/>
    </row>
    <row r="10484" spans="25:25" x14ac:dyDescent="0.2">
      <c r="Y10484" s="97"/>
    </row>
    <row r="10485" spans="25:25" x14ac:dyDescent="0.2">
      <c r="Y10485" s="97"/>
    </row>
    <row r="10486" spans="25:25" x14ac:dyDescent="0.2">
      <c r="Y10486" s="97"/>
    </row>
    <row r="10487" spans="25:25" x14ac:dyDescent="0.2">
      <c r="Y10487" s="97"/>
    </row>
    <row r="10488" spans="25:25" x14ac:dyDescent="0.2">
      <c r="Y10488" s="97"/>
    </row>
    <row r="10489" spans="25:25" x14ac:dyDescent="0.2">
      <c r="Y10489" s="97"/>
    </row>
    <row r="10490" spans="25:25" x14ac:dyDescent="0.2">
      <c r="Y10490" s="97"/>
    </row>
    <row r="10491" spans="25:25" x14ac:dyDescent="0.2">
      <c r="Y10491" s="97"/>
    </row>
    <row r="10492" spans="25:25" x14ac:dyDescent="0.2">
      <c r="Y10492" s="97"/>
    </row>
    <row r="10493" spans="25:25" x14ac:dyDescent="0.2">
      <c r="Y10493" s="97"/>
    </row>
    <row r="10494" spans="25:25" x14ac:dyDescent="0.2">
      <c r="Y10494" s="97"/>
    </row>
    <row r="10495" spans="25:25" x14ac:dyDescent="0.2">
      <c r="Y10495" s="97"/>
    </row>
    <row r="10496" spans="25:25" x14ac:dyDescent="0.2">
      <c r="Y10496" s="97"/>
    </row>
    <row r="10497" spans="25:25" x14ac:dyDescent="0.2">
      <c r="Y10497" s="97"/>
    </row>
    <row r="10498" spans="25:25" x14ac:dyDescent="0.2">
      <c r="Y10498" s="97"/>
    </row>
    <row r="10499" spans="25:25" x14ac:dyDescent="0.2">
      <c r="Y10499" s="97"/>
    </row>
    <row r="10500" spans="25:25" x14ac:dyDescent="0.2">
      <c r="Y10500" s="97"/>
    </row>
    <row r="10501" spans="25:25" x14ac:dyDescent="0.2">
      <c r="Y10501" s="97"/>
    </row>
    <row r="10502" spans="25:25" x14ac:dyDescent="0.2">
      <c r="Y10502" s="97"/>
    </row>
    <row r="10503" spans="25:25" x14ac:dyDescent="0.2">
      <c r="Y10503" s="97"/>
    </row>
    <row r="10504" spans="25:25" x14ac:dyDescent="0.2">
      <c r="Y10504" s="97"/>
    </row>
    <row r="10505" spans="25:25" x14ac:dyDescent="0.2">
      <c r="Y10505" s="97"/>
    </row>
    <row r="10506" spans="25:25" x14ac:dyDescent="0.2">
      <c r="Y10506" s="97"/>
    </row>
    <row r="10507" spans="25:25" x14ac:dyDescent="0.2">
      <c r="Y10507" s="97"/>
    </row>
    <row r="10508" spans="25:25" x14ac:dyDescent="0.2">
      <c r="Y10508" s="97"/>
    </row>
    <row r="10509" spans="25:25" x14ac:dyDescent="0.2">
      <c r="Y10509" s="97"/>
    </row>
    <row r="10510" spans="25:25" x14ac:dyDescent="0.2">
      <c r="Y10510" s="97"/>
    </row>
    <row r="10511" spans="25:25" x14ac:dyDescent="0.2">
      <c r="Y10511" s="97"/>
    </row>
    <row r="10512" spans="25:25" x14ac:dyDescent="0.2">
      <c r="Y10512" s="97"/>
    </row>
    <row r="10513" spans="25:25" x14ac:dyDescent="0.2">
      <c r="Y10513" s="97"/>
    </row>
    <row r="10514" spans="25:25" x14ac:dyDescent="0.2">
      <c r="Y10514" s="97"/>
    </row>
    <row r="10515" spans="25:25" x14ac:dyDescent="0.2">
      <c r="Y10515" s="97"/>
    </row>
    <row r="10516" spans="25:25" x14ac:dyDescent="0.2">
      <c r="Y10516" s="97"/>
    </row>
    <row r="10517" spans="25:25" x14ac:dyDescent="0.2">
      <c r="Y10517" s="97"/>
    </row>
    <row r="10518" spans="25:25" x14ac:dyDescent="0.2">
      <c r="Y10518" s="97"/>
    </row>
    <row r="10519" spans="25:25" x14ac:dyDescent="0.2">
      <c r="Y10519" s="97"/>
    </row>
    <row r="10520" spans="25:25" x14ac:dyDescent="0.2">
      <c r="Y10520" s="97"/>
    </row>
    <row r="10521" spans="25:25" x14ac:dyDescent="0.2">
      <c r="Y10521" s="97"/>
    </row>
    <row r="10522" spans="25:25" x14ac:dyDescent="0.2">
      <c r="Y10522" s="97"/>
    </row>
    <row r="10523" spans="25:25" x14ac:dyDescent="0.2">
      <c r="Y10523" s="97"/>
    </row>
    <row r="10524" spans="25:25" x14ac:dyDescent="0.2">
      <c r="Y10524" s="97"/>
    </row>
    <row r="10525" spans="25:25" x14ac:dyDescent="0.2">
      <c r="Y10525" s="97"/>
    </row>
    <row r="10526" spans="25:25" x14ac:dyDescent="0.2">
      <c r="Y10526" s="97"/>
    </row>
    <row r="10527" spans="25:25" x14ac:dyDescent="0.2">
      <c r="Y10527" s="97"/>
    </row>
    <row r="10528" spans="25:25" x14ac:dyDescent="0.2">
      <c r="Y10528" s="97"/>
    </row>
    <row r="10529" spans="25:25" x14ac:dyDescent="0.2">
      <c r="Y10529" s="97"/>
    </row>
    <row r="10530" spans="25:25" x14ac:dyDescent="0.2">
      <c r="Y10530" s="97"/>
    </row>
    <row r="10531" spans="25:25" x14ac:dyDescent="0.2">
      <c r="Y10531" s="97"/>
    </row>
    <row r="10532" spans="25:25" x14ac:dyDescent="0.2">
      <c r="Y10532" s="97"/>
    </row>
    <row r="10533" spans="25:25" x14ac:dyDescent="0.2">
      <c r="Y10533" s="97"/>
    </row>
    <row r="10534" spans="25:25" x14ac:dyDescent="0.2">
      <c r="Y10534" s="97"/>
    </row>
    <row r="10535" spans="25:25" x14ac:dyDescent="0.2">
      <c r="Y10535" s="97"/>
    </row>
    <row r="10536" spans="25:25" x14ac:dyDescent="0.2">
      <c r="Y10536" s="97"/>
    </row>
    <row r="10537" spans="25:25" x14ac:dyDescent="0.2">
      <c r="Y10537" s="97"/>
    </row>
    <row r="10538" spans="25:25" x14ac:dyDescent="0.2">
      <c r="Y10538" s="97"/>
    </row>
    <row r="10539" spans="25:25" x14ac:dyDescent="0.2">
      <c r="Y10539" s="97"/>
    </row>
    <row r="10540" spans="25:25" x14ac:dyDescent="0.2">
      <c r="Y10540" s="97"/>
    </row>
    <row r="10541" spans="25:25" x14ac:dyDescent="0.2">
      <c r="Y10541" s="97"/>
    </row>
    <row r="10542" spans="25:25" x14ac:dyDescent="0.2">
      <c r="Y10542" s="97"/>
    </row>
    <row r="10543" spans="25:25" x14ac:dyDescent="0.2">
      <c r="Y10543" s="97"/>
    </row>
    <row r="10544" spans="25:25" x14ac:dyDescent="0.2">
      <c r="Y10544" s="97"/>
    </row>
    <row r="10545" spans="25:25" x14ac:dyDescent="0.2">
      <c r="Y10545" s="97"/>
    </row>
    <row r="10546" spans="25:25" x14ac:dyDescent="0.2">
      <c r="Y10546" s="97"/>
    </row>
    <row r="10547" spans="25:25" x14ac:dyDescent="0.2">
      <c r="Y10547" s="97"/>
    </row>
    <row r="10548" spans="25:25" x14ac:dyDescent="0.2">
      <c r="Y10548" s="97"/>
    </row>
    <row r="10549" spans="25:25" x14ac:dyDescent="0.2">
      <c r="Y10549" s="97"/>
    </row>
    <row r="10550" spans="25:25" x14ac:dyDescent="0.2">
      <c r="Y10550" s="97"/>
    </row>
    <row r="10551" spans="25:25" x14ac:dyDescent="0.2">
      <c r="Y10551" s="97"/>
    </row>
    <row r="10552" spans="25:25" x14ac:dyDescent="0.2">
      <c r="Y10552" s="97"/>
    </row>
    <row r="10553" spans="25:25" x14ac:dyDescent="0.2">
      <c r="Y10553" s="97"/>
    </row>
    <row r="10554" spans="25:25" x14ac:dyDescent="0.2">
      <c r="Y10554" s="97"/>
    </row>
    <row r="10555" spans="25:25" x14ac:dyDescent="0.2">
      <c r="Y10555" s="97"/>
    </row>
    <row r="10556" spans="25:25" x14ac:dyDescent="0.2">
      <c r="Y10556" s="97"/>
    </row>
    <row r="10557" spans="25:25" x14ac:dyDescent="0.2">
      <c r="Y10557" s="97"/>
    </row>
    <row r="10558" spans="25:25" x14ac:dyDescent="0.2">
      <c r="Y10558" s="97"/>
    </row>
    <row r="10559" spans="25:25" x14ac:dyDescent="0.2">
      <c r="Y10559" s="97"/>
    </row>
    <row r="10560" spans="25:25" x14ac:dyDescent="0.2">
      <c r="Y10560" s="97"/>
    </row>
    <row r="10561" spans="25:25" x14ac:dyDescent="0.2">
      <c r="Y10561" s="97"/>
    </row>
    <row r="10562" spans="25:25" x14ac:dyDescent="0.2">
      <c r="Y10562" s="97"/>
    </row>
    <row r="10563" spans="25:25" x14ac:dyDescent="0.2">
      <c r="Y10563" s="97"/>
    </row>
    <row r="10564" spans="25:25" x14ac:dyDescent="0.2">
      <c r="Y10564" s="97"/>
    </row>
    <row r="10565" spans="25:25" x14ac:dyDescent="0.2">
      <c r="Y10565" s="97"/>
    </row>
    <row r="10566" spans="25:25" x14ac:dyDescent="0.2">
      <c r="Y10566" s="97"/>
    </row>
    <row r="10567" spans="25:25" x14ac:dyDescent="0.2">
      <c r="Y10567" s="97"/>
    </row>
    <row r="10568" spans="25:25" x14ac:dyDescent="0.2">
      <c r="Y10568" s="97"/>
    </row>
    <row r="10569" spans="25:25" x14ac:dyDescent="0.2">
      <c r="Y10569" s="97"/>
    </row>
    <row r="10570" spans="25:25" x14ac:dyDescent="0.2">
      <c r="Y10570" s="97"/>
    </row>
    <row r="10571" spans="25:25" x14ac:dyDescent="0.2">
      <c r="Y10571" s="97"/>
    </row>
    <row r="10572" spans="25:25" x14ac:dyDescent="0.2">
      <c r="Y10572" s="97"/>
    </row>
    <row r="10573" spans="25:25" x14ac:dyDescent="0.2">
      <c r="Y10573" s="97"/>
    </row>
    <row r="10574" spans="25:25" x14ac:dyDescent="0.2">
      <c r="Y10574" s="97"/>
    </row>
    <row r="10575" spans="25:25" x14ac:dyDescent="0.2">
      <c r="Y10575" s="97"/>
    </row>
    <row r="10576" spans="25:25" x14ac:dyDescent="0.2">
      <c r="Y10576" s="97"/>
    </row>
    <row r="10577" spans="25:25" x14ac:dyDescent="0.2">
      <c r="Y10577" s="97"/>
    </row>
    <row r="10578" spans="25:25" x14ac:dyDescent="0.2">
      <c r="Y10578" s="97"/>
    </row>
    <row r="10579" spans="25:25" x14ac:dyDescent="0.2">
      <c r="Y10579" s="97"/>
    </row>
    <row r="10580" spans="25:25" x14ac:dyDescent="0.2">
      <c r="Y10580" s="97"/>
    </row>
    <row r="10581" spans="25:25" x14ac:dyDescent="0.2">
      <c r="Y10581" s="97"/>
    </row>
    <row r="10582" spans="25:25" x14ac:dyDescent="0.2">
      <c r="Y10582" s="97"/>
    </row>
    <row r="10583" spans="25:25" x14ac:dyDescent="0.2">
      <c r="Y10583" s="97"/>
    </row>
    <row r="10584" spans="25:25" x14ac:dyDescent="0.2">
      <c r="Y10584" s="97"/>
    </row>
    <row r="10585" spans="25:25" x14ac:dyDescent="0.2">
      <c r="Y10585" s="97"/>
    </row>
    <row r="10586" spans="25:25" x14ac:dyDescent="0.2">
      <c r="Y10586" s="97"/>
    </row>
    <row r="10587" spans="25:25" x14ac:dyDescent="0.2">
      <c r="Y10587" s="97"/>
    </row>
    <row r="10588" spans="25:25" x14ac:dyDescent="0.2">
      <c r="Y10588" s="97"/>
    </row>
    <row r="10589" spans="25:25" x14ac:dyDescent="0.2">
      <c r="Y10589" s="97"/>
    </row>
    <row r="10590" spans="25:25" x14ac:dyDescent="0.2">
      <c r="Y10590" s="97"/>
    </row>
    <row r="10591" spans="25:25" x14ac:dyDescent="0.2">
      <c r="Y10591" s="97"/>
    </row>
    <row r="10592" spans="25:25" x14ac:dyDescent="0.2">
      <c r="Y10592" s="97"/>
    </row>
    <row r="10593" spans="25:25" x14ac:dyDescent="0.2">
      <c r="Y10593" s="97"/>
    </row>
    <row r="10594" spans="25:25" x14ac:dyDescent="0.2">
      <c r="Y10594" s="97"/>
    </row>
    <row r="10595" spans="25:25" x14ac:dyDescent="0.2">
      <c r="Y10595" s="97"/>
    </row>
    <row r="10596" spans="25:25" x14ac:dyDescent="0.2">
      <c r="Y10596" s="97"/>
    </row>
    <row r="10597" spans="25:25" x14ac:dyDescent="0.2">
      <c r="Y10597" s="97"/>
    </row>
    <row r="10598" spans="25:25" x14ac:dyDescent="0.2">
      <c r="Y10598" s="97"/>
    </row>
    <row r="10599" spans="25:25" x14ac:dyDescent="0.2">
      <c r="Y10599" s="97"/>
    </row>
    <row r="10600" spans="25:25" x14ac:dyDescent="0.2">
      <c r="Y10600" s="97"/>
    </row>
    <row r="10601" spans="25:25" x14ac:dyDescent="0.2">
      <c r="Y10601" s="97"/>
    </row>
    <row r="10602" spans="25:25" x14ac:dyDescent="0.2">
      <c r="Y10602" s="97"/>
    </row>
    <row r="10603" spans="25:25" x14ac:dyDescent="0.2">
      <c r="Y10603" s="97"/>
    </row>
    <row r="10604" spans="25:25" x14ac:dyDescent="0.2">
      <c r="Y10604" s="97"/>
    </row>
    <row r="10605" spans="25:25" x14ac:dyDescent="0.2">
      <c r="Y10605" s="97"/>
    </row>
    <row r="10606" spans="25:25" x14ac:dyDescent="0.2">
      <c r="Y10606" s="97"/>
    </row>
    <row r="10607" spans="25:25" x14ac:dyDescent="0.2">
      <c r="Y10607" s="97"/>
    </row>
    <row r="10608" spans="25:25" x14ac:dyDescent="0.2">
      <c r="Y10608" s="97"/>
    </row>
    <row r="10609" spans="25:25" x14ac:dyDescent="0.2">
      <c r="Y10609" s="97"/>
    </row>
    <row r="10610" spans="25:25" x14ac:dyDescent="0.2">
      <c r="Y10610" s="97"/>
    </row>
    <row r="10611" spans="25:25" x14ac:dyDescent="0.2">
      <c r="Y10611" s="97"/>
    </row>
    <row r="10612" spans="25:25" x14ac:dyDescent="0.2">
      <c r="Y10612" s="97"/>
    </row>
    <row r="10613" spans="25:25" x14ac:dyDescent="0.2">
      <c r="Y10613" s="97"/>
    </row>
    <row r="10614" spans="25:25" x14ac:dyDescent="0.2">
      <c r="Y10614" s="97"/>
    </row>
    <row r="10615" spans="25:25" x14ac:dyDescent="0.2">
      <c r="Y10615" s="97"/>
    </row>
    <row r="10616" spans="25:25" x14ac:dyDescent="0.2">
      <c r="Y10616" s="97"/>
    </row>
    <row r="10617" spans="25:25" x14ac:dyDescent="0.2">
      <c r="Y10617" s="97"/>
    </row>
    <row r="10618" spans="25:25" x14ac:dyDescent="0.2">
      <c r="Y10618" s="97"/>
    </row>
    <row r="10619" spans="25:25" x14ac:dyDescent="0.2">
      <c r="Y10619" s="97"/>
    </row>
    <row r="10620" spans="25:25" x14ac:dyDescent="0.2">
      <c r="Y10620" s="97"/>
    </row>
    <row r="10621" spans="25:25" x14ac:dyDescent="0.2">
      <c r="Y10621" s="97"/>
    </row>
    <row r="10622" spans="25:25" x14ac:dyDescent="0.2">
      <c r="Y10622" s="97"/>
    </row>
    <row r="10623" spans="25:25" x14ac:dyDescent="0.2">
      <c r="Y10623" s="97"/>
    </row>
    <row r="10624" spans="25:25" x14ac:dyDescent="0.2">
      <c r="Y10624" s="97"/>
    </row>
    <row r="10625" spans="25:25" x14ac:dyDescent="0.2">
      <c r="Y10625" s="97"/>
    </row>
    <row r="10626" spans="25:25" x14ac:dyDescent="0.2">
      <c r="Y10626" s="97"/>
    </row>
    <row r="10627" spans="25:25" x14ac:dyDescent="0.2">
      <c r="Y10627" s="97"/>
    </row>
    <row r="10628" spans="25:25" x14ac:dyDescent="0.2">
      <c r="Y10628" s="97"/>
    </row>
    <row r="10629" spans="25:25" x14ac:dyDescent="0.2">
      <c r="Y10629" s="97"/>
    </row>
    <row r="10630" spans="25:25" x14ac:dyDescent="0.2">
      <c r="Y10630" s="97"/>
    </row>
    <row r="10631" spans="25:25" x14ac:dyDescent="0.2">
      <c r="Y10631" s="97"/>
    </row>
    <row r="10632" spans="25:25" x14ac:dyDescent="0.2">
      <c r="Y10632" s="97"/>
    </row>
    <row r="10633" spans="25:25" x14ac:dyDescent="0.2">
      <c r="Y10633" s="97"/>
    </row>
    <row r="10634" spans="25:25" x14ac:dyDescent="0.2">
      <c r="Y10634" s="97"/>
    </row>
    <row r="10635" spans="25:25" x14ac:dyDescent="0.2">
      <c r="Y10635" s="97"/>
    </row>
    <row r="10636" spans="25:25" x14ac:dyDescent="0.2">
      <c r="Y10636" s="97"/>
    </row>
    <row r="10637" spans="25:25" x14ac:dyDescent="0.2">
      <c r="Y10637" s="97"/>
    </row>
    <row r="10638" spans="25:25" x14ac:dyDescent="0.2">
      <c r="Y10638" s="97"/>
    </row>
    <row r="10639" spans="25:25" x14ac:dyDescent="0.2">
      <c r="Y10639" s="97"/>
    </row>
    <row r="10640" spans="25:25" x14ac:dyDescent="0.2">
      <c r="Y10640" s="97"/>
    </row>
    <row r="10641" spans="25:25" x14ac:dyDescent="0.2">
      <c r="Y10641" s="97"/>
    </row>
    <row r="10642" spans="25:25" x14ac:dyDescent="0.2">
      <c r="Y10642" s="97"/>
    </row>
    <row r="10643" spans="25:25" x14ac:dyDescent="0.2">
      <c r="Y10643" s="97"/>
    </row>
    <row r="10644" spans="25:25" x14ac:dyDescent="0.2">
      <c r="Y10644" s="97"/>
    </row>
    <row r="10645" spans="25:25" x14ac:dyDescent="0.2">
      <c r="Y10645" s="97"/>
    </row>
    <row r="10646" spans="25:25" x14ac:dyDescent="0.2">
      <c r="Y10646" s="97"/>
    </row>
    <row r="10647" spans="25:25" x14ac:dyDescent="0.2">
      <c r="Y10647" s="97"/>
    </row>
    <row r="10648" spans="25:25" x14ac:dyDescent="0.2">
      <c r="Y10648" s="97"/>
    </row>
    <row r="10649" spans="25:25" x14ac:dyDescent="0.2">
      <c r="Y10649" s="97"/>
    </row>
    <row r="10650" spans="25:25" x14ac:dyDescent="0.2">
      <c r="Y10650" s="97"/>
    </row>
    <row r="10651" spans="25:25" x14ac:dyDescent="0.2">
      <c r="Y10651" s="97"/>
    </row>
    <row r="10652" spans="25:25" x14ac:dyDescent="0.2">
      <c r="Y10652" s="97"/>
    </row>
    <row r="10653" spans="25:25" x14ac:dyDescent="0.2">
      <c r="Y10653" s="97"/>
    </row>
    <row r="10654" spans="25:25" x14ac:dyDescent="0.2">
      <c r="Y10654" s="97"/>
    </row>
    <row r="10655" spans="25:25" x14ac:dyDescent="0.2">
      <c r="Y10655" s="97"/>
    </row>
    <row r="10656" spans="25:25" x14ac:dyDescent="0.2">
      <c r="Y10656" s="97"/>
    </row>
    <row r="10657" spans="25:25" x14ac:dyDescent="0.2">
      <c r="Y10657" s="97"/>
    </row>
    <row r="10658" spans="25:25" x14ac:dyDescent="0.2">
      <c r="Y10658" s="97"/>
    </row>
    <row r="10659" spans="25:25" x14ac:dyDescent="0.2">
      <c r="Y10659" s="97"/>
    </row>
    <row r="10660" spans="25:25" x14ac:dyDescent="0.2">
      <c r="Y10660" s="97"/>
    </row>
    <row r="10661" spans="25:25" x14ac:dyDescent="0.2">
      <c r="Y10661" s="97"/>
    </row>
    <row r="10662" spans="25:25" x14ac:dyDescent="0.2">
      <c r="Y10662" s="97"/>
    </row>
    <row r="10663" spans="25:25" x14ac:dyDescent="0.2">
      <c r="Y10663" s="97"/>
    </row>
    <row r="10664" spans="25:25" x14ac:dyDescent="0.2">
      <c r="Y10664" s="97"/>
    </row>
    <row r="10665" spans="25:25" x14ac:dyDescent="0.2">
      <c r="Y10665" s="97"/>
    </row>
    <row r="10666" spans="25:25" x14ac:dyDescent="0.2">
      <c r="Y10666" s="97"/>
    </row>
    <row r="10667" spans="25:25" x14ac:dyDescent="0.2">
      <c r="Y10667" s="97"/>
    </row>
    <row r="10668" spans="25:25" x14ac:dyDescent="0.2">
      <c r="Y10668" s="97"/>
    </row>
    <row r="10669" spans="25:25" x14ac:dyDescent="0.2">
      <c r="Y10669" s="97"/>
    </row>
    <row r="10670" spans="25:25" x14ac:dyDescent="0.2">
      <c r="Y10670" s="97"/>
    </row>
    <row r="10671" spans="25:25" x14ac:dyDescent="0.2">
      <c r="Y10671" s="97"/>
    </row>
    <row r="10672" spans="25:25" x14ac:dyDescent="0.2">
      <c r="Y10672" s="97"/>
    </row>
    <row r="10673" spans="25:25" x14ac:dyDescent="0.2">
      <c r="Y10673" s="97"/>
    </row>
    <row r="10674" spans="25:25" x14ac:dyDescent="0.2">
      <c r="Y10674" s="97"/>
    </row>
    <row r="10675" spans="25:25" x14ac:dyDescent="0.2">
      <c r="Y10675" s="97"/>
    </row>
    <row r="10676" spans="25:25" x14ac:dyDescent="0.2">
      <c r="Y10676" s="97"/>
    </row>
    <row r="10677" spans="25:25" x14ac:dyDescent="0.2">
      <c r="Y10677" s="97"/>
    </row>
    <row r="10678" spans="25:25" x14ac:dyDescent="0.2">
      <c r="Y10678" s="97"/>
    </row>
    <row r="10679" spans="25:25" x14ac:dyDescent="0.2">
      <c r="Y10679" s="97"/>
    </row>
    <row r="10680" spans="25:25" x14ac:dyDescent="0.2">
      <c r="Y10680" s="97"/>
    </row>
    <row r="10681" spans="25:25" x14ac:dyDescent="0.2">
      <c r="Y10681" s="97"/>
    </row>
    <row r="10682" spans="25:25" x14ac:dyDescent="0.2">
      <c r="Y10682" s="97"/>
    </row>
    <row r="10683" spans="25:25" x14ac:dyDescent="0.2">
      <c r="Y10683" s="97"/>
    </row>
    <row r="10684" spans="25:25" x14ac:dyDescent="0.2">
      <c r="Y10684" s="97"/>
    </row>
    <row r="10685" spans="25:25" x14ac:dyDescent="0.2">
      <c r="Y10685" s="97"/>
    </row>
    <row r="10686" spans="25:25" x14ac:dyDescent="0.2">
      <c r="Y10686" s="97"/>
    </row>
    <row r="10687" spans="25:25" x14ac:dyDescent="0.2">
      <c r="Y10687" s="97"/>
    </row>
    <row r="10688" spans="25:25" x14ac:dyDescent="0.2">
      <c r="Y10688" s="97"/>
    </row>
    <row r="10689" spans="25:25" x14ac:dyDescent="0.2">
      <c r="Y10689" s="97"/>
    </row>
    <row r="10690" spans="25:25" x14ac:dyDescent="0.2">
      <c r="Y10690" s="97"/>
    </row>
    <row r="10691" spans="25:25" x14ac:dyDescent="0.2">
      <c r="Y10691" s="97"/>
    </row>
    <row r="10692" spans="25:25" x14ac:dyDescent="0.2">
      <c r="Y10692" s="97"/>
    </row>
    <row r="10693" spans="25:25" x14ac:dyDescent="0.2">
      <c r="Y10693" s="97"/>
    </row>
    <row r="10694" spans="25:25" x14ac:dyDescent="0.2">
      <c r="Y10694" s="97"/>
    </row>
    <row r="10695" spans="25:25" x14ac:dyDescent="0.2">
      <c r="Y10695" s="97"/>
    </row>
    <row r="10696" spans="25:25" x14ac:dyDescent="0.2">
      <c r="Y10696" s="97"/>
    </row>
    <row r="10697" spans="25:25" x14ac:dyDescent="0.2">
      <c r="Y10697" s="97"/>
    </row>
    <row r="10698" spans="25:25" x14ac:dyDescent="0.2">
      <c r="Y10698" s="97"/>
    </row>
    <row r="10699" spans="25:25" x14ac:dyDescent="0.2">
      <c r="Y10699" s="97"/>
    </row>
    <row r="10700" spans="25:25" x14ac:dyDescent="0.2">
      <c r="Y10700" s="97"/>
    </row>
    <row r="10701" spans="25:25" x14ac:dyDescent="0.2">
      <c r="Y10701" s="97"/>
    </row>
    <row r="10702" spans="25:25" x14ac:dyDescent="0.2">
      <c r="Y10702" s="97"/>
    </row>
    <row r="10703" spans="25:25" x14ac:dyDescent="0.2">
      <c r="Y10703" s="97"/>
    </row>
    <row r="10704" spans="25:25" x14ac:dyDescent="0.2">
      <c r="Y10704" s="97"/>
    </row>
    <row r="10705" spans="25:25" x14ac:dyDescent="0.2">
      <c r="Y10705" s="97"/>
    </row>
    <row r="10706" spans="25:25" x14ac:dyDescent="0.2">
      <c r="Y10706" s="97"/>
    </row>
    <row r="10707" spans="25:25" x14ac:dyDescent="0.2">
      <c r="Y10707" s="97"/>
    </row>
    <row r="10708" spans="25:25" x14ac:dyDescent="0.2">
      <c r="Y10708" s="97"/>
    </row>
    <row r="10709" spans="25:25" x14ac:dyDescent="0.2">
      <c r="Y10709" s="97"/>
    </row>
    <row r="10710" spans="25:25" x14ac:dyDescent="0.2">
      <c r="Y10710" s="97"/>
    </row>
    <row r="10711" spans="25:25" x14ac:dyDescent="0.2">
      <c r="Y10711" s="97"/>
    </row>
    <row r="10712" spans="25:25" x14ac:dyDescent="0.2">
      <c r="Y10712" s="97"/>
    </row>
    <row r="10713" spans="25:25" x14ac:dyDescent="0.2">
      <c r="Y10713" s="97"/>
    </row>
    <row r="10714" spans="25:25" x14ac:dyDescent="0.2">
      <c r="Y10714" s="97"/>
    </row>
    <row r="10715" spans="25:25" x14ac:dyDescent="0.2">
      <c r="Y10715" s="97"/>
    </row>
    <row r="10716" spans="25:25" x14ac:dyDescent="0.2">
      <c r="Y10716" s="97"/>
    </row>
    <row r="10717" spans="25:25" x14ac:dyDescent="0.2">
      <c r="Y10717" s="97"/>
    </row>
    <row r="10718" spans="25:25" x14ac:dyDescent="0.2">
      <c r="Y10718" s="97"/>
    </row>
    <row r="10719" spans="25:25" x14ac:dyDescent="0.2">
      <c r="Y10719" s="97"/>
    </row>
    <row r="10720" spans="25:25" x14ac:dyDescent="0.2">
      <c r="Y10720" s="97"/>
    </row>
    <row r="10721" spans="25:25" x14ac:dyDescent="0.2">
      <c r="Y10721" s="97"/>
    </row>
    <row r="10722" spans="25:25" x14ac:dyDescent="0.2">
      <c r="Y10722" s="97"/>
    </row>
    <row r="10723" spans="25:25" x14ac:dyDescent="0.2">
      <c r="Y10723" s="97"/>
    </row>
    <row r="10724" spans="25:25" x14ac:dyDescent="0.2">
      <c r="Y10724" s="97"/>
    </row>
    <row r="10725" spans="25:25" x14ac:dyDescent="0.2">
      <c r="Y10725" s="97"/>
    </row>
    <row r="10726" spans="25:25" x14ac:dyDescent="0.2">
      <c r="Y10726" s="97"/>
    </row>
    <row r="10727" spans="25:25" x14ac:dyDescent="0.2">
      <c r="Y10727" s="97"/>
    </row>
    <row r="10728" spans="25:25" x14ac:dyDescent="0.2">
      <c r="Y10728" s="97"/>
    </row>
    <row r="10729" spans="25:25" x14ac:dyDescent="0.2">
      <c r="Y10729" s="97"/>
    </row>
    <row r="10730" spans="25:25" x14ac:dyDescent="0.2">
      <c r="Y10730" s="97"/>
    </row>
    <row r="10731" spans="25:25" x14ac:dyDescent="0.2">
      <c r="Y10731" s="97"/>
    </row>
    <row r="10732" spans="25:25" x14ac:dyDescent="0.2">
      <c r="Y10732" s="97"/>
    </row>
    <row r="10733" spans="25:25" x14ac:dyDescent="0.2">
      <c r="Y10733" s="97"/>
    </row>
    <row r="10734" spans="25:25" x14ac:dyDescent="0.2">
      <c r="Y10734" s="97"/>
    </row>
    <row r="10735" spans="25:25" x14ac:dyDescent="0.2">
      <c r="Y10735" s="97"/>
    </row>
    <row r="10736" spans="25:25" x14ac:dyDescent="0.2">
      <c r="Y10736" s="97"/>
    </row>
    <row r="10737" spans="25:25" x14ac:dyDescent="0.2">
      <c r="Y10737" s="97"/>
    </row>
    <row r="10738" spans="25:25" x14ac:dyDescent="0.2">
      <c r="Y10738" s="97"/>
    </row>
    <row r="10739" spans="25:25" x14ac:dyDescent="0.2">
      <c r="Y10739" s="97"/>
    </row>
    <row r="10740" spans="25:25" x14ac:dyDescent="0.2">
      <c r="Y10740" s="97"/>
    </row>
    <row r="10741" spans="25:25" x14ac:dyDescent="0.2">
      <c r="Y10741" s="97"/>
    </row>
    <row r="10742" spans="25:25" x14ac:dyDescent="0.2">
      <c r="Y10742" s="97"/>
    </row>
    <row r="10743" spans="25:25" x14ac:dyDescent="0.2">
      <c r="Y10743" s="97"/>
    </row>
    <row r="10744" spans="25:25" x14ac:dyDescent="0.2">
      <c r="Y10744" s="97"/>
    </row>
    <row r="10745" spans="25:25" x14ac:dyDescent="0.2">
      <c r="Y10745" s="97"/>
    </row>
    <row r="10746" spans="25:25" x14ac:dyDescent="0.2">
      <c r="Y10746" s="97"/>
    </row>
    <row r="10747" spans="25:25" x14ac:dyDescent="0.2">
      <c r="Y10747" s="97"/>
    </row>
    <row r="10748" spans="25:25" x14ac:dyDescent="0.2">
      <c r="Y10748" s="97"/>
    </row>
    <row r="10749" spans="25:25" x14ac:dyDescent="0.2">
      <c r="Y10749" s="97"/>
    </row>
    <row r="10750" spans="25:25" x14ac:dyDescent="0.2">
      <c r="Y10750" s="97"/>
    </row>
    <row r="10751" spans="25:25" x14ac:dyDescent="0.2">
      <c r="Y10751" s="97"/>
    </row>
    <row r="10752" spans="25:25" x14ac:dyDescent="0.2">
      <c r="Y10752" s="97"/>
    </row>
    <row r="10753" spans="25:25" x14ac:dyDescent="0.2">
      <c r="Y10753" s="97"/>
    </row>
    <row r="10754" spans="25:25" x14ac:dyDescent="0.2">
      <c r="Y10754" s="97"/>
    </row>
    <row r="10755" spans="25:25" x14ac:dyDescent="0.2">
      <c r="Y10755" s="97"/>
    </row>
    <row r="10756" spans="25:25" x14ac:dyDescent="0.2">
      <c r="Y10756" s="97"/>
    </row>
    <row r="10757" spans="25:25" x14ac:dyDescent="0.2">
      <c r="Y10757" s="97"/>
    </row>
    <row r="10758" spans="25:25" x14ac:dyDescent="0.2">
      <c r="Y10758" s="97"/>
    </row>
    <row r="10759" spans="25:25" x14ac:dyDescent="0.2">
      <c r="Y10759" s="97"/>
    </row>
    <row r="10760" spans="25:25" x14ac:dyDescent="0.2">
      <c r="Y10760" s="97"/>
    </row>
    <row r="10761" spans="25:25" x14ac:dyDescent="0.2">
      <c r="Y10761" s="97"/>
    </row>
    <row r="10762" spans="25:25" x14ac:dyDescent="0.2">
      <c r="Y10762" s="97"/>
    </row>
    <row r="10763" spans="25:25" x14ac:dyDescent="0.2">
      <c r="Y10763" s="97"/>
    </row>
    <row r="10764" spans="25:25" x14ac:dyDescent="0.2">
      <c r="Y10764" s="97"/>
    </row>
    <row r="10765" spans="25:25" x14ac:dyDescent="0.2">
      <c r="Y10765" s="97"/>
    </row>
    <row r="10766" spans="25:25" x14ac:dyDescent="0.2">
      <c r="Y10766" s="97"/>
    </row>
    <row r="10767" spans="25:25" x14ac:dyDescent="0.2">
      <c r="Y10767" s="97"/>
    </row>
    <row r="10768" spans="25:25" x14ac:dyDescent="0.2">
      <c r="Y10768" s="97"/>
    </row>
    <row r="10769" spans="25:25" x14ac:dyDescent="0.2">
      <c r="Y10769" s="97"/>
    </row>
    <row r="10770" spans="25:25" x14ac:dyDescent="0.2">
      <c r="Y10770" s="97"/>
    </row>
    <row r="10771" spans="25:25" x14ac:dyDescent="0.2">
      <c r="Y10771" s="97"/>
    </row>
    <row r="10772" spans="25:25" x14ac:dyDescent="0.2">
      <c r="Y10772" s="97"/>
    </row>
    <row r="10773" spans="25:25" x14ac:dyDescent="0.2">
      <c r="Y10773" s="97"/>
    </row>
    <row r="10774" spans="25:25" x14ac:dyDescent="0.2">
      <c r="Y10774" s="97"/>
    </row>
    <row r="10775" spans="25:25" x14ac:dyDescent="0.2">
      <c r="Y10775" s="97"/>
    </row>
    <row r="10776" spans="25:25" x14ac:dyDescent="0.2">
      <c r="Y10776" s="97"/>
    </row>
    <row r="10777" spans="25:25" x14ac:dyDescent="0.2">
      <c r="Y10777" s="97"/>
    </row>
    <row r="10778" spans="25:25" x14ac:dyDescent="0.2">
      <c r="Y10778" s="97"/>
    </row>
    <row r="10779" spans="25:25" x14ac:dyDescent="0.2">
      <c r="Y10779" s="97"/>
    </row>
    <row r="10780" spans="25:25" x14ac:dyDescent="0.2">
      <c r="Y10780" s="97"/>
    </row>
    <row r="10781" spans="25:25" x14ac:dyDescent="0.2">
      <c r="Y10781" s="97"/>
    </row>
    <row r="10782" spans="25:25" x14ac:dyDescent="0.2">
      <c r="Y10782" s="97"/>
    </row>
    <row r="10783" spans="25:25" x14ac:dyDescent="0.2">
      <c r="Y10783" s="97"/>
    </row>
    <row r="10784" spans="25:25" x14ac:dyDescent="0.2">
      <c r="Y10784" s="97"/>
    </row>
    <row r="10785" spans="25:25" x14ac:dyDescent="0.2">
      <c r="Y10785" s="97"/>
    </row>
    <row r="10786" spans="25:25" x14ac:dyDescent="0.2">
      <c r="Y10786" s="97"/>
    </row>
    <row r="10787" spans="25:25" x14ac:dyDescent="0.2">
      <c r="Y10787" s="97"/>
    </row>
    <row r="10788" spans="25:25" x14ac:dyDescent="0.2">
      <c r="Y10788" s="97"/>
    </row>
    <row r="10789" spans="25:25" x14ac:dyDescent="0.2">
      <c r="Y10789" s="97"/>
    </row>
    <row r="10790" spans="25:25" x14ac:dyDescent="0.2">
      <c r="Y10790" s="97"/>
    </row>
    <row r="10791" spans="25:25" x14ac:dyDescent="0.2">
      <c r="Y10791" s="97"/>
    </row>
    <row r="10792" spans="25:25" x14ac:dyDescent="0.2">
      <c r="Y10792" s="97"/>
    </row>
    <row r="10793" spans="25:25" x14ac:dyDescent="0.2">
      <c r="Y10793" s="97"/>
    </row>
    <row r="10794" spans="25:25" x14ac:dyDescent="0.2">
      <c r="Y10794" s="97"/>
    </row>
    <row r="10795" spans="25:25" x14ac:dyDescent="0.2">
      <c r="Y10795" s="97"/>
    </row>
    <row r="10796" spans="25:25" x14ac:dyDescent="0.2">
      <c r="Y10796" s="97"/>
    </row>
    <row r="10797" spans="25:25" x14ac:dyDescent="0.2">
      <c r="Y10797" s="97"/>
    </row>
    <row r="10798" spans="25:25" x14ac:dyDescent="0.2">
      <c r="Y10798" s="97"/>
    </row>
    <row r="10799" spans="25:25" x14ac:dyDescent="0.2">
      <c r="Y10799" s="97"/>
    </row>
    <row r="10800" spans="25:25" x14ac:dyDescent="0.2">
      <c r="Y10800" s="97"/>
    </row>
    <row r="10801" spans="25:25" x14ac:dyDescent="0.2">
      <c r="Y10801" s="97"/>
    </row>
    <row r="10802" spans="25:25" x14ac:dyDescent="0.2">
      <c r="Y10802" s="97"/>
    </row>
    <row r="10803" spans="25:25" x14ac:dyDescent="0.2">
      <c r="Y10803" s="97"/>
    </row>
    <row r="10804" spans="25:25" x14ac:dyDescent="0.2">
      <c r="Y10804" s="97"/>
    </row>
    <row r="10805" spans="25:25" x14ac:dyDescent="0.2">
      <c r="Y10805" s="97"/>
    </row>
    <row r="10806" spans="25:25" x14ac:dyDescent="0.2">
      <c r="Y10806" s="97"/>
    </row>
    <row r="10807" spans="25:25" x14ac:dyDescent="0.2">
      <c r="Y10807" s="97"/>
    </row>
    <row r="10808" spans="25:25" x14ac:dyDescent="0.2">
      <c r="Y10808" s="97"/>
    </row>
    <row r="10809" spans="25:25" x14ac:dyDescent="0.2">
      <c r="Y10809" s="97"/>
    </row>
    <row r="10810" spans="25:25" x14ac:dyDescent="0.2">
      <c r="Y10810" s="97"/>
    </row>
    <row r="10811" spans="25:25" x14ac:dyDescent="0.2">
      <c r="Y10811" s="97"/>
    </row>
    <row r="10812" spans="25:25" x14ac:dyDescent="0.2">
      <c r="Y10812" s="97"/>
    </row>
    <row r="10813" spans="25:25" x14ac:dyDescent="0.2">
      <c r="Y10813" s="97"/>
    </row>
    <row r="10814" spans="25:25" x14ac:dyDescent="0.2">
      <c r="Y10814" s="97"/>
    </row>
    <row r="10815" spans="25:25" x14ac:dyDescent="0.2">
      <c r="Y10815" s="97"/>
    </row>
    <row r="10816" spans="25:25" x14ac:dyDescent="0.2">
      <c r="Y10816" s="97"/>
    </row>
    <row r="10817" spans="25:25" x14ac:dyDescent="0.2">
      <c r="Y10817" s="97"/>
    </row>
    <row r="10818" spans="25:25" x14ac:dyDescent="0.2">
      <c r="Y10818" s="97"/>
    </row>
    <row r="10819" spans="25:25" x14ac:dyDescent="0.2">
      <c r="Y10819" s="97"/>
    </row>
    <row r="10820" spans="25:25" x14ac:dyDescent="0.2">
      <c r="Y10820" s="97"/>
    </row>
    <row r="10821" spans="25:25" x14ac:dyDescent="0.2">
      <c r="Y10821" s="97"/>
    </row>
    <row r="10822" spans="25:25" x14ac:dyDescent="0.2">
      <c r="Y10822" s="97"/>
    </row>
    <row r="10823" spans="25:25" x14ac:dyDescent="0.2">
      <c r="Y10823" s="97"/>
    </row>
    <row r="10824" spans="25:25" x14ac:dyDescent="0.2">
      <c r="Y10824" s="97"/>
    </row>
    <row r="10825" spans="25:25" x14ac:dyDescent="0.2">
      <c r="Y10825" s="97"/>
    </row>
    <row r="10826" spans="25:25" x14ac:dyDescent="0.2">
      <c r="Y10826" s="97"/>
    </row>
    <row r="10827" spans="25:25" x14ac:dyDescent="0.2">
      <c r="Y10827" s="97"/>
    </row>
    <row r="10828" spans="25:25" x14ac:dyDescent="0.2">
      <c r="Y10828" s="97"/>
    </row>
    <row r="10829" spans="25:25" x14ac:dyDescent="0.2">
      <c r="Y10829" s="97"/>
    </row>
    <row r="10830" spans="25:25" x14ac:dyDescent="0.2">
      <c r="Y10830" s="97"/>
    </row>
    <row r="10831" spans="25:25" x14ac:dyDescent="0.2">
      <c r="Y10831" s="97"/>
    </row>
    <row r="10832" spans="25:25" x14ac:dyDescent="0.2">
      <c r="Y10832" s="97"/>
    </row>
    <row r="10833" spans="25:25" x14ac:dyDescent="0.2">
      <c r="Y10833" s="97"/>
    </row>
    <row r="10834" spans="25:25" x14ac:dyDescent="0.2">
      <c r="Y10834" s="97"/>
    </row>
    <row r="10835" spans="25:25" x14ac:dyDescent="0.2">
      <c r="Y10835" s="97"/>
    </row>
    <row r="10836" spans="25:25" x14ac:dyDescent="0.2">
      <c r="Y10836" s="97"/>
    </row>
    <row r="10837" spans="25:25" x14ac:dyDescent="0.2">
      <c r="Y10837" s="97"/>
    </row>
    <row r="10838" spans="25:25" x14ac:dyDescent="0.2">
      <c r="Y10838" s="97"/>
    </row>
    <row r="10839" spans="25:25" x14ac:dyDescent="0.2">
      <c r="Y10839" s="97"/>
    </row>
    <row r="10840" spans="25:25" x14ac:dyDescent="0.2">
      <c r="Y10840" s="97"/>
    </row>
    <row r="10841" spans="25:25" x14ac:dyDescent="0.2">
      <c r="Y10841" s="97"/>
    </row>
    <row r="10842" spans="25:25" x14ac:dyDescent="0.2">
      <c r="Y10842" s="97"/>
    </row>
    <row r="10843" spans="25:25" x14ac:dyDescent="0.2">
      <c r="Y10843" s="97"/>
    </row>
    <row r="10844" spans="25:25" x14ac:dyDescent="0.2">
      <c r="Y10844" s="97"/>
    </row>
    <row r="10845" spans="25:25" x14ac:dyDescent="0.2">
      <c r="Y10845" s="97"/>
    </row>
    <row r="10846" spans="25:25" x14ac:dyDescent="0.2">
      <c r="Y10846" s="97"/>
    </row>
    <row r="10847" spans="25:25" x14ac:dyDescent="0.2">
      <c r="Y10847" s="97"/>
    </row>
    <row r="10848" spans="25:25" x14ac:dyDescent="0.2">
      <c r="Y10848" s="97"/>
    </row>
    <row r="10849" spans="25:25" x14ac:dyDescent="0.2">
      <c r="Y10849" s="97"/>
    </row>
    <row r="10850" spans="25:25" x14ac:dyDescent="0.2">
      <c r="Y10850" s="97"/>
    </row>
    <row r="10851" spans="25:25" x14ac:dyDescent="0.2">
      <c r="Y10851" s="97"/>
    </row>
    <row r="10852" spans="25:25" x14ac:dyDescent="0.2">
      <c r="Y10852" s="97"/>
    </row>
    <row r="10853" spans="25:25" x14ac:dyDescent="0.2">
      <c r="Y10853" s="97"/>
    </row>
    <row r="10854" spans="25:25" x14ac:dyDescent="0.2">
      <c r="Y10854" s="97"/>
    </row>
    <row r="10855" spans="25:25" x14ac:dyDescent="0.2">
      <c r="Y10855" s="97"/>
    </row>
    <row r="10856" spans="25:25" x14ac:dyDescent="0.2">
      <c r="Y10856" s="97"/>
    </row>
    <row r="10857" spans="25:25" x14ac:dyDescent="0.2">
      <c r="Y10857" s="97"/>
    </row>
    <row r="10858" spans="25:25" x14ac:dyDescent="0.2">
      <c r="Y10858" s="97"/>
    </row>
    <row r="10859" spans="25:25" x14ac:dyDescent="0.2">
      <c r="Y10859" s="97"/>
    </row>
    <row r="10860" spans="25:25" x14ac:dyDescent="0.2">
      <c r="Y10860" s="97"/>
    </row>
    <row r="10861" spans="25:25" x14ac:dyDescent="0.2">
      <c r="Y10861" s="97"/>
    </row>
    <row r="10862" spans="25:25" x14ac:dyDescent="0.2">
      <c r="Y10862" s="97"/>
    </row>
    <row r="10863" spans="25:25" x14ac:dyDescent="0.2">
      <c r="Y10863" s="97"/>
    </row>
    <row r="10864" spans="25:25" x14ac:dyDescent="0.2">
      <c r="Y10864" s="97"/>
    </row>
    <row r="10865" spans="25:25" x14ac:dyDescent="0.2">
      <c r="Y10865" s="97"/>
    </row>
    <row r="10866" spans="25:25" x14ac:dyDescent="0.2">
      <c r="Y10866" s="97"/>
    </row>
    <row r="10867" spans="25:25" x14ac:dyDescent="0.2">
      <c r="Y10867" s="97"/>
    </row>
    <row r="10868" spans="25:25" x14ac:dyDescent="0.2">
      <c r="Y10868" s="97"/>
    </row>
    <row r="10869" spans="25:25" x14ac:dyDescent="0.2">
      <c r="Y10869" s="97"/>
    </row>
    <row r="10870" spans="25:25" x14ac:dyDescent="0.2">
      <c r="Y10870" s="97"/>
    </row>
    <row r="10871" spans="25:25" x14ac:dyDescent="0.2">
      <c r="Y10871" s="97"/>
    </row>
    <row r="10872" spans="25:25" x14ac:dyDescent="0.2">
      <c r="Y10872" s="97"/>
    </row>
    <row r="10873" spans="25:25" x14ac:dyDescent="0.2">
      <c r="Y10873" s="97"/>
    </row>
    <row r="10874" spans="25:25" x14ac:dyDescent="0.2">
      <c r="Y10874" s="97"/>
    </row>
    <row r="10875" spans="25:25" x14ac:dyDescent="0.2">
      <c r="Y10875" s="97"/>
    </row>
    <row r="10876" spans="25:25" x14ac:dyDescent="0.2">
      <c r="Y10876" s="97"/>
    </row>
    <row r="10877" spans="25:25" x14ac:dyDescent="0.2">
      <c r="Y10877" s="97"/>
    </row>
    <row r="10878" spans="25:25" x14ac:dyDescent="0.2">
      <c r="Y10878" s="97"/>
    </row>
    <row r="10879" spans="25:25" x14ac:dyDescent="0.2">
      <c r="Y10879" s="97"/>
    </row>
    <row r="10880" spans="25:25" x14ac:dyDescent="0.2">
      <c r="Y10880" s="97"/>
    </row>
    <row r="10881" spans="25:25" x14ac:dyDescent="0.2">
      <c r="Y10881" s="97"/>
    </row>
    <row r="10882" spans="25:25" x14ac:dyDescent="0.2">
      <c r="Y10882" s="97"/>
    </row>
    <row r="10883" spans="25:25" x14ac:dyDescent="0.2">
      <c r="Y10883" s="97"/>
    </row>
    <row r="10884" spans="25:25" x14ac:dyDescent="0.2">
      <c r="Y10884" s="97"/>
    </row>
    <row r="10885" spans="25:25" x14ac:dyDescent="0.2">
      <c r="Y10885" s="97"/>
    </row>
    <row r="10886" spans="25:25" x14ac:dyDescent="0.2">
      <c r="Y10886" s="97"/>
    </row>
    <row r="10887" spans="25:25" x14ac:dyDescent="0.2">
      <c r="Y10887" s="97"/>
    </row>
    <row r="10888" spans="25:25" x14ac:dyDescent="0.2">
      <c r="Y10888" s="97"/>
    </row>
    <row r="10889" spans="25:25" x14ac:dyDescent="0.2">
      <c r="Y10889" s="97"/>
    </row>
    <row r="10890" spans="25:25" x14ac:dyDescent="0.2">
      <c r="Y10890" s="97"/>
    </row>
    <row r="10891" spans="25:25" x14ac:dyDescent="0.2">
      <c r="Y10891" s="97"/>
    </row>
    <row r="10892" spans="25:25" x14ac:dyDescent="0.2">
      <c r="Y10892" s="97"/>
    </row>
    <row r="10893" spans="25:25" x14ac:dyDescent="0.2">
      <c r="Y10893" s="97"/>
    </row>
    <row r="10894" spans="25:25" x14ac:dyDescent="0.2">
      <c r="Y10894" s="97"/>
    </row>
    <row r="10895" spans="25:25" x14ac:dyDescent="0.2">
      <c r="Y10895" s="97"/>
    </row>
    <row r="10896" spans="25:25" x14ac:dyDescent="0.2">
      <c r="Y10896" s="97"/>
    </row>
    <row r="10897" spans="25:25" x14ac:dyDescent="0.2">
      <c r="Y10897" s="97"/>
    </row>
    <row r="10898" spans="25:25" x14ac:dyDescent="0.2">
      <c r="Y10898" s="97"/>
    </row>
    <row r="10899" spans="25:25" x14ac:dyDescent="0.2">
      <c r="Y10899" s="97"/>
    </row>
    <row r="10900" spans="25:25" x14ac:dyDescent="0.2">
      <c r="Y10900" s="97"/>
    </row>
    <row r="10901" spans="25:25" x14ac:dyDescent="0.2">
      <c r="Y10901" s="97"/>
    </row>
    <row r="10902" spans="25:25" x14ac:dyDescent="0.2">
      <c r="Y10902" s="97"/>
    </row>
    <row r="10903" spans="25:25" x14ac:dyDescent="0.2">
      <c r="Y10903" s="97"/>
    </row>
    <row r="10904" spans="25:25" x14ac:dyDescent="0.2">
      <c r="Y10904" s="97"/>
    </row>
    <row r="10905" spans="25:25" x14ac:dyDescent="0.2">
      <c r="Y10905" s="97"/>
    </row>
    <row r="10906" spans="25:25" x14ac:dyDescent="0.2">
      <c r="Y10906" s="97"/>
    </row>
    <row r="10907" spans="25:25" x14ac:dyDescent="0.2">
      <c r="Y10907" s="97"/>
    </row>
    <row r="10908" spans="25:25" x14ac:dyDescent="0.2">
      <c r="Y10908" s="97"/>
    </row>
    <row r="10909" spans="25:25" x14ac:dyDescent="0.2">
      <c r="Y10909" s="97"/>
    </row>
    <row r="10910" spans="25:25" x14ac:dyDescent="0.2">
      <c r="Y10910" s="97"/>
    </row>
    <row r="10911" spans="25:25" x14ac:dyDescent="0.2">
      <c r="Y10911" s="97"/>
    </row>
    <row r="10912" spans="25:25" x14ac:dyDescent="0.2">
      <c r="Y10912" s="97"/>
    </row>
    <row r="10913" spans="25:25" x14ac:dyDescent="0.2">
      <c r="Y10913" s="97"/>
    </row>
    <row r="10914" spans="25:25" x14ac:dyDescent="0.2">
      <c r="Y10914" s="97"/>
    </row>
    <row r="10915" spans="25:25" x14ac:dyDescent="0.2">
      <c r="Y10915" s="97"/>
    </row>
    <row r="10916" spans="25:25" x14ac:dyDescent="0.2">
      <c r="Y10916" s="97"/>
    </row>
    <row r="10917" spans="25:25" x14ac:dyDescent="0.2">
      <c r="Y10917" s="97"/>
    </row>
    <row r="10918" spans="25:25" x14ac:dyDescent="0.2">
      <c r="Y10918" s="97"/>
    </row>
    <row r="10919" spans="25:25" x14ac:dyDescent="0.2">
      <c r="Y10919" s="97"/>
    </row>
    <row r="10920" spans="25:25" x14ac:dyDescent="0.2">
      <c r="Y10920" s="97"/>
    </row>
    <row r="10921" spans="25:25" x14ac:dyDescent="0.2">
      <c r="Y10921" s="97"/>
    </row>
    <row r="10922" spans="25:25" x14ac:dyDescent="0.2">
      <c r="Y10922" s="97"/>
    </row>
    <row r="10923" spans="25:25" x14ac:dyDescent="0.2">
      <c r="Y10923" s="97"/>
    </row>
    <row r="10924" spans="25:25" x14ac:dyDescent="0.2">
      <c r="Y10924" s="97"/>
    </row>
    <row r="10925" spans="25:25" x14ac:dyDescent="0.2">
      <c r="Y10925" s="97"/>
    </row>
    <row r="10926" spans="25:25" x14ac:dyDescent="0.2">
      <c r="Y10926" s="97"/>
    </row>
    <row r="10927" spans="25:25" x14ac:dyDescent="0.2">
      <c r="Y10927" s="97"/>
    </row>
    <row r="10928" spans="25:25" x14ac:dyDescent="0.2">
      <c r="Y10928" s="97"/>
    </row>
    <row r="10929" spans="25:25" x14ac:dyDescent="0.2">
      <c r="Y10929" s="97"/>
    </row>
    <row r="10930" spans="25:25" x14ac:dyDescent="0.2">
      <c r="Y10930" s="97"/>
    </row>
    <row r="10931" spans="25:25" x14ac:dyDescent="0.2">
      <c r="Y10931" s="97"/>
    </row>
    <row r="10932" spans="25:25" x14ac:dyDescent="0.2">
      <c r="Y10932" s="97"/>
    </row>
    <row r="10933" spans="25:25" x14ac:dyDescent="0.2">
      <c r="Y10933" s="97"/>
    </row>
    <row r="10934" spans="25:25" x14ac:dyDescent="0.2">
      <c r="Y10934" s="97"/>
    </row>
    <row r="10935" spans="25:25" x14ac:dyDescent="0.2">
      <c r="Y10935" s="97"/>
    </row>
    <row r="10936" spans="25:25" x14ac:dyDescent="0.2">
      <c r="Y10936" s="97"/>
    </row>
    <row r="10937" spans="25:25" x14ac:dyDescent="0.2">
      <c r="Y10937" s="97"/>
    </row>
    <row r="10938" spans="25:25" x14ac:dyDescent="0.2">
      <c r="Y10938" s="97"/>
    </row>
    <row r="10939" spans="25:25" x14ac:dyDescent="0.2">
      <c r="Y10939" s="97"/>
    </row>
    <row r="10940" spans="25:25" x14ac:dyDescent="0.2">
      <c r="Y10940" s="97"/>
    </row>
    <row r="10941" spans="25:25" x14ac:dyDescent="0.2">
      <c r="Y10941" s="97"/>
    </row>
    <row r="10942" spans="25:25" x14ac:dyDescent="0.2">
      <c r="Y10942" s="97"/>
    </row>
    <row r="10943" spans="25:25" x14ac:dyDescent="0.2">
      <c r="Y10943" s="97"/>
    </row>
    <row r="10944" spans="25:25" x14ac:dyDescent="0.2">
      <c r="Y10944" s="97"/>
    </row>
    <row r="10945" spans="25:25" x14ac:dyDescent="0.2">
      <c r="Y10945" s="97"/>
    </row>
    <row r="10946" spans="25:25" x14ac:dyDescent="0.2">
      <c r="Y10946" s="97"/>
    </row>
    <row r="10947" spans="25:25" x14ac:dyDescent="0.2">
      <c r="Y10947" s="97"/>
    </row>
    <row r="10948" spans="25:25" x14ac:dyDescent="0.2">
      <c r="Y10948" s="97"/>
    </row>
    <row r="10949" spans="25:25" x14ac:dyDescent="0.2">
      <c r="Y10949" s="97"/>
    </row>
    <row r="10950" spans="25:25" x14ac:dyDescent="0.2">
      <c r="Y10950" s="97"/>
    </row>
    <row r="10951" spans="25:25" x14ac:dyDescent="0.2">
      <c r="Y10951" s="97"/>
    </row>
    <row r="10952" spans="25:25" x14ac:dyDescent="0.2">
      <c r="Y10952" s="97"/>
    </row>
    <row r="10953" spans="25:25" x14ac:dyDescent="0.2">
      <c r="Y10953" s="97"/>
    </row>
    <row r="10954" spans="25:25" x14ac:dyDescent="0.2">
      <c r="Y10954" s="97"/>
    </row>
    <row r="10955" spans="25:25" x14ac:dyDescent="0.2">
      <c r="Y10955" s="97"/>
    </row>
    <row r="10956" spans="25:25" x14ac:dyDescent="0.2">
      <c r="Y10956" s="97"/>
    </row>
    <row r="10957" spans="25:25" x14ac:dyDescent="0.2">
      <c r="Y10957" s="97"/>
    </row>
    <row r="10958" spans="25:25" x14ac:dyDescent="0.2">
      <c r="Y10958" s="97"/>
    </row>
    <row r="10959" spans="25:25" x14ac:dyDescent="0.2">
      <c r="Y10959" s="97"/>
    </row>
    <row r="10960" spans="25:25" x14ac:dyDescent="0.2">
      <c r="Y10960" s="97"/>
    </row>
    <row r="10961" spans="25:25" x14ac:dyDescent="0.2">
      <c r="Y10961" s="97"/>
    </row>
    <row r="10962" spans="25:25" x14ac:dyDescent="0.2">
      <c r="Y10962" s="97"/>
    </row>
    <row r="10963" spans="25:25" x14ac:dyDescent="0.2">
      <c r="Y10963" s="97"/>
    </row>
    <row r="10964" spans="25:25" x14ac:dyDescent="0.2">
      <c r="Y10964" s="97"/>
    </row>
    <row r="10965" spans="25:25" x14ac:dyDescent="0.2">
      <c r="Y10965" s="97"/>
    </row>
    <row r="10966" spans="25:25" x14ac:dyDescent="0.2">
      <c r="Y10966" s="97"/>
    </row>
    <row r="10967" spans="25:25" x14ac:dyDescent="0.2">
      <c r="Y10967" s="97"/>
    </row>
    <row r="10968" spans="25:25" x14ac:dyDescent="0.2">
      <c r="Y10968" s="97"/>
    </row>
    <row r="10969" spans="25:25" x14ac:dyDescent="0.2">
      <c r="Y10969" s="97"/>
    </row>
    <row r="10970" spans="25:25" x14ac:dyDescent="0.2">
      <c r="Y10970" s="97"/>
    </row>
    <row r="10971" spans="25:25" x14ac:dyDescent="0.2">
      <c r="Y10971" s="97"/>
    </row>
    <row r="10972" spans="25:25" x14ac:dyDescent="0.2">
      <c r="Y10972" s="97"/>
    </row>
    <row r="10973" spans="25:25" x14ac:dyDescent="0.2">
      <c r="Y10973" s="97"/>
    </row>
    <row r="10974" spans="25:25" x14ac:dyDescent="0.2">
      <c r="Y10974" s="97"/>
    </row>
    <row r="10975" spans="25:25" x14ac:dyDescent="0.2">
      <c r="Y10975" s="97"/>
    </row>
    <row r="10976" spans="25:25" x14ac:dyDescent="0.2">
      <c r="Y10976" s="97"/>
    </row>
    <row r="10977" spans="25:25" x14ac:dyDescent="0.2">
      <c r="Y10977" s="97"/>
    </row>
    <row r="10978" spans="25:25" x14ac:dyDescent="0.2">
      <c r="Y10978" s="97"/>
    </row>
    <row r="10979" spans="25:25" x14ac:dyDescent="0.2">
      <c r="Y10979" s="97"/>
    </row>
    <row r="10980" spans="25:25" x14ac:dyDescent="0.2">
      <c r="Y10980" s="97"/>
    </row>
    <row r="10981" spans="25:25" x14ac:dyDescent="0.2">
      <c r="Y10981" s="97"/>
    </row>
    <row r="10982" spans="25:25" x14ac:dyDescent="0.2">
      <c r="Y10982" s="97"/>
    </row>
    <row r="10983" spans="25:25" x14ac:dyDescent="0.2">
      <c r="Y10983" s="97"/>
    </row>
    <row r="10984" spans="25:25" x14ac:dyDescent="0.2">
      <c r="Y10984" s="97"/>
    </row>
    <row r="10985" spans="25:25" x14ac:dyDescent="0.2">
      <c r="Y10985" s="97"/>
    </row>
    <row r="10986" spans="25:25" x14ac:dyDescent="0.2">
      <c r="Y10986" s="97"/>
    </row>
    <row r="10987" spans="25:25" x14ac:dyDescent="0.2">
      <c r="Y10987" s="97"/>
    </row>
    <row r="10988" spans="25:25" x14ac:dyDescent="0.2">
      <c r="Y10988" s="97"/>
    </row>
    <row r="10989" spans="25:25" x14ac:dyDescent="0.2">
      <c r="Y10989" s="97"/>
    </row>
    <row r="10990" spans="25:25" x14ac:dyDescent="0.2">
      <c r="Y10990" s="97"/>
    </row>
    <row r="10991" spans="25:25" x14ac:dyDescent="0.2">
      <c r="Y10991" s="97"/>
    </row>
    <row r="10992" spans="25:25" x14ac:dyDescent="0.2">
      <c r="Y10992" s="97"/>
    </row>
    <row r="10993" spans="25:25" x14ac:dyDescent="0.2">
      <c r="Y10993" s="97"/>
    </row>
    <row r="10994" spans="25:25" x14ac:dyDescent="0.2">
      <c r="Y10994" s="97"/>
    </row>
    <row r="10995" spans="25:25" x14ac:dyDescent="0.2">
      <c r="Y10995" s="97"/>
    </row>
    <row r="10996" spans="25:25" x14ac:dyDescent="0.2">
      <c r="Y10996" s="97"/>
    </row>
    <row r="10997" spans="25:25" x14ac:dyDescent="0.2">
      <c r="Y10997" s="97"/>
    </row>
    <row r="10998" spans="25:25" x14ac:dyDescent="0.2">
      <c r="Y10998" s="97"/>
    </row>
    <row r="10999" spans="25:25" x14ac:dyDescent="0.2">
      <c r="Y10999" s="97"/>
    </row>
    <row r="11000" spans="25:25" x14ac:dyDescent="0.2">
      <c r="Y11000" s="97"/>
    </row>
    <row r="11001" spans="25:25" x14ac:dyDescent="0.2">
      <c r="Y11001" s="97"/>
    </row>
    <row r="11002" spans="25:25" x14ac:dyDescent="0.2">
      <c r="Y11002" s="97"/>
    </row>
    <row r="11003" spans="25:25" x14ac:dyDescent="0.2">
      <c r="Y11003" s="97"/>
    </row>
    <row r="11004" spans="25:25" x14ac:dyDescent="0.2">
      <c r="Y11004" s="97"/>
    </row>
    <row r="11005" spans="25:25" x14ac:dyDescent="0.2">
      <c r="Y11005" s="97"/>
    </row>
    <row r="11006" spans="25:25" x14ac:dyDescent="0.2">
      <c r="Y11006" s="97"/>
    </row>
    <row r="11007" spans="25:25" x14ac:dyDescent="0.2">
      <c r="Y11007" s="97"/>
    </row>
    <row r="11008" spans="25:25" x14ac:dyDescent="0.2">
      <c r="Y11008" s="97"/>
    </row>
    <row r="11009" spans="25:25" x14ac:dyDescent="0.2">
      <c r="Y11009" s="97"/>
    </row>
    <row r="11010" spans="25:25" x14ac:dyDescent="0.2">
      <c r="Y11010" s="97"/>
    </row>
    <row r="11011" spans="25:25" x14ac:dyDescent="0.2">
      <c r="Y11011" s="97"/>
    </row>
    <row r="11012" spans="25:25" x14ac:dyDescent="0.2">
      <c r="Y11012" s="97"/>
    </row>
    <row r="11013" spans="25:25" x14ac:dyDescent="0.2">
      <c r="Y11013" s="97"/>
    </row>
    <row r="11014" spans="25:25" x14ac:dyDescent="0.2">
      <c r="Y11014" s="97"/>
    </row>
    <row r="11015" spans="25:25" x14ac:dyDescent="0.2">
      <c r="Y11015" s="97"/>
    </row>
    <row r="11016" spans="25:25" x14ac:dyDescent="0.2">
      <c r="Y11016" s="97"/>
    </row>
    <row r="11017" spans="25:25" x14ac:dyDescent="0.2">
      <c r="Y11017" s="97"/>
    </row>
    <row r="11018" spans="25:25" x14ac:dyDescent="0.2">
      <c r="Y11018" s="97"/>
    </row>
    <row r="11019" spans="25:25" x14ac:dyDescent="0.2">
      <c r="Y11019" s="97"/>
    </row>
    <row r="11020" spans="25:25" x14ac:dyDescent="0.2">
      <c r="Y11020" s="97"/>
    </row>
    <row r="11021" spans="25:25" x14ac:dyDescent="0.2">
      <c r="Y11021" s="97"/>
    </row>
    <row r="11022" spans="25:25" x14ac:dyDescent="0.2">
      <c r="Y11022" s="97"/>
    </row>
    <row r="11023" spans="25:25" x14ac:dyDescent="0.2">
      <c r="Y11023" s="97"/>
    </row>
    <row r="11024" spans="25:25" x14ac:dyDescent="0.2">
      <c r="Y11024" s="97"/>
    </row>
    <row r="11025" spans="25:25" x14ac:dyDescent="0.2">
      <c r="Y11025" s="97"/>
    </row>
    <row r="11026" spans="25:25" x14ac:dyDescent="0.2">
      <c r="Y11026" s="97"/>
    </row>
    <row r="11027" spans="25:25" x14ac:dyDescent="0.2">
      <c r="Y11027" s="97"/>
    </row>
    <row r="11028" spans="25:25" x14ac:dyDescent="0.2">
      <c r="Y11028" s="97"/>
    </row>
    <row r="11029" spans="25:25" x14ac:dyDescent="0.2">
      <c r="Y11029" s="97"/>
    </row>
    <row r="11030" spans="25:25" x14ac:dyDescent="0.2">
      <c r="Y11030" s="97"/>
    </row>
    <row r="11031" spans="25:25" x14ac:dyDescent="0.2">
      <c r="Y11031" s="97"/>
    </row>
    <row r="11032" spans="25:25" x14ac:dyDescent="0.2">
      <c r="Y11032" s="97"/>
    </row>
    <row r="11033" spans="25:25" x14ac:dyDescent="0.2">
      <c r="Y11033" s="97"/>
    </row>
    <row r="11034" spans="25:25" x14ac:dyDescent="0.2">
      <c r="Y11034" s="97"/>
    </row>
    <row r="11035" spans="25:25" x14ac:dyDescent="0.2">
      <c r="Y11035" s="97"/>
    </row>
    <row r="11036" spans="25:25" x14ac:dyDescent="0.2">
      <c r="Y11036" s="97"/>
    </row>
    <row r="11037" spans="25:25" x14ac:dyDescent="0.2">
      <c r="Y11037" s="97"/>
    </row>
    <row r="11038" spans="25:25" x14ac:dyDescent="0.2">
      <c r="Y11038" s="97"/>
    </row>
    <row r="11039" spans="25:25" x14ac:dyDescent="0.2">
      <c r="Y11039" s="97"/>
    </row>
    <row r="11040" spans="25:25" x14ac:dyDescent="0.2">
      <c r="Y11040" s="97"/>
    </row>
    <row r="11041" spans="25:25" x14ac:dyDescent="0.2">
      <c r="Y11041" s="97"/>
    </row>
    <row r="11042" spans="25:25" x14ac:dyDescent="0.2">
      <c r="Y11042" s="97"/>
    </row>
    <row r="11043" spans="25:25" x14ac:dyDescent="0.2">
      <c r="Y11043" s="97"/>
    </row>
    <row r="11044" spans="25:25" x14ac:dyDescent="0.2">
      <c r="Y11044" s="97"/>
    </row>
    <row r="11045" spans="25:25" x14ac:dyDescent="0.2">
      <c r="Y11045" s="97"/>
    </row>
    <row r="11046" spans="25:25" x14ac:dyDescent="0.2">
      <c r="Y11046" s="97"/>
    </row>
    <row r="11047" spans="25:25" x14ac:dyDescent="0.2">
      <c r="Y11047" s="97"/>
    </row>
    <row r="11048" spans="25:25" x14ac:dyDescent="0.2">
      <c r="Y11048" s="97"/>
    </row>
    <row r="11049" spans="25:25" x14ac:dyDescent="0.2">
      <c r="Y11049" s="97"/>
    </row>
    <row r="11050" spans="25:25" x14ac:dyDescent="0.2">
      <c r="Y11050" s="97"/>
    </row>
    <row r="11051" spans="25:25" x14ac:dyDescent="0.2">
      <c r="Y11051" s="97"/>
    </row>
    <row r="11052" spans="25:25" x14ac:dyDescent="0.2">
      <c r="Y11052" s="97"/>
    </row>
    <row r="11053" spans="25:25" x14ac:dyDescent="0.2">
      <c r="Y11053" s="97"/>
    </row>
    <row r="11054" spans="25:25" x14ac:dyDescent="0.2">
      <c r="Y11054" s="97"/>
    </row>
    <row r="11055" spans="25:25" x14ac:dyDescent="0.2">
      <c r="Y11055" s="97"/>
    </row>
    <row r="11056" spans="25:25" x14ac:dyDescent="0.2">
      <c r="Y11056" s="97"/>
    </row>
    <row r="11057" spans="25:25" x14ac:dyDescent="0.2">
      <c r="Y11057" s="97"/>
    </row>
    <row r="11058" spans="25:25" x14ac:dyDescent="0.2">
      <c r="Y11058" s="97"/>
    </row>
    <row r="11059" spans="25:25" x14ac:dyDescent="0.2">
      <c r="Y11059" s="97"/>
    </row>
    <row r="11060" spans="25:25" x14ac:dyDescent="0.2">
      <c r="Y11060" s="97"/>
    </row>
    <row r="11061" spans="25:25" x14ac:dyDescent="0.2">
      <c r="Y11061" s="97"/>
    </row>
    <row r="11062" spans="25:25" x14ac:dyDescent="0.2">
      <c r="Y11062" s="97"/>
    </row>
    <row r="11063" spans="25:25" x14ac:dyDescent="0.2">
      <c r="Y11063" s="97"/>
    </row>
    <row r="11064" spans="25:25" x14ac:dyDescent="0.2">
      <c r="Y11064" s="97"/>
    </row>
    <row r="11065" spans="25:25" x14ac:dyDescent="0.2">
      <c r="Y11065" s="97"/>
    </row>
    <row r="11066" spans="25:25" x14ac:dyDescent="0.2">
      <c r="Y11066" s="97"/>
    </row>
    <row r="11067" spans="25:25" x14ac:dyDescent="0.2">
      <c r="Y11067" s="97"/>
    </row>
    <row r="11068" spans="25:25" x14ac:dyDescent="0.2">
      <c r="Y11068" s="97"/>
    </row>
    <row r="11069" spans="25:25" x14ac:dyDescent="0.2">
      <c r="Y11069" s="97"/>
    </row>
    <row r="11070" spans="25:25" x14ac:dyDescent="0.2">
      <c r="Y11070" s="97"/>
    </row>
    <row r="11071" spans="25:25" x14ac:dyDescent="0.2">
      <c r="Y11071" s="97"/>
    </row>
    <row r="11072" spans="25:25" x14ac:dyDescent="0.2">
      <c r="Y11072" s="97"/>
    </row>
    <row r="11073" spans="25:25" x14ac:dyDescent="0.2">
      <c r="Y11073" s="97"/>
    </row>
    <row r="11074" spans="25:25" x14ac:dyDescent="0.2">
      <c r="Y11074" s="97"/>
    </row>
    <row r="11075" spans="25:25" x14ac:dyDescent="0.2">
      <c r="Y11075" s="97"/>
    </row>
    <row r="11076" spans="25:25" x14ac:dyDescent="0.2">
      <c r="Y11076" s="97"/>
    </row>
    <row r="11077" spans="25:25" x14ac:dyDescent="0.2">
      <c r="Y11077" s="97"/>
    </row>
    <row r="11078" spans="25:25" x14ac:dyDescent="0.2">
      <c r="Y11078" s="97"/>
    </row>
    <row r="11079" spans="25:25" x14ac:dyDescent="0.2">
      <c r="Y11079" s="97"/>
    </row>
    <row r="11080" spans="25:25" x14ac:dyDescent="0.2">
      <c r="Y11080" s="97"/>
    </row>
    <row r="11081" spans="25:25" x14ac:dyDescent="0.2">
      <c r="Y11081" s="97"/>
    </row>
    <row r="11082" spans="25:25" x14ac:dyDescent="0.2">
      <c r="Y11082" s="97"/>
    </row>
    <row r="11083" spans="25:25" x14ac:dyDescent="0.2">
      <c r="Y11083" s="97"/>
    </row>
    <row r="11084" spans="25:25" x14ac:dyDescent="0.2">
      <c r="Y11084" s="97"/>
    </row>
    <row r="11085" spans="25:25" x14ac:dyDescent="0.2">
      <c r="Y11085" s="97"/>
    </row>
    <row r="11086" spans="25:25" x14ac:dyDescent="0.2">
      <c r="Y11086" s="97"/>
    </row>
    <row r="11087" spans="25:25" x14ac:dyDescent="0.2">
      <c r="Y11087" s="97"/>
    </row>
    <row r="11088" spans="25:25" x14ac:dyDescent="0.2">
      <c r="Y11088" s="97"/>
    </row>
    <row r="11089" spans="25:25" x14ac:dyDescent="0.2">
      <c r="Y11089" s="97"/>
    </row>
    <row r="11090" spans="25:25" x14ac:dyDescent="0.2">
      <c r="Y11090" s="97"/>
    </row>
    <row r="11091" spans="25:25" x14ac:dyDescent="0.2">
      <c r="Y11091" s="97"/>
    </row>
    <row r="11092" spans="25:25" x14ac:dyDescent="0.2">
      <c r="Y11092" s="97"/>
    </row>
    <row r="11093" spans="25:25" x14ac:dyDescent="0.2">
      <c r="Y11093" s="97"/>
    </row>
    <row r="11094" spans="25:25" x14ac:dyDescent="0.2">
      <c r="Y11094" s="97"/>
    </row>
    <row r="11095" spans="25:25" x14ac:dyDescent="0.2">
      <c r="Y11095" s="97"/>
    </row>
    <row r="11096" spans="25:25" x14ac:dyDescent="0.2">
      <c r="Y11096" s="97"/>
    </row>
    <row r="11097" spans="25:25" x14ac:dyDescent="0.2">
      <c r="Y11097" s="97"/>
    </row>
    <row r="11098" spans="25:25" x14ac:dyDescent="0.2">
      <c r="Y11098" s="97"/>
    </row>
    <row r="11099" spans="25:25" x14ac:dyDescent="0.2">
      <c r="Y11099" s="97"/>
    </row>
    <row r="11100" spans="25:25" x14ac:dyDescent="0.2">
      <c r="Y11100" s="97"/>
    </row>
    <row r="11101" spans="25:25" x14ac:dyDescent="0.2">
      <c r="Y11101" s="97"/>
    </row>
    <row r="11102" spans="25:25" x14ac:dyDescent="0.2">
      <c r="Y11102" s="97"/>
    </row>
    <row r="11103" spans="25:25" x14ac:dyDescent="0.2">
      <c r="Y11103" s="97"/>
    </row>
    <row r="11104" spans="25:25" x14ac:dyDescent="0.2">
      <c r="Y11104" s="97"/>
    </row>
    <row r="11105" spans="25:25" x14ac:dyDescent="0.2">
      <c r="Y11105" s="97"/>
    </row>
    <row r="11106" spans="25:25" x14ac:dyDescent="0.2">
      <c r="Y11106" s="97"/>
    </row>
    <row r="11107" spans="25:25" x14ac:dyDescent="0.2">
      <c r="Y11107" s="97"/>
    </row>
    <row r="11108" spans="25:25" x14ac:dyDescent="0.2">
      <c r="Y11108" s="97"/>
    </row>
    <row r="11109" spans="25:25" x14ac:dyDescent="0.2">
      <c r="Y11109" s="97"/>
    </row>
    <row r="11110" spans="25:25" x14ac:dyDescent="0.2">
      <c r="Y11110" s="97"/>
    </row>
    <row r="11111" spans="25:25" x14ac:dyDescent="0.2">
      <c r="Y11111" s="97"/>
    </row>
    <row r="11112" spans="25:25" x14ac:dyDescent="0.2">
      <c r="Y11112" s="97"/>
    </row>
    <row r="11113" spans="25:25" x14ac:dyDescent="0.2">
      <c r="Y11113" s="97"/>
    </row>
    <row r="11114" spans="25:25" x14ac:dyDescent="0.2">
      <c r="Y11114" s="97"/>
    </row>
    <row r="11115" spans="25:25" x14ac:dyDescent="0.2">
      <c r="Y11115" s="97"/>
    </row>
    <row r="11116" spans="25:25" x14ac:dyDescent="0.2">
      <c r="Y11116" s="97"/>
    </row>
    <row r="11117" spans="25:25" x14ac:dyDescent="0.2">
      <c r="Y11117" s="97"/>
    </row>
    <row r="11118" spans="25:25" x14ac:dyDescent="0.2">
      <c r="Y11118" s="97"/>
    </row>
    <row r="11119" spans="25:25" x14ac:dyDescent="0.2">
      <c r="Y11119" s="97"/>
    </row>
    <row r="11120" spans="25:25" x14ac:dyDescent="0.2">
      <c r="Y11120" s="97"/>
    </row>
    <row r="11121" spans="25:25" x14ac:dyDescent="0.2">
      <c r="Y11121" s="97"/>
    </row>
    <row r="11122" spans="25:25" x14ac:dyDescent="0.2">
      <c r="Y11122" s="97"/>
    </row>
    <row r="11123" spans="25:25" x14ac:dyDescent="0.2">
      <c r="Y11123" s="97"/>
    </row>
    <row r="11124" spans="25:25" x14ac:dyDescent="0.2">
      <c r="Y11124" s="97"/>
    </row>
    <row r="11125" spans="25:25" x14ac:dyDescent="0.2">
      <c r="Y11125" s="97"/>
    </row>
    <row r="11126" spans="25:25" x14ac:dyDescent="0.2">
      <c r="Y11126" s="97"/>
    </row>
    <row r="11127" spans="25:25" x14ac:dyDescent="0.2">
      <c r="Y11127" s="97"/>
    </row>
    <row r="11128" spans="25:25" x14ac:dyDescent="0.2">
      <c r="Y11128" s="97"/>
    </row>
    <row r="11129" spans="25:25" x14ac:dyDescent="0.2">
      <c r="Y11129" s="97"/>
    </row>
    <row r="11130" spans="25:25" x14ac:dyDescent="0.2">
      <c r="Y11130" s="97"/>
    </row>
    <row r="11131" spans="25:25" x14ac:dyDescent="0.2">
      <c r="Y11131" s="97"/>
    </row>
    <row r="11132" spans="25:25" x14ac:dyDescent="0.2">
      <c r="Y11132" s="97"/>
    </row>
    <row r="11133" spans="25:25" x14ac:dyDescent="0.2">
      <c r="Y11133" s="97"/>
    </row>
    <row r="11134" spans="25:25" x14ac:dyDescent="0.2">
      <c r="Y11134" s="97"/>
    </row>
    <row r="11135" spans="25:25" x14ac:dyDescent="0.2">
      <c r="Y11135" s="97"/>
    </row>
    <row r="11136" spans="25:25" x14ac:dyDescent="0.2">
      <c r="Y11136" s="97"/>
    </row>
    <row r="11137" spans="25:25" x14ac:dyDescent="0.2">
      <c r="Y11137" s="97"/>
    </row>
    <row r="11138" spans="25:25" x14ac:dyDescent="0.2">
      <c r="Y11138" s="97"/>
    </row>
    <row r="11139" spans="25:25" x14ac:dyDescent="0.2">
      <c r="Y11139" s="97"/>
    </row>
    <row r="11140" spans="25:25" x14ac:dyDescent="0.2">
      <c r="Y11140" s="97"/>
    </row>
    <row r="11141" spans="25:25" x14ac:dyDescent="0.2">
      <c r="Y11141" s="97"/>
    </row>
    <row r="11142" spans="25:25" x14ac:dyDescent="0.2">
      <c r="Y11142" s="97"/>
    </row>
    <row r="11143" spans="25:25" x14ac:dyDescent="0.2">
      <c r="Y11143" s="97"/>
    </row>
    <row r="11144" spans="25:25" x14ac:dyDescent="0.2">
      <c r="Y11144" s="97"/>
    </row>
    <row r="11145" spans="25:25" x14ac:dyDescent="0.2">
      <c r="Y11145" s="97"/>
    </row>
    <row r="11146" spans="25:25" x14ac:dyDescent="0.2">
      <c r="Y11146" s="97"/>
    </row>
    <row r="11147" spans="25:25" x14ac:dyDescent="0.2">
      <c r="Y11147" s="97"/>
    </row>
    <row r="11148" spans="25:25" x14ac:dyDescent="0.2">
      <c r="Y11148" s="97"/>
    </row>
    <row r="11149" spans="25:25" x14ac:dyDescent="0.2">
      <c r="Y11149" s="97"/>
    </row>
    <row r="11150" spans="25:25" x14ac:dyDescent="0.2">
      <c r="Y11150" s="97"/>
    </row>
    <row r="11151" spans="25:25" x14ac:dyDescent="0.2">
      <c r="Y11151" s="97"/>
    </row>
    <row r="11152" spans="25:25" x14ac:dyDescent="0.2">
      <c r="Y11152" s="97"/>
    </row>
    <row r="11153" spans="25:25" x14ac:dyDescent="0.2">
      <c r="Y11153" s="97"/>
    </row>
    <row r="11154" spans="25:25" x14ac:dyDescent="0.2">
      <c r="Y11154" s="97"/>
    </row>
    <row r="11155" spans="25:25" x14ac:dyDescent="0.2">
      <c r="Y11155" s="97"/>
    </row>
    <row r="11156" spans="25:25" x14ac:dyDescent="0.2">
      <c r="Y11156" s="97"/>
    </row>
    <row r="11157" spans="25:25" x14ac:dyDescent="0.2">
      <c r="Y11157" s="97"/>
    </row>
    <row r="11158" spans="25:25" x14ac:dyDescent="0.2">
      <c r="Y11158" s="97"/>
    </row>
    <row r="11159" spans="25:25" x14ac:dyDescent="0.2">
      <c r="Y11159" s="97"/>
    </row>
    <row r="11160" spans="25:25" x14ac:dyDescent="0.2">
      <c r="Y11160" s="97"/>
    </row>
    <row r="11161" spans="25:25" x14ac:dyDescent="0.2">
      <c r="Y11161" s="97"/>
    </row>
    <row r="11162" spans="25:25" x14ac:dyDescent="0.2">
      <c r="Y11162" s="97"/>
    </row>
    <row r="11163" spans="25:25" x14ac:dyDescent="0.2">
      <c r="Y11163" s="97"/>
    </row>
    <row r="11164" spans="25:25" x14ac:dyDescent="0.2">
      <c r="Y11164" s="97"/>
    </row>
    <row r="11165" spans="25:25" x14ac:dyDescent="0.2">
      <c r="Y11165" s="97"/>
    </row>
    <row r="11166" spans="25:25" x14ac:dyDescent="0.2">
      <c r="Y11166" s="97"/>
    </row>
    <row r="11167" spans="25:25" x14ac:dyDescent="0.2">
      <c r="Y11167" s="97"/>
    </row>
    <row r="11168" spans="25:25" x14ac:dyDescent="0.2">
      <c r="Y11168" s="97"/>
    </row>
    <row r="11169" spans="25:25" x14ac:dyDescent="0.2">
      <c r="Y11169" s="97"/>
    </row>
    <row r="11170" spans="25:25" x14ac:dyDescent="0.2">
      <c r="Y11170" s="97"/>
    </row>
    <row r="11171" spans="25:25" x14ac:dyDescent="0.2">
      <c r="Y11171" s="97"/>
    </row>
    <row r="11172" spans="25:25" x14ac:dyDescent="0.2">
      <c r="Y11172" s="97"/>
    </row>
    <row r="11173" spans="25:25" x14ac:dyDescent="0.2">
      <c r="Y11173" s="97"/>
    </row>
    <row r="11174" spans="25:25" x14ac:dyDescent="0.2">
      <c r="Y11174" s="97"/>
    </row>
    <row r="11175" spans="25:25" x14ac:dyDescent="0.2">
      <c r="Y11175" s="97"/>
    </row>
    <row r="11176" spans="25:25" x14ac:dyDescent="0.2">
      <c r="Y11176" s="97"/>
    </row>
    <row r="11177" spans="25:25" x14ac:dyDescent="0.2">
      <c r="Y11177" s="97"/>
    </row>
    <row r="11178" spans="25:25" x14ac:dyDescent="0.2">
      <c r="Y11178" s="97"/>
    </row>
    <row r="11179" spans="25:25" x14ac:dyDescent="0.2">
      <c r="Y11179" s="97"/>
    </row>
    <row r="11180" spans="25:25" x14ac:dyDescent="0.2">
      <c r="Y11180" s="97"/>
    </row>
    <row r="11181" spans="25:25" x14ac:dyDescent="0.2">
      <c r="Y11181" s="97"/>
    </row>
    <row r="11182" spans="25:25" x14ac:dyDescent="0.2">
      <c r="Y11182" s="97"/>
    </row>
    <row r="11183" spans="25:25" x14ac:dyDescent="0.2">
      <c r="Y11183" s="97"/>
    </row>
    <row r="11184" spans="25:25" x14ac:dyDescent="0.2">
      <c r="Y11184" s="97"/>
    </row>
    <row r="11185" spans="25:25" x14ac:dyDescent="0.2">
      <c r="Y11185" s="97"/>
    </row>
    <row r="11186" spans="25:25" x14ac:dyDescent="0.2">
      <c r="Y11186" s="97"/>
    </row>
    <row r="11187" spans="25:25" x14ac:dyDescent="0.2">
      <c r="Y11187" s="97"/>
    </row>
    <row r="11188" spans="25:25" x14ac:dyDescent="0.2">
      <c r="Y11188" s="97"/>
    </row>
    <row r="11189" spans="25:25" x14ac:dyDescent="0.2">
      <c r="Y11189" s="97"/>
    </row>
    <row r="11190" spans="25:25" x14ac:dyDescent="0.2">
      <c r="Y11190" s="97"/>
    </row>
    <row r="11191" spans="25:25" x14ac:dyDescent="0.2">
      <c r="Y11191" s="97"/>
    </row>
    <row r="11192" spans="25:25" x14ac:dyDescent="0.2">
      <c r="Y11192" s="97"/>
    </row>
    <row r="11193" spans="25:25" x14ac:dyDescent="0.2">
      <c r="Y11193" s="97"/>
    </row>
    <row r="11194" spans="25:25" x14ac:dyDescent="0.2">
      <c r="Y11194" s="97"/>
    </row>
    <row r="11195" spans="25:25" x14ac:dyDescent="0.2">
      <c r="Y11195" s="97"/>
    </row>
    <row r="11196" spans="25:25" x14ac:dyDescent="0.2">
      <c r="Y11196" s="97"/>
    </row>
    <row r="11197" spans="25:25" x14ac:dyDescent="0.2">
      <c r="Y11197" s="97"/>
    </row>
    <row r="11198" spans="25:25" x14ac:dyDescent="0.2">
      <c r="Y11198" s="97"/>
    </row>
    <row r="11199" spans="25:25" x14ac:dyDescent="0.2">
      <c r="Y11199" s="97"/>
    </row>
    <row r="11200" spans="25:25" x14ac:dyDescent="0.2">
      <c r="Y11200" s="97"/>
    </row>
    <row r="11201" spans="25:25" x14ac:dyDescent="0.2">
      <c r="Y11201" s="97"/>
    </row>
    <row r="11202" spans="25:25" x14ac:dyDescent="0.2">
      <c r="Y11202" s="97"/>
    </row>
    <row r="11203" spans="25:25" x14ac:dyDescent="0.2">
      <c r="Y11203" s="97"/>
    </row>
    <row r="11204" spans="25:25" x14ac:dyDescent="0.2">
      <c r="Y11204" s="97"/>
    </row>
    <row r="11205" spans="25:25" x14ac:dyDescent="0.2">
      <c r="Y11205" s="97"/>
    </row>
    <row r="11206" spans="25:25" x14ac:dyDescent="0.2">
      <c r="Y11206" s="97"/>
    </row>
    <row r="11207" spans="25:25" x14ac:dyDescent="0.2">
      <c r="Y11207" s="97"/>
    </row>
    <row r="11208" spans="25:25" x14ac:dyDescent="0.2">
      <c r="Y11208" s="97"/>
    </row>
    <row r="11209" spans="25:25" x14ac:dyDescent="0.2">
      <c r="Y11209" s="97"/>
    </row>
    <row r="11210" spans="25:25" x14ac:dyDescent="0.2">
      <c r="Y11210" s="97"/>
    </row>
    <row r="11211" spans="25:25" x14ac:dyDescent="0.2">
      <c r="Y11211" s="97"/>
    </row>
    <row r="11212" spans="25:25" x14ac:dyDescent="0.2">
      <c r="Y11212" s="97"/>
    </row>
    <row r="11213" spans="25:25" x14ac:dyDescent="0.2">
      <c r="Y11213" s="97"/>
    </row>
    <row r="11214" spans="25:25" x14ac:dyDescent="0.2">
      <c r="Y11214" s="97"/>
    </row>
    <row r="11215" spans="25:25" x14ac:dyDescent="0.2">
      <c r="Y11215" s="97"/>
    </row>
    <row r="11216" spans="25:25" x14ac:dyDescent="0.2">
      <c r="Y11216" s="97"/>
    </row>
    <row r="11217" spans="25:25" x14ac:dyDescent="0.2">
      <c r="Y11217" s="97"/>
    </row>
    <row r="11218" spans="25:25" x14ac:dyDescent="0.2">
      <c r="Y11218" s="97"/>
    </row>
    <row r="11219" spans="25:25" x14ac:dyDescent="0.2">
      <c r="Y11219" s="97"/>
    </row>
    <row r="11220" spans="25:25" x14ac:dyDescent="0.2">
      <c r="Y11220" s="97"/>
    </row>
    <row r="11221" spans="25:25" x14ac:dyDescent="0.2">
      <c r="Y11221" s="97"/>
    </row>
    <row r="11222" spans="25:25" x14ac:dyDescent="0.2">
      <c r="Y11222" s="97"/>
    </row>
    <row r="11223" spans="25:25" x14ac:dyDescent="0.2">
      <c r="Y11223" s="97"/>
    </row>
    <row r="11224" spans="25:25" x14ac:dyDescent="0.2">
      <c r="Y11224" s="97"/>
    </row>
    <row r="11225" spans="25:25" x14ac:dyDescent="0.2">
      <c r="Y11225" s="97"/>
    </row>
    <row r="11226" spans="25:25" x14ac:dyDescent="0.2">
      <c r="Y11226" s="97"/>
    </row>
    <row r="11227" spans="25:25" x14ac:dyDescent="0.2">
      <c r="Y11227" s="97"/>
    </row>
    <row r="11228" spans="25:25" x14ac:dyDescent="0.2">
      <c r="Y11228" s="97"/>
    </row>
    <row r="11229" spans="25:25" x14ac:dyDescent="0.2">
      <c r="Y11229" s="97"/>
    </row>
    <row r="11230" spans="25:25" x14ac:dyDescent="0.2">
      <c r="Y11230" s="97"/>
    </row>
    <row r="11231" spans="25:25" x14ac:dyDescent="0.2">
      <c r="Y11231" s="97"/>
    </row>
    <row r="11232" spans="25:25" x14ac:dyDescent="0.2">
      <c r="Y11232" s="97"/>
    </row>
    <row r="11233" spans="25:25" x14ac:dyDescent="0.2">
      <c r="Y11233" s="97"/>
    </row>
    <row r="11234" spans="25:25" x14ac:dyDescent="0.2">
      <c r="Y11234" s="97"/>
    </row>
    <row r="11235" spans="25:25" x14ac:dyDescent="0.2">
      <c r="Y11235" s="97"/>
    </row>
    <row r="11236" spans="25:25" x14ac:dyDescent="0.2">
      <c r="Y11236" s="97"/>
    </row>
    <row r="11237" spans="25:25" x14ac:dyDescent="0.2">
      <c r="Y11237" s="97"/>
    </row>
    <row r="11238" spans="25:25" x14ac:dyDescent="0.2">
      <c r="Y11238" s="97"/>
    </row>
    <row r="11239" spans="25:25" x14ac:dyDescent="0.2">
      <c r="Y11239" s="97"/>
    </row>
    <row r="11240" spans="25:25" x14ac:dyDescent="0.2">
      <c r="Y11240" s="97"/>
    </row>
    <row r="11241" spans="25:25" x14ac:dyDescent="0.2">
      <c r="Y11241" s="97"/>
    </row>
    <row r="11242" spans="25:25" x14ac:dyDescent="0.2">
      <c r="Y11242" s="97"/>
    </row>
    <row r="11243" spans="25:25" x14ac:dyDescent="0.2">
      <c r="Y11243" s="97"/>
    </row>
    <row r="11244" spans="25:25" x14ac:dyDescent="0.2">
      <c r="Y11244" s="97"/>
    </row>
    <row r="11245" spans="25:25" x14ac:dyDescent="0.2">
      <c r="Y11245" s="97"/>
    </row>
    <row r="11246" spans="25:25" x14ac:dyDescent="0.2">
      <c r="Y11246" s="97"/>
    </row>
    <row r="11247" spans="25:25" x14ac:dyDescent="0.2">
      <c r="Y11247" s="97"/>
    </row>
    <row r="11248" spans="25:25" x14ac:dyDescent="0.2">
      <c r="Y11248" s="97"/>
    </row>
    <row r="11249" spans="25:25" x14ac:dyDescent="0.2">
      <c r="Y11249" s="97"/>
    </row>
    <row r="11250" spans="25:25" x14ac:dyDescent="0.2">
      <c r="Y11250" s="97"/>
    </row>
    <row r="11251" spans="25:25" x14ac:dyDescent="0.2">
      <c r="Y11251" s="97"/>
    </row>
    <row r="11252" spans="25:25" x14ac:dyDescent="0.2">
      <c r="Y11252" s="97"/>
    </row>
    <row r="11253" spans="25:25" x14ac:dyDescent="0.2">
      <c r="Y11253" s="97"/>
    </row>
    <row r="11254" spans="25:25" x14ac:dyDescent="0.2">
      <c r="Y11254" s="97"/>
    </row>
    <row r="11255" spans="25:25" x14ac:dyDescent="0.2">
      <c r="Y11255" s="97"/>
    </row>
    <row r="11256" spans="25:25" x14ac:dyDescent="0.2">
      <c r="Y11256" s="97"/>
    </row>
    <row r="11257" spans="25:25" x14ac:dyDescent="0.2">
      <c r="Y11257" s="97"/>
    </row>
    <row r="11258" spans="25:25" x14ac:dyDescent="0.2">
      <c r="Y11258" s="97"/>
    </row>
    <row r="11259" spans="25:25" x14ac:dyDescent="0.2">
      <c r="Y11259" s="97"/>
    </row>
    <row r="11260" spans="25:25" x14ac:dyDescent="0.2">
      <c r="Y11260" s="97"/>
    </row>
    <row r="11261" spans="25:25" x14ac:dyDescent="0.2">
      <c r="Y11261" s="97"/>
    </row>
    <row r="11262" spans="25:25" x14ac:dyDescent="0.2">
      <c r="Y11262" s="97"/>
    </row>
    <row r="11263" spans="25:25" x14ac:dyDescent="0.2">
      <c r="Y11263" s="97"/>
    </row>
    <row r="11264" spans="25:25" x14ac:dyDescent="0.2">
      <c r="Y11264" s="97"/>
    </row>
    <row r="11265" spans="25:25" x14ac:dyDescent="0.2">
      <c r="Y11265" s="97"/>
    </row>
    <row r="11266" spans="25:25" x14ac:dyDescent="0.2">
      <c r="Y11266" s="97"/>
    </row>
    <row r="11267" spans="25:25" x14ac:dyDescent="0.2">
      <c r="Y11267" s="97"/>
    </row>
    <row r="11268" spans="25:25" x14ac:dyDescent="0.2">
      <c r="Y11268" s="97"/>
    </row>
    <row r="11269" spans="25:25" x14ac:dyDescent="0.2">
      <c r="Y11269" s="97"/>
    </row>
    <row r="11270" spans="25:25" x14ac:dyDescent="0.2">
      <c r="Y11270" s="97"/>
    </row>
    <row r="11271" spans="25:25" x14ac:dyDescent="0.2">
      <c r="Y11271" s="97"/>
    </row>
    <row r="11272" spans="25:25" x14ac:dyDescent="0.2">
      <c r="Y11272" s="97"/>
    </row>
    <row r="11273" spans="25:25" x14ac:dyDescent="0.2">
      <c r="Y11273" s="97"/>
    </row>
    <row r="11274" spans="25:25" x14ac:dyDescent="0.2">
      <c r="Y11274" s="97"/>
    </row>
    <row r="11275" spans="25:25" x14ac:dyDescent="0.2">
      <c r="Y11275" s="97"/>
    </row>
    <row r="11276" spans="25:25" x14ac:dyDescent="0.2">
      <c r="Y11276" s="97"/>
    </row>
    <row r="11277" spans="25:25" x14ac:dyDescent="0.2">
      <c r="Y11277" s="97"/>
    </row>
    <row r="11278" spans="25:25" x14ac:dyDescent="0.2">
      <c r="Y11278" s="97"/>
    </row>
    <row r="11279" spans="25:25" x14ac:dyDescent="0.2">
      <c r="Y11279" s="97"/>
    </row>
    <row r="11280" spans="25:25" x14ac:dyDescent="0.2">
      <c r="Y11280" s="97"/>
    </row>
    <row r="11281" spans="25:25" x14ac:dyDescent="0.2">
      <c r="Y11281" s="97"/>
    </row>
    <row r="11282" spans="25:25" x14ac:dyDescent="0.2">
      <c r="Y11282" s="97"/>
    </row>
    <row r="11283" spans="25:25" x14ac:dyDescent="0.2">
      <c r="Y11283" s="97"/>
    </row>
    <row r="11284" spans="25:25" x14ac:dyDescent="0.2">
      <c r="Y11284" s="97"/>
    </row>
    <row r="11285" spans="25:25" x14ac:dyDescent="0.2">
      <c r="Y11285" s="97"/>
    </row>
    <row r="11286" spans="25:25" x14ac:dyDescent="0.2">
      <c r="Y11286" s="97"/>
    </row>
    <row r="11287" spans="25:25" x14ac:dyDescent="0.2">
      <c r="Y11287" s="97"/>
    </row>
    <row r="11288" spans="25:25" x14ac:dyDescent="0.2">
      <c r="Y11288" s="97"/>
    </row>
    <row r="11289" spans="25:25" x14ac:dyDescent="0.2">
      <c r="Y11289" s="97"/>
    </row>
    <row r="11290" spans="25:25" x14ac:dyDescent="0.2">
      <c r="Y11290" s="97"/>
    </row>
    <row r="11291" spans="25:25" x14ac:dyDescent="0.2">
      <c r="Y11291" s="97"/>
    </row>
    <row r="11292" spans="25:25" x14ac:dyDescent="0.2">
      <c r="Y11292" s="97"/>
    </row>
    <row r="11293" spans="25:25" x14ac:dyDescent="0.2">
      <c r="Y11293" s="97"/>
    </row>
    <row r="11294" spans="25:25" x14ac:dyDescent="0.2">
      <c r="Y11294" s="97"/>
    </row>
    <row r="11295" spans="25:25" x14ac:dyDescent="0.2">
      <c r="Y11295" s="97"/>
    </row>
    <row r="11296" spans="25:25" x14ac:dyDescent="0.2">
      <c r="Y11296" s="97"/>
    </row>
    <row r="11297" spans="25:25" x14ac:dyDescent="0.2">
      <c r="Y11297" s="97"/>
    </row>
    <row r="11298" spans="25:25" x14ac:dyDescent="0.2">
      <c r="Y11298" s="97"/>
    </row>
    <row r="11299" spans="25:25" x14ac:dyDescent="0.2">
      <c r="Y11299" s="97"/>
    </row>
    <row r="11300" spans="25:25" x14ac:dyDescent="0.2">
      <c r="Y11300" s="97"/>
    </row>
    <row r="11301" spans="25:25" x14ac:dyDescent="0.2">
      <c r="Y11301" s="97"/>
    </row>
    <row r="11302" spans="25:25" x14ac:dyDescent="0.2">
      <c r="Y11302" s="97"/>
    </row>
    <row r="11303" spans="25:25" x14ac:dyDescent="0.2">
      <c r="Y11303" s="97"/>
    </row>
    <row r="11304" spans="25:25" x14ac:dyDescent="0.2">
      <c r="Y11304" s="97"/>
    </row>
    <row r="11305" spans="25:25" x14ac:dyDescent="0.2">
      <c r="Y11305" s="97"/>
    </row>
    <row r="11306" spans="25:25" x14ac:dyDescent="0.2">
      <c r="Y11306" s="97"/>
    </row>
    <row r="11307" spans="25:25" x14ac:dyDescent="0.2">
      <c r="Y11307" s="97"/>
    </row>
    <row r="11308" spans="25:25" x14ac:dyDescent="0.2">
      <c r="Y11308" s="97"/>
    </row>
    <row r="11309" spans="25:25" x14ac:dyDescent="0.2">
      <c r="Y11309" s="97"/>
    </row>
    <row r="11310" spans="25:25" x14ac:dyDescent="0.2">
      <c r="Y11310" s="97"/>
    </row>
    <row r="11311" spans="25:25" x14ac:dyDescent="0.2">
      <c r="Y11311" s="97"/>
    </row>
    <row r="11312" spans="25:25" x14ac:dyDescent="0.2">
      <c r="Y11312" s="97"/>
    </row>
    <row r="11313" spans="25:25" x14ac:dyDescent="0.2">
      <c r="Y11313" s="97"/>
    </row>
    <row r="11314" spans="25:25" x14ac:dyDescent="0.2">
      <c r="Y11314" s="97"/>
    </row>
    <row r="11315" spans="25:25" x14ac:dyDescent="0.2">
      <c r="Y11315" s="97"/>
    </row>
    <row r="11316" spans="25:25" x14ac:dyDescent="0.2">
      <c r="Y11316" s="97"/>
    </row>
    <row r="11317" spans="25:25" x14ac:dyDescent="0.2">
      <c r="Y11317" s="97"/>
    </row>
    <row r="11318" spans="25:25" x14ac:dyDescent="0.2">
      <c r="Y11318" s="97"/>
    </row>
    <row r="11319" spans="25:25" x14ac:dyDescent="0.2">
      <c r="Y11319" s="97"/>
    </row>
    <row r="11320" spans="25:25" x14ac:dyDescent="0.2">
      <c r="Y11320" s="97"/>
    </row>
    <row r="11321" spans="25:25" x14ac:dyDescent="0.2">
      <c r="Y11321" s="97"/>
    </row>
    <row r="11322" spans="25:25" x14ac:dyDescent="0.2">
      <c r="Y11322" s="97"/>
    </row>
    <row r="11323" spans="25:25" x14ac:dyDescent="0.2">
      <c r="Y11323" s="97"/>
    </row>
    <row r="11324" spans="25:25" x14ac:dyDescent="0.2">
      <c r="Y11324" s="97"/>
    </row>
    <row r="11325" spans="25:25" x14ac:dyDescent="0.2">
      <c r="Y11325" s="97"/>
    </row>
    <row r="11326" spans="25:25" x14ac:dyDescent="0.2">
      <c r="Y11326" s="97"/>
    </row>
    <row r="11327" spans="25:25" x14ac:dyDescent="0.2">
      <c r="Y11327" s="97"/>
    </row>
    <row r="11328" spans="25:25" x14ac:dyDescent="0.2">
      <c r="Y11328" s="97"/>
    </row>
    <row r="11329" spans="25:25" x14ac:dyDescent="0.2">
      <c r="Y11329" s="97"/>
    </row>
    <row r="11330" spans="25:25" x14ac:dyDescent="0.2">
      <c r="Y11330" s="97"/>
    </row>
    <row r="11331" spans="25:25" x14ac:dyDescent="0.2">
      <c r="Y11331" s="97"/>
    </row>
    <row r="11332" spans="25:25" x14ac:dyDescent="0.2">
      <c r="Y11332" s="97"/>
    </row>
    <row r="11333" spans="25:25" x14ac:dyDescent="0.2">
      <c r="Y11333" s="97"/>
    </row>
    <row r="11334" spans="25:25" x14ac:dyDescent="0.2">
      <c r="Y11334" s="97"/>
    </row>
    <row r="11335" spans="25:25" x14ac:dyDescent="0.2">
      <c r="Y11335" s="97"/>
    </row>
    <row r="11336" spans="25:25" x14ac:dyDescent="0.2">
      <c r="Y11336" s="97"/>
    </row>
    <row r="11337" spans="25:25" x14ac:dyDescent="0.2">
      <c r="Y11337" s="97"/>
    </row>
    <row r="11338" spans="25:25" x14ac:dyDescent="0.2">
      <c r="Y11338" s="97"/>
    </row>
    <row r="11339" spans="25:25" x14ac:dyDescent="0.2">
      <c r="Y11339" s="97"/>
    </row>
    <row r="11340" spans="25:25" x14ac:dyDescent="0.2">
      <c r="Y11340" s="97"/>
    </row>
    <row r="11341" spans="25:25" x14ac:dyDescent="0.2">
      <c r="Y11341" s="97"/>
    </row>
    <row r="11342" spans="25:25" x14ac:dyDescent="0.2">
      <c r="Y11342" s="97"/>
    </row>
    <row r="11343" spans="25:25" x14ac:dyDescent="0.2">
      <c r="Y11343" s="97"/>
    </row>
    <row r="11344" spans="25:25" x14ac:dyDescent="0.2">
      <c r="Y11344" s="97"/>
    </row>
    <row r="11345" spans="25:25" x14ac:dyDescent="0.2">
      <c r="Y11345" s="97"/>
    </row>
    <row r="11346" spans="25:25" x14ac:dyDescent="0.2">
      <c r="Y11346" s="97"/>
    </row>
    <row r="11347" spans="25:25" x14ac:dyDescent="0.2">
      <c r="Y11347" s="97"/>
    </row>
    <row r="11348" spans="25:25" x14ac:dyDescent="0.2">
      <c r="Y11348" s="97"/>
    </row>
    <row r="11349" spans="25:25" x14ac:dyDescent="0.2">
      <c r="Y11349" s="97"/>
    </row>
    <row r="11350" spans="25:25" x14ac:dyDescent="0.2">
      <c r="Y11350" s="97"/>
    </row>
    <row r="11351" spans="25:25" x14ac:dyDescent="0.2">
      <c r="Y11351" s="97"/>
    </row>
    <row r="11352" spans="25:25" x14ac:dyDescent="0.2">
      <c r="Y11352" s="97"/>
    </row>
    <row r="11353" spans="25:25" x14ac:dyDescent="0.2">
      <c r="Y11353" s="97"/>
    </row>
    <row r="11354" spans="25:25" x14ac:dyDescent="0.2">
      <c r="Y11354" s="97"/>
    </row>
    <row r="11355" spans="25:25" x14ac:dyDescent="0.2">
      <c r="Y11355" s="97"/>
    </row>
    <row r="11356" spans="25:25" x14ac:dyDescent="0.2">
      <c r="Y11356" s="97"/>
    </row>
    <row r="11357" spans="25:25" x14ac:dyDescent="0.2">
      <c r="Y11357" s="97"/>
    </row>
    <row r="11358" spans="25:25" x14ac:dyDescent="0.2">
      <c r="Y11358" s="97"/>
    </row>
    <row r="11359" spans="25:25" x14ac:dyDescent="0.2">
      <c r="Y11359" s="97"/>
    </row>
    <row r="11360" spans="25:25" x14ac:dyDescent="0.2">
      <c r="Y11360" s="97"/>
    </row>
    <row r="11361" spans="25:25" x14ac:dyDescent="0.2">
      <c r="Y11361" s="97"/>
    </row>
    <row r="11362" spans="25:25" x14ac:dyDescent="0.2">
      <c r="Y11362" s="97"/>
    </row>
    <row r="11363" spans="25:25" x14ac:dyDescent="0.2">
      <c r="Y11363" s="97"/>
    </row>
    <row r="11364" spans="25:25" x14ac:dyDescent="0.2">
      <c r="Y11364" s="97"/>
    </row>
    <row r="11365" spans="25:25" x14ac:dyDescent="0.2">
      <c r="Y11365" s="97"/>
    </row>
    <row r="11366" spans="25:25" x14ac:dyDescent="0.2">
      <c r="Y11366" s="97"/>
    </row>
    <row r="11367" spans="25:25" x14ac:dyDescent="0.2">
      <c r="Y11367" s="97"/>
    </row>
    <row r="11368" spans="25:25" x14ac:dyDescent="0.2">
      <c r="Y11368" s="97"/>
    </row>
    <row r="11369" spans="25:25" x14ac:dyDescent="0.2">
      <c r="Y11369" s="97"/>
    </row>
    <row r="11370" spans="25:25" x14ac:dyDescent="0.2">
      <c r="Y11370" s="97"/>
    </row>
    <row r="11371" spans="25:25" x14ac:dyDescent="0.2">
      <c r="Y11371" s="97"/>
    </row>
    <row r="11372" spans="25:25" x14ac:dyDescent="0.2">
      <c r="Y11372" s="97"/>
    </row>
    <row r="11373" spans="25:25" x14ac:dyDescent="0.2">
      <c r="Y11373" s="97"/>
    </row>
    <row r="11374" spans="25:25" x14ac:dyDescent="0.2">
      <c r="Y11374" s="97"/>
    </row>
    <row r="11375" spans="25:25" x14ac:dyDescent="0.2">
      <c r="Y11375" s="97"/>
    </row>
    <row r="11376" spans="25:25" x14ac:dyDescent="0.2">
      <c r="Y11376" s="97"/>
    </row>
    <row r="11377" spans="25:25" x14ac:dyDescent="0.2">
      <c r="Y11377" s="97"/>
    </row>
    <row r="11378" spans="25:25" x14ac:dyDescent="0.2">
      <c r="Y11378" s="97"/>
    </row>
    <row r="11379" spans="25:25" x14ac:dyDescent="0.2">
      <c r="Y11379" s="97"/>
    </row>
    <row r="11380" spans="25:25" x14ac:dyDescent="0.2">
      <c r="Y11380" s="97"/>
    </row>
    <row r="11381" spans="25:25" x14ac:dyDescent="0.2">
      <c r="Y11381" s="97"/>
    </row>
    <row r="11382" spans="25:25" x14ac:dyDescent="0.2">
      <c r="Y11382" s="97"/>
    </row>
    <row r="11383" spans="25:25" x14ac:dyDescent="0.2">
      <c r="Y11383" s="97"/>
    </row>
    <row r="11384" spans="25:25" x14ac:dyDescent="0.2">
      <c r="Y11384" s="97"/>
    </row>
    <row r="11385" spans="25:25" x14ac:dyDescent="0.2">
      <c r="Y11385" s="97"/>
    </row>
    <row r="11386" spans="25:25" x14ac:dyDescent="0.2">
      <c r="Y11386" s="97"/>
    </row>
    <row r="11387" spans="25:25" x14ac:dyDescent="0.2">
      <c r="Y11387" s="97"/>
    </row>
    <row r="11388" spans="25:25" x14ac:dyDescent="0.2">
      <c r="Y11388" s="97"/>
    </row>
    <row r="11389" spans="25:25" x14ac:dyDescent="0.2">
      <c r="Y11389" s="97"/>
    </row>
    <row r="11390" spans="25:25" x14ac:dyDescent="0.2">
      <c r="Y11390" s="97"/>
    </row>
    <row r="11391" spans="25:25" x14ac:dyDescent="0.2">
      <c r="Y11391" s="97"/>
    </row>
    <row r="11392" spans="25:25" x14ac:dyDescent="0.2">
      <c r="Y11392" s="97"/>
    </row>
    <row r="11393" spans="25:25" x14ac:dyDescent="0.2">
      <c r="Y11393" s="97"/>
    </row>
    <row r="11394" spans="25:25" x14ac:dyDescent="0.2">
      <c r="Y11394" s="97"/>
    </row>
    <row r="11395" spans="25:25" x14ac:dyDescent="0.2">
      <c r="Y11395" s="97"/>
    </row>
    <row r="11396" spans="25:25" x14ac:dyDescent="0.2">
      <c r="Y11396" s="97"/>
    </row>
    <row r="11397" spans="25:25" x14ac:dyDescent="0.2">
      <c r="Y11397" s="97"/>
    </row>
    <row r="11398" spans="25:25" x14ac:dyDescent="0.2">
      <c r="Y11398" s="97"/>
    </row>
    <row r="11399" spans="25:25" x14ac:dyDescent="0.2">
      <c r="Y11399" s="97"/>
    </row>
    <row r="11400" spans="25:25" x14ac:dyDescent="0.2">
      <c r="Y11400" s="97"/>
    </row>
    <row r="11401" spans="25:25" x14ac:dyDescent="0.2">
      <c r="Y11401" s="97"/>
    </row>
    <row r="11402" spans="25:25" x14ac:dyDescent="0.2">
      <c r="Y11402" s="97"/>
    </row>
    <row r="11403" spans="25:25" x14ac:dyDescent="0.2">
      <c r="Y11403" s="97"/>
    </row>
    <row r="11404" spans="25:25" x14ac:dyDescent="0.2">
      <c r="Y11404" s="97"/>
    </row>
    <row r="11405" spans="25:25" x14ac:dyDescent="0.2">
      <c r="Y11405" s="97"/>
    </row>
    <row r="11406" spans="25:25" x14ac:dyDescent="0.2">
      <c r="Y11406" s="97"/>
    </row>
    <row r="11407" spans="25:25" x14ac:dyDescent="0.2">
      <c r="Y11407" s="97"/>
    </row>
    <row r="11408" spans="25:25" x14ac:dyDescent="0.2">
      <c r="Y11408" s="97"/>
    </row>
    <row r="11409" spans="25:25" x14ac:dyDescent="0.2">
      <c r="Y11409" s="97"/>
    </row>
    <row r="11410" spans="25:25" x14ac:dyDescent="0.2">
      <c r="Y11410" s="97"/>
    </row>
    <row r="11411" spans="25:25" x14ac:dyDescent="0.2">
      <c r="Y11411" s="97"/>
    </row>
    <row r="11412" spans="25:25" x14ac:dyDescent="0.2">
      <c r="Y11412" s="97"/>
    </row>
    <row r="11413" spans="25:25" x14ac:dyDescent="0.2">
      <c r="Y11413" s="97"/>
    </row>
    <row r="11414" spans="25:25" x14ac:dyDescent="0.2">
      <c r="Y11414" s="97"/>
    </row>
    <row r="11415" spans="25:25" x14ac:dyDescent="0.2">
      <c r="Y11415" s="97"/>
    </row>
    <row r="11416" spans="25:25" x14ac:dyDescent="0.2">
      <c r="Y11416" s="97"/>
    </row>
    <row r="11417" spans="25:25" x14ac:dyDescent="0.2">
      <c r="Y11417" s="97"/>
    </row>
    <row r="11418" spans="25:25" x14ac:dyDescent="0.2">
      <c r="Y11418" s="97"/>
    </row>
    <row r="11419" spans="25:25" x14ac:dyDescent="0.2">
      <c r="Y11419" s="97"/>
    </row>
    <row r="11420" spans="25:25" x14ac:dyDescent="0.2">
      <c r="Y11420" s="97"/>
    </row>
    <row r="11421" spans="25:25" x14ac:dyDescent="0.2">
      <c r="Y11421" s="97"/>
    </row>
    <row r="11422" spans="25:25" x14ac:dyDescent="0.2">
      <c r="Y11422" s="97"/>
    </row>
    <row r="11423" spans="25:25" x14ac:dyDescent="0.2">
      <c r="Y11423" s="97"/>
    </row>
    <row r="11424" spans="25:25" x14ac:dyDescent="0.2">
      <c r="Y11424" s="97"/>
    </row>
    <row r="11425" spans="25:25" x14ac:dyDescent="0.2">
      <c r="Y11425" s="97"/>
    </row>
    <row r="11426" spans="25:25" x14ac:dyDescent="0.2">
      <c r="Y11426" s="97"/>
    </row>
    <row r="11427" spans="25:25" x14ac:dyDescent="0.2">
      <c r="Y11427" s="97"/>
    </row>
    <row r="11428" spans="25:25" x14ac:dyDescent="0.2">
      <c r="Y11428" s="97"/>
    </row>
    <row r="11429" spans="25:25" x14ac:dyDescent="0.2">
      <c r="Y11429" s="97"/>
    </row>
    <row r="11430" spans="25:25" x14ac:dyDescent="0.2">
      <c r="Y11430" s="97"/>
    </row>
    <row r="11431" spans="25:25" x14ac:dyDescent="0.2">
      <c r="Y11431" s="97"/>
    </row>
    <row r="11432" spans="25:25" x14ac:dyDescent="0.2">
      <c r="Y11432" s="97"/>
    </row>
    <row r="11433" spans="25:25" x14ac:dyDescent="0.2">
      <c r="Y11433" s="97"/>
    </row>
    <row r="11434" spans="25:25" x14ac:dyDescent="0.2">
      <c r="Y11434" s="97"/>
    </row>
    <row r="11435" spans="25:25" x14ac:dyDescent="0.2">
      <c r="Y11435" s="97"/>
    </row>
    <row r="11436" spans="25:25" x14ac:dyDescent="0.2">
      <c r="Y11436" s="97"/>
    </row>
    <row r="11437" spans="25:25" x14ac:dyDescent="0.2">
      <c r="Y11437" s="97"/>
    </row>
    <row r="11438" spans="25:25" x14ac:dyDescent="0.2">
      <c r="Y11438" s="97"/>
    </row>
    <row r="11439" spans="25:25" x14ac:dyDescent="0.2">
      <c r="Y11439" s="97"/>
    </row>
    <row r="11440" spans="25:25" x14ac:dyDescent="0.2">
      <c r="Y11440" s="97"/>
    </row>
    <row r="11441" spans="25:25" x14ac:dyDescent="0.2">
      <c r="Y11441" s="97"/>
    </row>
    <row r="11442" spans="25:25" x14ac:dyDescent="0.2">
      <c r="Y11442" s="97"/>
    </row>
    <row r="11443" spans="25:25" x14ac:dyDescent="0.2">
      <c r="Y11443" s="97"/>
    </row>
    <row r="11444" spans="25:25" x14ac:dyDescent="0.2">
      <c r="Y11444" s="97"/>
    </row>
    <row r="11445" spans="25:25" x14ac:dyDescent="0.2">
      <c r="Y11445" s="97"/>
    </row>
    <row r="11446" spans="25:25" x14ac:dyDescent="0.2">
      <c r="Y11446" s="97"/>
    </row>
    <row r="11447" spans="25:25" x14ac:dyDescent="0.2">
      <c r="Y11447" s="97"/>
    </row>
    <row r="11448" spans="25:25" x14ac:dyDescent="0.2">
      <c r="Y11448" s="97"/>
    </row>
    <row r="11449" spans="25:25" x14ac:dyDescent="0.2">
      <c r="Y11449" s="97"/>
    </row>
    <row r="11450" spans="25:25" x14ac:dyDescent="0.2">
      <c r="Y11450" s="97"/>
    </row>
    <row r="11451" spans="25:25" x14ac:dyDescent="0.2">
      <c r="Y11451" s="97"/>
    </row>
    <row r="11452" spans="25:25" x14ac:dyDescent="0.2">
      <c r="Y11452" s="97"/>
    </row>
    <row r="11453" spans="25:25" x14ac:dyDescent="0.2">
      <c r="Y11453" s="97"/>
    </row>
    <row r="11454" spans="25:25" x14ac:dyDescent="0.2">
      <c r="Y11454" s="97"/>
    </row>
    <row r="11455" spans="25:25" x14ac:dyDescent="0.2">
      <c r="Y11455" s="97"/>
    </row>
    <row r="11456" spans="25:25" x14ac:dyDescent="0.2">
      <c r="Y11456" s="97"/>
    </row>
    <row r="11457" spans="25:25" x14ac:dyDescent="0.2">
      <c r="Y11457" s="97"/>
    </row>
    <row r="11458" spans="25:25" x14ac:dyDescent="0.2">
      <c r="Y11458" s="97"/>
    </row>
    <row r="11459" spans="25:25" x14ac:dyDescent="0.2">
      <c r="Y11459" s="97"/>
    </row>
    <row r="11460" spans="25:25" x14ac:dyDescent="0.2">
      <c r="Y11460" s="97"/>
    </row>
    <row r="11461" spans="25:25" x14ac:dyDescent="0.2">
      <c r="Y11461" s="97"/>
    </row>
    <row r="11462" spans="25:25" x14ac:dyDescent="0.2">
      <c r="Y11462" s="97"/>
    </row>
    <row r="11463" spans="25:25" x14ac:dyDescent="0.2">
      <c r="Y11463" s="97"/>
    </row>
    <row r="11464" spans="25:25" x14ac:dyDescent="0.2">
      <c r="Y11464" s="97"/>
    </row>
    <row r="11465" spans="25:25" x14ac:dyDescent="0.2">
      <c r="Y11465" s="97"/>
    </row>
    <row r="11466" spans="25:25" x14ac:dyDescent="0.2">
      <c r="Y11466" s="97"/>
    </row>
    <row r="11467" spans="25:25" x14ac:dyDescent="0.2">
      <c r="Y11467" s="97"/>
    </row>
    <row r="11468" spans="25:25" x14ac:dyDescent="0.2">
      <c r="Y11468" s="97"/>
    </row>
    <row r="11469" spans="25:25" x14ac:dyDescent="0.2">
      <c r="Y11469" s="97"/>
    </row>
    <row r="11470" spans="25:25" x14ac:dyDescent="0.2">
      <c r="Y11470" s="97"/>
    </row>
    <row r="11471" spans="25:25" x14ac:dyDescent="0.2">
      <c r="Y11471" s="97"/>
    </row>
    <row r="11472" spans="25:25" x14ac:dyDescent="0.2">
      <c r="Y11472" s="97"/>
    </row>
    <row r="11473" spans="25:25" x14ac:dyDescent="0.2">
      <c r="Y11473" s="97"/>
    </row>
    <row r="11474" spans="25:25" x14ac:dyDescent="0.2">
      <c r="Y11474" s="97"/>
    </row>
    <row r="11475" spans="25:25" x14ac:dyDescent="0.2">
      <c r="Y11475" s="97"/>
    </row>
    <row r="11476" spans="25:25" x14ac:dyDescent="0.2">
      <c r="Y11476" s="97"/>
    </row>
    <row r="11477" spans="25:25" x14ac:dyDescent="0.2">
      <c r="Y11477" s="97"/>
    </row>
    <row r="11478" spans="25:25" x14ac:dyDescent="0.2">
      <c r="Y11478" s="97"/>
    </row>
    <row r="11479" spans="25:25" x14ac:dyDescent="0.2">
      <c r="Y11479" s="97"/>
    </row>
    <row r="11480" spans="25:25" x14ac:dyDescent="0.2">
      <c r="Y11480" s="97"/>
    </row>
    <row r="11481" spans="25:25" x14ac:dyDescent="0.2">
      <c r="Y11481" s="97"/>
    </row>
    <row r="11482" spans="25:25" x14ac:dyDescent="0.2">
      <c r="Y11482" s="97"/>
    </row>
    <row r="11483" spans="25:25" x14ac:dyDescent="0.2">
      <c r="Y11483" s="97"/>
    </row>
    <row r="11484" spans="25:25" x14ac:dyDescent="0.2">
      <c r="Y11484" s="97"/>
    </row>
    <row r="11485" spans="25:25" x14ac:dyDescent="0.2">
      <c r="Y11485" s="97"/>
    </row>
    <row r="11486" spans="25:25" x14ac:dyDescent="0.2">
      <c r="Y11486" s="97"/>
    </row>
    <row r="11487" spans="25:25" x14ac:dyDescent="0.2">
      <c r="Y11487" s="97"/>
    </row>
    <row r="11488" spans="25:25" x14ac:dyDescent="0.2">
      <c r="Y11488" s="97"/>
    </row>
    <row r="11489" spans="25:25" x14ac:dyDescent="0.2">
      <c r="Y11489" s="97"/>
    </row>
    <row r="11490" spans="25:25" x14ac:dyDescent="0.2">
      <c r="Y11490" s="97"/>
    </row>
    <row r="11491" spans="25:25" x14ac:dyDescent="0.2">
      <c r="Y11491" s="97"/>
    </row>
    <row r="11492" spans="25:25" x14ac:dyDescent="0.2">
      <c r="Y11492" s="97"/>
    </row>
    <row r="11493" spans="25:25" x14ac:dyDescent="0.2">
      <c r="Y11493" s="97"/>
    </row>
    <row r="11494" spans="25:25" x14ac:dyDescent="0.2">
      <c r="Y11494" s="97"/>
    </row>
    <row r="11495" spans="25:25" x14ac:dyDescent="0.2">
      <c r="Y11495" s="97"/>
    </row>
    <row r="11496" spans="25:25" x14ac:dyDescent="0.2">
      <c r="Y11496" s="97"/>
    </row>
    <row r="11497" spans="25:25" x14ac:dyDescent="0.2">
      <c r="Y11497" s="97"/>
    </row>
    <row r="11498" spans="25:25" x14ac:dyDescent="0.2">
      <c r="Y11498" s="97"/>
    </row>
    <row r="11499" spans="25:25" x14ac:dyDescent="0.2">
      <c r="Y11499" s="97"/>
    </row>
    <row r="11500" spans="25:25" x14ac:dyDescent="0.2">
      <c r="Y11500" s="97"/>
    </row>
    <row r="11501" spans="25:25" x14ac:dyDescent="0.2">
      <c r="Y11501" s="97"/>
    </row>
    <row r="11502" spans="25:25" x14ac:dyDescent="0.2">
      <c r="Y11502" s="97"/>
    </row>
    <row r="11503" spans="25:25" x14ac:dyDescent="0.2">
      <c r="Y11503" s="97"/>
    </row>
    <row r="11504" spans="25:25" x14ac:dyDescent="0.2">
      <c r="Y11504" s="97"/>
    </row>
    <row r="11505" spans="25:25" x14ac:dyDescent="0.2">
      <c r="Y11505" s="97"/>
    </row>
    <row r="11506" spans="25:25" x14ac:dyDescent="0.2">
      <c r="Y11506" s="97"/>
    </row>
    <row r="11507" spans="25:25" x14ac:dyDescent="0.2">
      <c r="Y11507" s="97"/>
    </row>
    <row r="11508" spans="25:25" x14ac:dyDescent="0.2">
      <c r="Y11508" s="97"/>
    </row>
    <row r="11509" spans="25:25" x14ac:dyDescent="0.2">
      <c r="Y11509" s="97"/>
    </row>
    <row r="11510" spans="25:25" x14ac:dyDescent="0.2">
      <c r="Y11510" s="97"/>
    </row>
    <row r="11511" spans="25:25" x14ac:dyDescent="0.2">
      <c r="Y11511" s="97"/>
    </row>
    <row r="11512" spans="25:25" x14ac:dyDescent="0.2">
      <c r="Y11512" s="97"/>
    </row>
    <row r="11513" spans="25:25" x14ac:dyDescent="0.2">
      <c r="Y11513" s="97"/>
    </row>
    <row r="11514" spans="25:25" x14ac:dyDescent="0.2">
      <c r="Y11514" s="97"/>
    </row>
    <row r="11515" spans="25:25" x14ac:dyDescent="0.2">
      <c r="Y11515" s="97"/>
    </row>
    <row r="11516" spans="25:25" x14ac:dyDescent="0.2">
      <c r="Y11516" s="97"/>
    </row>
    <row r="11517" spans="25:25" x14ac:dyDescent="0.2">
      <c r="Y11517" s="97"/>
    </row>
    <row r="11518" spans="25:25" x14ac:dyDescent="0.2">
      <c r="Y11518" s="97"/>
    </row>
    <row r="11519" spans="25:25" x14ac:dyDescent="0.2">
      <c r="Y11519" s="97"/>
    </row>
    <row r="11520" spans="25:25" x14ac:dyDescent="0.2">
      <c r="Y11520" s="97"/>
    </row>
    <row r="11521" spans="25:25" x14ac:dyDescent="0.2">
      <c r="Y11521" s="97"/>
    </row>
    <row r="11522" spans="25:25" x14ac:dyDescent="0.2">
      <c r="Y11522" s="97"/>
    </row>
    <row r="11523" spans="25:25" x14ac:dyDescent="0.2">
      <c r="Y11523" s="97"/>
    </row>
    <row r="11524" spans="25:25" x14ac:dyDescent="0.2">
      <c r="Y11524" s="97"/>
    </row>
    <row r="11525" spans="25:25" x14ac:dyDescent="0.2">
      <c r="Y11525" s="97"/>
    </row>
    <row r="11526" spans="25:25" x14ac:dyDescent="0.2">
      <c r="Y11526" s="97"/>
    </row>
    <row r="11527" spans="25:25" x14ac:dyDescent="0.2">
      <c r="Y11527" s="97"/>
    </row>
    <row r="11528" spans="25:25" x14ac:dyDescent="0.2">
      <c r="Y11528" s="97"/>
    </row>
    <row r="11529" spans="25:25" x14ac:dyDescent="0.2">
      <c r="Y11529" s="97"/>
    </row>
    <row r="11530" spans="25:25" x14ac:dyDescent="0.2">
      <c r="Y11530" s="97"/>
    </row>
    <row r="11531" spans="25:25" x14ac:dyDescent="0.2">
      <c r="Y11531" s="97"/>
    </row>
    <row r="11532" spans="25:25" x14ac:dyDescent="0.2">
      <c r="Y11532" s="97"/>
    </row>
    <row r="11533" spans="25:25" x14ac:dyDescent="0.2">
      <c r="Y11533" s="97"/>
    </row>
    <row r="11534" spans="25:25" x14ac:dyDescent="0.2">
      <c r="Y11534" s="97"/>
    </row>
    <row r="11535" spans="25:25" x14ac:dyDescent="0.2">
      <c r="Y11535" s="97"/>
    </row>
    <row r="11536" spans="25:25" x14ac:dyDescent="0.2">
      <c r="Y11536" s="97"/>
    </row>
    <row r="11537" spans="25:25" x14ac:dyDescent="0.2">
      <c r="Y11537" s="97"/>
    </row>
    <row r="11538" spans="25:25" x14ac:dyDescent="0.2">
      <c r="Y11538" s="97"/>
    </row>
    <row r="11539" spans="25:25" x14ac:dyDescent="0.2">
      <c r="Y11539" s="97"/>
    </row>
    <row r="11540" spans="25:25" x14ac:dyDescent="0.2">
      <c r="Y11540" s="97"/>
    </row>
    <row r="11541" spans="25:25" x14ac:dyDescent="0.2">
      <c r="Y11541" s="97"/>
    </row>
    <row r="11542" spans="25:25" x14ac:dyDescent="0.2">
      <c r="Y11542" s="97"/>
    </row>
    <row r="11543" spans="25:25" x14ac:dyDescent="0.2">
      <c r="Y11543" s="97"/>
    </row>
    <row r="11544" spans="25:25" x14ac:dyDescent="0.2">
      <c r="Y11544" s="97"/>
    </row>
    <row r="11545" spans="25:25" x14ac:dyDescent="0.2">
      <c r="Y11545" s="97"/>
    </row>
    <row r="11546" spans="25:25" x14ac:dyDescent="0.2">
      <c r="Y11546" s="97"/>
    </row>
    <row r="11547" spans="25:25" x14ac:dyDescent="0.2">
      <c r="Y11547" s="97"/>
    </row>
    <row r="11548" spans="25:25" x14ac:dyDescent="0.2">
      <c r="Y11548" s="97"/>
    </row>
    <row r="11549" spans="25:25" x14ac:dyDescent="0.2">
      <c r="Y11549" s="97"/>
    </row>
    <row r="11550" spans="25:25" x14ac:dyDescent="0.2">
      <c r="Y11550" s="97"/>
    </row>
    <row r="11551" spans="25:25" x14ac:dyDescent="0.2">
      <c r="Y11551" s="97"/>
    </row>
    <row r="11552" spans="25:25" x14ac:dyDescent="0.2">
      <c r="Y11552" s="97"/>
    </row>
    <row r="11553" spans="25:25" x14ac:dyDescent="0.2">
      <c r="Y11553" s="97"/>
    </row>
    <row r="11554" spans="25:25" x14ac:dyDescent="0.2">
      <c r="Y11554" s="97"/>
    </row>
    <row r="11555" spans="25:25" x14ac:dyDescent="0.2">
      <c r="Y11555" s="97"/>
    </row>
    <row r="11556" spans="25:25" x14ac:dyDescent="0.2">
      <c r="Y11556" s="97"/>
    </row>
    <row r="11557" spans="25:25" x14ac:dyDescent="0.2">
      <c r="Y11557" s="97"/>
    </row>
    <row r="11558" spans="25:25" x14ac:dyDescent="0.2">
      <c r="Y11558" s="97"/>
    </row>
    <row r="11559" spans="25:25" x14ac:dyDescent="0.2">
      <c r="Y11559" s="97"/>
    </row>
    <row r="11560" spans="25:25" x14ac:dyDescent="0.2">
      <c r="Y11560" s="97"/>
    </row>
    <row r="11561" spans="25:25" x14ac:dyDescent="0.2">
      <c r="Y11561" s="97"/>
    </row>
    <row r="11562" spans="25:25" x14ac:dyDescent="0.2">
      <c r="Y11562" s="97"/>
    </row>
    <row r="11563" spans="25:25" x14ac:dyDescent="0.2">
      <c r="Y11563" s="97"/>
    </row>
    <row r="11564" spans="25:25" x14ac:dyDescent="0.2">
      <c r="Y11564" s="97"/>
    </row>
    <row r="11565" spans="25:25" x14ac:dyDescent="0.2">
      <c r="Y11565" s="97"/>
    </row>
    <row r="11566" spans="25:25" x14ac:dyDescent="0.2">
      <c r="Y11566" s="97"/>
    </row>
    <row r="11567" spans="25:25" x14ac:dyDescent="0.2">
      <c r="Y11567" s="97"/>
    </row>
    <row r="11568" spans="25:25" x14ac:dyDescent="0.2">
      <c r="Y11568" s="97"/>
    </row>
    <row r="11569" spans="25:25" x14ac:dyDescent="0.2">
      <c r="Y11569" s="97"/>
    </row>
    <row r="11570" spans="25:25" x14ac:dyDescent="0.2">
      <c r="Y11570" s="97"/>
    </row>
    <row r="11571" spans="25:25" x14ac:dyDescent="0.2">
      <c r="Y11571" s="97"/>
    </row>
    <row r="11572" spans="25:25" x14ac:dyDescent="0.2">
      <c r="Y11572" s="97"/>
    </row>
    <row r="11573" spans="25:25" x14ac:dyDescent="0.2">
      <c r="Y11573" s="97"/>
    </row>
    <row r="11574" spans="25:25" x14ac:dyDescent="0.2">
      <c r="Y11574" s="97"/>
    </row>
    <row r="11575" spans="25:25" x14ac:dyDescent="0.2">
      <c r="Y11575" s="97"/>
    </row>
    <row r="11576" spans="25:25" x14ac:dyDescent="0.2">
      <c r="Y11576" s="97"/>
    </row>
    <row r="11577" spans="25:25" x14ac:dyDescent="0.2">
      <c r="Y11577" s="97"/>
    </row>
    <row r="11578" spans="25:25" x14ac:dyDescent="0.2">
      <c r="Y11578" s="97"/>
    </row>
    <row r="11579" spans="25:25" x14ac:dyDescent="0.2">
      <c r="Y11579" s="97"/>
    </row>
    <row r="11580" spans="25:25" x14ac:dyDescent="0.2">
      <c r="Y11580" s="97"/>
    </row>
    <row r="11581" spans="25:25" x14ac:dyDescent="0.2">
      <c r="Y11581" s="97"/>
    </row>
    <row r="11582" spans="25:25" x14ac:dyDescent="0.2">
      <c r="Y11582" s="97"/>
    </row>
    <row r="11583" spans="25:25" x14ac:dyDescent="0.2">
      <c r="Y11583" s="97"/>
    </row>
    <row r="11584" spans="25:25" x14ac:dyDescent="0.2">
      <c r="Y11584" s="97"/>
    </row>
    <row r="11585" spans="25:25" x14ac:dyDescent="0.2">
      <c r="Y11585" s="97"/>
    </row>
    <row r="11586" spans="25:25" x14ac:dyDescent="0.2">
      <c r="Y11586" s="97"/>
    </row>
    <row r="11587" spans="25:25" x14ac:dyDescent="0.2">
      <c r="Y11587" s="97"/>
    </row>
    <row r="11588" spans="25:25" x14ac:dyDescent="0.2">
      <c r="Y11588" s="97"/>
    </row>
    <row r="11589" spans="25:25" x14ac:dyDescent="0.2">
      <c r="Y11589" s="97"/>
    </row>
    <row r="11590" spans="25:25" x14ac:dyDescent="0.2">
      <c r="Y11590" s="97"/>
    </row>
    <row r="11591" spans="25:25" x14ac:dyDescent="0.2">
      <c r="Y11591" s="97"/>
    </row>
    <row r="11592" spans="25:25" x14ac:dyDescent="0.2">
      <c r="Y11592" s="97"/>
    </row>
    <row r="11593" spans="25:25" x14ac:dyDescent="0.2">
      <c r="Y11593" s="97"/>
    </row>
    <row r="11594" spans="25:25" x14ac:dyDescent="0.2">
      <c r="Y11594" s="97"/>
    </row>
    <row r="11595" spans="25:25" x14ac:dyDescent="0.2">
      <c r="Y11595" s="97"/>
    </row>
    <row r="11596" spans="25:25" x14ac:dyDescent="0.2">
      <c r="Y11596" s="97"/>
    </row>
    <row r="11597" spans="25:25" x14ac:dyDescent="0.2">
      <c r="Y11597" s="97"/>
    </row>
    <row r="11598" spans="25:25" x14ac:dyDescent="0.2">
      <c r="Y11598" s="97"/>
    </row>
    <row r="11599" spans="25:25" x14ac:dyDescent="0.2">
      <c r="Y11599" s="97"/>
    </row>
    <row r="11600" spans="25:25" x14ac:dyDescent="0.2">
      <c r="Y11600" s="97"/>
    </row>
    <row r="11601" spans="25:25" x14ac:dyDescent="0.2">
      <c r="Y11601" s="97"/>
    </row>
    <row r="11602" spans="25:25" x14ac:dyDescent="0.2">
      <c r="Y11602" s="97"/>
    </row>
    <row r="11603" spans="25:25" x14ac:dyDescent="0.2">
      <c r="Y11603" s="97"/>
    </row>
    <row r="11604" spans="25:25" x14ac:dyDescent="0.2">
      <c r="Y11604" s="97"/>
    </row>
    <row r="11605" spans="25:25" x14ac:dyDescent="0.2">
      <c r="Y11605" s="97"/>
    </row>
    <row r="11606" spans="25:25" x14ac:dyDescent="0.2">
      <c r="Y11606" s="97"/>
    </row>
    <row r="11607" spans="25:25" x14ac:dyDescent="0.2">
      <c r="Y11607" s="97"/>
    </row>
    <row r="11608" spans="25:25" x14ac:dyDescent="0.2">
      <c r="Y11608" s="97"/>
    </row>
    <row r="11609" spans="25:25" x14ac:dyDescent="0.2">
      <c r="Y11609" s="97"/>
    </row>
    <row r="11610" spans="25:25" x14ac:dyDescent="0.2">
      <c r="Y11610" s="97"/>
    </row>
    <row r="11611" spans="25:25" x14ac:dyDescent="0.2">
      <c r="Y11611" s="97"/>
    </row>
    <row r="11612" spans="25:25" x14ac:dyDescent="0.2">
      <c r="Y11612" s="97"/>
    </row>
    <row r="11613" spans="25:25" x14ac:dyDescent="0.2">
      <c r="Y11613" s="97"/>
    </row>
    <row r="11614" spans="25:25" x14ac:dyDescent="0.2">
      <c r="Y11614" s="97"/>
    </row>
    <row r="11615" spans="25:25" x14ac:dyDescent="0.2">
      <c r="Y11615" s="97"/>
    </row>
    <row r="11616" spans="25:25" x14ac:dyDescent="0.2">
      <c r="Y11616" s="97"/>
    </row>
    <row r="11617" spans="25:25" x14ac:dyDescent="0.2">
      <c r="Y11617" s="97"/>
    </row>
    <row r="11618" spans="25:25" x14ac:dyDescent="0.2">
      <c r="Y11618" s="97"/>
    </row>
    <row r="11619" spans="25:25" x14ac:dyDescent="0.2">
      <c r="Y11619" s="97"/>
    </row>
    <row r="11620" spans="25:25" x14ac:dyDescent="0.2">
      <c r="Y11620" s="97"/>
    </row>
    <row r="11621" spans="25:25" x14ac:dyDescent="0.2">
      <c r="Y11621" s="97"/>
    </row>
    <row r="11622" spans="25:25" x14ac:dyDescent="0.2">
      <c r="Y11622" s="97"/>
    </row>
    <row r="11623" spans="25:25" x14ac:dyDescent="0.2">
      <c r="Y11623" s="97"/>
    </row>
    <row r="11624" spans="25:25" x14ac:dyDescent="0.2">
      <c r="Y11624" s="97"/>
    </row>
    <row r="11625" spans="25:25" x14ac:dyDescent="0.2">
      <c r="Y11625" s="97"/>
    </row>
    <row r="11626" spans="25:25" x14ac:dyDescent="0.2">
      <c r="Y11626" s="97"/>
    </row>
    <row r="11627" spans="25:25" x14ac:dyDescent="0.2">
      <c r="Y11627" s="97"/>
    </row>
    <row r="11628" spans="25:25" x14ac:dyDescent="0.2">
      <c r="Y11628" s="97"/>
    </row>
    <row r="11629" spans="25:25" x14ac:dyDescent="0.2">
      <c r="Y11629" s="97"/>
    </row>
    <row r="11630" spans="25:25" x14ac:dyDescent="0.2">
      <c r="Y11630" s="97"/>
    </row>
    <row r="11631" spans="25:25" x14ac:dyDescent="0.2">
      <c r="Y11631" s="97"/>
    </row>
    <row r="11632" spans="25:25" x14ac:dyDescent="0.2">
      <c r="Y11632" s="97"/>
    </row>
    <row r="11633" spans="25:25" x14ac:dyDescent="0.2">
      <c r="Y11633" s="97"/>
    </row>
    <row r="11634" spans="25:25" x14ac:dyDescent="0.2">
      <c r="Y11634" s="97"/>
    </row>
    <row r="11635" spans="25:25" x14ac:dyDescent="0.2">
      <c r="Y11635" s="97"/>
    </row>
    <row r="11636" spans="25:25" x14ac:dyDescent="0.2">
      <c r="Y11636" s="97"/>
    </row>
    <row r="11637" spans="25:25" x14ac:dyDescent="0.2">
      <c r="Y11637" s="97"/>
    </row>
    <row r="11638" spans="25:25" x14ac:dyDescent="0.2">
      <c r="Y11638" s="97"/>
    </row>
    <row r="11639" spans="25:25" x14ac:dyDescent="0.2">
      <c r="Y11639" s="97"/>
    </row>
    <row r="11640" spans="25:25" x14ac:dyDescent="0.2">
      <c r="Y11640" s="97"/>
    </row>
    <row r="11641" spans="25:25" x14ac:dyDescent="0.2">
      <c r="Y11641" s="97"/>
    </row>
    <row r="11642" spans="25:25" x14ac:dyDescent="0.2">
      <c r="Y11642" s="97"/>
    </row>
    <row r="11643" spans="25:25" x14ac:dyDescent="0.2">
      <c r="Y11643" s="97"/>
    </row>
    <row r="11644" spans="25:25" x14ac:dyDescent="0.2">
      <c r="Y11644" s="97"/>
    </row>
    <row r="11645" spans="25:25" x14ac:dyDescent="0.2">
      <c r="Y11645" s="97"/>
    </row>
    <row r="11646" spans="25:25" x14ac:dyDescent="0.2">
      <c r="Y11646" s="97"/>
    </row>
    <row r="11647" spans="25:25" x14ac:dyDescent="0.2">
      <c r="Y11647" s="97"/>
    </row>
    <row r="11648" spans="25:25" x14ac:dyDescent="0.2">
      <c r="Y11648" s="97"/>
    </row>
    <row r="11649" spans="25:25" x14ac:dyDescent="0.2">
      <c r="Y11649" s="97"/>
    </row>
    <row r="11650" spans="25:25" x14ac:dyDescent="0.2">
      <c r="Y11650" s="97"/>
    </row>
    <row r="11651" spans="25:25" x14ac:dyDescent="0.2">
      <c r="Y11651" s="97"/>
    </row>
    <row r="11652" spans="25:25" x14ac:dyDescent="0.2">
      <c r="Y11652" s="97"/>
    </row>
    <row r="11653" spans="25:25" x14ac:dyDescent="0.2">
      <c r="Y11653" s="97"/>
    </row>
    <row r="11654" spans="25:25" x14ac:dyDescent="0.2">
      <c r="Y11654" s="97"/>
    </row>
    <row r="11655" spans="25:25" x14ac:dyDescent="0.2">
      <c r="Y11655" s="97"/>
    </row>
    <row r="11656" spans="25:25" x14ac:dyDescent="0.2">
      <c r="Y11656" s="97"/>
    </row>
    <row r="11657" spans="25:25" x14ac:dyDescent="0.2">
      <c r="Y11657" s="97"/>
    </row>
    <row r="11658" spans="25:25" x14ac:dyDescent="0.2">
      <c r="Y11658" s="97"/>
    </row>
    <row r="11659" spans="25:25" x14ac:dyDescent="0.2">
      <c r="Y11659" s="97"/>
    </row>
    <row r="11660" spans="25:25" x14ac:dyDescent="0.2">
      <c r="Y11660" s="97"/>
    </row>
    <row r="11661" spans="25:25" x14ac:dyDescent="0.2">
      <c r="Y11661" s="97"/>
    </row>
    <row r="11662" spans="25:25" x14ac:dyDescent="0.2">
      <c r="Y11662" s="97"/>
    </row>
    <row r="11663" spans="25:25" x14ac:dyDescent="0.2">
      <c r="Y11663" s="97"/>
    </row>
    <row r="11664" spans="25:25" x14ac:dyDescent="0.2">
      <c r="Y11664" s="97"/>
    </row>
    <row r="11665" spans="25:25" x14ac:dyDescent="0.2">
      <c r="Y11665" s="97"/>
    </row>
    <row r="11666" spans="25:25" x14ac:dyDescent="0.2">
      <c r="Y11666" s="97"/>
    </row>
    <row r="11667" spans="25:25" x14ac:dyDescent="0.2">
      <c r="Y11667" s="97"/>
    </row>
    <row r="11668" spans="25:25" x14ac:dyDescent="0.2">
      <c r="Y11668" s="97"/>
    </row>
    <row r="11669" spans="25:25" x14ac:dyDescent="0.2">
      <c r="Y11669" s="97"/>
    </row>
    <row r="11670" spans="25:25" x14ac:dyDescent="0.2">
      <c r="Y11670" s="97"/>
    </row>
    <row r="11671" spans="25:25" x14ac:dyDescent="0.2">
      <c r="Y11671" s="97"/>
    </row>
    <row r="11672" spans="25:25" x14ac:dyDescent="0.2">
      <c r="Y11672" s="97"/>
    </row>
    <row r="11673" spans="25:25" x14ac:dyDescent="0.2">
      <c r="Y11673" s="97"/>
    </row>
    <row r="11674" spans="25:25" x14ac:dyDescent="0.2">
      <c r="Y11674" s="97"/>
    </row>
    <row r="11675" spans="25:25" x14ac:dyDescent="0.2">
      <c r="Y11675" s="97"/>
    </row>
    <row r="11676" spans="25:25" x14ac:dyDescent="0.2">
      <c r="Y11676" s="97"/>
    </row>
    <row r="11677" spans="25:25" x14ac:dyDescent="0.2">
      <c r="Y11677" s="97"/>
    </row>
    <row r="11678" spans="25:25" x14ac:dyDescent="0.2">
      <c r="Y11678" s="97"/>
    </row>
    <row r="11679" spans="25:25" x14ac:dyDescent="0.2">
      <c r="Y11679" s="97"/>
    </row>
    <row r="11680" spans="25:25" x14ac:dyDescent="0.2">
      <c r="Y11680" s="97"/>
    </row>
    <row r="11681" spans="25:25" x14ac:dyDescent="0.2">
      <c r="Y11681" s="97"/>
    </row>
    <row r="11682" spans="25:25" x14ac:dyDescent="0.2">
      <c r="Y11682" s="97"/>
    </row>
    <row r="11683" spans="25:25" x14ac:dyDescent="0.2">
      <c r="Y11683" s="97"/>
    </row>
    <row r="11684" spans="25:25" x14ac:dyDescent="0.2">
      <c r="Y11684" s="97"/>
    </row>
    <row r="11685" spans="25:25" x14ac:dyDescent="0.2">
      <c r="Y11685" s="97"/>
    </row>
    <row r="11686" spans="25:25" x14ac:dyDescent="0.2">
      <c r="Y11686" s="97"/>
    </row>
    <row r="11687" spans="25:25" x14ac:dyDescent="0.2">
      <c r="Y11687" s="97"/>
    </row>
    <row r="11688" spans="25:25" x14ac:dyDescent="0.2">
      <c r="Y11688" s="97"/>
    </row>
    <row r="11689" spans="25:25" x14ac:dyDescent="0.2">
      <c r="Y11689" s="97"/>
    </row>
    <row r="11690" spans="25:25" x14ac:dyDescent="0.2">
      <c r="Y11690" s="97"/>
    </row>
    <row r="11691" spans="25:25" x14ac:dyDescent="0.2">
      <c r="Y11691" s="97"/>
    </row>
    <row r="11692" spans="25:25" x14ac:dyDescent="0.2">
      <c r="Y11692" s="97"/>
    </row>
    <row r="11693" spans="25:25" x14ac:dyDescent="0.2">
      <c r="Y11693" s="97"/>
    </row>
    <row r="11694" spans="25:25" x14ac:dyDescent="0.2">
      <c r="Y11694" s="97"/>
    </row>
    <row r="11695" spans="25:25" x14ac:dyDescent="0.2">
      <c r="Y11695" s="97"/>
    </row>
    <row r="11696" spans="25:25" x14ac:dyDescent="0.2">
      <c r="Y11696" s="97"/>
    </row>
    <row r="11697" spans="25:25" x14ac:dyDescent="0.2">
      <c r="Y11697" s="97"/>
    </row>
    <row r="11698" spans="25:25" x14ac:dyDescent="0.2">
      <c r="Y11698" s="97"/>
    </row>
    <row r="11699" spans="25:25" x14ac:dyDescent="0.2">
      <c r="Y11699" s="97"/>
    </row>
    <row r="11700" spans="25:25" x14ac:dyDescent="0.2">
      <c r="Y11700" s="97"/>
    </row>
    <row r="11701" spans="25:25" x14ac:dyDescent="0.2">
      <c r="Y11701" s="97"/>
    </row>
    <row r="11702" spans="25:25" x14ac:dyDescent="0.2">
      <c r="Y11702" s="97"/>
    </row>
    <row r="11703" spans="25:25" x14ac:dyDescent="0.2">
      <c r="Y11703" s="97"/>
    </row>
    <row r="11704" spans="25:25" x14ac:dyDescent="0.2">
      <c r="Y11704" s="97"/>
    </row>
    <row r="11705" spans="25:25" x14ac:dyDescent="0.2">
      <c r="Y11705" s="97"/>
    </row>
    <row r="11706" spans="25:25" x14ac:dyDescent="0.2">
      <c r="Y11706" s="97"/>
    </row>
    <row r="11707" spans="25:25" x14ac:dyDescent="0.2">
      <c r="Y11707" s="97"/>
    </row>
    <row r="11708" spans="25:25" x14ac:dyDescent="0.2">
      <c r="Y11708" s="97"/>
    </row>
    <row r="11709" spans="25:25" x14ac:dyDescent="0.2">
      <c r="Y11709" s="97"/>
    </row>
    <row r="11710" spans="25:25" x14ac:dyDescent="0.2">
      <c r="Y11710" s="97"/>
    </row>
    <row r="11711" spans="25:25" x14ac:dyDescent="0.2">
      <c r="Y11711" s="97"/>
    </row>
    <row r="11712" spans="25:25" x14ac:dyDescent="0.2">
      <c r="Y11712" s="97"/>
    </row>
    <row r="11713" spans="25:25" x14ac:dyDescent="0.2">
      <c r="Y11713" s="97"/>
    </row>
    <row r="11714" spans="25:25" x14ac:dyDescent="0.2">
      <c r="Y11714" s="97"/>
    </row>
    <row r="11715" spans="25:25" x14ac:dyDescent="0.2">
      <c r="Y11715" s="97"/>
    </row>
    <row r="11716" spans="25:25" x14ac:dyDescent="0.2">
      <c r="Y11716" s="97"/>
    </row>
    <row r="11717" spans="25:25" x14ac:dyDescent="0.2">
      <c r="Y11717" s="97"/>
    </row>
    <row r="11718" spans="25:25" x14ac:dyDescent="0.2">
      <c r="Y11718" s="97"/>
    </row>
    <row r="11719" spans="25:25" x14ac:dyDescent="0.2">
      <c r="Y11719" s="97"/>
    </row>
    <row r="11720" spans="25:25" x14ac:dyDescent="0.2">
      <c r="Y11720" s="97"/>
    </row>
    <row r="11721" spans="25:25" x14ac:dyDescent="0.2">
      <c r="Y11721" s="97"/>
    </row>
    <row r="11722" spans="25:25" x14ac:dyDescent="0.2">
      <c r="Y11722" s="97"/>
    </row>
    <row r="11723" spans="25:25" x14ac:dyDescent="0.2">
      <c r="Y11723" s="97"/>
    </row>
    <row r="11724" spans="25:25" x14ac:dyDescent="0.2">
      <c r="Y11724" s="97"/>
    </row>
    <row r="11725" spans="25:25" x14ac:dyDescent="0.2">
      <c r="Y11725" s="97"/>
    </row>
    <row r="11726" spans="25:25" x14ac:dyDescent="0.2">
      <c r="Y11726" s="97"/>
    </row>
    <row r="11727" spans="25:25" x14ac:dyDescent="0.2">
      <c r="Y11727" s="97"/>
    </row>
    <row r="11728" spans="25:25" x14ac:dyDescent="0.2">
      <c r="Y11728" s="97"/>
    </row>
    <row r="11729" spans="25:25" x14ac:dyDescent="0.2">
      <c r="Y11729" s="97"/>
    </row>
    <row r="11730" spans="25:25" x14ac:dyDescent="0.2">
      <c r="Y11730" s="97"/>
    </row>
    <row r="11731" spans="25:25" x14ac:dyDescent="0.2">
      <c r="Y11731" s="97"/>
    </row>
    <row r="11732" spans="25:25" x14ac:dyDescent="0.2">
      <c r="Y11732" s="97"/>
    </row>
    <row r="11733" spans="25:25" x14ac:dyDescent="0.2">
      <c r="Y11733" s="97"/>
    </row>
    <row r="11734" spans="25:25" x14ac:dyDescent="0.2">
      <c r="Y11734" s="97"/>
    </row>
    <row r="11735" spans="25:25" x14ac:dyDescent="0.2">
      <c r="Y11735" s="97"/>
    </row>
    <row r="11736" spans="25:25" x14ac:dyDescent="0.2">
      <c r="Y11736" s="97"/>
    </row>
    <row r="11737" spans="25:25" x14ac:dyDescent="0.2">
      <c r="Y11737" s="97"/>
    </row>
    <row r="11738" spans="25:25" x14ac:dyDescent="0.2">
      <c r="Y11738" s="97"/>
    </row>
    <row r="11739" spans="25:25" x14ac:dyDescent="0.2">
      <c r="Y11739" s="97"/>
    </row>
    <row r="11740" spans="25:25" x14ac:dyDescent="0.2">
      <c r="Y11740" s="97"/>
    </row>
    <row r="11741" spans="25:25" x14ac:dyDescent="0.2">
      <c r="Y11741" s="97"/>
    </row>
    <row r="11742" spans="25:25" x14ac:dyDescent="0.2">
      <c r="Y11742" s="97"/>
    </row>
    <row r="11743" spans="25:25" x14ac:dyDescent="0.2">
      <c r="Y11743" s="97"/>
    </row>
    <row r="11744" spans="25:25" x14ac:dyDescent="0.2">
      <c r="Y11744" s="97"/>
    </row>
    <row r="11745" spans="25:25" x14ac:dyDescent="0.2">
      <c r="Y11745" s="97"/>
    </row>
    <row r="11746" spans="25:25" x14ac:dyDescent="0.2">
      <c r="Y11746" s="97"/>
    </row>
    <row r="11747" spans="25:25" x14ac:dyDescent="0.2">
      <c r="Y11747" s="97"/>
    </row>
    <row r="11748" spans="25:25" x14ac:dyDescent="0.2">
      <c r="Y11748" s="97"/>
    </row>
    <row r="11749" spans="25:25" x14ac:dyDescent="0.2">
      <c r="Y11749" s="97"/>
    </row>
    <row r="11750" spans="25:25" x14ac:dyDescent="0.2">
      <c r="Y11750" s="97"/>
    </row>
    <row r="11751" spans="25:25" x14ac:dyDescent="0.2">
      <c r="Y11751" s="97"/>
    </row>
    <row r="11752" spans="25:25" x14ac:dyDescent="0.2">
      <c r="Y11752" s="97"/>
    </row>
    <row r="11753" spans="25:25" x14ac:dyDescent="0.2">
      <c r="Y11753" s="97"/>
    </row>
    <row r="11754" spans="25:25" x14ac:dyDescent="0.2">
      <c r="Y11754" s="97"/>
    </row>
    <row r="11755" spans="25:25" x14ac:dyDescent="0.2">
      <c r="Y11755" s="97"/>
    </row>
    <row r="11756" spans="25:25" x14ac:dyDescent="0.2">
      <c r="Y11756" s="97"/>
    </row>
    <row r="11757" spans="25:25" x14ac:dyDescent="0.2">
      <c r="Y11757" s="97"/>
    </row>
    <row r="11758" spans="25:25" x14ac:dyDescent="0.2">
      <c r="Y11758" s="97"/>
    </row>
    <row r="11759" spans="25:25" x14ac:dyDescent="0.2">
      <c r="Y11759" s="97"/>
    </row>
    <row r="11760" spans="25:25" x14ac:dyDescent="0.2">
      <c r="Y11760" s="97"/>
    </row>
    <row r="11761" spans="25:25" x14ac:dyDescent="0.2">
      <c r="Y11761" s="97"/>
    </row>
    <row r="11762" spans="25:25" x14ac:dyDescent="0.2">
      <c r="Y11762" s="97"/>
    </row>
    <row r="11763" spans="25:25" x14ac:dyDescent="0.2">
      <c r="Y11763" s="97"/>
    </row>
    <row r="11764" spans="25:25" x14ac:dyDescent="0.2">
      <c r="Y11764" s="97"/>
    </row>
    <row r="11765" spans="25:25" x14ac:dyDescent="0.2">
      <c r="Y11765" s="97"/>
    </row>
    <row r="11766" spans="25:25" x14ac:dyDescent="0.2">
      <c r="Y11766" s="97"/>
    </row>
    <row r="11767" spans="25:25" x14ac:dyDescent="0.2">
      <c r="Y11767" s="97"/>
    </row>
    <row r="11768" spans="25:25" x14ac:dyDescent="0.2">
      <c r="Y11768" s="97"/>
    </row>
    <row r="11769" spans="25:25" x14ac:dyDescent="0.2">
      <c r="Y11769" s="97"/>
    </row>
    <row r="11770" spans="25:25" x14ac:dyDescent="0.2">
      <c r="Y11770" s="97"/>
    </row>
    <row r="11771" spans="25:25" x14ac:dyDescent="0.2">
      <c r="Y11771" s="97"/>
    </row>
    <row r="11772" spans="25:25" x14ac:dyDescent="0.2">
      <c r="Y11772" s="97"/>
    </row>
    <row r="11773" spans="25:25" x14ac:dyDescent="0.2">
      <c r="Y11773" s="97"/>
    </row>
    <row r="11774" spans="25:25" x14ac:dyDescent="0.2">
      <c r="Y11774" s="97"/>
    </row>
    <row r="11775" spans="25:25" x14ac:dyDescent="0.2">
      <c r="Y11775" s="97"/>
    </row>
    <row r="11776" spans="25:25" x14ac:dyDescent="0.2">
      <c r="Y11776" s="97"/>
    </row>
    <row r="11777" spans="25:25" x14ac:dyDescent="0.2">
      <c r="Y11777" s="97"/>
    </row>
    <row r="11778" spans="25:25" x14ac:dyDescent="0.2">
      <c r="Y11778" s="97"/>
    </row>
    <row r="11779" spans="25:25" x14ac:dyDescent="0.2">
      <c r="Y11779" s="97"/>
    </row>
    <row r="11780" spans="25:25" x14ac:dyDescent="0.2">
      <c r="Y11780" s="97"/>
    </row>
    <row r="11781" spans="25:25" x14ac:dyDescent="0.2">
      <c r="Y11781" s="97"/>
    </row>
    <row r="11782" spans="25:25" x14ac:dyDescent="0.2">
      <c r="Y11782" s="97"/>
    </row>
    <row r="11783" spans="25:25" x14ac:dyDescent="0.2">
      <c r="Y11783" s="97"/>
    </row>
    <row r="11784" spans="25:25" x14ac:dyDescent="0.2">
      <c r="Y11784" s="97"/>
    </row>
    <row r="11785" spans="25:25" x14ac:dyDescent="0.2">
      <c r="Y11785" s="97"/>
    </row>
    <row r="11786" spans="25:25" x14ac:dyDescent="0.2">
      <c r="Y11786" s="97"/>
    </row>
    <row r="11787" spans="25:25" x14ac:dyDescent="0.2">
      <c r="Y11787" s="97"/>
    </row>
    <row r="11788" spans="25:25" x14ac:dyDescent="0.2">
      <c r="Y11788" s="97"/>
    </row>
    <row r="11789" spans="25:25" x14ac:dyDescent="0.2">
      <c r="Y11789" s="97"/>
    </row>
    <row r="11790" spans="25:25" x14ac:dyDescent="0.2">
      <c r="Y11790" s="97"/>
    </row>
    <row r="11791" spans="25:25" x14ac:dyDescent="0.2">
      <c r="Y11791" s="97"/>
    </row>
    <row r="11792" spans="25:25" x14ac:dyDescent="0.2">
      <c r="Y11792" s="97"/>
    </row>
    <row r="11793" spans="25:25" x14ac:dyDescent="0.2">
      <c r="Y11793" s="97"/>
    </row>
    <row r="11794" spans="25:25" x14ac:dyDescent="0.2">
      <c r="Y11794" s="97"/>
    </row>
    <row r="11795" spans="25:25" x14ac:dyDescent="0.2">
      <c r="Y11795" s="97"/>
    </row>
    <row r="11796" spans="25:25" x14ac:dyDescent="0.2">
      <c r="Y11796" s="97"/>
    </row>
    <row r="11797" spans="25:25" x14ac:dyDescent="0.2">
      <c r="Y11797" s="97"/>
    </row>
    <row r="11798" spans="25:25" x14ac:dyDescent="0.2">
      <c r="Y11798" s="97"/>
    </row>
    <row r="11799" spans="25:25" x14ac:dyDescent="0.2">
      <c r="Y11799" s="97"/>
    </row>
    <row r="11800" spans="25:25" x14ac:dyDescent="0.2">
      <c r="Y11800" s="97"/>
    </row>
    <row r="11801" spans="25:25" x14ac:dyDescent="0.2">
      <c r="Y11801" s="97"/>
    </row>
    <row r="11802" spans="25:25" x14ac:dyDescent="0.2">
      <c r="Y11802" s="97"/>
    </row>
    <row r="11803" spans="25:25" x14ac:dyDescent="0.2">
      <c r="Y11803" s="97"/>
    </row>
    <row r="11804" spans="25:25" x14ac:dyDescent="0.2">
      <c r="Y11804" s="97"/>
    </row>
    <row r="11805" spans="25:25" x14ac:dyDescent="0.2">
      <c r="Y11805" s="97"/>
    </row>
    <row r="11806" spans="25:25" x14ac:dyDescent="0.2">
      <c r="Y11806" s="97"/>
    </row>
    <row r="11807" spans="25:25" x14ac:dyDescent="0.2">
      <c r="Y11807" s="97"/>
    </row>
    <row r="11808" spans="25:25" x14ac:dyDescent="0.2">
      <c r="Y11808" s="97"/>
    </row>
    <row r="11809" spans="25:25" x14ac:dyDescent="0.2">
      <c r="Y11809" s="97"/>
    </row>
    <row r="11810" spans="25:25" x14ac:dyDescent="0.2">
      <c r="Y11810" s="97"/>
    </row>
    <row r="11811" spans="25:25" x14ac:dyDescent="0.2">
      <c r="Y11811" s="97"/>
    </row>
    <row r="11812" spans="25:25" x14ac:dyDescent="0.2">
      <c r="Y11812" s="97"/>
    </row>
    <row r="11813" spans="25:25" x14ac:dyDescent="0.2">
      <c r="Y11813" s="97"/>
    </row>
    <row r="11814" spans="25:25" x14ac:dyDescent="0.2">
      <c r="Y11814" s="97"/>
    </row>
    <row r="11815" spans="25:25" x14ac:dyDescent="0.2">
      <c r="Y11815" s="97"/>
    </row>
    <row r="11816" spans="25:25" x14ac:dyDescent="0.2">
      <c r="Y11816" s="97"/>
    </row>
    <row r="11817" spans="25:25" x14ac:dyDescent="0.2">
      <c r="Y11817" s="97"/>
    </row>
    <row r="11818" spans="25:25" x14ac:dyDescent="0.2">
      <c r="Y11818" s="97"/>
    </row>
    <row r="11819" spans="25:25" x14ac:dyDescent="0.2">
      <c r="Y11819" s="97"/>
    </row>
    <row r="11820" spans="25:25" x14ac:dyDescent="0.2">
      <c r="Y11820" s="97"/>
    </row>
    <row r="11821" spans="25:25" x14ac:dyDescent="0.2">
      <c r="Y11821" s="97"/>
    </row>
    <row r="11822" spans="25:25" x14ac:dyDescent="0.2">
      <c r="Y11822" s="97"/>
    </row>
    <row r="11823" spans="25:25" x14ac:dyDescent="0.2">
      <c r="Y11823" s="97"/>
    </row>
    <row r="11824" spans="25:25" x14ac:dyDescent="0.2">
      <c r="Y11824" s="97"/>
    </row>
    <row r="11825" spans="25:25" x14ac:dyDescent="0.2">
      <c r="Y11825" s="97"/>
    </row>
    <row r="11826" spans="25:25" x14ac:dyDescent="0.2">
      <c r="Y11826" s="97"/>
    </row>
    <row r="11827" spans="25:25" x14ac:dyDescent="0.2">
      <c r="Y11827" s="97"/>
    </row>
    <row r="11828" spans="25:25" x14ac:dyDescent="0.2">
      <c r="Y11828" s="97"/>
    </row>
    <row r="11829" spans="25:25" x14ac:dyDescent="0.2">
      <c r="Y11829" s="97"/>
    </row>
    <row r="11830" spans="25:25" x14ac:dyDescent="0.2">
      <c r="Y11830" s="97"/>
    </row>
    <row r="11831" spans="25:25" x14ac:dyDescent="0.2">
      <c r="Y11831" s="97"/>
    </row>
    <row r="11832" spans="25:25" x14ac:dyDescent="0.2">
      <c r="Y11832" s="97"/>
    </row>
    <row r="11833" spans="25:25" x14ac:dyDescent="0.2">
      <c r="Y11833" s="97"/>
    </row>
    <row r="11834" spans="25:25" x14ac:dyDescent="0.2">
      <c r="Y11834" s="97"/>
    </row>
    <row r="11835" spans="25:25" x14ac:dyDescent="0.2">
      <c r="Y11835" s="97"/>
    </row>
    <row r="11836" spans="25:25" x14ac:dyDescent="0.2">
      <c r="Y11836" s="97"/>
    </row>
    <row r="11837" spans="25:25" x14ac:dyDescent="0.2">
      <c r="Y11837" s="97"/>
    </row>
    <row r="11838" spans="25:25" x14ac:dyDescent="0.2">
      <c r="Y11838" s="97"/>
    </row>
    <row r="11839" spans="25:25" x14ac:dyDescent="0.2">
      <c r="Y11839" s="97"/>
    </row>
    <row r="11840" spans="25:25" x14ac:dyDescent="0.2">
      <c r="Y11840" s="97"/>
    </row>
    <row r="11841" spans="25:25" x14ac:dyDescent="0.2">
      <c r="Y11841" s="97"/>
    </row>
    <row r="11842" spans="25:25" x14ac:dyDescent="0.2">
      <c r="Y11842" s="97"/>
    </row>
    <row r="11843" spans="25:25" x14ac:dyDescent="0.2">
      <c r="Y11843" s="97"/>
    </row>
    <row r="11844" spans="25:25" x14ac:dyDescent="0.2">
      <c r="Y11844" s="97"/>
    </row>
    <row r="11845" spans="25:25" x14ac:dyDescent="0.2">
      <c r="Y11845" s="97"/>
    </row>
    <row r="11846" spans="25:25" x14ac:dyDescent="0.2">
      <c r="Y11846" s="97"/>
    </row>
    <row r="11847" spans="25:25" x14ac:dyDescent="0.2">
      <c r="Y11847" s="97"/>
    </row>
    <row r="11848" spans="25:25" x14ac:dyDescent="0.2">
      <c r="Y11848" s="97"/>
    </row>
    <row r="11849" spans="25:25" x14ac:dyDescent="0.2">
      <c r="Y11849" s="97"/>
    </row>
    <row r="11850" spans="25:25" x14ac:dyDescent="0.2">
      <c r="Y11850" s="97"/>
    </row>
    <row r="11851" spans="25:25" x14ac:dyDescent="0.2">
      <c r="Y11851" s="97"/>
    </row>
    <row r="11852" spans="25:25" x14ac:dyDescent="0.2">
      <c r="Y11852" s="97"/>
    </row>
    <row r="11853" spans="25:25" x14ac:dyDescent="0.2">
      <c r="Y11853" s="97"/>
    </row>
    <row r="11854" spans="25:25" x14ac:dyDescent="0.2">
      <c r="Y11854" s="97"/>
    </row>
    <row r="11855" spans="25:25" x14ac:dyDescent="0.2">
      <c r="Y11855" s="97"/>
    </row>
    <row r="11856" spans="25:25" x14ac:dyDescent="0.2">
      <c r="Y11856" s="97"/>
    </row>
    <row r="11857" spans="25:25" x14ac:dyDescent="0.2">
      <c r="Y11857" s="97"/>
    </row>
    <row r="11858" spans="25:25" x14ac:dyDescent="0.2">
      <c r="Y11858" s="97"/>
    </row>
    <row r="11859" spans="25:25" x14ac:dyDescent="0.2">
      <c r="Y11859" s="97"/>
    </row>
    <row r="11860" spans="25:25" x14ac:dyDescent="0.2">
      <c r="Y11860" s="97"/>
    </row>
    <row r="11861" spans="25:25" x14ac:dyDescent="0.2">
      <c r="Y11861" s="97"/>
    </row>
    <row r="11862" spans="25:25" x14ac:dyDescent="0.2">
      <c r="Y11862" s="97"/>
    </row>
    <row r="11863" spans="25:25" x14ac:dyDescent="0.2">
      <c r="Y11863" s="97"/>
    </row>
    <row r="11864" spans="25:25" x14ac:dyDescent="0.2">
      <c r="Y11864" s="97"/>
    </row>
    <row r="11865" spans="25:25" x14ac:dyDescent="0.2">
      <c r="Y11865" s="97"/>
    </row>
    <row r="11866" spans="25:25" x14ac:dyDescent="0.2">
      <c r="Y11866" s="97"/>
    </row>
    <row r="11867" spans="25:25" x14ac:dyDescent="0.2">
      <c r="Y11867" s="97"/>
    </row>
    <row r="11868" spans="25:25" x14ac:dyDescent="0.2">
      <c r="Y11868" s="97"/>
    </row>
    <row r="11869" spans="25:25" x14ac:dyDescent="0.2">
      <c r="Y11869" s="97"/>
    </row>
    <row r="11870" spans="25:25" x14ac:dyDescent="0.2">
      <c r="Y11870" s="97"/>
    </row>
    <row r="11871" spans="25:25" x14ac:dyDescent="0.2">
      <c r="Y11871" s="97"/>
    </row>
    <row r="11872" spans="25:25" x14ac:dyDescent="0.2">
      <c r="Y11872" s="97"/>
    </row>
    <row r="11873" spans="25:25" x14ac:dyDescent="0.2">
      <c r="Y11873" s="97"/>
    </row>
    <row r="11874" spans="25:25" x14ac:dyDescent="0.2">
      <c r="Y11874" s="97"/>
    </row>
    <row r="11875" spans="25:25" x14ac:dyDescent="0.2">
      <c r="Y11875" s="97"/>
    </row>
    <row r="11876" spans="25:25" x14ac:dyDescent="0.2">
      <c r="Y11876" s="97"/>
    </row>
    <row r="11877" spans="25:25" x14ac:dyDescent="0.2">
      <c r="Y11877" s="97"/>
    </row>
    <row r="11878" spans="25:25" x14ac:dyDescent="0.2">
      <c r="Y11878" s="97"/>
    </row>
    <row r="11879" spans="25:25" x14ac:dyDescent="0.2">
      <c r="Y11879" s="97"/>
    </row>
    <row r="11880" spans="25:25" x14ac:dyDescent="0.2">
      <c r="Y11880" s="97"/>
    </row>
    <row r="11881" spans="25:25" x14ac:dyDescent="0.2">
      <c r="Y11881" s="97"/>
    </row>
    <row r="11882" spans="25:25" x14ac:dyDescent="0.2">
      <c r="Y11882" s="97"/>
    </row>
    <row r="11883" spans="25:25" x14ac:dyDescent="0.2">
      <c r="Y11883" s="97"/>
    </row>
    <row r="11884" spans="25:25" x14ac:dyDescent="0.2">
      <c r="Y11884" s="97"/>
    </row>
    <row r="11885" spans="25:25" x14ac:dyDescent="0.2">
      <c r="Y11885" s="97"/>
    </row>
    <row r="11886" spans="25:25" x14ac:dyDescent="0.2">
      <c r="Y11886" s="97"/>
    </row>
    <row r="11887" spans="25:25" x14ac:dyDescent="0.2">
      <c r="Y11887" s="97"/>
    </row>
    <row r="11888" spans="25:25" x14ac:dyDescent="0.2">
      <c r="Y11888" s="97"/>
    </row>
    <row r="11889" spans="25:25" x14ac:dyDescent="0.2">
      <c r="Y11889" s="97"/>
    </row>
    <row r="11890" spans="25:25" x14ac:dyDescent="0.2">
      <c r="Y11890" s="97"/>
    </row>
    <row r="11891" spans="25:25" x14ac:dyDescent="0.2">
      <c r="Y11891" s="97"/>
    </row>
    <row r="11892" spans="25:25" x14ac:dyDescent="0.2">
      <c r="Y11892" s="97"/>
    </row>
    <row r="11893" spans="25:25" x14ac:dyDescent="0.2">
      <c r="Y11893" s="97"/>
    </row>
    <row r="11894" spans="25:25" x14ac:dyDescent="0.2">
      <c r="Y11894" s="97"/>
    </row>
    <row r="11895" spans="25:25" x14ac:dyDescent="0.2">
      <c r="Y11895" s="97"/>
    </row>
    <row r="11896" spans="25:25" x14ac:dyDescent="0.2">
      <c r="Y11896" s="97"/>
    </row>
    <row r="11897" spans="25:25" x14ac:dyDescent="0.2">
      <c r="Y11897" s="97"/>
    </row>
    <row r="11898" spans="25:25" x14ac:dyDescent="0.2">
      <c r="Y11898" s="97"/>
    </row>
    <row r="11899" spans="25:25" x14ac:dyDescent="0.2">
      <c r="Y11899" s="97"/>
    </row>
    <row r="11900" spans="25:25" x14ac:dyDescent="0.2">
      <c r="Y11900" s="97"/>
    </row>
    <row r="11901" spans="25:25" x14ac:dyDescent="0.2">
      <c r="Y11901" s="97"/>
    </row>
    <row r="11902" spans="25:25" x14ac:dyDescent="0.2">
      <c r="Y11902" s="97"/>
    </row>
    <row r="11903" spans="25:25" x14ac:dyDescent="0.2">
      <c r="Y11903" s="97"/>
    </row>
    <row r="11904" spans="25:25" x14ac:dyDescent="0.2">
      <c r="Y11904" s="97"/>
    </row>
    <row r="11905" spans="25:25" x14ac:dyDescent="0.2">
      <c r="Y11905" s="97"/>
    </row>
    <row r="11906" spans="25:25" x14ac:dyDescent="0.2">
      <c r="Y11906" s="97"/>
    </row>
    <row r="11907" spans="25:25" x14ac:dyDescent="0.2">
      <c r="Y11907" s="97"/>
    </row>
    <row r="11908" spans="25:25" x14ac:dyDescent="0.2">
      <c r="Y11908" s="97"/>
    </row>
    <row r="11909" spans="25:25" x14ac:dyDescent="0.2">
      <c r="Y11909" s="97"/>
    </row>
    <row r="11910" spans="25:25" x14ac:dyDescent="0.2">
      <c r="Y11910" s="97"/>
    </row>
    <row r="11911" spans="25:25" x14ac:dyDescent="0.2">
      <c r="Y11911" s="97"/>
    </row>
    <row r="11912" spans="25:25" x14ac:dyDescent="0.2">
      <c r="Y11912" s="97"/>
    </row>
    <row r="11913" spans="25:25" x14ac:dyDescent="0.2">
      <c r="Y11913" s="97"/>
    </row>
    <row r="11914" spans="25:25" x14ac:dyDescent="0.2">
      <c r="Y11914" s="97"/>
    </row>
    <row r="11915" spans="25:25" x14ac:dyDescent="0.2">
      <c r="Y11915" s="97"/>
    </row>
    <row r="11916" spans="25:25" x14ac:dyDescent="0.2">
      <c r="Y11916" s="97"/>
    </row>
    <row r="11917" spans="25:25" x14ac:dyDescent="0.2">
      <c r="Y11917" s="97"/>
    </row>
    <row r="11918" spans="25:25" x14ac:dyDescent="0.2">
      <c r="Y11918" s="97"/>
    </row>
    <row r="11919" spans="25:25" x14ac:dyDescent="0.2">
      <c r="Y11919" s="97"/>
    </row>
    <row r="11920" spans="25:25" x14ac:dyDescent="0.2">
      <c r="Y11920" s="97"/>
    </row>
    <row r="11921" spans="25:25" x14ac:dyDescent="0.2">
      <c r="Y11921" s="97"/>
    </row>
    <row r="11922" spans="25:25" x14ac:dyDescent="0.2">
      <c r="Y11922" s="97"/>
    </row>
    <row r="11923" spans="25:25" x14ac:dyDescent="0.2">
      <c r="Y11923" s="97"/>
    </row>
    <row r="11924" spans="25:25" x14ac:dyDescent="0.2">
      <c r="Y11924" s="97"/>
    </row>
    <row r="11925" spans="25:25" x14ac:dyDescent="0.2">
      <c r="Y11925" s="97"/>
    </row>
    <row r="11926" spans="25:25" x14ac:dyDescent="0.2">
      <c r="Y11926" s="97"/>
    </row>
    <row r="11927" spans="25:25" x14ac:dyDescent="0.2">
      <c r="Y11927" s="97"/>
    </row>
    <row r="11928" spans="25:25" x14ac:dyDescent="0.2">
      <c r="Y11928" s="97"/>
    </row>
    <row r="11929" spans="25:25" x14ac:dyDescent="0.2">
      <c r="Y11929" s="97"/>
    </row>
    <row r="11930" spans="25:25" x14ac:dyDescent="0.2">
      <c r="Y11930" s="97"/>
    </row>
    <row r="11931" spans="25:25" x14ac:dyDescent="0.2">
      <c r="Y11931" s="97"/>
    </row>
    <row r="11932" spans="25:25" x14ac:dyDescent="0.2">
      <c r="Y11932" s="97"/>
    </row>
    <row r="11933" spans="25:25" x14ac:dyDescent="0.2">
      <c r="Y11933" s="97"/>
    </row>
    <row r="11934" spans="25:25" x14ac:dyDescent="0.2">
      <c r="Y11934" s="97"/>
    </row>
    <row r="11935" spans="25:25" x14ac:dyDescent="0.2">
      <c r="Y11935" s="97"/>
    </row>
    <row r="11936" spans="25:25" x14ac:dyDescent="0.2">
      <c r="Y11936" s="97"/>
    </row>
    <row r="11937" spans="25:25" x14ac:dyDescent="0.2">
      <c r="Y11937" s="97"/>
    </row>
    <row r="11938" spans="25:25" x14ac:dyDescent="0.2">
      <c r="Y11938" s="97"/>
    </row>
    <row r="11939" spans="25:25" x14ac:dyDescent="0.2">
      <c r="Y11939" s="97"/>
    </row>
    <row r="11940" spans="25:25" x14ac:dyDescent="0.2">
      <c r="Y11940" s="97"/>
    </row>
    <row r="11941" spans="25:25" x14ac:dyDescent="0.2">
      <c r="Y11941" s="97"/>
    </row>
    <row r="11942" spans="25:25" x14ac:dyDescent="0.2">
      <c r="Y11942" s="97"/>
    </row>
    <row r="11943" spans="25:25" x14ac:dyDescent="0.2">
      <c r="Y11943" s="97"/>
    </row>
    <row r="11944" spans="25:25" x14ac:dyDescent="0.2">
      <c r="Y11944" s="97"/>
    </row>
    <row r="11945" spans="25:25" x14ac:dyDescent="0.2">
      <c r="Y11945" s="97"/>
    </row>
    <row r="11946" spans="25:25" x14ac:dyDescent="0.2">
      <c r="Y11946" s="97"/>
    </row>
    <row r="11947" spans="25:25" x14ac:dyDescent="0.2">
      <c r="Y11947" s="97"/>
    </row>
    <row r="11948" spans="25:25" x14ac:dyDescent="0.2">
      <c r="Y11948" s="97"/>
    </row>
    <row r="11949" spans="25:25" x14ac:dyDescent="0.2">
      <c r="Y11949" s="97"/>
    </row>
    <row r="11950" spans="25:25" x14ac:dyDescent="0.2">
      <c r="Y11950" s="97"/>
    </row>
    <row r="11951" spans="25:25" x14ac:dyDescent="0.2">
      <c r="Y11951" s="97"/>
    </row>
    <row r="11952" spans="25:25" x14ac:dyDescent="0.2">
      <c r="Y11952" s="97"/>
    </row>
    <row r="11953" spans="25:25" x14ac:dyDescent="0.2">
      <c r="Y11953" s="97"/>
    </row>
    <row r="11954" spans="25:25" x14ac:dyDescent="0.2">
      <c r="Y11954" s="97"/>
    </row>
    <row r="11955" spans="25:25" x14ac:dyDescent="0.2">
      <c r="Y11955" s="97"/>
    </row>
    <row r="11956" spans="25:25" x14ac:dyDescent="0.2">
      <c r="Y11956" s="97"/>
    </row>
    <row r="11957" spans="25:25" x14ac:dyDescent="0.2">
      <c r="Y11957" s="97"/>
    </row>
    <row r="11958" spans="25:25" x14ac:dyDescent="0.2">
      <c r="Y11958" s="97"/>
    </row>
    <row r="11959" spans="25:25" x14ac:dyDescent="0.2">
      <c r="Y11959" s="97"/>
    </row>
    <row r="11960" spans="25:25" x14ac:dyDescent="0.2">
      <c r="Y11960" s="97"/>
    </row>
    <row r="11961" spans="25:25" x14ac:dyDescent="0.2">
      <c r="Y11961" s="97"/>
    </row>
    <row r="11962" spans="25:25" x14ac:dyDescent="0.2">
      <c r="Y11962" s="97"/>
    </row>
    <row r="11963" spans="25:25" x14ac:dyDescent="0.2">
      <c r="Y11963" s="97"/>
    </row>
    <row r="11964" spans="25:25" x14ac:dyDescent="0.2">
      <c r="Y11964" s="97"/>
    </row>
    <row r="11965" spans="25:25" x14ac:dyDescent="0.2">
      <c r="Y11965" s="97"/>
    </row>
    <row r="11966" spans="25:25" x14ac:dyDescent="0.2">
      <c r="Y11966" s="97"/>
    </row>
    <row r="11967" spans="25:25" x14ac:dyDescent="0.2">
      <c r="Y11967" s="97"/>
    </row>
    <row r="11968" spans="25:25" x14ac:dyDescent="0.2">
      <c r="Y11968" s="97"/>
    </row>
    <row r="11969" spans="25:25" x14ac:dyDescent="0.2">
      <c r="Y11969" s="97"/>
    </row>
    <row r="11970" spans="25:25" x14ac:dyDescent="0.2">
      <c r="Y11970" s="97"/>
    </row>
    <row r="11971" spans="25:25" x14ac:dyDescent="0.2">
      <c r="Y11971" s="97"/>
    </row>
    <row r="11972" spans="25:25" x14ac:dyDescent="0.2">
      <c r="Y11972" s="97"/>
    </row>
    <row r="11973" spans="25:25" x14ac:dyDescent="0.2">
      <c r="Y11973" s="97"/>
    </row>
    <row r="11974" spans="25:25" x14ac:dyDescent="0.2">
      <c r="Y11974" s="97"/>
    </row>
    <row r="11975" spans="25:25" x14ac:dyDescent="0.2">
      <c r="Y11975" s="97"/>
    </row>
    <row r="11976" spans="25:25" x14ac:dyDescent="0.2">
      <c r="Y11976" s="97"/>
    </row>
    <row r="11977" spans="25:25" x14ac:dyDescent="0.2">
      <c r="Y11977" s="97"/>
    </row>
    <row r="11978" spans="25:25" x14ac:dyDescent="0.2">
      <c r="Y11978" s="97"/>
    </row>
    <row r="11979" spans="25:25" x14ac:dyDescent="0.2">
      <c r="Y11979" s="97"/>
    </row>
    <row r="11980" spans="25:25" x14ac:dyDescent="0.2">
      <c r="Y11980" s="97"/>
    </row>
    <row r="11981" spans="25:25" x14ac:dyDescent="0.2">
      <c r="Y11981" s="97"/>
    </row>
    <row r="11982" spans="25:25" x14ac:dyDescent="0.2">
      <c r="Y11982" s="97"/>
    </row>
    <row r="11983" spans="25:25" x14ac:dyDescent="0.2">
      <c r="Y11983" s="97"/>
    </row>
    <row r="11984" spans="25:25" x14ac:dyDescent="0.2">
      <c r="Y11984" s="97"/>
    </row>
    <row r="11985" spans="25:25" x14ac:dyDescent="0.2">
      <c r="Y11985" s="97"/>
    </row>
    <row r="11986" spans="25:25" x14ac:dyDescent="0.2">
      <c r="Y11986" s="97"/>
    </row>
    <row r="11987" spans="25:25" x14ac:dyDescent="0.2">
      <c r="Y11987" s="97"/>
    </row>
    <row r="11988" spans="25:25" x14ac:dyDescent="0.2">
      <c r="Y11988" s="97"/>
    </row>
    <row r="11989" spans="25:25" x14ac:dyDescent="0.2">
      <c r="Y11989" s="97"/>
    </row>
    <row r="11990" spans="25:25" x14ac:dyDescent="0.2">
      <c r="Y11990" s="97"/>
    </row>
    <row r="11991" spans="25:25" x14ac:dyDescent="0.2">
      <c r="Y11991" s="97"/>
    </row>
    <row r="11992" spans="25:25" x14ac:dyDescent="0.2">
      <c r="Y11992" s="97"/>
    </row>
    <row r="11993" spans="25:25" x14ac:dyDescent="0.2">
      <c r="Y11993" s="97"/>
    </row>
    <row r="11994" spans="25:25" x14ac:dyDescent="0.2">
      <c r="Y11994" s="97"/>
    </row>
    <row r="11995" spans="25:25" x14ac:dyDescent="0.2">
      <c r="Y11995" s="97"/>
    </row>
    <row r="11996" spans="25:25" x14ac:dyDescent="0.2">
      <c r="Y11996" s="97"/>
    </row>
    <row r="11997" spans="25:25" x14ac:dyDescent="0.2">
      <c r="Y11997" s="97"/>
    </row>
    <row r="11998" spans="25:25" x14ac:dyDescent="0.2">
      <c r="Y11998" s="97"/>
    </row>
    <row r="11999" spans="25:25" x14ac:dyDescent="0.2">
      <c r="Y11999" s="97"/>
    </row>
    <row r="12000" spans="25:25" x14ac:dyDescent="0.2">
      <c r="Y12000" s="97"/>
    </row>
    <row r="12001" spans="25:25" x14ac:dyDescent="0.2">
      <c r="Y12001" s="97"/>
    </row>
    <row r="12002" spans="25:25" x14ac:dyDescent="0.2">
      <c r="Y12002" s="97"/>
    </row>
    <row r="12003" spans="25:25" x14ac:dyDescent="0.2">
      <c r="Y12003" s="97"/>
    </row>
    <row r="12004" spans="25:25" x14ac:dyDescent="0.2">
      <c r="Y12004" s="97"/>
    </row>
    <row r="12005" spans="25:25" x14ac:dyDescent="0.2">
      <c r="Y12005" s="97"/>
    </row>
    <row r="12006" spans="25:25" x14ac:dyDescent="0.2">
      <c r="Y12006" s="97"/>
    </row>
    <row r="12007" spans="25:25" x14ac:dyDescent="0.2">
      <c r="Y12007" s="97"/>
    </row>
    <row r="12008" spans="25:25" x14ac:dyDescent="0.2">
      <c r="Y12008" s="97"/>
    </row>
    <row r="12009" spans="25:25" x14ac:dyDescent="0.2">
      <c r="Y12009" s="97"/>
    </row>
    <row r="12010" spans="25:25" x14ac:dyDescent="0.2">
      <c r="Y12010" s="97"/>
    </row>
    <row r="12011" spans="25:25" x14ac:dyDescent="0.2">
      <c r="Y12011" s="97"/>
    </row>
    <row r="12012" spans="25:25" x14ac:dyDescent="0.2">
      <c r="Y12012" s="97"/>
    </row>
    <row r="12013" spans="25:25" x14ac:dyDescent="0.2">
      <c r="Y12013" s="97"/>
    </row>
    <row r="12014" spans="25:25" x14ac:dyDescent="0.2">
      <c r="Y12014" s="97"/>
    </row>
    <row r="12015" spans="25:25" x14ac:dyDescent="0.2">
      <c r="Y12015" s="97"/>
    </row>
    <row r="12016" spans="25:25" x14ac:dyDescent="0.2">
      <c r="Y12016" s="97"/>
    </row>
    <row r="12017" spans="25:25" x14ac:dyDescent="0.2">
      <c r="Y12017" s="97"/>
    </row>
    <row r="12018" spans="25:25" x14ac:dyDescent="0.2">
      <c r="Y12018" s="97"/>
    </row>
    <row r="12019" spans="25:25" x14ac:dyDescent="0.2">
      <c r="Y12019" s="97"/>
    </row>
    <row r="12020" spans="25:25" x14ac:dyDescent="0.2">
      <c r="Y12020" s="97"/>
    </row>
    <row r="12021" spans="25:25" x14ac:dyDescent="0.2">
      <c r="Y12021" s="97"/>
    </row>
    <row r="12022" spans="25:25" x14ac:dyDescent="0.2">
      <c r="Y12022" s="97"/>
    </row>
    <row r="12023" spans="25:25" x14ac:dyDescent="0.2">
      <c r="Y12023" s="97"/>
    </row>
    <row r="12024" spans="25:25" x14ac:dyDescent="0.2">
      <c r="Y12024" s="97"/>
    </row>
    <row r="12025" spans="25:25" x14ac:dyDescent="0.2">
      <c r="Y12025" s="97"/>
    </row>
    <row r="12026" spans="25:25" x14ac:dyDescent="0.2">
      <c r="Y12026" s="97"/>
    </row>
    <row r="12027" spans="25:25" x14ac:dyDescent="0.2">
      <c r="Y12027" s="97"/>
    </row>
    <row r="12028" spans="25:25" x14ac:dyDescent="0.2">
      <c r="Y12028" s="97"/>
    </row>
    <row r="12029" spans="25:25" x14ac:dyDescent="0.2">
      <c r="Y12029" s="97"/>
    </row>
    <row r="12030" spans="25:25" x14ac:dyDescent="0.2">
      <c r="Y12030" s="97"/>
    </row>
    <row r="12031" spans="25:25" x14ac:dyDescent="0.2">
      <c r="Y12031" s="97"/>
    </row>
    <row r="12032" spans="25:25" x14ac:dyDescent="0.2">
      <c r="Y12032" s="97"/>
    </row>
    <row r="12033" spans="25:25" x14ac:dyDescent="0.2">
      <c r="Y12033" s="97"/>
    </row>
    <row r="12034" spans="25:25" x14ac:dyDescent="0.2">
      <c r="Y12034" s="97"/>
    </row>
    <row r="12035" spans="25:25" x14ac:dyDescent="0.2">
      <c r="Y12035" s="97"/>
    </row>
    <row r="12036" spans="25:25" x14ac:dyDescent="0.2">
      <c r="Y12036" s="97"/>
    </row>
    <row r="12037" spans="25:25" x14ac:dyDescent="0.2">
      <c r="Y12037" s="97"/>
    </row>
    <row r="12038" spans="25:25" x14ac:dyDescent="0.2">
      <c r="Y12038" s="97"/>
    </row>
    <row r="12039" spans="25:25" x14ac:dyDescent="0.2">
      <c r="Y12039" s="97"/>
    </row>
    <row r="12040" spans="25:25" x14ac:dyDescent="0.2">
      <c r="Y12040" s="97"/>
    </row>
    <row r="12041" spans="25:25" x14ac:dyDescent="0.2">
      <c r="Y12041" s="97"/>
    </row>
    <row r="12042" spans="25:25" x14ac:dyDescent="0.2">
      <c r="Y12042" s="97"/>
    </row>
    <row r="12043" spans="25:25" x14ac:dyDescent="0.2">
      <c r="Y12043" s="97"/>
    </row>
    <row r="12044" spans="25:25" x14ac:dyDescent="0.2">
      <c r="Y12044" s="97"/>
    </row>
    <row r="12045" spans="25:25" x14ac:dyDescent="0.2">
      <c r="Y12045" s="97"/>
    </row>
    <row r="12046" spans="25:25" x14ac:dyDescent="0.2">
      <c r="Y12046" s="97"/>
    </row>
    <row r="12047" spans="25:25" x14ac:dyDescent="0.2">
      <c r="Y12047" s="97"/>
    </row>
    <row r="12048" spans="25:25" x14ac:dyDescent="0.2">
      <c r="Y12048" s="97"/>
    </row>
    <row r="12049" spans="25:25" x14ac:dyDescent="0.2">
      <c r="Y12049" s="97"/>
    </row>
    <row r="12050" spans="25:25" x14ac:dyDescent="0.2">
      <c r="Y12050" s="97"/>
    </row>
    <row r="12051" spans="25:25" x14ac:dyDescent="0.2">
      <c r="Y12051" s="97"/>
    </row>
    <row r="12052" spans="25:25" x14ac:dyDescent="0.2">
      <c r="Y12052" s="97"/>
    </row>
    <row r="12053" spans="25:25" x14ac:dyDescent="0.2">
      <c r="Y12053" s="97"/>
    </row>
    <row r="12054" spans="25:25" x14ac:dyDescent="0.2">
      <c r="Y12054" s="97"/>
    </row>
    <row r="12055" spans="25:25" x14ac:dyDescent="0.2">
      <c r="Y12055" s="97"/>
    </row>
    <row r="12056" spans="25:25" x14ac:dyDescent="0.2">
      <c r="Y12056" s="97"/>
    </row>
    <row r="12057" spans="25:25" x14ac:dyDescent="0.2">
      <c r="Y12057" s="97"/>
    </row>
    <row r="12058" spans="25:25" x14ac:dyDescent="0.2">
      <c r="Y12058" s="97"/>
    </row>
    <row r="12059" spans="25:25" x14ac:dyDescent="0.2">
      <c r="Y12059" s="97"/>
    </row>
    <row r="12060" spans="25:25" x14ac:dyDescent="0.2">
      <c r="Y12060" s="97"/>
    </row>
    <row r="12061" spans="25:25" x14ac:dyDescent="0.2">
      <c r="Y12061" s="97"/>
    </row>
    <row r="12062" spans="25:25" x14ac:dyDescent="0.2">
      <c r="Y12062" s="97"/>
    </row>
    <row r="12063" spans="25:25" x14ac:dyDescent="0.2">
      <c r="Y12063" s="97"/>
    </row>
    <row r="12064" spans="25:25" x14ac:dyDescent="0.2">
      <c r="Y12064" s="97"/>
    </row>
    <row r="12065" spans="25:25" x14ac:dyDescent="0.2">
      <c r="Y12065" s="97"/>
    </row>
    <row r="12066" spans="25:25" x14ac:dyDescent="0.2">
      <c r="Y12066" s="97"/>
    </row>
    <row r="12067" spans="25:25" x14ac:dyDescent="0.2">
      <c r="Y12067" s="97"/>
    </row>
    <row r="12068" spans="25:25" x14ac:dyDescent="0.2">
      <c r="Y12068" s="97"/>
    </row>
    <row r="12069" spans="25:25" x14ac:dyDescent="0.2">
      <c r="Y12069" s="97"/>
    </row>
    <row r="12070" spans="25:25" x14ac:dyDescent="0.2">
      <c r="Y12070" s="97"/>
    </row>
    <row r="12071" spans="25:25" x14ac:dyDescent="0.2">
      <c r="Y12071" s="97"/>
    </row>
    <row r="12072" spans="25:25" x14ac:dyDescent="0.2">
      <c r="Y12072" s="97"/>
    </row>
    <row r="12073" spans="25:25" x14ac:dyDescent="0.2">
      <c r="Y12073" s="97"/>
    </row>
    <row r="12074" spans="25:25" x14ac:dyDescent="0.2">
      <c r="Y12074" s="97"/>
    </row>
    <row r="12075" spans="25:25" x14ac:dyDescent="0.2">
      <c r="Y12075" s="97"/>
    </row>
    <row r="12076" spans="25:25" x14ac:dyDescent="0.2">
      <c r="Y12076" s="97"/>
    </row>
    <row r="12077" spans="25:25" x14ac:dyDescent="0.2">
      <c r="Y12077" s="97"/>
    </row>
    <row r="12078" spans="25:25" x14ac:dyDescent="0.2">
      <c r="Y12078" s="97"/>
    </row>
    <row r="12079" spans="25:25" x14ac:dyDescent="0.2">
      <c r="Y12079" s="97"/>
    </row>
    <row r="12080" spans="25:25" x14ac:dyDescent="0.2">
      <c r="Y12080" s="97"/>
    </row>
    <row r="12081" spans="25:25" x14ac:dyDescent="0.2">
      <c r="Y12081" s="97"/>
    </row>
    <row r="12082" spans="25:25" x14ac:dyDescent="0.2">
      <c r="Y12082" s="97"/>
    </row>
    <row r="12083" spans="25:25" x14ac:dyDescent="0.2">
      <c r="Y12083" s="97"/>
    </row>
    <row r="12084" spans="25:25" x14ac:dyDescent="0.2">
      <c r="Y12084" s="97"/>
    </row>
    <row r="12085" spans="25:25" x14ac:dyDescent="0.2">
      <c r="Y12085" s="97"/>
    </row>
    <row r="12086" spans="25:25" x14ac:dyDescent="0.2">
      <c r="Y12086" s="97"/>
    </row>
    <row r="12087" spans="25:25" x14ac:dyDescent="0.2">
      <c r="Y12087" s="97"/>
    </row>
    <row r="12088" spans="25:25" x14ac:dyDescent="0.2">
      <c r="Y12088" s="97"/>
    </row>
    <row r="12089" spans="25:25" x14ac:dyDescent="0.2">
      <c r="Y12089" s="97"/>
    </row>
    <row r="12090" spans="25:25" x14ac:dyDescent="0.2">
      <c r="Y12090" s="97"/>
    </row>
    <row r="12091" spans="25:25" x14ac:dyDescent="0.2">
      <c r="Y12091" s="97"/>
    </row>
    <row r="12092" spans="25:25" x14ac:dyDescent="0.2">
      <c r="Y12092" s="97"/>
    </row>
    <row r="12093" spans="25:25" x14ac:dyDescent="0.2">
      <c r="Y12093" s="97"/>
    </row>
    <row r="12094" spans="25:25" x14ac:dyDescent="0.2">
      <c r="Y12094" s="97"/>
    </row>
    <row r="12095" spans="25:25" x14ac:dyDescent="0.2">
      <c r="Y12095" s="97"/>
    </row>
    <row r="12096" spans="25:25" x14ac:dyDescent="0.2">
      <c r="Y12096" s="97"/>
    </row>
    <row r="12097" spans="25:25" x14ac:dyDescent="0.2">
      <c r="Y12097" s="97"/>
    </row>
    <row r="12098" spans="25:25" x14ac:dyDescent="0.2">
      <c r="Y12098" s="97"/>
    </row>
    <row r="12099" spans="25:25" x14ac:dyDescent="0.2">
      <c r="Y12099" s="97"/>
    </row>
    <row r="12100" spans="25:25" x14ac:dyDescent="0.2">
      <c r="Y12100" s="97"/>
    </row>
    <row r="12101" spans="25:25" x14ac:dyDescent="0.2">
      <c r="Y12101" s="97"/>
    </row>
    <row r="12102" spans="25:25" x14ac:dyDescent="0.2">
      <c r="Y12102" s="97"/>
    </row>
    <row r="12103" spans="25:25" x14ac:dyDescent="0.2">
      <c r="Y12103" s="97"/>
    </row>
    <row r="12104" spans="25:25" x14ac:dyDescent="0.2">
      <c r="Y12104" s="97"/>
    </row>
    <row r="12105" spans="25:25" x14ac:dyDescent="0.2">
      <c r="Y12105" s="97"/>
    </row>
    <row r="12106" spans="25:25" x14ac:dyDescent="0.2">
      <c r="Y12106" s="97"/>
    </row>
    <row r="12107" spans="25:25" x14ac:dyDescent="0.2">
      <c r="Y12107" s="97"/>
    </row>
    <row r="12108" spans="25:25" x14ac:dyDescent="0.2">
      <c r="Y12108" s="97"/>
    </row>
    <row r="12109" spans="25:25" x14ac:dyDescent="0.2">
      <c r="Y12109" s="97"/>
    </row>
    <row r="12110" spans="25:25" x14ac:dyDescent="0.2">
      <c r="Y12110" s="97"/>
    </row>
    <row r="12111" spans="25:25" x14ac:dyDescent="0.2">
      <c r="Y12111" s="97"/>
    </row>
    <row r="12112" spans="25:25" x14ac:dyDescent="0.2">
      <c r="Y12112" s="97"/>
    </row>
    <row r="12113" spans="25:25" x14ac:dyDescent="0.2">
      <c r="Y12113" s="97"/>
    </row>
    <row r="12114" spans="25:25" x14ac:dyDescent="0.2">
      <c r="Y12114" s="97"/>
    </row>
    <row r="12115" spans="25:25" x14ac:dyDescent="0.2">
      <c r="Y12115" s="97"/>
    </row>
    <row r="12116" spans="25:25" x14ac:dyDescent="0.2">
      <c r="Y12116" s="97"/>
    </row>
    <row r="12117" spans="25:25" x14ac:dyDescent="0.2">
      <c r="Y12117" s="97"/>
    </row>
    <row r="12118" spans="25:25" x14ac:dyDescent="0.2">
      <c r="Y12118" s="97"/>
    </row>
    <row r="12119" spans="25:25" x14ac:dyDescent="0.2">
      <c r="Y12119" s="97"/>
    </row>
    <row r="12120" spans="25:25" x14ac:dyDescent="0.2">
      <c r="Y12120" s="97"/>
    </row>
    <row r="12121" spans="25:25" x14ac:dyDescent="0.2">
      <c r="Y12121" s="97"/>
    </row>
    <row r="12122" spans="25:25" x14ac:dyDescent="0.2">
      <c r="Y12122" s="97"/>
    </row>
    <row r="12123" spans="25:25" x14ac:dyDescent="0.2">
      <c r="Y12123" s="97"/>
    </row>
    <row r="12124" spans="25:25" x14ac:dyDescent="0.2">
      <c r="Y12124" s="97"/>
    </row>
    <row r="12125" spans="25:25" x14ac:dyDescent="0.2">
      <c r="Y12125" s="97"/>
    </row>
    <row r="12126" spans="25:25" x14ac:dyDescent="0.2">
      <c r="Y12126" s="97"/>
    </row>
    <row r="12127" spans="25:25" x14ac:dyDescent="0.2">
      <c r="Y12127" s="97"/>
    </row>
    <row r="12128" spans="25:25" x14ac:dyDescent="0.2">
      <c r="Y12128" s="97"/>
    </row>
    <row r="12129" spans="25:25" x14ac:dyDescent="0.2">
      <c r="Y12129" s="97"/>
    </row>
    <row r="12130" spans="25:25" x14ac:dyDescent="0.2">
      <c r="Y12130" s="97"/>
    </row>
    <row r="12131" spans="25:25" x14ac:dyDescent="0.2">
      <c r="Y12131" s="97"/>
    </row>
    <row r="12132" spans="25:25" x14ac:dyDescent="0.2">
      <c r="Y12132" s="97"/>
    </row>
    <row r="12133" spans="25:25" x14ac:dyDescent="0.2">
      <c r="Y12133" s="97"/>
    </row>
    <row r="12134" spans="25:25" x14ac:dyDescent="0.2">
      <c r="Y12134" s="97"/>
    </row>
    <row r="12135" spans="25:25" x14ac:dyDescent="0.2">
      <c r="Y12135" s="97"/>
    </row>
    <row r="12136" spans="25:25" x14ac:dyDescent="0.2">
      <c r="Y12136" s="97"/>
    </row>
    <row r="12137" spans="25:25" x14ac:dyDescent="0.2">
      <c r="Y12137" s="97"/>
    </row>
    <row r="12138" spans="25:25" x14ac:dyDescent="0.2">
      <c r="Y12138" s="97"/>
    </row>
    <row r="12139" spans="25:25" x14ac:dyDescent="0.2">
      <c r="Y12139" s="97"/>
    </row>
    <row r="12140" spans="25:25" x14ac:dyDescent="0.2">
      <c r="Y12140" s="97"/>
    </row>
    <row r="12141" spans="25:25" x14ac:dyDescent="0.2">
      <c r="Y12141" s="97"/>
    </row>
    <row r="12142" spans="25:25" x14ac:dyDescent="0.2">
      <c r="Y12142" s="97"/>
    </row>
    <row r="12143" spans="25:25" x14ac:dyDescent="0.2">
      <c r="Y12143" s="97"/>
    </row>
    <row r="12144" spans="25:25" x14ac:dyDescent="0.2">
      <c r="Y12144" s="97"/>
    </row>
    <row r="12145" spans="25:25" x14ac:dyDescent="0.2">
      <c r="Y12145" s="97"/>
    </row>
    <row r="12146" spans="25:25" x14ac:dyDescent="0.2">
      <c r="Y12146" s="97"/>
    </row>
    <row r="12147" spans="25:25" x14ac:dyDescent="0.2">
      <c r="Y12147" s="97"/>
    </row>
    <row r="12148" spans="25:25" x14ac:dyDescent="0.2">
      <c r="Y12148" s="97"/>
    </row>
    <row r="12149" spans="25:25" x14ac:dyDescent="0.2">
      <c r="Y12149" s="97"/>
    </row>
    <row r="12150" spans="25:25" x14ac:dyDescent="0.2">
      <c r="Y12150" s="97"/>
    </row>
    <row r="12151" spans="25:25" x14ac:dyDescent="0.2">
      <c r="Y12151" s="97"/>
    </row>
    <row r="12152" spans="25:25" x14ac:dyDescent="0.2">
      <c r="Y12152" s="97"/>
    </row>
    <row r="12153" spans="25:25" x14ac:dyDescent="0.2">
      <c r="Y12153" s="97"/>
    </row>
    <row r="12154" spans="25:25" x14ac:dyDescent="0.2">
      <c r="Y12154" s="97"/>
    </row>
    <row r="12155" spans="25:25" x14ac:dyDescent="0.2">
      <c r="Y12155" s="97"/>
    </row>
    <row r="12156" spans="25:25" x14ac:dyDescent="0.2">
      <c r="Y12156" s="97"/>
    </row>
    <row r="12157" spans="25:25" x14ac:dyDescent="0.2">
      <c r="Y12157" s="97"/>
    </row>
    <row r="12158" spans="25:25" x14ac:dyDescent="0.2">
      <c r="Y12158" s="97"/>
    </row>
    <row r="12159" spans="25:25" x14ac:dyDescent="0.2">
      <c r="Y12159" s="97"/>
    </row>
    <row r="12160" spans="25:25" x14ac:dyDescent="0.2">
      <c r="Y12160" s="97"/>
    </row>
    <row r="12161" spans="25:25" x14ac:dyDescent="0.2">
      <c r="Y12161" s="97"/>
    </row>
    <row r="12162" spans="25:25" x14ac:dyDescent="0.2">
      <c r="Y12162" s="97"/>
    </row>
    <row r="12163" spans="25:25" x14ac:dyDescent="0.2">
      <c r="Y12163" s="97"/>
    </row>
    <row r="12164" spans="25:25" x14ac:dyDescent="0.2">
      <c r="Y12164" s="97"/>
    </row>
    <row r="12165" spans="25:25" x14ac:dyDescent="0.2">
      <c r="Y12165" s="97"/>
    </row>
    <row r="12166" spans="25:25" x14ac:dyDescent="0.2">
      <c r="Y12166" s="97"/>
    </row>
    <row r="12167" spans="25:25" x14ac:dyDescent="0.2">
      <c r="Y12167" s="97"/>
    </row>
    <row r="12168" spans="25:25" x14ac:dyDescent="0.2">
      <c r="Y12168" s="97"/>
    </row>
    <row r="12169" spans="25:25" x14ac:dyDescent="0.2">
      <c r="Y12169" s="97"/>
    </row>
    <row r="12170" spans="25:25" x14ac:dyDescent="0.2">
      <c r="Y12170" s="97"/>
    </row>
    <row r="12171" spans="25:25" x14ac:dyDescent="0.2">
      <c r="Y12171" s="97"/>
    </row>
    <row r="12172" spans="25:25" x14ac:dyDescent="0.2">
      <c r="Y12172" s="97"/>
    </row>
    <row r="12173" spans="25:25" x14ac:dyDescent="0.2">
      <c r="Y12173" s="97"/>
    </row>
    <row r="12174" spans="25:25" x14ac:dyDescent="0.2">
      <c r="Y12174" s="97"/>
    </row>
    <row r="12175" spans="25:25" x14ac:dyDescent="0.2">
      <c r="Y12175" s="97"/>
    </row>
    <row r="12176" spans="25:25" x14ac:dyDescent="0.2">
      <c r="Y12176" s="97"/>
    </row>
    <row r="12177" spans="25:25" x14ac:dyDescent="0.2">
      <c r="Y12177" s="97"/>
    </row>
    <row r="12178" spans="25:25" x14ac:dyDescent="0.2">
      <c r="Y12178" s="97"/>
    </row>
    <row r="12179" spans="25:25" x14ac:dyDescent="0.2">
      <c r="Y12179" s="97"/>
    </row>
    <row r="12180" spans="25:25" x14ac:dyDescent="0.2">
      <c r="Y12180" s="97"/>
    </row>
    <row r="12181" spans="25:25" x14ac:dyDescent="0.2">
      <c r="Y12181" s="97"/>
    </row>
    <row r="12182" spans="25:25" x14ac:dyDescent="0.2">
      <c r="Y12182" s="97"/>
    </row>
    <row r="12183" spans="25:25" x14ac:dyDescent="0.2">
      <c r="Y12183" s="97"/>
    </row>
    <row r="12184" spans="25:25" x14ac:dyDescent="0.2">
      <c r="Y12184" s="97"/>
    </row>
    <row r="12185" spans="25:25" x14ac:dyDescent="0.2">
      <c r="Y12185" s="97"/>
    </row>
    <row r="12186" spans="25:25" x14ac:dyDescent="0.2">
      <c r="Y12186" s="97"/>
    </row>
    <row r="12187" spans="25:25" x14ac:dyDescent="0.2">
      <c r="Y12187" s="97"/>
    </row>
    <row r="12188" spans="25:25" x14ac:dyDescent="0.2">
      <c r="Y12188" s="97"/>
    </row>
    <row r="12189" spans="25:25" x14ac:dyDescent="0.2">
      <c r="Y12189" s="97"/>
    </row>
    <row r="12190" spans="25:25" x14ac:dyDescent="0.2">
      <c r="Y12190" s="97"/>
    </row>
    <row r="12191" spans="25:25" x14ac:dyDescent="0.2">
      <c r="Y12191" s="97"/>
    </row>
    <row r="12192" spans="25:25" x14ac:dyDescent="0.2">
      <c r="Y12192" s="97"/>
    </row>
    <row r="12193" spans="25:25" x14ac:dyDescent="0.2">
      <c r="Y12193" s="97"/>
    </row>
    <row r="12194" spans="25:25" x14ac:dyDescent="0.2">
      <c r="Y12194" s="97"/>
    </row>
    <row r="12195" spans="25:25" x14ac:dyDescent="0.2">
      <c r="Y12195" s="97"/>
    </row>
    <row r="12196" spans="25:25" x14ac:dyDescent="0.2">
      <c r="Y12196" s="97"/>
    </row>
    <row r="12197" spans="25:25" x14ac:dyDescent="0.2">
      <c r="Y12197" s="97"/>
    </row>
    <row r="12198" spans="25:25" x14ac:dyDescent="0.2">
      <c r="Y12198" s="97"/>
    </row>
    <row r="12199" spans="25:25" x14ac:dyDescent="0.2">
      <c r="Y12199" s="97"/>
    </row>
    <row r="12200" spans="25:25" x14ac:dyDescent="0.2">
      <c r="Y12200" s="97"/>
    </row>
    <row r="12201" spans="25:25" x14ac:dyDescent="0.2">
      <c r="Y12201" s="97"/>
    </row>
    <row r="12202" spans="25:25" x14ac:dyDescent="0.2">
      <c r="Y12202" s="97"/>
    </row>
    <row r="12203" spans="25:25" x14ac:dyDescent="0.2">
      <c r="Y12203" s="97"/>
    </row>
    <row r="12204" spans="25:25" x14ac:dyDescent="0.2">
      <c r="Y12204" s="97"/>
    </row>
    <row r="12205" spans="25:25" x14ac:dyDescent="0.2">
      <c r="Y12205" s="97"/>
    </row>
    <row r="12206" spans="25:25" x14ac:dyDescent="0.2">
      <c r="Y12206" s="97"/>
    </row>
    <row r="12207" spans="25:25" x14ac:dyDescent="0.2">
      <c r="Y12207" s="97"/>
    </row>
    <row r="12208" spans="25:25" x14ac:dyDescent="0.2">
      <c r="Y12208" s="97"/>
    </row>
    <row r="12209" spans="25:25" x14ac:dyDescent="0.2">
      <c r="Y12209" s="97"/>
    </row>
    <row r="12210" spans="25:25" x14ac:dyDescent="0.2">
      <c r="Y12210" s="97"/>
    </row>
    <row r="12211" spans="25:25" x14ac:dyDescent="0.2">
      <c r="Y12211" s="97"/>
    </row>
    <row r="12212" spans="25:25" x14ac:dyDescent="0.2">
      <c r="Y12212" s="97"/>
    </row>
    <row r="12213" spans="25:25" x14ac:dyDescent="0.2">
      <c r="Y12213" s="97"/>
    </row>
    <row r="12214" spans="25:25" x14ac:dyDescent="0.2">
      <c r="Y12214" s="97"/>
    </row>
    <row r="12215" spans="25:25" x14ac:dyDescent="0.2">
      <c r="Y12215" s="97"/>
    </row>
    <row r="12216" spans="25:25" x14ac:dyDescent="0.2">
      <c r="Y12216" s="97"/>
    </row>
    <row r="12217" spans="25:25" x14ac:dyDescent="0.2">
      <c r="Y12217" s="97"/>
    </row>
    <row r="12218" spans="25:25" x14ac:dyDescent="0.2">
      <c r="Y12218" s="97"/>
    </row>
    <row r="12219" spans="25:25" x14ac:dyDescent="0.2">
      <c r="Y12219" s="97"/>
    </row>
    <row r="12220" spans="25:25" x14ac:dyDescent="0.2">
      <c r="Y12220" s="97"/>
    </row>
    <row r="12221" spans="25:25" x14ac:dyDescent="0.2">
      <c r="Y12221" s="97"/>
    </row>
    <row r="12222" spans="25:25" x14ac:dyDescent="0.2">
      <c r="Y12222" s="97"/>
    </row>
    <row r="12223" spans="25:25" x14ac:dyDescent="0.2">
      <c r="Y12223" s="97"/>
    </row>
    <row r="12224" spans="25:25" x14ac:dyDescent="0.2">
      <c r="Y12224" s="97"/>
    </row>
    <row r="12225" spans="25:25" x14ac:dyDescent="0.2">
      <c r="Y12225" s="97"/>
    </row>
    <row r="12226" spans="25:25" x14ac:dyDescent="0.2">
      <c r="Y12226" s="97"/>
    </row>
    <row r="12227" spans="25:25" x14ac:dyDescent="0.2">
      <c r="Y12227" s="97"/>
    </row>
    <row r="12228" spans="25:25" x14ac:dyDescent="0.2">
      <c r="Y12228" s="97"/>
    </row>
    <row r="12229" spans="25:25" x14ac:dyDescent="0.2">
      <c r="Y12229" s="97"/>
    </row>
    <row r="12230" spans="25:25" x14ac:dyDescent="0.2">
      <c r="Y12230" s="97"/>
    </row>
    <row r="12231" spans="25:25" x14ac:dyDescent="0.2">
      <c r="Y12231" s="97"/>
    </row>
    <row r="12232" spans="25:25" x14ac:dyDescent="0.2">
      <c r="Y12232" s="97"/>
    </row>
    <row r="12233" spans="25:25" x14ac:dyDescent="0.2">
      <c r="Y12233" s="97"/>
    </row>
    <row r="12234" spans="25:25" x14ac:dyDescent="0.2">
      <c r="Y12234" s="97"/>
    </row>
    <row r="12235" spans="25:25" x14ac:dyDescent="0.2">
      <c r="Y12235" s="97"/>
    </row>
    <row r="12236" spans="25:25" x14ac:dyDescent="0.2">
      <c r="Y12236" s="97"/>
    </row>
    <row r="12237" spans="25:25" x14ac:dyDescent="0.2">
      <c r="Y12237" s="97"/>
    </row>
    <row r="12238" spans="25:25" x14ac:dyDescent="0.2">
      <c r="Y12238" s="97"/>
    </row>
    <row r="12239" spans="25:25" x14ac:dyDescent="0.2">
      <c r="Y12239" s="97"/>
    </row>
    <row r="12240" spans="25:25" x14ac:dyDescent="0.2">
      <c r="Y12240" s="97"/>
    </row>
    <row r="12241" spans="25:25" x14ac:dyDescent="0.2">
      <c r="Y12241" s="97"/>
    </row>
    <row r="12242" spans="25:25" x14ac:dyDescent="0.2">
      <c r="Y12242" s="97"/>
    </row>
    <row r="12243" spans="25:25" x14ac:dyDescent="0.2">
      <c r="Y12243" s="97"/>
    </row>
    <row r="12244" spans="25:25" x14ac:dyDescent="0.2">
      <c r="Y12244" s="97"/>
    </row>
    <row r="12245" spans="25:25" x14ac:dyDescent="0.2">
      <c r="Y12245" s="97"/>
    </row>
    <row r="12246" spans="25:25" x14ac:dyDescent="0.2">
      <c r="Y12246" s="97"/>
    </row>
    <row r="12247" spans="25:25" x14ac:dyDescent="0.2">
      <c r="Y12247" s="97"/>
    </row>
    <row r="12248" spans="25:25" x14ac:dyDescent="0.2">
      <c r="Y12248" s="97"/>
    </row>
    <row r="12249" spans="25:25" x14ac:dyDescent="0.2">
      <c r="Y12249" s="97"/>
    </row>
    <row r="12250" spans="25:25" x14ac:dyDescent="0.2">
      <c r="Y12250" s="97"/>
    </row>
    <row r="12251" spans="25:25" x14ac:dyDescent="0.2">
      <c r="Y12251" s="97"/>
    </row>
    <row r="12252" spans="25:25" x14ac:dyDescent="0.2">
      <c r="Y12252" s="97"/>
    </row>
    <row r="12253" spans="25:25" x14ac:dyDescent="0.2">
      <c r="Y12253" s="97"/>
    </row>
    <row r="12254" spans="25:25" x14ac:dyDescent="0.2">
      <c r="Y12254" s="97"/>
    </row>
    <row r="12255" spans="25:25" x14ac:dyDescent="0.2">
      <c r="Y12255" s="97"/>
    </row>
    <row r="12256" spans="25:25" x14ac:dyDescent="0.2">
      <c r="Y12256" s="97"/>
    </row>
    <row r="12257" spans="25:25" x14ac:dyDescent="0.2">
      <c r="Y12257" s="97"/>
    </row>
    <row r="12258" spans="25:25" x14ac:dyDescent="0.2">
      <c r="Y12258" s="97"/>
    </row>
    <row r="12259" spans="25:25" x14ac:dyDescent="0.2">
      <c r="Y12259" s="97"/>
    </row>
    <row r="12260" spans="25:25" x14ac:dyDescent="0.2">
      <c r="Y12260" s="97"/>
    </row>
    <row r="12261" spans="25:25" x14ac:dyDescent="0.2">
      <c r="Y12261" s="97"/>
    </row>
    <row r="12262" spans="25:25" x14ac:dyDescent="0.2">
      <c r="Y12262" s="97"/>
    </row>
    <row r="12263" spans="25:25" x14ac:dyDescent="0.2">
      <c r="Y12263" s="97"/>
    </row>
    <row r="12264" spans="25:25" x14ac:dyDescent="0.2">
      <c r="Y12264" s="97"/>
    </row>
    <row r="12265" spans="25:25" x14ac:dyDescent="0.2">
      <c r="Y12265" s="97"/>
    </row>
    <row r="12266" spans="25:25" x14ac:dyDescent="0.2">
      <c r="Y12266" s="97"/>
    </row>
    <row r="12267" spans="25:25" x14ac:dyDescent="0.2">
      <c r="Y12267" s="97"/>
    </row>
    <row r="12268" spans="25:25" x14ac:dyDescent="0.2">
      <c r="Y12268" s="97"/>
    </row>
    <row r="12269" spans="25:25" x14ac:dyDescent="0.2">
      <c r="Y12269" s="97"/>
    </row>
    <row r="12270" spans="25:25" x14ac:dyDescent="0.2">
      <c r="Y12270" s="97"/>
    </row>
    <row r="12271" spans="25:25" x14ac:dyDescent="0.2">
      <c r="Y12271" s="97"/>
    </row>
    <row r="12272" spans="25:25" x14ac:dyDescent="0.2">
      <c r="Y12272" s="97"/>
    </row>
    <row r="12273" spans="25:25" x14ac:dyDescent="0.2">
      <c r="Y12273" s="97"/>
    </row>
    <row r="12274" spans="25:25" x14ac:dyDescent="0.2">
      <c r="Y12274" s="97"/>
    </row>
    <row r="12275" spans="25:25" x14ac:dyDescent="0.2">
      <c r="Y12275" s="97"/>
    </row>
    <row r="12276" spans="25:25" x14ac:dyDescent="0.2">
      <c r="Y12276" s="97"/>
    </row>
    <row r="12277" spans="25:25" x14ac:dyDescent="0.2">
      <c r="Y12277" s="97"/>
    </row>
    <row r="12278" spans="25:25" x14ac:dyDescent="0.2">
      <c r="Y12278" s="97"/>
    </row>
    <row r="12279" spans="25:25" x14ac:dyDescent="0.2">
      <c r="Y12279" s="97"/>
    </row>
    <row r="12280" spans="25:25" x14ac:dyDescent="0.2">
      <c r="Y12280" s="97"/>
    </row>
    <row r="12281" spans="25:25" x14ac:dyDescent="0.2">
      <c r="Y12281" s="97"/>
    </row>
    <row r="12282" spans="25:25" x14ac:dyDescent="0.2">
      <c r="Y12282" s="97"/>
    </row>
    <row r="12283" spans="25:25" x14ac:dyDescent="0.2">
      <c r="Y12283" s="97"/>
    </row>
    <row r="12284" spans="25:25" x14ac:dyDescent="0.2">
      <c r="Y12284" s="97"/>
    </row>
    <row r="12285" spans="25:25" x14ac:dyDescent="0.2">
      <c r="Y12285" s="97"/>
    </row>
    <row r="12286" spans="25:25" x14ac:dyDescent="0.2">
      <c r="Y12286" s="97"/>
    </row>
    <row r="12287" spans="25:25" x14ac:dyDescent="0.2">
      <c r="Y12287" s="97"/>
    </row>
    <row r="12288" spans="25:25" x14ac:dyDescent="0.2">
      <c r="Y12288" s="97"/>
    </row>
    <row r="12289" spans="25:25" x14ac:dyDescent="0.2">
      <c r="Y12289" s="97"/>
    </row>
    <row r="12290" spans="25:25" x14ac:dyDescent="0.2">
      <c r="Y12290" s="97"/>
    </row>
    <row r="12291" spans="25:25" x14ac:dyDescent="0.2">
      <c r="Y12291" s="97"/>
    </row>
    <row r="12292" spans="25:25" x14ac:dyDescent="0.2">
      <c r="Y12292" s="97"/>
    </row>
    <row r="12293" spans="25:25" x14ac:dyDescent="0.2">
      <c r="Y12293" s="97"/>
    </row>
    <row r="12294" spans="25:25" x14ac:dyDescent="0.2">
      <c r="Y12294" s="97"/>
    </row>
    <row r="12295" spans="25:25" x14ac:dyDescent="0.2">
      <c r="Y12295" s="97"/>
    </row>
    <row r="12296" spans="25:25" x14ac:dyDescent="0.2">
      <c r="Y12296" s="97"/>
    </row>
    <row r="12297" spans="25:25" x14ac:dyDescent="0.2">
      <c r="Y12297" s="97"/>
    </row>
    <row r="12298" spans="25:25" x14ac:dyDescent="0.2">
      <c r="Y12298" s="97"/>
    </row>
    <row r="12299" spans="25:25" x14ac:dyDescent="0.2">
      <c r="Y12299" s="97"/>
    </row>
    <row r="12300" spans="25:25" x14ac:dyDescent="0.2">
      <c r="Y12300" s="97"/>
    </row>
    <row r="12301" spans="25:25" x14ac:dyDescent="0.2">
      <c r="Y12301" s="97"/>
    </row>
    <row r="12302" spans="25:25" x14ac:dyDescent="0.2">
      <c r="Y12302" s="97"/>
    </row>
    <row r="12303" spans="25:25" x14ac:dyDescent="0.2">
      <c r="Y12303" s="97"/>
    </row>
    <row r="12304" spans="25:25" x14ac:dyDescent="0.2">
      <c r="Y12304" s="97"/>
    </row>
    <row r="12305" spans="25:25" x14ac:dyDescent="0.2">
      <c r="Y12305" s="97"/>
    </row>
    <row r="12306" spans="25:25" x14ac:dyDescent="0.2">
      <c r="Y12306" s="97"/>
    </row>
    <row r="12307" spans="25:25" x14ac:dyDescent="0.2">
      <c r="Y12307" s="97"/>
    </row>
    <row r="12308" spans="25:25" x14ac:dyDescent="0.2">
      <c r="Y12308" s="97"/>
    </row>
    <row r="12309" spans="25:25" x14ac:dyDescent="0.2">
      <c r="Y12309" s="97"/>
    </row>
    <row r="12310" spans="25:25" x14ac:dyDescent="0.2">
      <c r="Y12310" s="97"/>
    </row>
    <row r="12311" spans="25:25" x14ac:dyDescent="0.2">
      <c r="Y12311" s="97"/>
    </row>
    <row r="12312" spans="25:25" x14ac:dyDescent="0.2">
      <c r="Y12312" s="97"/>
    </row>
    <row r="12313" spans="25:25" x14ac:dyDescent="0.2">
      <c r="Y12313" s="97"/>
    </row>
    <row r="12314" spans="25:25" x14ac:dyDescent="0.2">
      <c r="Y12314" s="97"/>
    </row>
    <row r="12315" spans="25:25" x14ac:dyDescent="0.2">
      <c r="Y12315" s="97"/>
    </row>
    <row r="12316" spans="25:25" x14ac:dyDescent="0.2">
      <c r="Y12316" s="97"/>
    </row>
    <row r="12317" spans="25:25" x14ac:dyDescent="0.2">
      <c r="Y12317" s="97"/>
    </row>
    <row r="12318" spans="25:25" x14ac:dyDescent="0.2">
      <c r="Y12318" s="97"/>
    </row>
    <row r="12319" spans="25:25" x14ac:dyDescent="0.2">
      <c r="Y12319" s="97"/>
    </row>
    <row r="12320" spans="25:25" x14ac:dyDescent="0.2">
      <c r="Y12320" s="97"/>
    </row>
    <row r="12321" spans="25:25" x14ac:dyDescent="0.2">
      <c r="Y12321" s="97"/>
    </row>
    <row r="12322" spans="25:25" x14ac:dyDescent="0.2">
      <c r="Y12322" s="97"/>
    </row>
    <row r="12323" spans="25:25" x14ac:dyDescent="0.2">
      <c r="Y12323" s="97"/>
    </row>
    <row r="12324" spans="25:25" x14ac:dyDescent="0.2">
      <c r="Y12324" s="97"/>
    </row>
    <row r="12325" spans="25:25" x14ac:dyDescent="0.2">
      <c r="Y12325" s="97"/>
    </row>
    <row r="12326" spans="25:25" x14ac:dyDescent="0.2">
      <c r="Y12326" s="97"/>
    </row>
    <row r="12327" spans="25:25" x14ac:dyDescent="0.2">
      <c r="Y12327" s="97"/>
    </row>
    <row r="12328" spans="25:25" x14ac:dyDescent="0.2">
      <c r="Y12328" s="97"/>
    </row>
    <row r="12329" spans="25:25" x14ac:dyDescent="0.2">
      <c r="Y12329" s="97"/>
    </row>
    <row r="12330" spans="25:25" x14ac:dyDescent="0.2">
      <c r="Y12330" s="97"/>
    </row>
    <row r="12331" spans="25:25" x14ac:dyDescent="0.2">
      <c r="Y12331" s="97"/>
    </row>
    <row r="12332" spans="25:25" x14ac:dyDescent="0.2">
      <c r="Y12332" s="97"/>
    </row>
    <row r="12333" spans="25:25" x14ac:dyDescent="0.2">
      <c r="Y12333" s="97"/>
    </row>
    <row r="12334" spans="25:25" x14ac:dyDescent="0.2">
      <c r="Y12334" s="97"/>
    </row>
    <row r="12335" spans="25:25" x14ac:dyDescent="0.2">
      <c r="Y12335" s="97"/>
    </row>
    <row r="12336" spans="25:25" x14ac:dyDescent="0.2">
      <c r="Y12336" s="97"/>
    </row>
    <row r="12337" spans="25:25" x14ac:dyDescent="0.2">
      <c r="Y12337" s="97"/>
    </row>
    <row r="12338" spans="25:25" x14ac:dyDescent="0.2">
      <c r="Y12338" s="97"/>
    </row>
    <row r="12339" spans="25:25" x14ac:dyDescent="0.2">
      <c r="Y12339" s="97"/>
    </row>
    <row r="12340" spans="25:25" x14ac:dyDescent="0.2">
      <c r="Y12340" s="97"/>
    </row>
    <row r="12341" spans="25:25" x14ac:dyDescent="0.2">
      <c r="Y12341" s="97"/>
    </row>
    <row r="12342" spans="25:25" x14ac:dyDescent="0.2">
      <c r="Y12342" s="97"/>
    </row>
    <row r="12343" spans="25:25" x14ac:dyDescent="0.2">
      <c r="Y12343" s="97"/>
    </row>
    <row r="12344" spans="25:25" x14ac:dyDescent="0.2">
      <c r="Y12344" s="97"/>
    </row>
    <row r="12345" spans="25:25" x14ac:dyDescent="0.2">
      <c r="Y12345" s="97"/>
    </row>
    <row r="12346" spans="25:25" x14ac:dyDescent="0.2">
      <c r="Y12346" s="97"/>
    </row>
    <row r="12347" spans="25:25" x14ac:dyDescent="0.2">
      <c r="Y12347" s="97"/>
    </row>
    <row r="12348" spans="25:25" x14ac:dyDescent="0.2">
      <c r="Y12348" s="97"/>
    </row>
    <row r="12349" spans="25:25" x14ac:dyDescent="0.2">
      <c r="Y12349" s="97"/>
    </row>
    <row r="12350" spans="25:25" x14ac:dyDescent="0.2">
      <c r="Y12350" s="97"/>
    </row>
    <row r="12351" spans="25:25" x14ac:dyDescent="0.2">
      <c r="Y12351" s="97"/>
    </row>
    <row r="12352" spans="25:25" x14ac:dyDescent="0.2">
      <c r="Y12352" s="97"/>
    </row>
    <row r="12353" spans="25:25" x14ac:dyDescent="0.2">
      <c r="Y12353" s="97"/>
    </row>
    <row r="12354" spans="25:25" x14ac:dyDescent="0.2">
      <c r="Y12354" s="97"/>
    </row>
    <row r="12355" spans="25:25" x14ac:dyDescent="0.2">
      <c r="Y12355" s="97"/>
    </row>
    <row r="12356" spans="25:25" x14ac:dyDescent="0.2">
      <c r="Y12356" s="97"/>
    </row>
    <row r="12357" spans="25:25" x14ac:dyDescent="0.2">
      <c r="Y12357" s="97"/>
    </row>
    <row r="12358" spans="25:25" x14ac:dyDescent="0.2">
      <c r="Y12358" s="97"/>
    </row>
    <row r="12359" spans="25:25" x14ac:dyDescent="0.2">
      <c r="Y12359" s="97"/>
    </row>
    <row r="12360" spans="25:25" x14ac:dyDescent="0.2">
      <c r="Y12360" s="97"/>
    </row>
    <row r="12361" spans="25:25" x14ac:dyDescent="0.2">
      <c r="Y12361" s="97"/>
    </row>
    <row r="12362" spans="25:25" x14ac:dyDescent="0.2">
      <c r="Y12362" s="97"/>
    </row>
    <row r="12363" spans="25:25" x14ac:dyDescent="0.2">
      <c r="Y12363" s="97"/>
    </row>
    <row r="12364" spans="25:25" x14ac:dyDescent="0.2">
      <c r="Y12364" s="97"/>
    </row>
    <row r="12365" spans="25:25" x14ac:dyDescent="0.2">
      <c r="Y12365" s="97"/>
    </row>
    <row r="12366" spans="25:25" x14ac:dyDescent="0.2">
      <c r="Y12366" s="97"/>
    </row>
    <row r="12367" spans="25:25" x14ac:dyDescent="0.2">
      <c r="Y12367" s="97"/>
    </row>
    <row r="12368" spans="25:25" x14ac:dyDescent="0.2">
      <c r="Y12368" s="97"/>
    </row>
    <row r="12369" spans="25:25" x14ac:dyDescent="0.2">
      <c r="Y12369" s="97"/>
    </row>
    <row r="12370" spans="25:25" x14ac:dyDescent="0.2">
      <c r="Y12370" s="97"/>
    </row>
    <row r="12371" spans="25:25" x14ac:dyDescent="0.2">
      <c r="Y12371" s="97"/>
    </row>
    <row r="12372" spans="25:25" x14ac:dyDescent="0.2">
      <c r="Y12372" s="97"/>
    </row>
    <row r="12373" spans="25:25" x14ac:dyDescent="0.2">
      <c r="Y12373" s="97"/>
    </row>
    <row r="12374" spans="25:25" x14ac:dyDescent="0.2">
      <c r="Y12374" s="97"/>
    </row>
    <row r="12375" spans="25:25" x14ac:dyDescent="0.2">
      <c r="Y12375" s="97"/>
    </row>
    <row r="12376" spans="25:25" x14ac:dyDescent="0.2">
      <c r="Y12376" s="97"/>
    </row>
    <row r="12377" spans="25:25" x14ac:dyDescent="0.2">
      <c r="Y12377" s="97"/>
    </row>
    <row r="12378" spans="25:25" x14ac:dyDescent="0.2">
      <c r="Y12378" s="97"/>
    </row>
    <row r="12379" spans="25:25" x14ac:dyDescent="0.2">
      <c r="Y12379" s="97"/>
    </row>
    <row r="12380" spans="25:25" x14ac:dyDescent="0.2">
      <c r="Y12380" s="97"/>
    </row>
    <row r="12381" spans="25:25" x14ac:dyDescent="0.2">
      <c r="Y12381" s="97"/>
    </row>
    <row r="12382" spans="25:25" x14ac:dyDescent="0.2">
      <c r="Y12382" s="97"/>
    </row>
    <row r="12383" spans="25:25" x14ac:dyDescent="0.2">
      <c r="Y12383" s="97"/>
    </row>
    <row r="12384" spans="25:25" x14ac:dyDescent="0.2">
      <c r="Y12384" s="97"/>
    </row>
    <row r="12385" spans="25:25" x14ac:dyDescent="0.2">
      <c r="Y12385" s="97"/>
    </row>
    <row r="12386" spans="25:25" x14ac:dyDescent="0.2">
      <c r="Y12386" s="97"/>
    </row>
    <row r="12387" spans="25:25" x14ac:dyDescent="0.2">
      <c r="Y12387" s="97"/>
    </row>
    <row r="12388" spans="25:25" x14ac:dyDescent="0.2">
      <c r="Y12388" s="97"/>
    </row>
    <row r="12389" spans="25:25" x14ac:dyDescent="0.2">
      <c r="Y12389" s="97"/>
    </row>
    <row r="12390" spans="25:25" x14ac:dyDescent="0.2">
      <c r="Y12390" s="97"/>
    </row>
    <row r="12391" spans="25:25" x14ac:dyDescent="0.2">
      <c r="Y12391" s="97"/>
    </row>
    <row r="12392" spans="25:25" x14ac:dyDescent="0.2">
      <c r="Y12392" s="97"/>
    </row>
    <row r="12393" spans="25:25" x14ac:dyDescent="0.2">
      <c r="Y12393" s="97"/>
    </row>
    <row r="12394" spans="25:25" x14ac:dyDescent="0.2">
      <c r="Y12394" s="97"/>
    </row>
    <row r="12395" spans="25:25" x14ac:dyDescent="0.2">
      <c r="Y12395" s="97"/>
    </row>
    <row r="12396" spans="25:25" x14ac:dyDescent="0.2">
      <c r="Y12396" s="97"/>
    </row>
    <row r="12397" spans="25:25" x14ac:dyDescent="0.2">
      <c r="Y12397" s="97"/>
    </row>
    <row r="12398" spans="25:25" x14ac:dyDescent="0.2">
      <c r="Y12398" s="97"/>
    </row>
    <row r="12399" spans="25:25" x14ac:dyDescent="0.2">
      <c r="Y12399" s="97"/>
    </row>
    <row r="12400" spans="25:25" x14ac:dyDescent="0.2">
      <c r="Y12400" s="97"/>
    </row>
    <row r="12401" spans="25:25" x14ac:dyDescent="0.2">
      <c r="Y12401" s="97"/>
    </row>
    <row r="12402" spans="25:25" x14ac:dyDescent="0.2">
      <c r="Y12402" s="97"/>
    </row>
    <row r="12403" spans="25:25" x14ac:dyDescent="0.2">
      <c r="Y12403" s="97"/>
    </row>
    <row r="12404" spans="25:25" x14ac:dyDescent="0.2">
      <c r="Y12404" s="97"/>
    </row>
    <row r="12405" spans="25:25" x14ac:dyDescent="0.2">
      <c r="Y12405" s="97"/>
    </row>
    <row r="12406" spans="25:25" x14ac:dyDescent="0.2">
      <c r="Y12406" s="97"/>
    </row>
    <row r="12407" spans="25:25" x14ac:dyDescent="0.2">
      <c r="Y12407" s="97"/>
    </row>
    <row r="12408" spans="25:25" x14ac:dyDescent="0.2">
      <c r="Y12408" s="97"/>
    </row>
    <row r="12409" spans="25:25" x14ac:dyDescent="0.2">
      <c r="Y12409" s="97"/>
    </row>
    <row r="12410" spans="25:25" x14ac:dyDescent="0.2">
      <c r="Y12410" s="97"/>
    </row>
    <row r="12411" spans="25:25" x14ac:dyDescent="0.2">
      <c r="Y12411" s="97"/>
    </row>
    <row r="12412" spans="25:25" x14ac:dyDescent="0.2">
      <c r="Y12412" s="97"/>
    </row>
    <row r="12413" spans="25:25" x14ac:dyDescent="0.2">
      <c r="Y12413" s="97"/>
    </row>
    <row r="12414" spans="25:25" x14ac:dyDescent="0.2">
      <c r="Y12414" s="97"/>
    </row>
    <row r="12415" spans="25:25" x14ac:dyDescent="0.2">
      <c r="Y12415" s="97"/>
    </row>
    <row r="12416" spans="25:25" x14ac:dyDescent="0.2">
      <c r="Y12416" s="97"/>
    </row>
    <row r="12417" spans="25:25" x14ac:dyDescent="0.2">
      <c r="Y12417" s="97"/>
    </row>
    <row r="12418" spans="25:25" x14ac:dyDescent="0.2">
      <c r="Y12418" s="97"/>
    </row>
    <row r="12419" spans="25:25" x14ac:dyDescent="0.2">
      <c r="Y12419" s="97"/>
    </row>
    <row r="12420" spans="25:25" x14ac:dyDescent="0.2">
      <c r="Y12420" s="97"/>
    </row>
    <row r="12421" spans="25:25" x14ac:dyDescent="0.2">
      <c r="Y12421" s="97"/>
    </row>
    <row r="12422" spans="25:25" x14ac:dyDescent="0.2">
      <c r="Y12422" s="97"/>
    </row>
    <row r="12423" spans="25:25" x14ac:dyDescent="0.2">
      <c r="Y12423" s="97"/>
    </row>
    <row r="12424" spans="25:25" x14ac:dyDescent="0.2">
      <c r="Y12424" s="97"/>
    </row>
    <row r="12425" spans="25:25" x14ac:dyDescent="0.2">
      <c r="Y12425" s="97"/>
    </row>
    <row r="12426" spans="25:25" x14ac:dyDescent="0.2">
      <c r="Y12426" s="97"/>
    </row>
    <row r="12427" spans="25:25" x14ac:dyDescent="0.2">
      <c r="Y12427" s="97"/>
    </row>
    <row r="12428" spans="25:25" x14ac:dyDescent="0.2">
      <c r="Y12428" s="97"/>
    </row>
    <row r="12429" spans="25:25" x14ac:dyDescent="0.2">
      <c r="Y12429" s="97"/>
    </row>
    <row r="12430" spans="25:25" x14ac:dyDescent="0.2">
      <c r="Y12430" s="97"/>
    </row>
    <row r="12431" spans="25:25" x14ac:dyDescent="0.2">
      <c r="Y12431" s="97"/>
    </row>
    <row r="12432" spans="25:25" x14ac:dyDescent="0.2">
      <c r="Y12432" s="97"/>
    </row>
    <row r="12433" spans="25:25" x14ac:dyDescent="0.2">
      <c r="Y12433" s="97"/>
    </row>
    <row r="12434" spans="25:25" x14ac:dyDescent="0.2">
      <c r="Y12434" s="97"/>
    </row>
    <row r="12435" spans="25:25" x14ac:dyDescent="0.2">
      <c r="Y12435" s="97"/>
    </row>
    <row r="12436" spans="25:25" x14ac:dyDescent="0.2">
      <c r="Y12436" s="97"/>
    </row>
    <row r="12437" spans="25:25" x14ac:dyDescent="0.2">
      <c r="Y12437" s="97"/>
    </row>
    <row r="12438" spans="25:25" x14ac:dyDescent="0.2">
      <c r="Y12438" s="97"/>
    </row>
    <row r="12439" spans="25:25" x14ac:dyDescent="0.2">
      <c r="Y12439" s="97"/>
    </row>
    <row r="12440" spans="25:25" x14ac:dyDescent="0.2">
      <c r="Y12440" s="97"/>
    </row>
    <row r="12441" spans="25:25" x14ac:dyDescent="0.2">
      <c r="Y12441" s="97"/>
    </row>
    <row r="12442" spans="25:25" x14ac:dyDescent="0.2">
      <c r="Y12442" s="97"/>
    </row>
    <row r="12443" spans="25:25" x14ac:dyDescent="0.2">
      <c r="Y12443" s="97"/>
    </row>
    <row r="12444" spans="25:25" x14ac:dyDescent="0.2">
      <c r="Y12444" s="97"/>
    </row>
    <row r="12445" spans="25:25" x14ac:dyDescent="0.2">
      <c r="Y12445" s="97"/>
    </row>
    <row r="12446" spans="25:25" x14ac:dyDescent="0.2">
      <c r="Y12446" s="97"/>
    </row>
    <row r="12447" spans="25:25" x14ac:dyDescent="0.2">
      <c r="Y12447" s="97"/>
    </row>
    <row r="12448" spans="25:25" x14ac:dyDescent="0.2">
      <c r="Y12448" s="97"/>
    </row>
    <row r="12449" spans="25:25" x14ac:dyDescent="0.2">
      <c r="Y12449" s="97"/>
    </row>
    <row r="12450" spans="25:25" x14ac:dyDescent="0.2">
      <c r="Y12450" s="97"/>
    </row>
    <row r="12451" spans="25:25" x14ac:dyDescent="0.2">
      <c r="Y12451" s="97"/>
    </row>
    <row r="12452" spans="25:25" x14ac:dyDescent="0.2">
      <c r="Y12452" s="97"/>
    </row>
    <row r="12453" spans="25:25" x14ac:dyDescent="0.2">
      <c r="Y12453" s="97"/>
    </row>
    <row r="12454" spans="25:25" x14ac:dyDescent="0.2">
      <c r="Y12454" s="97"/>
    </row>
    <row r="12455" spans="25:25" x14ac:dyDescent="0.2">
      <c r="Y12455" s="97"/>
    </row>
    <row r="12456" spans="25:25" x14ac:dyDescent="0.2">
      <c r="Y12456" s="97"/>
    </row>
    <row r="12457" spans="25:25" x14ac:dyDescent="0.2">
      <c r="Y12457" s="97"/>
    </row>
    <row r="12458" spans="25:25" x14ac:dyDescent="0.2">
      <c r="Y12458" s="97"/>
    </row>
    <row r="12459" spans="25:25" x14ac:dyDescent="0.2">
      <c r="Y12459" s="97"/>
    </row>
    <row r="12460" spans="25:25" x14ac:dyDescent="0.2">
      <c r="Y12460" s="97"/>
    </row>
    <row r="12461" spans="25:25" x14ac:dyDescent="0.2">
      <c r="Y12461" s="97"/>
    </row>
    <row r="12462" spans="25:25" x14ac:dyDescent="0.2">
      <c r="Y12462" s="97"/>
    </row>
    <row r="12463" spans="25:25" x14ac:dyDescent="0.2">
      <c r="Y12463" s="97"/>
    </row>
    <row r="12464" spans="25:25" x14ac:dyDescent="0.2">
      <c r="Y12464" s="97"/>
    </row>
    <row r="12465" spans="25:25" x14ac:dyDescent="0.2">
      <c r="Y12465" s="97"/>
    </row>
    <row r="12466" spans="25:25" x14ac:dyDescent="0.2">
      <c r="Y12466" s="97"/>
    </row>
    <row r="12467" spans="25:25" x14ac:dyDescent="0.2">
      <c r="Y12467" s="97"/>
    </row>
    <row r="12468" spans="25:25" x14ac:dyDescent="0.2">
      <c r="Y12468" s="97"/>
    </row>
    <row r="12469" spans="25:25" x14ac:dyDescent="0.2">
      <c r="Y12469" s="97"/>
    </row>
    <row r="12470" spans="25:25" x14ac:dyDescent="0.2">
      <c r="Y12470" s="97"/>
    </row>
    <row r="12471" spans="25:25" x14ac:dyDescent="0.2">
      <c r="Y12471" s="97"/>
    </row>
    <row r="12472" spans="25:25" x14ac:dyDescent="0.2">
      <c r="Y12472" s="97"/>
    </row>
    <row r="12473" spans="25:25" x14ac:dyDescent="0.2">
      <c r="Y12473" s="97"/>
    </row>
    <row r="12474" spans="25:25" x14ac:dyDescent="0.2">
      <c r="Y12474" s="97"/>
    </row>
    <row r="12475" spans="25:25" x14ac:dyDescent="0.2">
      <c r="Y12475" s="97"/>
    </row>
    <row r="12476" spans="25:25" x14ac:dyDescent="0.2">
      <c r="Y12476" s="97"/>
    </row>
    <row r="12477" spans="25:25" x14ac:dyDescent="0.2">
      <c r="Y12477" s="97"/>
    </row>
    <row r="12478" spans="25:25" x14ac:dyDescent="0.2">
      <c r="Y12478" s="97"/>
    </row>
    <row r="12479" spans="25:25" x14ac:dyDescent="0.2">
      <c r="Y12479" s="97"/>
    </row>
    <row r="12480" spans="25:25" x14ac:dyDescent="0.2">
      <c r="Y12480" s="97"/>
    </row>
    <row r="12481" spans="25:25" x14ac:dyDescent="0.2">
      <c r="Y12481" s="97"/>
    </row>
    <row r="12482" spans="25:25" x14ac:dyDescent="0.2">
      <c r="Y12482" s="97"/>
    </row>
    <row r="12483" spans="25:25" x14ac:dyDescent="0.2">
      <c r="Y12483" s="97"/>
    </row>
    <row r="12484" spans="25:25" x14ac:dyDescent="0.2">
      <c r="Y12484" s="97"/>
    </row>
    <row r="12485" spans="25:25" x14ac:dyDescent="0.2">
      <c r="Y12485" s="97"/>
    </row>
    <row r="12486" spans="25:25" x14ac:dyDescent="0.2">
      <c r="Y12486" s="97"/>
    </row>
    <row r="12487" spans="25:25" x14ac:dyDescent="0.2">
      <c r="Y12487" s="97"/>
    </row>
    <row r="12488" spans="25:25" x14ac:dyDescent="0.2">
      <c r="Y12488" s="97"/>
    </row>
    <row r="12489" spans="25:25" x14ac:dyDescent="0.2">
      <c r="Y12489" s="97"/>
    </row>
    <row r="12490" spans="25:25" x14ac:dyDescent="0.2">
      <c r="Y12490" s="97"/>
    </row>
    <row r="12491" spans="25:25" x14ac:dyDescent="0.2">
      <c r="Y12491" s="97"/>
    </row>
    <row r="12492" spans="25:25" x14ac:dyDescent="0.2">
      <c r="Y12492" s="97"/>
    </row>
    <row r="12493" spans="25:25" x14ac:dyDescent="0.2">
      <c r="Y12493" s="97"/>
    </row>
    <row r="12494" spans="25:25" x14ac:dyDescent="0.2">
      <c r="Y12494" s="97"/>
    </row>
    <row r="12495" spans="25:25" x14ac:dyDescent="0.2">
      <c r="Y12495" s="97"/>
    </row>
    <row r="12496" spans="25:25" x14ac:dyDescent="0.2">
      <c r="Y12496" s="97"/>
    </row>
    <row r="12497" spans="25:25" x14ac:dyDescent="0.2">
      <c r="Y12497" s="97"/>
    </row>
    <row r="12498" spans="25:25" x14ac:dyDescent="0.2">
      <c r="Y12498" s="97"/>
    </row>
    <row r="12499" spans="25:25" x14ac:dyDescent="0.2">
      <c r="Y12499" s="97"/>
    </row>
    <row r="12500" spans="25:25" x14ac:dyDescent="0.2">
      <c r="Y12500" s="97"/>
    </row>
    <row r="12501" spans="25:25" x14ac:dyDescent="0.2">
      <c r="Y12501" s="97"/>
    </row>
    <row r="12502" spans="25:25" x14ac:dyDescent="0.2">
      <c r="Y12502" s="97"/>
    </row>
    <row r="12503" spans="25:25" x14ac:dyDescent="0.2">
      <c r="Y12503" s="97"/>
    </row>
    <row r="12504" spans="25:25" x14ac:dyDescent="0.2">
      <c r="Y12504" s="97"/>
    </row>
    <row r="12505" spans="25:25" x14ac:dyDescent="0.2">
      <c r="Y12505" s="97"/>
    </row>
    <row r="12506" spans="25:25" x14ac:dyDescent="0.2">
      <c r="Y12506" s="97"/>
    </row>
    <row r="12507" spans="25:25" x14ac:dyDescent="0.2">
      <c r="Y12507" s="97"/>
    </row>
    <row r="12508" spans="25:25" x14ac:dyDescent="0.2">
      <c r="Y12508" s="97"/>
    </row>
    <row r="12509" spans="25:25" x14ac:dyDescent="0.2">
      <c r="Y12509" s="97"/>
    </row>
    <row r="12510" spans="25:25" x14ac:dyDescent="0.2">
      <c r="Y12510" s="97"/>
    </row>
    <row r="12511" spans="25:25" x14ac:dyDescent="0.2">
      <c r="Y12511" s="97"/>
    </row>
    <row r="12512" spans="25:25" x14ac:dyDescent="0.2">
      <c r="Y12512" s="97"/>
    </row>
    <row r="12513" spans="25:25" x14ac:dyDescent="0.2">
      <c r="Y12513" s="97"/>
    </row>
    <row r="12514" spans="25:25" x14ac:dyDescent="0.2">
      <c r="Y12514" s="97"/>
    </row>
    <row r="12515" spans="25:25" x14ac:dyDescent="0.2">
      <c r="Y12515" s="97"/>
    </row>
    <row r="12516" spans="25:25" x14ac:dyDescent="0.2">
      <c r="Y12516" s="97"/>
    </row>
    <row r="12517" spans="25:25" x14ac:dyDescent="0.2">
      <c r="Y12517" s="97"/>
    </row>
    <row r="12518" spans="25:25" x14ac:dyDescent="0.2">
      <c r="Y12518" s="97"/>
    </row>
    <row r="12519" spans="25:25" x14ac:dyDescent="0.2">
      <c r="Y12519" s="97"/>
    </row>
    <row r="12520" spans="25:25" x14ac:dyDescent="0.2">
      <c r="Y12520" s="97"/>
    </row>
    <row r="12521" spans="25:25" x14ac:dyDescent="0.2">
      <c r="Y12521" s="97"/>
    </row>
    <row r="12522" spans="25:25" x14ac:dyDescent="0.2">
      <c r="Y12522" s="97"/>
    </row>
    <row r="12523" spans="25:25" x14ac:dyDescent="0.2">
      <c r="Y12523" s="97"/>
    </row>
    <row r="12524" spans="25:25" x14ac:dyDescent="0.2">
      <c r="Y12524" s="97"/>
    </row>
    <row r="12525" spans="25:25" x14ac:dyDescent="0.2">
      <c r="Y12525" s="97"/>
    </row>
    <row r="12526" spans="25:25" x14ac:dyDescent="0.2">
      <c r="Y12526" s="97"/>
    </row>
    <row r="12527" spans="25:25" x14ac:dyDescent="0.2">
      <c r="Y12527" s="97"/>
    </row>
    <row r="12528" spans="25:25" x14ac:dyDescent="0.2">
      <c r="Y12528" s="97"/>
    </row>
    <row r="12529" spans="25:25" x14ac:dyDescent="0.2">
      <c r="Y12529" s="97"/>
    </row>
    <row r="12530" spans="25:25" x14ac:dyDescent="0.2">
      <c r="Y12530" s="97"/>
    </row>
    <row r="12531" spans="25:25" x14ac:dyDescent="0.2">
      <c r="Y12531" s="97"/>
    </row>
    <row r="12532" spans="25:25" x14ac:dyDescent="0.2">
      <c r="Y12532" s="97"/>
    </row>
    <row r="12533" spans="25:25" x14ac:dyDescent="0.2">
      <c r="Y12533" s="97"/>
    </row>
    <row r="12534" spans="25:25" x14ac:dyDescent="0.2">
      <c r="Y12534" s="97"/>
    </row>
    <row r="12535" spans="25:25" x14ac:dyDescent="0.2">
      <c r="Y12535" s="97"/>
    </row>
    <row r="12536" spans="25:25" x14ac:dyDescent="0.2">
      <c r="Y12536" s="97"/>
    </row>
    <row r="12537" spans="25:25" x14ac:dyDescent="0.2">
      <c r="Y12537" s="97"/>
    </row>
    <row r="12538" spans="25:25" x14ac:dyDescent="0.2">
      <c r="Y12538" s="97"/>
    </row>
    <row r="12539" spans="25:25" x14ac:dyDescent="0.2">
      <c r="Y12539" s="97"/>
    </row>
    <row r="12540" spans="25:25" x14ac:dyDescent="0.2">
      <c r="Y12540" s="97"/>
    </row>
    <row r="12541" spans="25:25" x14ac:dyDescent="0.2">
      <c r="Y12541" s="97"/>
    </row>
    <row r="12542" spans="25:25" x14ac:dyDescent="0.2">
      <c r="Y12542" s="97"/>
    </row>
    <row r="12543" spans="25:25" x14ac:dyDescent="0.2">
      <c r="Y12543" s="97"/>
    </row>
    <row r="12544" spans="25:25" x14ac:dyDescent="0.2">
      <c r="Y12544" s="97"/>
    </row>
    <row r="12545" spans="25:25" x14ac:dyDescent="0.2">
      <c r="Y12545" s="97"/>
    </row>
    <row r="12546" spans="25:25" x14ac:dyDescent="0.2">
      <c r="Y12546" s="97"/>
    </row>
    <row r="12547" spans="25:25" x14ac:dyDescent="0.2">
      <c r="Y12547" s="97"/>
    </row>
    <row r="12548" spans="25:25" x14ac:dyDescent="0.2">
      <c r="Y12548" s="97"/>
    </row>
    <row r="12549" spans="25:25" x14ac:dyDescent="0.2">
      <c r="Y12549" s="97"/>
    </row>
    <row r="12550" spans="25:25" x14ac:dyDescent="0.2">
      <c r="Y12550" s="97"/>
    </row>
    <row r="12551" spans="25:25" x14ac:dyDescent="0.2">
      <c r="Y12551" s="97"/>
    </row>
    <row r="12552" spans="25:25" x14ac:dyDescent="0.2">
      <c r="Y12552" s="97"/>
    </row>
    <row r="12553" spans="25:25" x14ac:dyDescent="0.2">
      <c r="Y12553" s="97"/>
    </row>
    <row r="12554" spans="25:25" x14ac:dyDescent="0.2">
      <c r="Y12554" s="97"/>
    </row>
    <row r="12555" spans="25:25" x14ac:dyDescent="0.2">
      <c r="Y12555" s="97"/>
    </row>
    <row r="12556" spans="25:25" x14ac:dyDescent="0.2">
      <c r="Y12556" s="97"/>
    </row>
    <row r="12557" spans="25:25" x14ac:dyDescent="0.2">
      <c r="Y12557" s="97"/>
    </row>
    <row r="12558" spans="25:25" x14ac:dyDescent="0.2">
      <c r="Y12558" s="97"/>
    </row>
    <row r="12559" spans="25:25" x14ac:dyDescent="0.2">
      <c r="Y12559" s="97"/>
    </row>
    <row r="12560" spans="25:25" x14ac:dyDescent="0.2">
      <c r="Y12560" s="97"/>
    </row>
    <row r="12561" spans="25:25" x14ac:dyDescent="0.2">
      <c r="Y12561" s="97"/>
    </row>
    <row r="12562" spans="25:25" x14ac:dyDescent="0.2">
      <c r="Y12562" s="97"/>
    </row>
    <row r="12563" spans="25:25" x14ac:dyDescent="0.2">
      <c r="Y12563" s="97"/>
    </row>
    <row r="12564" spans="25:25" x14ac:dyDescent="0.2">
      <c r="Y12564" s="97"/>
    </row>
    <row r="12565" spans="25:25" x14ac:dyDescent="0.2">
      <c r="Y12565" s="97"/>
    </row>
    <row r="12566" spans="25:25" x14ac:dyDescent="0.2">
      <c r="Y12566" s="97"/>
    </row>
    <row r="12567" spans="25:25" x14ac:dyDescent="0.2">
      <c r="Y12567" s="97"/>
    </row>
    <row r="12568" spans="25:25" x14ac:dyDescent="0.2">
      <c r="Y12568" s="97"/>
    </row>
    <row r="12569" spans="25:25" x14ac:dyDescent="0.2">
      <c r="Y12569" s="97"/>
    </row>
    <row r="12570" spans="25:25" x14ac:dyDescent="0.2">
      <c r="Y12570" s="97"/>
    </row>
    <row r="12571" spans="25:25" x14ac:dyDescent="0.2">
      <c r="Y12571" s="97"/>
    </row>
    <row r="12572" spans="25:25" x14ac:dyDescent="0.2">
      <c r="Y12572" s="97"/>
    </row>
    <row r="12573" spans="25:25" x14ac:dyDescent="0.2">
      <c r="Y12573" s="97"/>
    </row>
    <row r="12574" spans="25:25" x14ac:dyDescent="0.2">
      <c r="Y12574" s="97"/>
    </row>
    <row r="12575" spans="25:25" x14ac:dyDescent="0.2">
      <c r="Y12575" s="97"/>
    </row>
    <row r="12576" spans="25:25" x14ac:dyDescent="0.2">
      <c r="Y12576" s="97"/>
    </row>
    <row r="12577" spans="25:25" x14ac:dyDescent="0.2">
      <c r="Y12577" s="97"/>
    </row>
    <row r="12578" spans="25:25" x14ac:dyDescent="0.2">
      <c r="Y12578" s="97"/>
    </row>
    <row r="12579" spans="25:25" x14ac:dyDescent="0.2">
      <c r="Y12579" s="97"/>
    </row>
    <row r="12580" spans="25:25" x14ac:dyDescent="0.2">
      <c r="Y12580" s="97"/>
    </row>
    <row r="12581" spans="25:25" x14ac:dyDescent="0.2">
      <c r="Y12581" s="97"/>
    </row>
    <row r="12582" spans="25:25" x14ac:dyDescent="0.2">
      <c r="Y12582" s="97"/>
    </row>
    <row r="12583" spans="25:25" x14ac:dyDescent="0.2">
      <c r="Y12583" s="97"/>
    </row>
    <row r="12584" spans="25:25" x14ac:dyDescent="0.2">
      <c r="Y12584" s="97"/>
    </row>
    <row r="12585" spans="25:25" x14ac:dyDescent="0.2">
      <c r="Y12585" s="97"/>
    </row>
    <row r="12586" spans="25:25" x14ac:dyDescent="0.2">
      <c r="Y12586" s="97"/>
    </row>
    <row r="12587" spans="25:25" x14ac:dyDescent="0.2">
      <c r="Y12587" s="97"/>
    </row>
    <row r="12588" spans="25:25" x14ac:dyDescent="0.2">
      <c r="Y12588" s="97"/>
    </row>
    <row r="12589" spans="25:25" x14ac:dyDescent="0.2">
      <c r="Y12589" s="97"/>
    </row>
    <row r="12590" spans="25:25" x14ac:dyDescent="0.2">
      <c r="Y12590" s="97"/>
    </row>
    <row r="12591" spans="25:25" x14ac:dyDescent="0.2">
      <c r="Y12591" s="97"/>
    </row>
    <row r="12592" spans="25:25" x14ac:dyDescent="0.2">
      <c r="Y12592" s="97"/>
    </row>
    <row r="12593" spans="25:25" x14ac:dyDescent="0.2">
      <c r="Y12593" s="97"/>
    </row>
    <row r="12594" spans="25:25" x14ac:dyDescent="0.2">
      <c r="Y12594" s="97"/>
    </row>
    <row r="12595" spans="25:25" x14ac:dyDescent="0.2">
      <c r="Y12595" s="97"/>
    </row>
    <row r="12596" spans="25:25" x14ac:dyDescent="0.2">
      <c r="Y12596" s="97"/>
    </row>
    <row r="12597" spans="25:25" x14ac:dyDescent="0.2">
      <c r="Y12597" s="97"/>
    </row>
    <row r="12598" spans="25:25" x14ac:dyDescent="0.2">
      <c r="Y12598" s="97"/>
    </row>
    <row r="12599" spans="25:25" x14ac:dyDescent="0.2">
      <c r="Y12599" s="97"/>
    </row>
    <row r="12600" spans="25:25" x14ac:dyDescent="0.2">
      <c r="Y12600" s="97"/>
    </row>
    <row r="12601" spans="25:25" x14ac:dyDescent="0.2">
      <c r="Y12601" s="97"/>
    </row>
    <row r="12602" spans="25:25" x14ac:dyDescent="0.2">
      <c r="Y12602" s="97"/>
    </row>
    <row r="12603" spans="25:25" x14ac:dyDescent="0.2">
      <c r="Y12603" s="97"/>
    </row>
    <row r="12604" spans="25:25" x14ac:dyDescent="0.2">
      <c r="Y12604" s="97"/>
    </row>
    <row r="12605" spans="25:25" x14ac:dyDescent="0.2">
      <c r="Y12605" s="97"/>
    </row>
    <row r="12606" spans="25:25" x14ac:dyDescent="0.2">
      <c r="Y12606" s="97"/>
    </row>
    <row r="12607" spans="25:25" x14ac:dyDescent="0.2">
      <c r="Y12607" s="97"/>
    </row>
    <row r="12608" spans="25:25" x14ac:dyDescent="0.2">
      <c r="Y12608" s="97"/>
    </row>
    <row r="12609" spans="25:25" x14ac:dyDescent="0.2">
      <c r="Y12609" s="97"/>
    </row>
    <row r="12610" spans="25:25" x14ac:dyDescent="0.2">
      <c r="Y12610" s="97"/>
    </row>
    <row r="12611" spans="25:25" x14ac:dyDescent="0.2">
      <c r="Y12611" s="97"/>
    </row>
    <row r="12612" spans="25:25" x14ac:dyDescent="0.2">
      <c r="Y12612" s="97"/>
    </row>
    <row r="12613" spans="25:25" x14ac:dyDescent="0.2">
      <c r="Y12613" s="97"/>
    </row>
    <row r="12614" spans="25:25" x14ac:dyDescent="0.2">
      <c r="Y12614" s="97"/>
    </row>
    <row r="12615" spans="25:25" x14ac:dyDescent="0.2">
      <c r="Y12615" s="97"/>
    </row>
    <row r="12616" spans="25:25" x14ac:dyDescent="0.2">
      <c r="Y12616" s="97"/>
    </row>
    <row r="12617" spans="25:25" x14ac:dyDescent="0.2">
      <c r="Y12617" s="97"/>
    </row>
    <row r="12618" spans="25:25" x14ac:dyDescent="0.2">
      <c r="Y12618" s="97"/>
    </row>
    <row r="12619" spans="25:25" x14ac:dyDescent="0.2">
      <c r="Y12619" s="97"/>
    </row>
    <row r="12620" spans="25:25" x14ac:dyDescent="0.2">
      <c r="Y12620" s="97"/>
    </row>
    <row r="12621" spans="25:25" x14ac:dyDescent="0.2">
      <c r="Y12621" s="97"/>
    </row>
    <row r="12622" spans="25:25" x14ac:dyDescent="0.2">
      <c r="Y12622" s="97"/>
    </row>
    <row r="12623" spans="25:25" x14ac:dyDescent="0.2">
      <c r="Y12623" s="97"/>
    </row>
    <row r="12624" spans="25:25" x14ac:dyDescent="0.2">
      <c r="Y12624" s="97"/>
    </row>
    <row r="12625" spans="25:25" x14ac:dyDescent="0.2">
      <c r="Y12625" s="97"/>
    </row>
    <row r="12626" spans="25:25" x14ac:dyDescent="0.2">
      <c r="Y12626" s="97"/>
    </row>
    <row r="12627" spans="25:25" x14ac:dyDescent="0.2">
      <c r="Y12627" s="97"/>
    </row>
    <row r="12628" spans="25:25" x14ac:dyDescent="0.2">
      <c r="Y12628" s="97"/>
    </row>
    <row r="12629" spans="25:25" x14ac:dyDescent="0.2">
      <c r="Y12629" s="97"/>
    </row>
    <row r="12630" spans="25:25" x14ac:dyDescent="0.2">
      <c r="Y12630" s="97"/>
    </row>
    <row r="12631" spans="25:25" x14ac:dyDescent="0.2">
      <c r="Y12631" s="97"/>
    </row>
    <row r="12632" spans="25:25" x14ac:dyDescent="0.2">
      <c r="Y12632" s="97"/>
    </row>
    <row r="12633" spans="25:25" x14ac:dyDescent="0.2">
      <c r="Y12633" s="97"/>
    </row>
    <row r="12634" spans="25:25" x14ac:dyDescent="0.2">
      <c r="Y12634" s="97"/>
    </row>
    <row r="12635" spans="25:25" x14ac:dyDescent="0.2">
      <c r="Y12635" s="97"/>
    </row>
    <row r="12636" spans="25:25" x14ac:dyDescent="0.2">
      <c r="Y12636" s="97"/>
    </row>
    <row r="12637" spans="25:25" x14ac:dyDescent="0.2">
      <c r="Y12637" s="97"/>
    </row>
    <row r="12638" spans="25:25" x14ac:dyDescent="0.2">
      <c r="Y12638" s="97"/>
    </row>
    <row r="12639" spans="25:25" x14ac:dyDescent="0.2">
      <c r="Y12639" s="97"/>
    </row>
    <row r="12640" spans="25:25" x14ac:dyDescent="0.2">
      <c r="Y12640" s="97"/>
    </row>
    <row r="12641" spans="25:25" x14ac:dyDescent="0.2">
      <c r="Y12641" s="97"/>
    </row>
    <row r="12642" spans="25:25" x14ac:dyDescent="0.2">
      <c r="Y12642" s="97"/>
    </row>
    <row r="12643" spans="25:25" x14ac:dyDescent="0.2">
      <c r="Y12643" s="97"/>
    </row>
    <row r="12644" spans="25:25" x14ac:dyDescent="0.2">
      <c r="Y12644" s="97"/>
    </row>
    <row r="12645" spans="25:25" x14ac:dyDescent="0.2">
      <c r="Y12645" s="97"/>
    </row>
    <row r="12646" spans="25:25" x14ac:dyDescent="0.2">
      <c r="Y12646" s="97"/>
    </row>
    <row r="12647" spans="25:25" x14ac:dyDescent="0.2">
      <c r="Y12647" s="97"/>
    </row>
    <row r="12648" spans="25:25" x14ac:dyDescent="0.2">
      <c r="Y12648" s="97"/>
    </row>
    <row r="12649" spans="25:25" x14ac:dyDescent="0.2">
      <c r="Y12649" s="97"/>
    </row>
    <row r="12650" spans="25:25" x14ac:dyDescent="0.2">
      <c r="Y12650" s="97"/>
    </row>
    <row r="12651" spans="25:25" x14ac:dyDescent="0.2">
      <c r="Y12651" s="97"/>
    </row>
    <row r="12652" spans="25:25" x14ac:dyDescent="0.2">
      <c r="Y12652" s="97"/>
    </row>
    <row r="12653" spans="25:25" x14ac:dyDescent="0.2">
      <c r="Y12653" s="97"/>
    </row>
    <row r="12654" spans="25:25" x14ac:dyDescent="0.2">
      <c r="Y12654" s="97"/>
    </row>
    <row r="12655" spans="25:25" x14ac:dyDescent="0.2">
      <c r="Y12655" s="97"/>
    </row>
    <row r="12656" spans="25:25" x14ac:dyDescent="0.2">
      <c r="Y12656" s="97"/>
    </row>
    <row r="12657" spans="25:25" x14ac:dyDescent="0.2">
      <c r="Y12657" s="97"/>
    </row>
    <row r="12658" spans="25:25" x14ac:dyDescent="0.2">
      <c r="Y12658" s="97"/>
    </row>
    <row r="12659" spans="25:25" x14ac:dyDescent="0.2">
      <c r="Y12659" s="97"/>
    </row>
    <row r="12660" spans="25:25" x14ac:dyDescent="0.2">
      <c r="Y12660" s="97"/>
    </row>
    <row r="12661" spans="25:25" x14ac:dyDescent="0.2">
      <c r="Y12661" s="97"/>
    </row>
    <row r="12662" spans="25:25" x14ac:dyDescent="0.2">
      <c r="Y12662" s="97"/>
    </row>
    <row r="12663" spans="25:25" x14ac:dyDescent="0.2">
      <c r="Y12663" s="97"/>
    </row>
    <row r="12664" spans="25:25" x14ac:dyDescent="0.2">
      <c r="Y12664" s="97"/>
    </row>
    <row r="12665" spans="25:25" x14ac:dyDescent="0.2">
      <c r="Y12665" s="97"/>
    </row>
    <row r="12666" spans="25:25" x14ac:dyDescent="0.2">
      <c r="Y12666" s="97"/>
    </row>
    <row r="12667" spans="25:25" x14ac:dyDescent="0.2">
      <c r="Y12667" s="97"/>
    </row>
    <row r="12668" spans="25:25" x14ac:dyDescent="0.2">
      <c r="Y12668" s="97"/>
    </row>
    <row r="12669" spans="25:25" x14ac:dyDescent="0.2">
      <c r="Y12669" s="97"/>
    </row>
    <row r="12670" spans="25:25" x14ac:dyDescent="0.2">
      <c r="Y12670" s="97"/>
    </row>
    <row r="12671" spans="25:25" x14ac:dyDescent="0.2">
      <c r="Y12671" s="97"/>
    </row>
    <row r="12672" spans="25:25" x14ac:dyDescent="0.2">
      <c r="Y12672" s="97"/>
    </row>
    <row r="12673" spans="25:25" x14ac:dyDescent="0.2">
      <c r="Y12673" s="97"/>
    </row>
    <row r="12674" spans="25:25" x14ac:dyDescent="0.2">
      <c r="Y12674" s="97"/>
    </row>
    <row r="12675" spans="25:25" x14ac:dyDescent="0.2">
      <c r="Y12675" s="97"/>
    </row>
    <row r="12676" spans="25:25" x14ac:dyDescent="0.2">
      <c r="Y12676" s="97"/>
    </row>
    <row r="12677" spans="25:25" x14ac:dyDescent="0.2">
      <c r="Y12677" s="97"/>
    </row>
    <row r="12678" spans="25:25" x14ac:dyDescent="0.2">
      <c r="Y12678" s="97"/>
    </row>
    <row r="12679" spans="25:25" x14ac:dyDescent="0.2">
      <c r="Y12679" s="97"/>
    </row>
    <row r="12680" spans="25:25" x14ac:dyDescent="0.2">
      <c r="Y12680" s="97"/>
    </row>
    <row r="12681" spans="25:25" x14ac:dyDescent="0.2">
      <c r="Y12681" s="97"/>
    </row>
    <row r="12682" spans="25:25" x14ac:dyDescent="0.2">
      <c r="Y12682" s="97"/>
    </row>
    <row r="12683" spans="25:25" x14ac:dyDescent="0.2">
      <c r="Y12683" s="97"/>
    </row>
    <row r="12684" spans="25:25" x14ac:dyDescent="0.2">
      <c r="Y12684" s="97"/>
    </row>
    <row r="12685" spans="25:25" x14ac:dyDescent="0.2">
      <c r="Y12685" s="97"/>
    </row>
    <row r="12686" spans="25:25" x14ac:dyDescent="0.2">
      <c r="Y12686" s="97"/>
    </row>
    <row r="12687" spans="25:25" x14ac:dyDescent="0.2">
      <c r="Y12687" s="97"/>
    </row>
    <row r="12688" spans="25:25" x14ac:dyDescent="0.2">
      <c r="Y12688" s="97"/>
    </row>
    <row r="12689" spans="25:25" x14ac:dyDescent="0.2">
      <c r="Y12689" s="97"/>
    </row>
    <row r="12690" spans="25:25" x14ac:dyDescent="0.2">
      <c r="Y12690" s="97"/>
    </row>
    <row r="12691" spans="25:25" x14ac:dyDescent="0.2">
      <c r="Y12691" s="97"/>
    </row>
    <row r="12692" spans="25:25" x14ac:dyDescent="0.2">
      <c r="Y12692" s="97"/>
    </row>
    <row r="12693" spans="25:25" x14ac:dyDescent="0.2">
      <c r="Y12693" s="97"/>
    </row>
    <row r="12694" spans="25:25" x14ac:dyDescent="0.2">
      <c r="Y12694" s="97"/>
    </row>
    <row r="12695" spans="25:25" x14ac:dyDescent="0.2">
      <c r="Y12695" s="97"/>
    </row>
    <row r="12696" spans="25:25" x14ac:dyDescent="0.2">
      <c r="Y12696" s="97"/>
    </row>
    <row r="12697" spans="25:25" x14ac:dyDescent="0.2">
      <c r="Y12697" s="97"/>
    </row>
    <row r="12698" spans="25:25" x14ac:dyDescent="0.2">
      <c r="Y12698" s="97"/>
    </row>
    <row r="12699" spans="25:25" x14ac:dyDescent="0.2">
      <c r="Y12699" s="97"/>
    </row>
    <row r="12700" spans="25:25" x14ac:dyDescent="0.2">
      <c r="Y12700" s="97"/>
    </row>
    <row r="12701" spans="25:25" x14ac:dyDescent="0.2">
      <c r="Y12701" s="97"/>
    </row>
    <row r="12702" spans="25:25" x14ac:dyDescent="0.2">
      <c r="Y12702" s="97"/>
    </row>
    <row r="12703" spans="25:25" x14ac:dyDescent="0.2">
      <c r="Y12703" s="97"/>
    </row>
    <row r="12704" spans="25:25" x14ac:dyDescent="0.2">
      <c r="Y12704" s="97"/>
    </row>
    <row r="12705" spans="25:25" x14ac:dyDescent="0.2">
      <c r="Y12705" s="97"/>
    </row>
    <row r="12706" spans="25:25" x14ac:dyDescent="0.2">
      <c r="Y12706" s="97"/>
    </row>
    <row r="12707" spans="25:25" x14ac:dyDescent="0.2">
      <c r="Y12707" s="97"/>
    </row>
    <row r="12708" spans="25:25" x14ac:dyDescent="0.2">
      <c r="Y12708" s="97"/>
    </row>
    <row r="12709" spans="25:25" x14ac:dyDescent="0.2">
      <c r="Y12709" s="97"/>
    </row>
    <row r="12710" spans="25:25" x14ac:dyDescent="0.2">
      <c r="Y12710" s="97"/>
    </row>
    <row r="12711" spans="25:25" x14ac:dyDescent="0.2">
      <c r="Y12711" s="97"/>
    </row>
    <row r="12712" spans="25:25" x14ac:dyDescent="0.2">
      <c r="Y12712" s="97"/>
    </row>
    <row r="12713" spans="25:25" x14ac:dyDescent="0.2">
      <c r="Y12713" s="97"/>
    </row>
    <row r="12714" spans="25:25" x14ac:dyDescent="0.2">
      <c r="Y12714" s="97"/>
    </row>
    <row r="12715" spans="25:25" x14ac:dyDescent="0.2">
      <c r="Y12715" s="97"/>
    </row>
    <row r="12716" spans="25:25" x14ac:dyDescent="0.2">
      <c r="Y12716" s="97"/>
    </row>
    <row r="12717" spans="25:25" x14ac:dyDescent="0.2">
      <c r="Y12717" s="97"/>
    </row>
    <row r="12718" spans="25:25" x14ac:dyDescent="0.2">
      <c r="Y12718" s="97"/>
    </row>
    <row r="12719" spans="25:25" x14ac:dyDescent="0.2">
      <c r="Y12719" s="97"/>
    </row>
    <row r="12720" spans="25:25" x14ac:dyDescent="0.2">
      <c r="Y12720" s="97"/>
    </row>
    <row r="12721" spans="25:25" x14ac:dyDescent="0.2">
      <c r="Y12721" s="97"/>
    </row>
    <row r="12722" spans="25:25" x14ac:dyDescent="0.2">
      <c r="Y12722" s="97"/>
    </row>
    <row r="12723" spans="25:25" x14ac:dyDescent="0.2">
      <c r="Y12723" s="97"/>
    </row>
    <row r="12724" spans="25:25" x14ac:dyDescent="0.2">
      <c r="Y12724" s="97"/>
    </row>
    <row r="12725" spans="25:25" x14ac:dyDescent="0.2">
      <c r="Y12725" s="97"/>
    </row>
    <row r="12726" spans="25:25" x14ac:dyDescent="0.2">
      <c r="Y12726" s="97"/>
    </row>
    <row r="12727" spans="25:25" x14ac:dyDescent="0.2">
      <c r="Y12727" s="97"/>
    </row>
    <row r="12728" spans="25:25" x14ac:dyDescent="0.2">
      <c r="Y12728" s="97"/>
    </row>
    <row r="12729" spans="25:25" x14ac:dyDescent="0.2">
      <c r="Y12729" s="97"/>
    </row>
    <row r="12730" spans="25:25" x14ac:dyDescent="0.2">
      <c r="Y12730" s="97"/>
    </row>
    <row r="12731" spans="25:25" x14ac:dyDescent="0.2">
      <c r="Y12731" s="97"/>
    </row>
    <row r="12732" spans="25:25" x14ac:dyDescent="0.2">
      <c r="Y12732" s="97"/>
    </row>
    <row r="12733" spans="25:25" x14ac:dyDescent="0.2">
      <c r="Y12733" s="97"/>
    </row>
    <row r="12734" spans="25:25" x14ac:dyDescent="0.2">
      <c r="Y12734" s="97"/>
    </row>
    <row r="12735" spans="25:25" x14ac:dyDescent="0.2">
      <c r="Y12735" s="97"/>
    </row>
    <row r="12736" spans="25:25" x14ac:dyDescent="0.2">
      <c r="Y12736" s="97"/>
    </row>
    <row r="12737" spans="25:25" x14ac:dyDescent="0.2">
      <c r="Y12737" s="97"/>
    </row>
    <row r="12738" spans="25:25" x14ac:dyDescent="0.2">
      <c r="Y12738" s="97"/>
    </row>
    <row r="12739" spans="25:25" x14ac:dyDescent="0.2">
      <c r="Y12739" s="97"/>
    </row>
    <row r="12740" spans="25:25" x14ac:dyDescent="0.2">
      <c r="Y12740" s="97"/>
    </row>
    <row r="12741" spans="25:25" x14ac:dyDescent="0.2">
      <c r="Y12741" s="97"/>
    </row>
    <row r="12742" spans="25:25" x14ac:dyDescent="0.2">
      <c r="Y12742" s="97"/>
    </row>
    <row r="12743" spans="25:25" x14ac:dyDescent="0.2">
      <c r="Y12743" s="97"/>
    </row>
    <row r="12744" spans="25:25" x14ac:dyDescent="0.2">
      <c r="Y12744" s="97"/>
    </row>
    <row r="12745" spans="25:25" x14ac:dyDescent="0.2">
      <c r="Y12745" s="97"/>
    </row>
    <row r="12746" spans="25:25" x14ac:dyDescent="0.2">
      <c r="Y12746" s="97"/>
    </row>
    <row r="12747" spans="25:25" x14ac:dyDescent="0.2">
      <c r="Y12747" s="97"/>
    </row>
    <row r="12748" spans="25:25" x14ac:dyDescent="0.2">
      <c r="Y12748" s="97"/>
    </row>
    <row r="12749" spans="25:25" x14ac:dyDescent="0.2">
      <c r="Y12749" s="97"/>
    </row>
    <row r="12750" spans="25:25" x14ac:dyDescent="0.2">
      <c r="Y12750" s="97"/>
    </row>
    <row r="12751" spans="25:25" x14ac:dyDescent="0.2">
      <c r="Y12751" s="97"/>
    </row>
    <row r="12752" spans="25:25" x14ac:dyDescent="0.2">
      <c r="Y12752" s="97"/>
    </row>
    <row r="12753" spans="25:25" x14ac:dyDescent="0.2">
      <c r="Y12753" s="97"/>
    </row>
    <row r="12754" spans="25:25" x14ac:dyDescent="0.2">
      <c r="Y12754" s="97"/>
    </row>
    <row r="12755" spans="25:25" x14ac:dyDescent="0.2">
      <c r="Y12755" s="97"/>
    </row>
    <row r="12756" spans="25:25" x14ac:dyDescent="0.2">
      <c r="Y12756" s="97"/>
    </row>
    <row r="12757" spans="25:25" x14ac:dyDescent="0.2">
      <c r="Y12757" s="97"/>
    </row>
    <row r="12758" spans="25:25" x14ac:dyDescent="0.2">
      <c r="Y12758" s="97"/>
    </row>
    <row r="12759" spans="25:25" x14ac:dyDescent="0.2">
      <c r="Y12759" s="97"/>
    </row>
    <row r="12760" spans="25:25" x14ac:dyDescent="0.2">
      <c r="Y12760" s="97"/>
    </row>
    <row r="12761" spans="25:25" x14ac:dyDescent="0.2">
      <c r="Y12761" s="97"/>
    </row>
    <row r="12762" spans="25:25" x14ac:dyDescent="0.2">
      <c r="Y12762" s="97"/>
    </row>
    <row r="12763" spans="25:25" x14ac:dyDescent="0.2">
      <c r="Y12763" s="97"/>
    </row>
    <row r="12764" spans="25:25" x14ac:dyDescent="0.2">
      <c r="Y12764" s="97"/>
    </row>
    <row r="12765" spans="25:25" x14ac:dyDescent="0.2">
      <c r="Y12765" s="97"/>
    </row>
    <row r="12766" spans="25:25" x14ac:dyDescent="0.2">
      <c r="Y12766" s="97"/>
    </row>
    <row r="12767" spans="25:25" x14ac:dyDescent="0.2">
      <c r="Y12767" s="97"/>
    </row>
    <row r="12768" spans="25:25" x14ac:dyDescent="0.2">
      <c r="Y12768" s="97"/>
    </row>
    <row r="12769" spans="25:25" x14ac:dyDescent="0.2">
      <c r="Y12769" s="97"/>
    </row>
    <row r="12770" spans="25:25" x14ac:dyDescent="0.2">
      <c r="Y12770" s="97"/>
    </row>
    <row r="12771" spans="25:25" x14ac:dyDescent="0.2">
      <c r="Y12771" s="97"/>
    </row>
    <row r="12772" spans="25:25" x14ac:dyDescent="0.2">
      <c r="Y12772" s="97"/>
    </row>
    <row r="12773" spans="25:25" x14ac:dyDescent="0.2">
      <c r="Y12773" s="97"/>
    </row>
    <row r="12774" spans="25:25" x14ac:dyDescent="0.2">
      <c r="Y12774" s="97"/>
    </row>
    <row r="12775" spans="25:25" x14ac:dyDescent="0.2">
      <c r="Y12775" s="97"/>
    </row>
    <row r="12776" spans="25:25" x14ac:dyDescent="0.2">
      <c r="Y12776" s="97"/>
    </row>
    <row r="12777" spans="25:25" x14ac:dyDescent="0.2">
      <c r="Y12777" s="97"/>
    </row>
    <row r="12778" spans="25:25" x14ac:dyDescent="0.2">
      <c r="Y12778" s="97"/>
    </row>
    <row r="12779" spans="25:25" x14ac:dyDescent="0.2">
      <c r="Y12779" s="97"/>
    </row>
    <row r="12780" spans="25:25" x14ac:dyDescent="0.2">
      <c r="Y12780" s="97"/>
    </row>
    <row r="12781" spans="25:25" x14ac:dyDescent="0.2">
      <c r="Y12781" s="97"/>
    </row>
    <row r="12782" spans="25:25" x14ac:dyDescent="0.2">
      <c r="Y12782" s="97"/>
    </row>
    <row r="12783" spans="25:25" x14ac:dyDescent="0.2">
      <c r="Y12783" s="97"/>
    </row>
    <row r="12784" spans="25:25" x14ac:dyDescent="0.2">
      <c r="Y12784" s="97"/>
    </row>
    <row r="12785" spans="25:25" x14ac:dyDescent="0.2">
      <c r="Y12785" s="97"/>
    </row>
    <row r="12786" spans="25:25" x14ac:dyDescent="0.2">
      <c r="Y12786" s="97"/>
    </row>
    <row r="12787" spans="25:25" x14ac:dyDescent="0.2">
      <c r="Y12787" s="97"/>
    </row>
    <row r="12788" spans="25:25" x14ac:dyDescent="0.2">
      <c r="Y12788" s="97"/>
    </row>
    <row r="12789" spans="25:25" x14ac:dyDescent="0.2">
      <c r="Y12789" s="97"/>
    </row>
    <row r="12790" spans="25:25" x14ac:dyDescent="0.2">
      <c r="Y12790" s="97"/>
    </row>
    <row r="12791" spans="25:25" x14ac:dyDescent="0.2">
      <c r="Y12791" s="97"/>
    </row>
    <row r="12792" spans="25:25" x14ac:dyDescent="0.2">
      <c r="Y12792" s="97"/>
    </row>
    <row r="12793" spans="25:25" x14ac:dyDescent="0.2">
      <c r="Y12793" s="97"/>
    </row>
    <row r="12794" spans="25:25" x14ac:dyDescent="0.2">
      <c r="Y12794" s="97"/>
    </row>
    <row r="12795" spans="25:25" x14ac:dyDescent="0.2">
      <c r="Y12795" s="97"/>
    </row>
    <row r="12796" spans="25:25" x14ac:dyDescent="0.2">
      <c r="Y12796" s="97"/>
    </row>
    <row r="12797" spans="25:25" x14ac:dyDescent="0.2">
      <c r="Y12797" s="97"/>
    </row>
    <row r="12798" spans="25:25" x14ac:dyDescent="0.2">
      <c r="Y12798" s="97"/>
    </row>
    <row r="12799" spans="25:25" x14ac:dyDescent="0.2">
      <c r="Y12799" s="97"/>
    </row>
    <row r="12800" spans="25:25" x14ac:dyDescent="0.2">
      <c r="Y12800" s="97"/>
    </row>
    <row r="12801" spans="25:25" x14ac:dyDescent="0.2">
      <c r="Y12801" s="97"/>
    </row>
    <row r="12802" spans="25:25" x14ac:dyDescent="0.2">
      <c r="Y12802" s="97"/>
    </row>
    <row r="12803" spans="25:25" x14ac:dyDescent="0.2">
      <c r="Y12803" s="97"/>
    </row>
    <row r="12804" spans="25:25" x14ac:dyDescent="0.2">
      <c r="Y12804" s="97"/>
    </row>
    <row r="12805" spans="25:25" x14ac:dyDescent="0.2">
      <c r="Y12805" s="97"/>
    </row>
    <row r="12806" spans="25:25" x14ac:dyDescent="0.2">
      <c r="Y12806" s="97"/>
    </row>
    <row r="12807" spans="25:25" x14ac:dyDescent="0.2">
      <c r="Y12807" s="97"/>
    </row>
    <row r="12808" spans="25:25" x14ac:dyDescent="0.2">
      <c r="Y12808" s="97"/>
    </row>
    <row r="12809" spans="25:25" x14ac:dyDescent="0.2">
      <c r="Y12809" s="97"/>
    </row>
    <row r="12810" spans="25:25" x14ac:dyDescent="0.2">
      <c r="Y12810" s="97"/>
    </row>
    <row r="12811" spans="25:25" x14ac:dyDescent="0.2">
      <c r="Y12811" s="97"/>
    </row>
    <row r="12812" spans="25:25" x14ac:dyDescent="0.2">
      <c r="Y12812" s="97"/>
    </row>
    <row r="12813" spans="25:25" x14ac:dyDescent="0.2">
      <c r="Y12813" s="97"/>
    </row>
    <row r="12814" spans="25:25" x14ac:dyDescent="0.2">
      <c r="Y12814" s="97"/>
    </row>
    <row r="12815" spans="25:25" x14ac:dyDescent="0.2">
      <c r="Y12815" s="97"/>
    </row>
    <row r="12816" spans="25:25" x14ac:dyDescent="0.2">
      <c r="Y12816" s="97"/>
    </row>
    <row r="12817" spans="25:25" x14ac:dyDescent="0.2">
      <c r="Y12817" s="97"/>
    </row>
    <row r="12818" spans="25:25" x14ac:dyDescent="0.2">
      <c r="Y12818" s="97"/>
    </row>
    <row r="12819" spans="25:25" x14ac:dyDescent="0.2">
      <c r="Y12819" s="97"/>
    </row>
    <row r="12820" spans="25:25" x14ac:dyDescent="0.2">
      <c r="Y12820" s="97"/>
    </row>
    <row r="12821" spans="25:25" x14ac:dyDescent="0.2">
      <c r="Y12821" s="97"/>
    </row>
    <row r="12822" spans="25:25" x14ac:dyDescent="0.2">
      <c r="Y12822" s="97"/>
    </row>
    <row r="12823" spans="25:25" x14ac:dyDescent="0.2">
      <c r="Y12823" s="97"/>
    </row>
    <row r="12824" spans="25:25" x14ac:dyDescent="0.2">
      <c r="Y12824" s="97"/>
    </row>
    <row r="12825" spans="25:25" x14ac:dyDescent="0.2">
      <c r="Y12825" s="97"/>
    </row>
    <row r="12826" spans="25:25" x14ac:dyDescent="0.2">
      <c r="Y12826" s="97"/>
    </row>
    <row r="12827" spans="25:25" x14ac:dyDescent="0.2">
      <c r="Y12827" s="97"/>
    </row>
    <row r="12828" spans="25:25" x14ac:dyDescent="0.2">
      <c r="Y12828" s="97"/>
    </row>
    <row r="12829" spans="25:25" x14ac:dyDescent="0.2">
      <c r="Y12829" s="97"/>
    </row>
    <row r="12830" spans="25:25" x14ac:dyDescent="0.2">
      <c r="Y12830" s="97"/>
    </row>
    <row r="12831" spans="25:25" x14ac:dyDescent="0.2">
      <c r="Y12831" s="97"/>
    </row>
    <row r="12832" spans="25:25" x14ac:dyDescent="0.2">
      <c r="Y12832" s="97"/>
    </row>
    <row r="12833" spans="25:25" x14ac:dyDescent="0.2">
      <c r="Y12833" s="97"/>
    </row>
    <row r="12834" spans="25:25" x14ac:dyDescent="0.2">
      <c r="Y12834" s="97"/>
    </row>
    <row r="12835" spans="25:25" x14ac:dyDescent="0.2">
      <c r="Y12835" s="97"/>
    </row>
    <row r="12836" spans="25:25" x14ac:dyDescent="0.2">
      <c r="Y12836" s="97"/>
    </row>
    <row r="12837" spans="25:25" x14ac:dyDescent="0.2">
      <c r="Y12837" s="97"/>
    </row>
    <row r="12838" spans="25:25" x14ac:dyDescent="0.2">
      <c r="Y12838" s="97"/>
    </row>
    <row r="12839" spans="25:25" x14ac:dyDescent="0.2">
      <c r="Y12839" s="97"/>
    </row>
    <row r="12840" spans="25:25" x14ac:dyDescent="0.2">
      <c r="Y12840" s="97"/>
    </row>
    <row r="12841" spans="25:25" x14ac:dyDescent="0.2">
      <c r="Y12841" s="97"/>
    </row>
    <row r="12842" spans="25:25" x14ac:dyDescent="0.2">
      <c r="Y12842" s="97"/>
    </row>
    <row r="12843" spans="25:25" x14ac:dyDescent="0.2">
      <c r="Y12843" s="97"/>
    </row>
    <row r="12844" spans="25:25" x14ac:dyDescent="0.2">
      <c r="Y12844" s="97"/>
    </row>
    <row r="12845" spans="25:25" x14ac:dyDescent="0.2">
      <c r="Y12845" s="97"/>
    </row>
    <row r="12846" spans="25:25" x14ac:dyDescent="0.2">
      <c r="Y12846" s="97"/>
    </row>
    <row r="12847" spans="25:25" x14ac:dyDescent="0.2">
      <c r="Y12847" s="97"/>
    </row>
    <row r="12848" spans="25:25" x14ac:dyDescent="0.2">
      <c r="Y12848" s="97"/>
    </row>
    <row r="12849" spans="25:25" x14ac:dyDescent="0.2">
      <c r="Y12849" s="97"/>
    </row>
    <row r="12850" spans="25:25" x14ac:dyDescent="0.2">
      <c r="Y12850" s="97"/>
    </row>
    <row r="12851" spans="25:25" x14ac:dyDescent="0.2">
      <c r="Y12851" s="97"/>
    </row>
    <row r="12852" spans="25:25" x14ac:dyDescent="0.2">
      <c r="Y12852" s="97"/>
    </row>
    <row r="12853" spans="25:25" x14ac:dyDescent="0.2">
      <c r="Y12853" s="97"/>
    </row>
    <row r="12854" spans="25:25" x14ac:dyDescent="0.2">
      <c r="Y12854" s="97"/>
    </row>
    <row r="12855" spans="25:25" x14ac:dyDescent="0.2">
      <c r="Y12855" s="97"/>
    </row>
    <row r="12856" spans="25:25" x14ac:dyDescent="0.2">
      <c r="Y12856" s="97"/>
    </row>
    <row r="12857" spans="25:25" x14ac:dyDescent="0.2">
      <c r="Y12857" s="97"/>
    </row>
    <row r="12858" spans="25:25" x14ac:dyDescent="0.2">
      <c r="Y12858" s="97"/>
    </row>
    <row r="12859" spans="25:25" x14ac:dyDescent="0.2">
      <c r="Y12859" s="97"/>
    </row>
    <row r="12860" spans="25:25" x14ac:dyDescent="0.2">
      <c r="Y12860" s="97"/>
    </row>
    <row r="12861" spans="25:25" x14ac:dyDescent="0.2">
      <c r="Y12861" s="97"/>
    </row>
    <row r="12862" spans="25:25" x14ac:dyDescent="0.2">
      <c r="Y12862" s="97"/>
    </row>
    <row r="12863" spans="25:25" x14ac:dyDescent="0.2">
      <c r="Y12863" s="97"/>
    </row>
    <row r="12864" spans="25:25" x14ac:dyDescent="0.2">
      <c r="Y12864" s="97"/>
    </row>
    <row r="12865" spans="25:25" x14ac:dyDescent="0.2">
      <c r="Y12865" s="97"/>
    </row>
    <row r="12866" spans="25:25" x14ac:dyDescent="0.2">
      <c r="Y12866" s="97"/>
    </row>
    <row r="12867" spans="25:25" x14ac:dyDescent="0.2">
      <c r="Y12867" s="97"/>
    </row>
    <row r="12868" spans="25:25" x14ac:dyDescent="0.2">
      <c r="Y12868" s="97"/>
    </row>
    <row r="12869" spans="25:25" x14ac:dyDescent="0.2">
      <c r="Y12869" s="97"/>
    </row>
    <row r="12870" spans="25:25" x14ac:dyDescent="0.2">
      <c r="Y12870" s="97"/>
    </row>
    <row r="12871" spans="25:25" x14ac:dyDescent="0.2">
      <c r="Y12871" s="97"/>
    </row>
    <row r="12872" spans="25:25" x14ac:dyDescent="0.2">
      <c r="Y12872" s="97"/>
    </row>
    <row r="12873" spans="25:25" x14ac:dyDescent="0.2">
      <c r="Y12873" s="97"/>
    </row>
    <row r="12874" spans="25:25" x14ac:dyDescent="0.2">
      <c r="Y12874" s="97"/>
    </row>
    <row r="12875" spans="25:25" x14ac:dyDescent="0.2">
      <c r="Y12875" s="97"/>
    </row>
    <row r="12876" spans="25:25" x14ac:dyDescent="0.2">
      <c r="Y12876" s="97"/>
    </row>
    <row r="12877" spans="25:25" x14ac:dyDescent="0.2">
      <c r="Y12877" s="97"/>
    </row>
    <row r="12878" spans="25:25" x14ac:dyDescent="0.2">
      <c r="Y12878" s="97"/>
    </row>
    <row r="12879" spans="25:25" x14ac:dyDescent="0.2">
      <c r="Y12879" s="97"/>
    </row>
    <row r="12880" spans="25:25" x14ac:dyDescent="0.2">
      <c r="Y12880" s="97"/>
    </row>
    <row r="12881" spans="25:25" x14ac:dyDescent="0.2">
      <c r="Y12881" s="97"/>
    </row>
    <row r="12882" spans="25:25" x14ac:dyDescent="0.2">
      <c r="Y12882" s="97"/>
    </row>
    <row r="12883" spans="25:25" x14ac:dyDescent="0.2">
      <c r="Y12883" s="97"/>
    </row>
    <row r="12884" spans="25:25" x14ac:dyDescent="0.2">
      <c r="Y12884" s="97"/>
    </row>
    <row r="12885" spans="25:25" x14ac:dyDescent="0.2">
      <c r="Y12885" s="97"/>
    </row>
    <row r="12886" spans="25:25" x14ac:dyDescent="0.2">
      <c r="Y12886" s="97"/>
    </row>
    <row r="12887" spans="25:25" x14ac:dyDescent="0.2">
      <c r="Y12887" s="97"/>
    </row>
    <row r="12888" spans="25:25" x14ac:dyDescent="0.2">
      <c r="Y12888" s="97"/>
    </row>
    <row r="12889" spans="25:25" x14ac:dyDescent="0.2">
      <c r="Y12889" s="97"/>
    </row>
    <row r="12890" spans="25:25" x14ac:dyDescent="0.2">
      <c r="Y12890" s="97"/>
    </row>
    <row r="12891" spans="25:25" x14ac:dyDescent="0.2">
      <c r="Y12891" s="97"/>
    </row>
    <row r="12892" spans="25:25" x14ac:dyDescent="0.2">
      <c r="Y12892" s="97"/>
    </row>
    <row r="12893" spans="25:25" x14ac:dyDescent="0.2">
      <c r="Y12893" s="97"/>
    </row>
    <row r="12894" spans="25:25" x14ac:dyDescent="0.2">
      <c r="Y12894" s="97"/>
    </row>
    <row r="12895" spans="25:25" x14ac:dyDescent="0.2">
      <c r="Y12895" s="97"/>
    </row>
    <row r="12896" spans="25:25" x14ac:dyDescent="0.2">
      <c r="Y12896" s="97"/>
    </row>
    <row r="12897" spans="25:25" x14ac:dyDescent="0.2">
      <c r="Y12897" s="97"/>
    </row>
    <row r="12898" spans="25:25" x14ac:dyDescent="0.2">
      <c r="Y12898" s="97"/>
    </row>
    <row r="12899" spans="25:25" x14ac:dyDescent="0.2">
      <c r="Y12899" s="97"/>
    </row>
    <row r="12900" spans="25:25" x14ac:dyDescent="0.2">
      <c r="Y12900" s="97"/>
    </row>
    <row r="12901" spans="25:25" x14ac:dyDescent="0.2">
      <c r="Y12901" s="97"/>
    </row>
    <row r="12902" spans="25:25" x14ac:dyDescent="0.2">
      <c r="Y12902" s="97"/>
    </row>
    <row r="12903" spans="25:25" x14ac:dyDescent="0.2">
      <c r="Y12903" s="97"/>
    </row>
    <row r="12904" spans="25:25" x14ac:dyDescent="0.2">
      <c r="Y12904" s="97"/>
    </row>
    <row r="12905" spans="25:25" x14ac:dyDescent="0.2">
      <c r="Y12905" s="97"/>
    </row>
    <row r="12906" spans="25:25" x14ac:dyDescent="0.2">
      <c r="Y12906" s="97"/>
    </row>
    <row r="12907" spans="25:25" x14ac:dyDescent="0.2">
      <c r="Y12907" s="97"/>
    </row>
    <row r="12908" spans="25:25" x14ac:dyDescent="0.2">
      <c r="Y12908" s="97"/>
    </row>
    <row r="12909" spans="25:25" x14ac:dyDescent="0.2">
      <c r="Y12909" s="97"/>
    </row>
    <row r="12910" spans="25:25" x14ac:dyDescent="0.2">
      <c r="Y12910" s="97"/>
    </row>
    <row r="12911" spans="25:25" x14ac:dyDescent="0.2">
      <c r="Y12911" s="97"/>
    </row>
    <row r="12912" spans="25:25" x14ac:dyDescent="0.2">
      <c r="Y12912" s="97"/>
    </row>
    <row r="12913" spans="25:25" x14ac:dyDescent="0.2">
      <c r="Y12913" s="97"/>
    </row>
    <row r="12914" spans="25:25" x14ac:dyDescent="0.2">
      <c r="Y12914" s="97"/>
    </row>
    <row r="12915" spans="25:25" x14ac:dyDescent="0.2">
      <c r="Y12915" s="97"/>
    </row>
    <row r="12916" spans="25:25" x14ac:dyDescent="0.2">
      <c r="Y12916" s="97"/>
    </row>
    <row r="12917" spans="25:25" x14ac:dyDescent="0.2">
      <c r="Y12917" s="97"/>
    </row>
    <row r="12918" spans="25:25" x14ac:dyDescent="0.2">
      <c r="Y12918" s="97"/>
    </row>
    <row r="12919" spans="25:25" x14ac:dyDescent="0.2">
      <c r="Y12919" s="97"/>
    </row>
    <row r="12920" spans="25:25" x14ac:dyDescent="0.2">
      <c r="Y12920" s="97"/>
    </row>
    <row r="12921" spans="25:25" x14ac:dyDescent="0.2">
      <c r="Y12921" s="97"/>
    </row>
    <row r="12922" spans="25:25" x14ac:dyDescent="0.2">
      <c r="Y12922" s="97"/>
    </row>
    <row r="12923" spans="25:25" x14ac:dyDescent="0.2">
      <c r="Y12923" s="97"/>
    </row>
    <row r="12924" spans="25:25" x14ac:dyDescent="0.2">
      <c r="Y12924" s="97"/>
    </row>
    <row r="12925" spans="25:25" x14ac:dyDescent="0.2">
      <c r="Y12925" s="97"/>
    </row>
    <row r="12926" spans="25:25" x14ac:dyDescent="0.2">
      <c r="Y12926" s="97"/>
    </row>
    <row r="12927" spans="25:25" x14ac:dyDescent="0.2">
      <c r="Y12927" s="97"/>
    </row>
    <row r="12928" spans="25:25" x14ac:dyDescent="0.2">
      <c r="Y12928" s="97"/>
    </row>
    <row r="12929" spans="25:25" x14ac:dyDescent="0.2">
      <c r="Y12929" s="97"/>
    </row>
    <row r="12930" spans="25:25" x14ac:dyDescent="0.2">
      <c r="Y12930" s="97"/>
    </row>
    <row r="12931" spans="25:25" x14ac:dyDescent="0.2">
      <c r="Y12931" s="97"/>
    </row>
    <row r="12932" spans="25:25" x14ac:dyDescent="0.2">
      <c r="Y12932" s="97"/>
    </row>
    <row r="12933" spans="25:25" x14ac:dyDescent="0.2">
      <c r="Y12933" s="97"/>
    </row>
    <row r="12934" spans="25:25" x14ac:dyDescent="0.2">
      <c r="Y12934" s="97"/>
    </row>
    <row r="12935" spans="25:25" x14ac:dyDescent="0.2">
      <c r="Y12935" s="97"/>
    </row>
    <row r="12936" spans="25:25" x14ac:dyDescent="0.2">
      <c r="Y12936" s="97"/>
    </row>
    <row r="12937" spans="25:25" x14ac:dyDescent="0.2">
      <c r="Y12937" s="97"/>
    </row>
    <row r="12938" spans="25:25" x14ac:dyDescent="0.2">
      <c r="Y12938" s="97"/>
    </row>
    <row r="12939" spans="25:25" x14ac:dyDescent="0.2">
      <c r="Y12939" s="97"/>
    </row>
    <row r="12940" spans="25:25" x14ac:dyDescent="0.2">
      <c r="Y12940" s="97"/>
    </row>
    <row r="12941" spans="25:25" x14ac:dyDescent="0.2">
      <c r="Y12941" s="97"/>
    </row>
    <row r="12942" spans="25:25" x14ac:dyDescent="0.2">
      <c r="Y12942" s="97"/>
    </row>
    <row r="12943" spans="25:25" x14ac:dyDescent="0.2">
      <c r="Y12943" s="97"/>
    </row>
    <row r="12944" spans="25:25" x14ac:dyDescent="0.2">
      <c r="Y12944" s="97"/>
    </row>
    <row r="12945" spans="25:25" x14ac:dyDescent="0.2">
      <c r="Y12945" s="97"/>
    </row>
    <row r="12946" spans="25:25" x14ac:dyDescent="0.2">
      <c r="Y12946" s="97"/>
    </row>
    <row r="12947" spans="25:25" x14ac:dyDescent="0.2">
      <c r="Y12947" s="97"/>
    </row>
    <row r="12948" spans="25:25" x14ac:dyDescent="0.2">
      <c r="Y12948" s="97"/>
    </row>
    <row r="12949" spans="25:25" x14ac:dyDescent="0.2">
      <c r="Y12949" s="97"/>
    </row>
    <row r="12950" spans="25:25" x14ac:dyDescent="0.2">
      <c r="Y12950" s="97"/>
    </row>
    <row r="12951" spans="25:25" x14ac:dyDescent="0.2">
      <c r="Y12951" s="97"/>
    </row>
    <row r="12952" spans="25:25" x14ac:dyDescent="0.2">
      <c r="Y12952" s="97"/>
    </row>
    <row r="12953" spans="25:25" x14ac:dyDescent="0.2">
      <c r="Y12953" s="97"/>
    </row>
    <row r="12954" spans="25:25" x14ac:dyDescent="0.2">
      <c r="Y12954" s="97"/>
    </row>
    <row r="12955" spans="25:25" x14ac:dyDescent="0.2">
      <c r="Y12955" s="97"/>
    </row>
    <row r="12956" spans="25:25" x14ac:dyDescent="0.2">
      <c r="Y12956" s="97"/>
    </row>
    <row r="12957" spans="25:25" x14ac:dyDescent="0.2">
      <c r="Y12957" s="97"/>
    </row>
    <row r="12958" spans="25:25" x14ac:dyDescent="0.2">
      <c r="Y12958" s="97"/>
    </row>
    <row r="12959" spans="25:25" x14ac:dyDescent="0.2">
      <c r="Y12959" s="97"/>
    </row>
    <row r="12960" spans="25:25" x14ac:dyDescent="0.2">
      <c r="Y12960" s="97"/>
    </row>
    <row r="12961" spans="25:25" x14ac:dyDescent="0.2">
      <c r="Y12961" s="97"/>
    </row>
    <row r="12962" spans="25:25" x14ac:dyDescent="0.2">
      <c r="Y12962" s="97"/>
    </row>
    <row r="12963" spans="25:25" x14ac:dyDescent="0.2">
      <c r="Y12963" s="97"/>
    </row>
    <row r="12964" spans="25:25" x14ac:dyDescent="0.2">
      <c r="Y12964" s="97"/>
    </row>
    <row r="12965" spans="25:25" x14ac:dyDescent="0.2">
      <c r="Y12965" s="97"/>
    </row>
    <row r="12966" spans="25:25" x14ac:dyDescent="0.2">
      <c r="Y12966" s="97"/>
    </row>
    <row r="12967" spans="25:25" x14ac:dyDescent="0.2">
      <c r="Y12967" s="97"/>
    </row>
    <row r="12968" spans="25:25" x14ac:dyDescent="0.2">
      <c r="Y12968" s="97"/>
    </row>
    <row r="12969" spans="25:25" x14ac:dyDescent="0.2">
      <c r="Y12969" s="97"/>
    </row>
    <row r="12970" spans="25:25" x14ac:dyDescent="0.2">
      <c r="Y12970" s="97"/>
    </row>
    <row r="12971" spans="25:25" x14ac:dyDescent="0.2">
      <c r="Y12971" s="97"/>
    </row>
    <row r="12972" spans="25:25" x14ac:dyDescent="0.2">
      <c r="Y12972" s="97"/>
    </row>
    <row r="12973" spans="25:25" x14ac:dyDescent="0.2">
      <c r="Y12973" s="97"/>
    </row>
    <row r="12974" spans="25:25" x14ac:dyDescent="0.2">
      <c r="Y12974" s="97"/>
    </row>
    <row r="12975" spans="25:25" x14ac:dyDescent="0.2">
      <c r="Y12975" s="97"/>
    </row>
    <row r="12976" spans="25:25" x14ac:dyDescent="0.2">
      <c r="Y12976" s="97"/>
    </row>
    <row r="12977" spans="25:25" x14ac:dyDescent="0.2">
      <c r="Y12977" s="97"/>
    </row>
    <row r="12978" spans="25:25" x14ac:dyDescent="0.2">
      <c r="Y12978" s="97"/>
    </row>
    <row r="12979" spans="25:25" x14ac:dyDescent="0.2">
      <c r="Y12979" s="97"/>
    </row>
    <row r="12980" spans="25:25" x14ac:dyDescent="0.2">
      <c r="Y12980" s="97"/>
    </row>
    <row r="12981" spans="25:25" x14ac:dyDescent="0.2">
      <c r="Y12981" s="97"/>
    </row>
    <row r="12982" spans="25:25" x14ac:dyDescent="0.2">
      <c r="Y12982" s="97"/>
    </row>
    <row r="12983" spans="25:25" x14ac:dyDescent="0.2">
      <c r="Y12983" s="97"/>
    </row>
    <row r="12984" spans="25:25" x14ac:dyDescent="0.2">
      <c r="Y12984" s="97"/>
    </row>
    <row r="12985" spans="25:25" x14ac:dyDescent="0.2">
      <c r="Y12985" s="97"/>
    </row>
    <row r="12986" spans="25:25" x14ac:dyDescent="0.2">
      <c r="Y12986" s="97"/>
    </row>
    <row r="12987" spans="25:25" x14ac:dyDescent="0.2">
      <c r="Y12987" s="97"/>
    </row>
    <row r="12988" spans="25:25" x14ac:dyDescent="0.2">
      <c r="Y12988" s="97"/>
    </row>
    <row r="12989" spans="25:25" x14ac:dyDescent="0.2">
      <c r="Y12989" s="97"/>
    </row>
    <row r="12990" spans="25:25" x14ac:dyDescent="0.2">
      <c r="Y12990" s="97"/>
    </row>
    <row r="12991" spans="25:25" x14ac:dyDescent="0.2">
      <c r="Y12991" s="97"/>
    </row>
    <row r="12992" spans="25:25" x14ac:dyDescent="0.2">
      <c r="Y12992" s="97"/>
    </row>
    <row r="12993" spans="25:25" x14ac:dyDescent="0.2">
      <c r="Y12993" s="97"/>
    </row>
    <row r="12994" spans="25:25" x14ac:dyDescent="0.2">
      <c r="Y12994" s="97"/>
    </row>
    <row r="12995" spans="25:25" x14ac:dyDescent="0.2">
      <c r="Y12995" s="97"/>
    </row>
    <row r="12996" spans="25:25" x14ac:dyDescent="0.2">
      <c r="Y12996" s="97"/>
    </row>
    <row r="12997" spans="25:25" x14ac:dyDescent="0.2">
      <c r="Y12997" s="97"/>
    </row>
    <row r="12998" spans="25:25" x14ac:dyDescent="0.2">
      <c r="Y12998" s="97"/>
    </row>
    <row r="12999" spans="25:25" x14ac:dyDescent="0.2">
      <c r="Y12999" s="97"/>
    </row>
    <row r="13000" spans="25:25" x14ac:dyDescent="0.2">
      <c r="Y13000" s="97"/>
    </row>
    <row r="13001" spans="25:25" x14ac:dyDescent="0.2">
      <c r="Y13001" s="97"/>
    </row>
    <row r="13002" spans="25:25" x14ac:dyDescent="0.2">
      <c r="Y13002" s="97"/>
    </row>
    <row r="13003" spans="25:25" x14ac:dyDescent="0.2">
      <c r="Y13003" s="97"/>
    </row>
    <row r="13004" spans="25:25" x14ac:dyDescent="0.2">
      <c r="Y13004" s="97"/>
    </row>
    <row r="13005" spans="25:25" x14ac:dyDescent="0.2">
      <c r="Y13005" s="97"/>
    </row>
    <row r="13006" spans="25:25" x14ac:dyDescent="0.2">
      <c r="Y13006" s="97"/>
    </row>
    <row r="13007" spans="25:25" x14ac:dyDescent="0.2">
      <c r="Y13007" s="97"/>
    </row>
    <row r="13008" spans="25:25" x14ac:dyDescent="0.2">
      <c r="Y13008" s="97"/>
    </row>
    <row r="13009" spans="25:25" x14ac:dyDescent="0.2">
      <c r="Y13009" s="97"/>
    </row>
    <row r="13010" spans="25:25" x14ac:dyDescent="0.2">
      <c r="Y13010" s="97"/>
    </row>
    <row r="13011" spans="25:25" x14ac:dyDescent="0.2">
      <c r="Y13011" s="97"/>
    </row>
    <row r="13012" spans="25:25" x14ac:dyDescent="0.2">
      <c r="Y13012" s="97"/>
    </row>
    <row r="13013" spans="25:25" x14ac:dyDescent="0.2">
      <c r="Y13013" s="97"/>
    </row>
    <row r="13014" spans="25:25" x14ac:dyDescent="0.2">
      <c r="Y13014" s="97"/>
    </row>
    <row r="13015" spans="25:25" x14ac:dyDescent="0.2">
      <c r="Y13015" s="97"/>
    </row>
    <row r="13016" spans="25:25" x14ac:dyDescent="0.2">
      <c r="Y13016" s="97"/>
    </row>
    <row r="13017" spans="25:25" x14ac:dyDescent="0.2">
      <c r="Y13017" s="97"/>
    </row>
    <row r="13018" spans="25:25" x14ac:dyDescent="0.2">
      <c r="Y13018" s="97"/>
    </row>
    <row r="13019" spans="25:25" x14ac:dyDescent="0.2">
      <c r="Y13019" s="97"/>
    </row>
    <row r="13020" spans="25:25" x14ac:dyDescent="0.2">
      <c r="Y13020" s="97"/>
    </row>
    <row r="13021" spans="25:25" x14ac:dyDescent="0.2">
      <c r="Y13021" s="97"/>
    </row>
    <row r="13022" spans="25:25" x14ac:dyDescent="0.2">
      <c r="Y13022" s="97"/>
    </row>
    <row r="13023" spans="25:25" x14ac:dyDescent="0.2">
      <c r="Y13023" s="97"/>
    </row>
    <row r="13024" spans="25:25" x14ac:dyDescent="0.2">
      <c r="Y13024" s="97"/>
    </row>
    <row r="13025" spans="25:25" x14ac:dyDescent="0.2">
      <c r="Y13025" s="97"/>
    </row>
    <row r="13026" spans="25:25" x14ac:dyDescent="0.2">
      <c r="Y13026" s="97"/>
    </row>
    <row r="13027" spans="25:25" x14ac:dyDescent="0.2">
      <c r="Y13027" s="97"/>
    </row>
    <row r="13028" spans="25:25" x14ac:dyDescent="0.2">
      <c r="Y13028" s="97"/>
    </row>
    <row r="13029" spans="25:25" x14ac:dyDescent="0.2">
      <c r="Y13029" s="97"/>
    </row>
    <row r="13030" spans="25:25" x14ac:dyDescent="0.2">
      <c r="Y13030" s="97"/>
    </row>
    <row r="13031" spans="25:25" x14ac:dyDescent="0.2">
      <c r="Y13031" s="97"/>
    </row>
    <row r="13032" spans="25:25" x14ac:dyDescent="0.2">
      <c r="Y13032" s="97"/>
    </row>
    <row r="13033" spans="25:25" x14ac:dyDescent="0.2">
      <c r="Y13033" s="97"/>
    </row>
    <row r="13034" spans="25:25" x14ac:dyDescent="0.2">
      <c r="Y13034" s="97"/>
    </row>
    <row r="13035" spans="25:25" x14ac:dyDescent="0.2">
      <c r="Y13035" s="97"/>
    </row>
    <row r="13036" spans="25:25" x14ac:dyDescent="0.2">
      <c r="Y13036" s="97"/>
    </row>
    <row r="13037" spans="25:25" x14ac:dyDescent="0.2">
      <c r="Y13037" s="97"/>
    </row>
    <row r="13038" spans="25:25" x14ac:dyDescent="0.2">
      <c r="Y13038" s="97"/>
    </row>
    <row r="13039" spans="25:25" x14ac:dyDescent="0.2">
      <c r="Y13039" s="97"/>
    </row>
    <row r="13040" spans="25:25" x14ac:dyDescent="0.2">
      <c r="Y13040" s="97"/>
    </row>
    <row r="13041" spans="25:25" x14ac:dyDescent="0.2">
      <c r="Y13041" s="97"/>
    </row>
    <row r="13042" spans="25:25" x14ac:dyDescent="0.2">
      <c r="Y13042" s="97"/>
    </row>
    <row r="13043" spans="25:25" x14ac:dyDescent="0.2">
      <c r="Y13043" s="97"/>
    </row>
    <row r="13044" spans="25:25" x14ac:dyDescent="0.2">
      <c r="Y13044" s="97"/>
    </row>
    <row r="13045" spans="25:25" x14ac:dyDescent="0.2">
      <c r="Y13045" s="97"/>
    </row>
    <row r="13046" spans="25:25" x14ac:dyDescent="0.2">
      <c r="Y13046" s="97"/>
    </row>
    <row r="13047" spans="25:25" x14ac:dyDescent="0.2">
      <c r="Y13047" s="97"/>
    </row>
    <row r="13048" spans="25:25" x14ac:dyDescent="0.2">
      <c r="Y13048" s="97"/>
    </row>
    <row r="13049" spans="25:25" x14ac:dyDescent="0.2">
      <c r="Y13049" s="97"/>
    </row>
    <row r="13050" spans="25:25" x14ac:dyDescent="0.2">
      <c r="Y13050" s="97"/>
    </row>
    <row r="13051" spans="25:25" x14ac:dyDescent="0.2">
      <c r="Y13051" s="97"/>
    </row>
    <row r="13052" spans="25:25" x14ac:dyDescent="0.2">
      <c r="Y13052" s="97"/>
    </row>
    <row r="13053" spans="25:25" x14ac:dyDescent="0.2">
      <c r="Y13053" s="97"/>
    </row>
    <row r="13054" spans="25:25" x14ac:dyDescent="0.2">
      <c r="Y13054" s="97"/>
    </row>
    <row r="13055" spans="25:25" x14ac:dyDescent="0.2">
      <c r="Y13055" s="97"/>
    </row>
    <row r="13056" spans="25:25" x14ac:dyDescent="0.2">
      <c r="Y13056" s="97"/>
    </row>
    <row r="13057" spans="25:25" x14ac:dyDescent="0.2">
      <c r="Y13057" s="97"/>
    </row>
    <row r="13058" spans="25:25" x14ac:dyDescent="0.2">
      <c r="Y13058" s="97"/>
    </row>
    <row r="13059" spans="25:25" x14ac:dyDescent="0.2">
      <c r="Y13059" s="97"/>
    </row>
    <row r="13060" spans="25:25" x14ac:dyDescent="0.2">
      <c r="Y13060" s="97"/>
    </row>
    <row r="13061" spans="25:25" x14ac:dyDescent="0.2">
      <c r="Y13061" s="97"/>
    </row>
    <row r="13062" spans="25:25" x14ac:dyDescent="0.2">
      <c r="Y13062" s="97"/>
    </row>
    <row r="13063" spans="25:25" x14ac:dyDescent="0.2">
      <c r="Y13063" s="97"/>
    </row>
    <row r="13064" spans="25:25" x14ac:dyDescent="0.2">
      <c r="Y13064" s="97"/>
    </row>
    <row r="13065" spans="25:25" x14ac:dyDescent="0.2">
      <c r="Y13065" s="97"/>
    </row>
    <row r="13066" spans="25:25" x14ac:dyDescent="0.2">
      <c r="Y13066" s="97"/>
    </row>
    <row r="13067" spans="25:25" x14ac:dyDescent="0.2">
      <c r="Y13067" s="97"/>
    </row>
    <row r="13068" spans="25:25" x14ac:dyDescent="0.2">
      <c r="Y13068" s="97"/>
    </row>
    <row r="13069" spans="25:25" x14ac:dyDescent="0.2">
      <c r="Y13069" s="97"/>
    </row>
    <row r="13070" spans="25:25" x14ac:dyDescent="0.2">
      <c r="Y13070" s="97"/>
    </row>
    <row r="13071" spans="25:25" x14ac:dyDescent="0.2">
      <c r="Y13071" s="97"/>
    </row>
    <row r="13072" spans="25:25" x14ac:dyDescent="0.2">
      <c r="Y13072" s="97"/>
    </row>
    <row r="13073" spans="25:25" x14ac:dyDescent="0.2">
      <c r="Y13073" s="97"/>
    </row>
    <row r="13074" spans="25:25" x14ac:dyDescent="0.2">
      <c r="Y13074" s="97"/>
    </row>
    <row r="13075" spans="25:25" x14ac:dyDescent="0.2">
      <c r="Y13075" s="97"/>
    </row>
    <row r="13076" spans="25:25" x14ac:dyDescent="0.2">
      <c r="Y13076" s="97"/>
    </row>
    <row r="13077" spans="25:25" x14ac:dyDescent="0.2">
      <c r="Y13077" s="97"/>
    </row>
    <row r="13078" spans="25:25" x14ac:dyDescent="0.2">
      <c r="Y13078" s="97"/>
    </row>
    <row r="13079" spans="25:25" x14ac:dyDescent="0.2">
      <c r="Y13079" s="97"/>
    </row>
    <row r="13080" spans="25:25" x14ac:dyDescent="0.2">
      <c r="Y13080" s="97"/>
    </row>
    <row r="13081" spans="25:25" x14ac:dyDescent="0.2">
      <c r="Y13081" s="97"/>
    </row>
    <row r="13082" spans="25:25" x14ac:dyDescent="0.2">
      <c r="Y13082" s="97"/>
    </row>
    <row r="13083" spans="25:25" x14ac:dyDescent="0.2">
      <c r="Y13083" s="97"/>
    </row>
    <row r="13084" spans="25:25" x14ac:dyDescent="0.2">
      <c r="Y13084" s="97"/>
    </row>
    <row r="13085" spans="25:25" x14ac:dyDescent="0.2">
      <c r="Y13085" s="97"/>
    </row>
    <row r="13086" spans="25:25" x14ac:dyDescent="0.2">
      <c r="Y13086" s="97"/>
    </row>
    <row r="13087" spans="25:25" x14ac:dyDescent="0.2">
      <c r="Y13087" s="97"/>
    </row>
    <row r="13088" spans="25:25" x14ac:dyDescent="0.2">
      <c r="Y13088" s="97"/>
    </row>
    <row r="13089" spans="25:25" x14ac:dyDescent="0.2">
      <c r="Y13089" s="97"/>
    </row>
    <row r="13090" spans="25:25" x14ac:dyDescent="0.2">
      <c r="Y13090" s="97"/>
    </row>
    <row r="13091" spans="25:25" x14ac:dyDescent="0.2">
      <c r="Y13091" s="97"/>
    </row>
    <row r="13092" spans="25:25" x14ac:dyDescent="0.2">
      <c r="Y13092" s="97"/>
    </row>
    <row r="13093" spans="25:25" x14ac:dyDescent="0.2">
      <c r="Y13093" s="97"/>
    </row>
    <row r="13094" spans="25:25" x14ac:dyDescent="0.2">
      <c r="Y13094" s="97"/>
    </row>
    <row r="13095" spans="25:25" x14ac:dyDescent="0.2">
      <c r="Y13095" s="97"/>
    </row>
    <row r="13096" spans="25:25" x14ac:dyDescent="0.2">
      <c r="Y13096" s="97"/>
    </row>
    <row r="13097" spans="25:25" x14ac:dyDescent="0.2">
      <c r="Y13097" s="97"/>
    </row>
    <row r="13098" spans="25:25" x14ac:dyDescent="0.2">
      <c r="Y13098" s="97"/>
    </row>
    <row r="13099" spans="25:25" x14ac:dyDescent="0.2">
      <c r="Y13099" s="97"/>
    </row>
    <row r="13100" spans="25:25" x14ac:dyDescent="0.2">
      <c r="Y13100" s="97"/>
    </row>
    <row r="13101" spans="25:25" x14ac:dyDescent="0.2">
      <c r="Y13101" s="97"/>
    </row>
    <row r="13102" spans="25:25" x14ac:dyDescent="0.2">
      <c r="Y13102" s="97"/>
    </row>
    <row r="13103" spans="25:25" x14ac:dyDescent="0.2">
      <c r="Y13103" s="97"/>
    </row>
    <row r="13104" spans="25:25" x14ac:dyDescent="0.2">
      <c r="Y13104" s="97"/>
    </row>
    <row r="13105" spans="25:25" x14ac:dyDescent="0.2">
      <c r="Y13105" s="97"/>
    </row>
    <row r="13106" spans="25:25" x14ac:dyDescent="0.2">
      <c r="Y13106" s="97"/>
    </row>
    <row r="13107" spans="25:25" x14ac:dyDescent="0.2">
      <c r="Y13107" s="97"/>
    </row>
    <row r="13108" spans="25:25" x14ac:dyDescent="0.2">
      <c r="Y13108" s="97"/>
    </row>
    <row r="13109" spans="25:25" x14ac:dyDescent="0.2">
      <c r="Y13109" s="97"/>
    </row>
    <row r="13110" spans="25:25" x14ac:dyDescent="0.2">
      <c r="Y13110" s="97"/>
    </row>
    <row r="13111" spans="25:25" x14ac:dyDescent="0.2">
      <c r="Y13111" s="97"/>
    </row>
    <row r="13112" spans="25:25" x14ac:dyDescent="0.2">
      <c r="Y13112" s="97"/>
    </row>
    <row r="13113" spans="25:25" x14ac:dyDescent="0.2">
      <c r="Y13113" s="97"/>
    </row>
    <row r="13114" spans="25:25" x14ac:dyDescent="0.2">
      <c r="Y13114" s="97"/>
    </row>
    <row r="13115" spans="25:25" x14ac:dyDescent="0.2">
      <c r="Y13115" s="97"/>
    </row>
    <row r="13116" spans="25:25" x14ac:dyDescent="0.2">
      <c r="Y13116" s="97"/>
    </row>
    <row r="13117" spans="25:25" x14ac:dyDescent="0.2">
      <c r="Y13117" s="97"/>
    </row>
    <row r="13118" spans="25:25" x14ac:dyDescent="0.2">
      <c r="Y13118" s="97"/>
    </row>
    <row r="13119" spans="25:25" x14ac:dyDescent="0.2">
      <c r="Y13119" s="97"/>
    </row>
    <row r="13120" spans="25:25" x14ac:dyDescent="0.2">
      <c r="Y13120" s="97"/>
    </row>
    <row r="13121" spans="25:25" x14ac:dyDescent="0.2">
      <c r="Y13121" s="97"/>
    </row>
    <row r="13122" spans="25:25" x14ac:dyDescent="0.2">
      <c r="Y13122" s="97"/>
    </row>
    <row r="13123" spans="25:25" x14ac:dyDescent="0.2">
      <c r="Y13123" s="97"/>
    </row>
    <row r="13124" spans="25:25" x14ac:dyDescent="0.2">
      <c r="Y13124" s="97"/>
    </row>
    <row r="13125" spans="25:25" x14ac:dyDescent="0.2">
      <c r="Y13125" s="97"/>
    </row>
    <row r="13126" spans="25:25" x14ac:dyDescent="0.2">
      <c r="Y13126" s="97"/>
    </row>
    <row r="13127" spans="25:25" x14ac:dyDescent="0.2">
      <c r="Y13127" s="97"/>
    </row>
    <row r="13128" spans="25:25" x14ac:dyDescent="0.2">
      <c r="Y13128" s="97"/>
    </row>
    <row r="13129" spans="25:25" x14ac:dyDescent="0.2">
      <c r="Y13129" s="97"/>
    </row>
    <row r="13130" spans="25:25" x14ac:dyDescent="0.2">
      <c r="Y13130" s="97"/>
    </row>
    <row r="13131" spans="25:25" x14ac:dyDescent="0.2">
      <c r="Y13131" s="97"/>
    </row>
    <row r="13132" spans="25:25" x14ac:dyDescent="0.2">
      <c r="Y13132" s="97"/>
    </row>
    <row r="13133" spans="25:25" x14ac:dyDescent="0.2">
      <c r="Y13133" s="97"/>
    </row>
    <row r="13134" spans="25:25" x14ac:dyDescent="0.2">
      <c r="Y13134" s="97"/>
    </row>
    <row r="13135" spans="25:25" x14ac:dyDescent="0.2">
      <c r="Y13135" s="97"/>
    </row>
    <row r="13136" spans="25:25" x14ac:dyDescent="0.2">
      <c r="Y13136" s="97"/>
    </row>
    <row r="13137" spans="25:25" x14ac:dyDescent="0.2">
      <c r="Y13137" s="97"/>
    </row>
    <row r="13138" spans="25:25" x14ac:dyDescent="0.2">
      <c r="Y13138" s="97"/>
    </row>
    <row r="13139" spans="25:25" x14ac:dyDescent="0.2">
      <c r="Y13139" s="97"/>
    </row>
    <row r="13140" spans="25:25" x14ac:dyDescent="0.2">
      <c r="Y13140" s="97"/>
    </row>
    <row r="13141" spans="25:25" x14ac:dyDescent="0.2">
      <c r="Y13141" s="97"/>
    </row>
    <row r="13142" spans="25:25" x14ac:dyDescent="0.2">
      <c r="Y13142" s="97"/>
    </row>
    <row r="13143" spans="25:25" x14ac:dyDescent="0.2">
      <c r="Y13143" s="97"/>
    </row>
    <row r="13144" spans="25:25" x14ac:dyDescent="0.2">
      <c r="Y13144" s="97"/>
    </row>
    <row r="13145" spans="25:25" x14ac:dyDescent="0.2">
      <c r="Y13145" s="97"/>
    </row>
    <row r="13146" spans="25:25" x14ac:dyDescent="0.2">
      <c r="Y13146" s="97"/>
    </row>
    <row r="13147" spans="25:25" x14ac:dyDescent="0.2">
      <c r="Y13147" s="97"/>
    </row>
    <row r="13148" spans="25:25" x14ac:dyDescent="0.2">
      <c r="Y13148" s="97"/>
    </row>
    <row r="13149" spans="25:25" x14ac:dyDescent="0.2">
      <c r="Y13149" s="97"/>
    </row>
    <row r="13150" spans="25:25" x14ac:dyDescent="0.2">
      <c r="Y13150" s="97"/>
    </row>
    <row r="13151" spans="25:25" x14ac:dyDescent="0.2">
      <c r="Y13151" s="97"/>
    </row>
    <row r="13152" spans="25:25" x14ac:dyDescent="0.2">
      <c r="Y13152" s="97"/>
    </row>
    <row r="13153" spans="25:25" x14ac:dyDescent="0.2">
      <c r="Y13153" s="97"/>
    </row>
    <row r="13154" spans="25:25" x14ac:dyDescent="0.2">
      <c r="Y13154" s="97"/>
    </row>
    <row r="13155" spans="25:25" x14ac:dyDescent="0.2">
      <c r="Y13155" s="97"/>
    </row>
    <row r="13156" spans="25:25" x14ac:dyDescent="0.2">
      <c r="Y13156" s="97"/>
    </row>
    <row r="13157" spans="25:25" x14ac:dyDescent="0.2">
      <c r="Y13157" s="97"/>
    </row>
    <row r="13158" spans="25:25" x14ac:dyDescent="0.2">
      <c r="Y13158" s="97"/>
    </row>
    <row r="13159" spans="25:25" x14ac:dyDescent="0.2">
      <c r="Y13159" s="97"/>
    </row>
    <row r="13160" spans="25:25" x14ac:dyDescent="0.2">
      <c r="Y13160" s="97"/>
    </row>
    <row r="13161" spans="25:25" x14ac:dyDescent="0.2">
      <c r="Y13161" s="97"/>
    </row>
    <row r="13162" spans="25:25" x14ac:dyDescent="0.2">
      <c r="Y13162" s="97"/>
    </row>
    <row r="13163" spans="25:25" x14ac:dyDescent="0.2">
      <c r="Y13163" s="97"/>
    </row>
    <row r="13164" spans="25:25" x14ac:dyDescent="0.2">
      <c r="Y13164" s="97"/>
    </row>
    <row r="13165" spans="25:25" x14ac:dyDescent="0.2">
      <c r="Y13165" s="97"/>
    </row>
    <row r="13166" spans="25:25" x14ac:dyDescent="0.2">
      <c r="Y13166" s="97"/>
    </row>
    <row r="13167" spans="25:25" x14ac:dyDescent="0.2">
      <c r="Y13167" s="97"/>
    </row>
    <row r="13168" spans="25:25" x14ac:dyDescent="0.2">
      <c r="Y13168" s="97"/>
    </row>
    <row r="13169" spans="25:25" x14ac:dyDescent="0.2">
      <c r="Y13169" s="97"/>
    </row>
    <row r="13170" spans="25:25" x14ac:dyDescent="0.2">
      <c r="Y13170" s="97"/>
    </row>
    <row r="13171" spans="25:25" x14ac:dyDescent="0.2">
      <c r="Y13171" s="97"/>
    </row>
    <row r="13172" spans="25:25" x14ac:dyDescent="0.2">
      <c r="Y13172" s="97"/>
    </row>
    <row r="13173" spans="25:25" x14ac:dyDescent="0.2">
      <c r="Y13173" s="97"/>
    </row>
    <row r="13174" spans="25:25" x14ac:dyDescent="0.2">
      <c r="Y13174" s="97"/>
    </row>
    <row r="13175" spans="25:25" x14ac:dyDescent="0.2">
      <c r="Y13175" s="97"/>
    </row>
    <row r="13176" spans="25:25" x14ac:dyDescent="0.2">
      <c r="Y13176" s="97"/>
    </row>
    <row r="13177" spans="25:25" x14ac:dyDescent="0.2">
      <c r="Y13177" s="97"/>
    </row>
    <row r="13178" spans="25:25" x14ac:dyDescent="0.2">
      <c r="Y13178" s="97"/>
    </row>
    <row r="13179" spans="25:25" x14ac:dyDescent="0.2">
      <c r="Y13179" s="97"/>
    </row>
    <row r="13180" spans="25:25" x14ac:dyDescent="0.2">
      <c r="Y13180" s="97"/>
    </row>
    <row r="13181" spans="25:25" x14ac:dyDescent="0.2">
      <c r="Y13181" s="97"/>
    </row>
    <row r="13182" spans="25:25" x14ac:dyDescent="0.2">
      <c r="Y13182" s="97"/>
    </row>
    <row r="13183" spans="25:25" x14ac:dyDescent="0.2">
      <c r="Y13183" s="97"/>
    </row>
    <row r="13184" spans="25:25" x14ac:dyDescent="0.2">
      <c r="Y13184" s="97"/>
    </row>
    <row r="13185" spans="25:25" x14ac:dyDescent="0.2">
      <c r="Y13185" s="97"/>
    </row>
    <row r="13186" spans="25:25" x14ac:dyDescent="0.2">
      <c r="Y13186" s="97"/>
    </row>
    <row r="13187" spans="25:25" x14ac:dyDescent="0.2">
      <c r="Y13187" s="97"/>
    </row>
    <row r="13188" spans="25:25" x14ac:dyDescent="0.2">
      <c r="Y13188" s="97"/>
    </row>
    <row r="13189" spans="25:25" x14ac:dyDescent="0.2">
      <c r="Y13189" s="97"/>
    </row>
    <row r="13190" spans="25:25" x14ac:dyDescent="0.2">
      <c r="Y13190" s="97"/>
    </row>
    <row r="13191" spans="25:25" x14ac:dyDescent="0.2">
      <c r="Y13191" s="97"/>
    </row>
    <row r="13192" spans="25:25" x14ac:dyDescent="0.2">
      <c r="Y13192" s="97"/>
    </row>
    <row r="13193" spans="25:25" x14ac:dyDescent="0.2">
      <c r="Y13193" s="97"/>
    </row>
    <row r="13194" spans="25:25" x14ac:dyDescent="0.2">
      <c r="Y13194" s="97"/>
    </row>
    <row r="13195" spans="25:25" x14ac:dyDescent="0.2">
      <c r="Y13195" s="97"/>
    </row>
    <row r="13196" spans="25:25" x14ac:dyDescent="0.2">
      <c r="Y13196" s="97"/>
    </row>
    <row r="13197" spans="25:25" x14ac:dyDescent="0.2">
      <c r="Y13197" s="97"/>
    </row>
    <row r="13198" spans="25:25" x14ac:dyDescent="0.2">
      <c r="Y13198" s="97"/>
    </row>
    <row r="13199" spans="25:25" x14ac:dyDescent="0.2">
      <c r="Y13199" s="97"/>
    </row>
    <row r="13200" spans="25:25" x14ac:dyDescent="0.2">
      <c r="Y13200" s="97"/>
    </row>
    <row r="13201" spans="25:25" x14ac:dyDescent="0.2">
      <c r="Y13201" s="97"/>
    </row>
    <row r="13202" spans="25:25" x14ac:dyDescent="0.2">
      <c r="Y13202" s="97"/>
    </row>
    <row r="13203" spans="25:25" x14ac:dyDescent="0.2">
      <c r="Y13203" s="97"/>
    </row>
    <row r="13204" spans="25:25" x14ac:dyDescent="0.2">
      <c r="Y13204" s="97"/>
    </row>
    <row r="13205" spans="25:25" x14ac:dyDescent="0.2">
      <c r="Y13205" s="97"/>
    </row>
    <row r="13206" spans="25:25" x14ac:dyDescent="0.2">
      <c r="Y13206" s="97"/>
    </row>
    <row r="13207" spans="25:25" x14ac:dyDescent="0.2">
      <c r="Y13207" s="97"/>
    </row>
    <row r="13208" spans="25:25" x14ac:dyDescent="0.2">
      <c r="Y13208" s="97"/>
    </row>
    <row r="13209" spans="25:25" x14ac:dyDescent="0.2">
      <c r="Y13209" s="97"/>
    </row>
    <row r="13210" spans="25:25" x14ac:dyDescent="0.2">
      <c r="Y13210" s="97"/>
    </row>
    <row r="13211" spans="25:25" x14ac:dyDescent="0.2">
      <c r="Y13211" s="97"/>
    </row>
    <row r="13212" spans="25:25" x14ac:dyDescent="0.2">
      <c r="Y13212" s="97"/>
    </row>
    <row r="13213" spans="25:25" x14ac:dyDescent="0.2">
      <c r="Y13213" s="97"/>
    </row>
    <row r="13214" spans="25:25" x14ac:dyDescent="0.2">
      <c r="Y13214" s="97"/>
    </row>
    <row r="13215" spans="25:25" x14ac:dyDescent="0.2">
      <c r="Y13215" s="97"/>
    </row>
    <row r="13216" spans="25:25" x14ac:dyDescent="0.2">
      <c r="Y13216" s="97"/>
    </row>
    <row r="13217" spans="25:25" x14ac:dyDescent="0.2">
      <c r="Y13217" s="97"/>
    </row>
    <row r="13218" spans="25:25" x14ac:dyDescent="0.2">
      <c r="Y13218" s="97"/>
    </row>
    <row r="13219" spans="25:25" x14ac:dyDescent="0.2">
      <c r="Y13219" s="97"/>
    </row>
    <row r="13220" spans="25:25" x14ac:dyDescent="0.2">
      <c r="Y13220" s="97"/>
    </row>
    <row r="13221" spans="25:25" x14ac:dyDescent="0.2">
      <c r="Y13221" s="97"/>
    </row>
    <row r="13222" spans="25:25" x14ac:dyDescent="0.2">
      <c r="Y13222" s="97"/>
    </row>
    <row r="13223" spans="25:25" x14ac:dyDescent="0.2">
      <c r="Y13223" s="97"/>
    </row>
    <row r="13224" spans="25:25" x14ac:dyDescent="0.2">
      <c r="Y13224" s="97"/>
    </row>
    <row r="13225" spans="25:25" x14ac:dyDescent="0.2">
      <c r="Y13225" s="97"/>
    </row>
    <row r="13226" spans="25:25" x14ac:dyDescent="0.2">
      <c r="Y13226" s="97"/>
    </row>
    <row r="13227" spans="25:25" x14ac:dyDescent="0.2">
      <c r="Y13227" s="97"/>
    </row>
    <row r="13228" spans="25:25" x14ac:dyDescent="0.2">
      <c r="Y13228" s="97"/>
    </row>
    <row r="13229" spans="25:25" x14ac:dyDescent="0.2">
      <c r="Y13229" s="97"/>
    </row>
    <row r="13230" spans="25:25" x14ac:dyDescent="0.2">
      <c r="Y13230" s="97"/>
    </row>
    <row r="13231" spans="25:25" x14ac:dyDescent="0.2">
      <c r="Y13231" s="97"/>
    </row>
    <row r="13232" spans="25:25" x14ac:dyDescent="0.2">
      <c r="Y13232" s="97"/>
    </row>
    <row r="13233" spans="25:25" x14ac:dyDescent="0.2">
      <c r="Y13233" s="97"/>
    </row>
    <row r="13234" spans="25:25" x14ac:dyDescent="0.2">
      <c r="Y13234" s="97"/>
    </row>
    <row r="13235" spans="25:25" x14ac:dyDescent="0.2">
      <c r="Y13235" s="97"/>
    </row>
    <row r="13236" spans="25:25" x14ac:dyDescent="0.2">
      <c r="Y13236" s="97"/>
    </row>
    <row r="13237" spans="25:25" x14ac:dyDescent="0.2">
      <c r="Y13237" s="97"/>
    </row>
    <row r="13238" spans="25:25" x14ac:dyDescent="0.2">
      <c r="Y13238" s="97"/>
    </row>
    <row r="13239" spans="25:25" x14ac:dyDescent="0.2">
      <c r="Y13239" s="97"/>
    </row>
    <row r="13240" spans="25:25" x14ac:dyDescent="0.2">
      <c r="Y13240" s="97"/>
    </row>
    <row r="13241" spans="25:25" x14ac:dyDescent="0.2">
      <c r="Y13241" s="97"/>
    </row>
    <row r="13242" spans="25:25" x14ac:dyDescent="0.2">
      <c r="Y13242" s="97"/>
    </row>
    <row r="13243" spans="25:25" x14ac:dyDescent="0.2">
      <c r="Y13243" s="97"/>
    </row>
    <row r="13244" spans="25:25" x14ac:dyDescent="0.2">
      <c r="Y13244" s="97"/>
    </row>
    <row r="13245" spans="25:25" x14ac:dyDescent="0.2">
      <c r="Y13245" s="97"/>
    </row>
    <row r="13246" spans="25:25" x14ac:dyDescent="0.2">
      <c r="Y13246" s="97"/>
    </row>
    <row r="13247" spans="25:25" x14ac:dyDescent="0.2">
      <c r="Y13247" s="97"/>
    </row>
    <row r="13248" spans="25:25" x14ac:dyDescent="0.2">
      <c r="Y13248" s="97"/>
    </row>
    <row r="13249" spans="25:25" x14ac:dyDescent="0.2">
      <c r="Y13249" s="97"/>
    </row>
    <row r="13250" spans="25:25" x14ac:dyDescent="0.2">
      <c r="Y13250" s="97"/>
    </row>
    <row r="13251" spans="25:25" x14ac:dyDescent="0.2">
      <c r="Y13251" s="97"/>
    </row>
    <row r="13252" spans="25:25" x14ac:dyDescent="0.2">
      <c r="Y13252" s="97"/>
    </row>
    <row r="13253" spans="25:25" x14ac:dyDescent="0.2">
      <c r="Y13253" s="97"/>
    </row>
    <row r="13254" spans="25:25" x14ac:dyDescent="0.2">
      <c r="Y13254" s="97"/>
    </row>
    <row r="13255" spans="25:25" x14ac:dyDescent="0.2">
      <c r="Y13255" s="97"/>
    </row>
    <row r="13256" spans="25:25" x14ac:dyDescent="0.2">
      <c r="Y13256" s="97"/>
    </row>
    <row r="13257" spans="25:25" x14ac:dyDescent="0.2">
      <c r="Y13257" s="97"/>
    </row>
    <row r="13258" spans="25:25" x14ac:dyDescent="0.2">
      <c r="Y13258" s="97"/>
    </row>
    <row r="13259" spans="25:25" x14ac:dyDescent="0.2">
      <c r="Y13259" s="97"/>
    </row>
    <row r="13260" spans="25:25" x14ac:dyDescent="0.2">
      <c r="Y13260" s="97"/>
    </row>
    <row r="13261" spans="25:25" x14ac:dyDescent="0.2">
      <c r="Y13261" s="97"/>
    </row>
    <row r="13262" spans="25:25" x14ac:dyDescent="0.2">
      <c r="Y13262" s="97"/>
    </row>
    <row r="13263" spans="25:25" x14ac:dyDescent="0.2">
      <c r="Y13263" s="97"/>
    </row>
    <row r="13264" spans="25:25" x14ac:dyDescent="0.2">
      <c r="Y13264" s="97"/>
    </row>
    <row r="13265" spans="25:25" x14ac:dyDescent="0.2">
      <c r="Y13265" s="97"/>
    </row>
    <row r="13266" spans="25:25" x14ac:dyDescent="0.2">
      <c r="Y13266" s="97"/>
    </row>
    <row r="13267" spans="25:25" x14ac:dyDescent="0.2">
      <c r="Y13267" s="97"/>
    </row>
    <row r="13268" spans="25:25" x14ac:dyDescent="0.2">
      <c r="Y13268" s="97"/>
    </row>
    <row r="13269" spans="25:25" x14ac:dyDescent="0.2">
      <c r="Y13269" s="97"/>
    </row>
    <row r="13270" spans="25:25" x14ac:dyDescent="0.2">
      <c r="Y13270" s="97"/>
    </row>
    <row r="13271" spans="25:25" x14ac:dyDescent="0.2">
      <c r="Y13271" s="97"/>
    </row>
    <row r="13272" spans="25:25" x14ac:dyDescent="0.2">
      <c r="Y13272" s="97"/>
    </row>
    <row r="13273" spans="25:25" x14ac:dyDescent="0.2">
      <c r="Y13273" s="97"/>
    </row>
    <row r="13274" spans="25:25" x14ac:dyDescent="0.2">
      <c r="Y13274" s="97"/>
    </row>
    <row r="13275" spans="25:25" x14ac:dyDescent="0.2">
      <c r="Y13275" s="97"/>
    </row>
    <row r="13276" spans="25:25" x14ac:dyDescent="0.2">
      <c r="Y13276" s="97"/>
    </row>
    <row r="13277" spans="25:25" x14ac:dyDescent="0.2">
      <c r="Y13277" s="97"/>
    </row>
    <row r="13278" spans="25:25" x14ac:dyDescent="0.2">
      <c r="Y13278" s="97"/>
    </row>
    <row r="13279" spans="25:25" x14ac:dyDescent="0.2">
      <c r="Y13279" s="97"/>
    </row>
    <row r="13280" spans="25:25" x14ac:dyDescent="0.2">
      <c r="Y13280" s="97"/>
    </row>
    <row r="13281" spans="25:25" x14ac:dyDescent="0.2">
      <c r="Y13281" s="97"/>
    </row>
    <row r="13282" spans="25:25" x14ac:dyDescent="0.2">
      <c r="Y13282" s="97"/>
    </row>
    <row r="13283" spans="25:25" x14ac:dyDescent="0.2">
      <c r="Y13283" s="97"/>
    </row>
    <row r="13284" spans="25:25" x14ac:dyDescent="0.2">
      <c r="Y13284" s="97"/>
    </row>
    <row r="13285" spans="25:25" x14ac:dyDescent="0.2">
      <c r="Y13285" s="97"/>
    </row>
    <row r="13286" spans="25:25" x14ac:dyDescent="0.2">
      <c r="Y13286" s="97"/>
    </row>
    <row r="13287" spans="25:25" x14ac:dyDescent="0.2">
      <c r="Y13287" s="97"/>
    </row>
    <row r="13288" spans="25:25" x14ac:dyDescent="0.2">
      <c r="Y13288" s="97"/>
    </row>
    <row r="13289" spans="25:25" x14ac:dyDescent="0.2">
      <c r="Y13289" s="97"/>
    </row>
    <row r="13290" spans="25:25" x14ac:dyDescent="0.2">
      <c r="Y13290" s="97"/>
    </row>
    <row r="13291" spans="25:25" x14ac:dyDescent="0.2">
      <c r="Y13291" s="97"/>
    </row>
    <row r="13292" spans="25:25" x14ac:dyDescent="0.2">
      <c r="Y13292" s="97"/>
    </row>
    <row r="13293" spans="25:25" x14ac:dyDescent="0.2">
      <c r="Y13293" s="97"/>
    </row>
    <row r="13294" spans="25:25" x14ac:dyDescent="0.2">
      <c r="Y13294" s="97"/>
    </row>
    <row r="13295" spans="25:25" x14ac:dyDescent="0.2">
      <c r="Y13295" s="97"/>
    </row>
    <row r="13296" spans="25:25" x14ac:dyDescent="0.2">
      <c r="Y13296" s="97"/>
    </row>
    <row r="13297" spans="25:25" x14ac:dyDescent="0.2">
      <c r="Y13297" s="97"/>
    </row>
    <row r="13298" spans="25:25" x14ac:dyDescent="0.2">
      <c r="Y13298" s="97"/>
    </row>
    <row r="13299" spans="25:25" x14ac:dyDescent="0.2">
      <c r="Y13299" s="97"/>
    </row>
    <row r="13300" spans="25:25" x14ac:dyDescent="0.2">
      <c r="Y13300" s="97"/>
    </row>
    <row r="13301" spans="25:25" x14ac:dyDescent="0.2">
      <c r="Y13301" s="97"/>
    </row>
    <row r="13302" spans="25:25" x14ac:dyDescent="0.2">
      <c r="Y13302" s="97"/>
    </row>
    <row r="13303" spans="25:25" x14ac:dyDescent="0.2">
      <c r="Y13303" s="97"/>
    </row>
    <row r="13304" spans="25:25" x14ac:dyDescent="0.2">
      <c r="Y13304" s="97"/>
    </row>
    <row r="13305" spans="25:25" x14ac:dyDescent="0.2">
      <c r="Y13305" s="97"/>
    </row>
    <row r="13306" spans="25:25" x14ac:dyDescent="0.2">
      <c r="Y13306" s="97"/>
    </row>
    <row r="13307" spans="25:25" x14ac:dyDescent="0.2">
      <c r="Y13307" s="97"/>
    </row>
    <row r="13308" spans="25:25" x14ac:dyDescent="0.2">
      <c r="Y13308" s="97"/>
    </row>
    <row r="13309" spans="25:25" x14ac:dyDescent="0.2">
      <c r="Y13309" s="97"/>
    </row>
    <row r="13310" spans="25:25" x14ac:dyDescent="0.2">
      <c r="Y13310" s="97"/>
    </row>
    <row r="13311" spans="25:25" x14ac:dyDescent="0.2">
      <c r="Y13311" s="97"/>
    </row>
    <row r="13312" spans="25:25" x14ac:dyDescent="0.2">
      <c r="Y13312" s="97"/>
    </row>
    <row r="13313" spans="25:25" x14ac:dyDescent="0.2">
      <c r="Y13313" s="97"/>
    </row>
    <row r="13314" spans="25:25" x14ac:dyDescent="0.2">
      <c r="Y13314" s="97"/>
    </row>
    <row r="13315" spans="25:25" x14ac:dyDescent="0.2">
      <c r="Y13315" s="97"/>
    </row>
    <row r="13316" spans="25:25" x14ac:dyDescent="0.2">
      <c r="Y13316" s="97"/>
    </row>
    <row r="13317" spans="25:25" x14ac:dyDescent="0.2">
      <c r="Y13317" s="97"/>
    </row>
    <row r="13318" spans="25:25" x14ac:dyDescent="0.2">
      <c r="Y13318" s="97"/>
    </row>
    <row r="13319" spans="25:25" x14ac:dyDescent="0.2">
      <c r="Y13319" s="97"/>
    </row>
    <row r="13320" spans="25:25" x14ac:dyDescent="0.2">
      <c r="Y13320" s="97"/>
    </row>
    <row r="13321" spans="25:25" x14ac:dyDescent="0.2">
      <c r="Y13321" s="97"/>
    </row>
    <row r="13322" spans="25:25" x14ac:dyDescent="0.2">
      <c r="Y13322" s="97"/>
    </row>
    <row r="13323" spans="25:25" x14ac:dyDescent="0.2">
      <c r="Y13323" s="97"/>
    </row>
    <row r="13324" spans="25:25" x14ac:dyDescent="0.2">
      <c r="Y13324" s="97"/>
    </row>
    <row r="13325" spans="25:25" x14ac:dyDescent="0.2">
      <c r="Y13325" s="97"/>
    </row>
    <row r="13326" spans="25:25" x14ac:dyDescent="0.2">
      <c r="Y13326" s="97"/>
    </row>
    <row r="13327" spans="25:25" x14ac:dyDescent="0.2">
      <c r="Y13327" s="97"/>
    </row>
    <row r="13328" spans="25:25" x14ac:dyDescent="0.2">
      <c r="Y13328" s="97"/>
    </row>
    <row r="13329" spans="25:25" x14ac:dyDescent="0.2">
      <c r="Y13329" s="97"/>
    </row>
    <row r="13330" spans="25:25" x14ac:dyDescent="0.2">
      <c r="Y13330" s="97"/>
    </row>
    <row r="13331" spans="25:25" x14ac:dyDescent="0.2">
      <c r="Y13331" s="97"/>
    </row>
    <row r="13332" spans="25:25" x14ac:dyDescent="0.2">
      <c r="Y13332" s="97"/>
    </row>
    <row r="13333" spans="25:25" x14ac:dyDescent="0.2">
      <c r="Y13333" s="97"/>
    </row>
    <row r="13334" spans="25:25" x14ac:dyDescent="0.2">
      <c r="Y13334" s="97"/>
    </row>
    <row r="13335" spans="25:25" x14ac:dyDescent="0.2">
      <c r="Y13335" s="97"/>
    </row>
    <row r="13336" spans="25:25" x14ac:dyDescent="0.2">
      <c r="Y13336" s="97"/>
    </row>
    <row r="13337" spans="25:25" x14ac:dyDescent="0.2">
      <c r="Y13337" s="97"/>
    </row>
    <row r="13338" spans="25:25" x14ac:dyDescent="0.2">
      <c r="Y13338" s="97"/>
    </row>
    <row r="13339" spans="25:25" x14ac:dyDescent="0.2">
      <c r="Y13339" s="97"/>
    </row>
    <row r="13340" spans="25:25" x14ac:dyDescent="0.2">
      <c r="Y13340" s="97"/>
    </row>
    <row r="13341" spans="25:25" x14ac:dyDescent="0.2">
      <c r="Y13341" s="97"/>
    </row>
    <row r="13342" spans="25:25" x14ac:dyDescent="0.2">
      <c r="Y13342" s="97"/>
    </row>
    <row r="13343" spans="25:25" x14ac:dyDescent="0.2">
      <c r="Y13343" s="97"/>
    </row>
    <row r="13344" spans="25:25" x14ac:dyDescent="0.2">
      <c r="Y13344" s="97"/>
    </row>
    <row r="13345" spans="25:25" x14ac:dyDescent="0.2">
      <c r="Y13345" s="97"/>
    </row>
    <row r="13346" spans="25:25" x14ac:dyDescent="0.2">
      <c r="Y13346" s="97"/>
    </row>
    <row r="13347" spans="25:25" x14ac:dyDescent="0.2">
      <c r="Y13347" s="97"/>
    </row>
    <row r="13348" spans="25:25" x14ac:dyDescent="0.2">
      <c r="Y13348" s="97"/>
    </row>
    <row r="13349" spans="25:25" x14ac:dyDescent="0.2">
      <c r="Y13349" s="97"/>
    </row>
    <row r="13350" spans="25:25" x14ac:dyDescent="0.2">
      <c r="Y13350" s="97"/>
    </row>
    <row r="13351" spans="25:25" x14ac:dyDescent="0.2">
      <c r="Y13351" s="97"/>
    </row>
    <row r="13352" spans="25:25" x14ac:dyDescent="0.2">
      <c r="Y13352" s="97"/>
    </row>
    <row r="13353" spans="25:25" x14ac:dyDescent="0.2">
      <c r="Y13353" s="97"/>
    </row>
    <row r="13354" spans="25:25" x14ac:dyDescent="0.2">
      <c r="Y13354" s="97"/>
    </row>
    <row r="13355" spans="25:25" x14ac:dyDescent="0.2">
      <c r="Y13355" s="97"/>
    </row>
    <row r="13356" spans="25:25" x14ac:dyDescent="0.2">
      <c r="Y13356" s="97"/>
    </row>
    <row r="13357" spans="25:25" x14ac:dyDescent="0.2">
      <c r="Y13357" s="97"/>
    </row>
    <row r="13358" spans="25:25" x14ac:dyDescent="0.2">
      <c r="Y13358" s="97"/>
    </row>
    <row r="13359" spans="25:25" x14ac:dyDescent="0.2">
      <c r="Y13359" s="97"/>
    </row>
    <row r="13360" spans="25:25" x14ac:dyDescent="0.2">
      <c r="Y13360" s="97"/>
    </row>
    <row r="13361" spans="25:25" x14ac:dyDescent="0.2">
      <c r="Y13361" s="97"/>
    </row>
    <row r="13362" spans="25:25" x14ac:dyDescent="0.2">
      <c r="Y13362" s="97"/>
    </row>
    <row r="13363" spans="25:25" x14ac:dyDescent="0.2">
      <c r="Y13363" s="97"/>
    </row>
    <row r="13364" spans="25:25" x14ac:dyDescent="0.2">
      <c r="Y13364" s="97"/>
    </row>
    <row r="13365" spans="25:25" x14ac:dyDescent="0.2">
      <c r="Y13365" s="97"/>
    </row>
    <row r="13366" spans="25:25" x14ac:dyDescent="0.2">
      <c r="Y13366" s="97"/>
    </row>
    <row r="13367" spans="25:25" x14ac:dyDescent="0.2">
      <c r="Y13367" s="97"/>
    </row>
    <row r="13368" spans="25:25" x14ac:dyDescent="0.2">
      <c r="Y13368" s="97"/>
    </row>
    <row r="13369" spans="25:25" x14ac:dyDescent="0.2">
      <c r="Y13369" s="97"/>
    </row>
    <row r="13370" spans="25:25" x14ac:dyDescent="0.2">
      <c r="Y13370" s="97"/>
    </row>
    <row r="13371" spans="25:25" x14ac:dyDescent="0.2">
      <c r="Y13371" s="97"/>
    </row>
    <row r="13372" spans="25:25" x14ac:dyDescent="0.2">
      <c r="Y13372" s="97"/>
    </row>
    <row r="13373" spans="25:25" x14ac:dyDescent="0.2">
      <c r="Y13373" s="97"/>
    </row>
    <row r="13374" spans="25:25" x14ac:dyDescent="0.2">
      <c r="Y13374" s="97"/>
    </row>
    <row r="13375" spans="25:25" x14ac:dyDescent="0.2">
      <c r="Y13375" s="97"/>
    </row>
    <row r="13376" spans="25:25" x14ac:dyDescent="0.2">
      <c r="Y13376" s="97"/>
    </row>
    <row r="13377" spans="25:25" x14ac:dyDescent="0.2">
      <c r="Y13377" s="97"/>
    </row>
    <row r="13378" spans="25:25" x14ac:dyDescent="0.2">
      <c r="Y13378" s="97"/>
    </row>
    <row r="13379" spans="25:25" x14ac:dyDescent="0.2">
      <c r="Y13379" s="97"/>
    </row>
    <row r="13380" spans="25:25" x14ac:dyDescent="0.2">
      <c r="Y13380" s="97"/>
    </row>
    <row r="13381" spans="25:25" x14ac:dyDescent="0.2">
      <c r="Y13381" s="97"/>
    </row>
    <row r="13382" spans="25:25" x14ac:dyDescent="0.2">
      <c r="Y13382" s="97"/>
    </row>
    <row r="13383" spans="25:25" x14ac:dyDescent="0.2">
      <c r="Y13383" s="97"/>
    </row>
    <row r="13384" spans="25:25" x14ac:dyDescent="0.2">
      <c r="Y13384" s="97"/>
    </row>
    <row r="13385" spans="25:25" x14ac:dyDescent="0.2">
      <c r="Y13385" s="97"/>
    </row>
    <row r="13386" spans="25:25" x14ac:dyDescent="0.2">
      <c r="Y13386" s="97"/>
    </row>
    <row r="13387" spans="25:25" x14ac:dyDescent="0.2">
      <c r="Y13387" s="97"/>
    </row>
    <row r="13388" spans="25:25" x14ac:dyDescent="0.2">
      <c r="Y13388" s="97"/>
    </row>
    <row r="13389" spans="25:25" x14ac:dyDescent="0.2">
      <c r="Y13389" s="97"/>
    </row>
    <row r="13390" spans="25:25" x14ac:dyDescent="0.2">
      <c r="Y13390" s="97"/>
    </row>
    <row r="13391" spans="25:25" x14ac:dyDescent="0.2">
      <c r="Y13391" s="97"/>
    </row>
    <row r="13392" spans="25:25" x14ac:dyDescent="0.2">
      <c r="Y13392" s="97"/>
    </row>
    <row r="13393" spans="25:25" x14ac:dyDescent="0.2">
      <c r="Y13393" s="97"/>
    </row>
    <row r="13394" spans="25:25" x14ac:dyDescent="0.2">
      <c r="Y13394" s="97"/>
    </row>
    <row r="13395" spans="25:25" x14ac:dyDescent="0.2">
      <c r="Y13395" s="97"/>
    </row>
    <row r="13396" spans="25:25" x14ac:dyDescent="0.2">
      <c r="Y13396" s="97"/>
    </row>
    <row r="13397" spans="25:25" x14ac:dyDescent="0.2">
      <c r="Y13397" s="97"/>
    </row>
    <row r="13398" spans="25:25" x14ac:dyDescent="0.2">
      <c r="Y13398" s="97"/>
    </row>
    <row r="13399" spans="25:25" x14ac:dyDescent="0.2">
      <c r="Y13399" s="97"/>
    </row>
    <row r="13400" spans="25:25" x14ac:dyDescent="0.2">
      <c r="Y13400" s="97"/>
    </row>
    <row r="13401" spans="25:25" x14ac:dyDescent="0.2">
      <c r="Y13401" s="97"/>
    </row>
    <row r="13402" spans="25:25" x14ac:dyDescent="0.2">
      <c r="Y13402" s="97"/>
    </row>
    <row r="13403" spans="25:25" x14ac:dyDescent="0.2">
      <c r="Y13403" s="97"/>
    </row>
    <row r="13404" spans="25:25" x14ac:dyDescent="0.2">
      <c r="Y13404" s="97"/>
    </row>
    <row r="13405" spans="25:25" x14ac:dyDescent="0.2">
      <c r="Y13405" s="97"/>
    </row>
    <row r="13406" spans="25:25" x14ac:dyDescent="0.2">
      <c r="Y13406" s="97"/>
    </row>
    <row r="13407" spans="25:25" x14ac:dyDescent="0.2">
      <c r="Y13407" s="97"/>
    </row>
    <row r="13408" spans="25:25" x14ac:dyDescent="0.2">
      <c r="Y13408" s="97"/>
    </row>
    <row r="13409" spans="25:25" x14ac:dyDescent="0.2">
      <c r="Y13409" s="97"/>
    </row>
    <row r="13410" spans="25:25" x14ac:dyDescent="0.2">
      <c r="Y13410" s="97"/>
    </row>
    <row r="13411" spans="25:25" x14ac:dyDescent="0.2">
      <c r="Y13411" s="97"/>
    </row>
    <row r="13412" spans="25:25" x14ac:dyDescent="0.2">
      <c r="Y13412" s="97"/>
    </row>
    <row r="13413" spans="25:25" x14ac:dyDescent="0.2">
      <c r="Y13413" s="97"/>
    </row>
    <row r="13414" spans="25:25" x14ac:dyDescent="0.2">
      <c r="Y13414" s="97"/>
    </row>
    <row r="13415" spans="25:25" x14ac:dyDescent="0.2">
      <c r="Y13415" s="97"/>
    </row>
    <row r="13416" spans="25:25" x14ac:dyDescent="0.2">
      <c r="Y13416" s="97"/>
    </row>
    <row r="13417" spans="25:25" x14ac:dyDescent="0.2">
      <c r="Y13417" s="97"/>
    </row>
    <row r="13418" spans="25:25" x14ac:dyDescent="0.2">
      <c r="Y13418" s="97"/>
    </row>
    <row r="13419" spans="25:25" x14ac:dyDescent="0.2">
      <c r="Y13419" s="97"/>
    </row>
    <row r="13420" spans="25:25" x14ac:dyDescent="0.2">
      <c r="Y13420" s="97"/>
    </row>
    <row r="13421" spans="25:25" x14ac:dyDescent="0.2">
      <c r="Y13421" s="97"/>
    </row>
    <row r="13422" spans="25:25" x14ac:dyDescent="0.2">
      <c r="Y13422" s="97"/>
    </row>
    <row r="13423" spans="25:25" x14ac:dyDescent="0.2">
      <c r="Y13423" s="97"/>
    </row>
    <row r="13424" spans="25:25" x14ac:dyDescent="0.2">
      <c r="Y13424" s="97"/>
    </row>
    <row r="13425" spans="25:25" x14ac:dyDescent="0.2">
      <c r="Y13425" s="97"/>
    </row>
    <row r="13426" spans="25:25" x14ac:dyDescent="0.2">
      <c r="Y13426" s="97"/>
    </row>
    <row r="13427" spans="25:25" x14ac:dyDescent="0.2">
      <c r="Y13427" s="97"/>
    </row>
    <row r="13428" spans="25:25" x14ac:dyDescent="0.2">
      <c r="Y13428" s="97"/>
    </row>
    <row r="13429" spans="25:25" x14ac:dyDescent="0.2">
      <c r="Y13429" s="97"/>
    </row>
    <row r="13430" spans="25:25" x14ac:dyDescent="0.2">
      <c r="Y13430" s="97"/>
    </row>
    <row r="13431" spans="25:25" x14ac:dyDescent="0.2">
      <c r="Y13431" s="97"/>
    </row>
    <row r="13432" spans="25:25" x14ac:dyDescent="0.2">
      <c r="Y13432" s="97"/>
    </row>
    <row r="13433" spans="25:25" x14ac:dyDescent="0.2">
      <c r="Y13433" s="97"/>
    </row>
    <row r="13434" spans="25:25" x14ac:dyDescent="0.2">
      <c r="Y13434" s="97"/>
    </row>
    <row r="13435" spans="25:25" x14ac:dyDescent="0.2">
      <c r="Y13435" s="97"/>
    </row>
    <row r="13436" spans="25:25" x14ac:dyDescent="0.2">
      <c r="Y13436" s="97"/>
    </row>
    <row r="13437" spans="25:25" x14ac:dyDescent="0.2">
      <c r="Y13437" s="97"/>
    </row>
    <row r="13438" spans="25:25" x14ac:dyDescent="0.2">
      <c r="Y13438" s="97"/>
    </row>
    <row r="13439" spans="25:25" x14ac:dyDescent="0.2">
      <c r="Y13439" s="97"/>
    </row>
    <row r="13440" spans="25:25" x14ac:dyDescent="0.2">
      <c r="Y13440" s="97"/>
    </row>
    <row r="13441" spans="25:25" x14ac:dyDescent="0.2">
      <c r="Y13441" s="97"/>
    </row>
    <row r="13442" spans="25:25" x14ac:dyDescent="0.2">
      <c r="Y13442" s="97"/>
    </row>
    <row r="13443" spans="25:25" x14ac:dyDescent="0.2">
      <c r="Y13443" s="97"/>
    </row>
    <row r="13444" spans="25:25" x14ac:dyDescent="0.2">
      <c r="Y13444" s="97"/>
    </row>
    <row r="13445" spans="25:25" x14ac:dyDescent="0.2">
      <c r="Y13445" s="97"/>
    </row>
    <row r="13446" spans="25:25" x14ac:dyDescent="0.2">
      <c r="Y13446" s="97"/>
    </row>
    <row r="13447" spans="25:25" x14ac:dyDescent="0.2">
      <c r="Y13447" s="97"/>
    </row>
    <row r="13448" spans="25:25" x14ac:dyDescent="0.2">
      <c r="Y13448" s="97"/>
    </row>
    <row r="13449" spans="25:25" x14ac:dyDescent="0.2">
      <c r="Y13449" s="97"/>
    </row>
    <row r="13450" spans="25:25" x14ac:dyDescent="0.2">
      <c r="Y13450" s="97"/>
    </row>
    <row r="13451" spans="25:25" x14ac:dyDescent="0.2">
      <c r="Y13451" s="97"/>
    </row>
    <row r="13452" spans="25:25" x14ac:dyDescent="0.2">
      <c r="Y13452" s="97"/>
    </row>
    <row r="13453" spans="25:25" x14ac:dyDescent="0.2">
      <c r="Y13453" s="97"/>
    </row>
    <row r="13454" spans="25:25" x14ac:dyDescent="0.2">
      <c r="Y13454" s="97"/>
    </row>
    <row r="13455" spans="25:25" x14ac:dyDescent="0.2">
      <c r="Y13455" s="97"/>
    </row>
    <row r="13456" spans="25:25" x14ac:dyDescent="0.2">
      <c r="Y13456" s="97"/>
    </row>
    <row r="13457" spans="25:25" x14ac:dyDescent="0.2">
      <c r="Y13457" s="97"/>
    </row>
    <row r="13458" spans="25:25" x14ac:dyDescent="0.2">
      <c r="Y13458" s="97"/>
    </row>
    <row r="13459" spans="25:25" x14ac:dyDescent="0.2">
      <c r="Y13459" s="97"/>
    </row>
    <row r="13460" spans="25:25" x14ac:dyDescent="0.2">
      <c r="Y13460" s="97"/>
    </row>
    <row r="13461" spans="25:25" x14ac:dyDescent="0.2">
      <c r="Y13461" s="97"/>
    </row>
    <row r="13462" spans="25:25" x14ac:dyDescent="0.2">
      <c r="Y13462" s="97"/>
    </row>
    <row r="13463" spans="25:25" x14ac:dyDescent="0.2">
      <c r="Y13463" s="97"/>
    </row>
    <row r="13464" spans="25:25" x14ac:dyDescent="0.2">
      <c r="Y13464" s="97"/>
    </row>
    <row r="13465" spans="25:25" x14ac:dyDescent="0.2">
      <c r="Y13465" s="97"/>
    </row>
    <row r="13466" spans="25:25" x14ac:dyDescent="0.2">
      <c r="Y13466" s="97"/>
    </row>
    <row r="13467" spans="25:25" x14ac:dyDescent="0.2">
      <c r="Y13467" s="97"/>
    </row>
    <row r="13468" spans="25:25" x14ac:dyDescent="0.2">
      <c r="Y13468" s="97"/>
    </row>
    <row r="13469" spans="25:25" x14ac:dyDescent="0.2">
      <c r="Y13469" s="97"/>
    </row>
    <row r="13470" spans="25:25" x14ac:dyDescent="0.2">
      <c r="Y13470" s="97"/>
    </row>
    <row r="13471" spans="25:25" x14ac:dyDescent="0.2">
      <c r="Y13471" s="97"/>
    </row>
    <row r="13472" spans="25:25" x14ac:dyDescent="0.2">
      <c r="Y13472" s="97"/>
    </row>
    <row r="13473" spans="25:25" x14ac:dyDescent="0.2">
      <c r="Y13473" s="97"/>
    </row>
    <row r="13474" spans="25:25" x14ac:dyDescent="0.2">
      <c r="Y13474" s="97"/>
    </row>
    <row r="13475" spans="25:25" x14ac:dyDescent="0.2">
      <c r="Y13475" s="97"/>
    </row>
    <row r="13476" spans="25:25" x14ac:dyDescent="0.2">
      <c r="Y13476" s="97"/>
    </row>
    <row r="13477" spans="25:25" x14ac:dyDescent="0.2">
      <c r="Y13477" s="97"/>
    </row>
    <row r="13478" spans="25:25" x14ac:dyDescent="0.2">
      <c r="Y13478" s="97"/>
    </row>
    <row r="13479" spans="25:25" x14ac:dyDescent="0.2">
      <c r="Y13479" s="97"/>
    </row>
    <row r="13480" spans="25:25" x14ac:dyDescent="0.2">
      <c r="Y13480" s="97"/>
    </row>
    <row r="13481" spans="25:25" x14ac:dyDescent="0.2">
      <c r="Y13481" s="97"/>
    </row>
    <row r="13482" spans="25:25" x14ac:dyDescent="0.2">
      <c r="Y13482" s="97"/>
    </row>
    <row r="13483" spans="25:25" x14ac:dyDescent="0.2">
      <c r="Y13483" s="97"/>
    </row>
    <row r="13484" spans="25:25" x14ac:dyDescent="0.2">
      <c r="Y13484" s="97"/>
    </row>
    <row r="13485" spans="25:25" x14ac:dyDescent="0.2">
      <c r="Y13485" s="97"/>
    </row>
    <row r="13486" spans="25:25" x14ac:dyDescent="0.2">
      <c r="Y13486" s="97"/>
    </row>
    <row r="13487" spans="25:25" x14ac:dyDescent="0.2">
      <c r="Y13487" s="97"/>
    </row>
    <row r="13488" spans="25:25" x14ac:dyDescent="0.2">
      <c r="Y13488" s="97"/>
    </row>
    <row r="13489" spans="25:25" x14ac:dyDescent="0.2">
      <c r="Y13489" s="97"/>
    </row>
    <row r="13490" spans="25:25" x14ac:dyDescent="0.2">
      <c r="Y13490" s="97"/>
    </row>
    <row r="13491" spans="25:25" x14ac:dyDescent="0.2">
      <c r="Y13491" s="97"/>
    </row>
    <row r="13492" spans="25:25" x14ac:dyDescent="0.2">
      <c r="Y13492" s="97"/>
    </row>
    <row r="13493" spans="25:25" x14ac:dyDescent="0.2">
      <c r="Y13493" s="97"/>
    </row>
    <row r="13494" spans="25:25" x14ac:dyDescent="0.2">
      <c r="Y13494" s="97"/>
    </row>
    <row r="13495" spans="25:25" x14ac:dyDescent="0.2">
      <c r="Y13495" s="97"/>
    </row>
    <row r="13496" spans="25:25" x14ac:dyDescent="0.2">
      <c r="Y13496" s="97"/>
    </row>
    <row r="13497" spans="25:25" x14ac:dyDescent="0.2">
      <c r="Y13497" s="97"/>
    </row>
    <row r="13498" spans="25:25" x14ac:dyDescent="0.2">
      <c r="Y13498" s="97"/>
    </row>
    <row r="13499" spans="25:25" x14ac:dyDescent="0.2">
      <c r="Y13499" s="97"/>
    </row>
    <row r="13500" spans="25:25" x14ac:dyDescent="0.2">
      <c r="Y13500" s="97"/>
    </row>
    <row r="13501" spans="25:25" x14ac:dyDescent="0.2">
      <c r="Y13501" s="97"/>
    </row>
    <row r="13502" spans="25:25" x14ac:dyDescent="0.2">
      <c r="Y13502" s="97"/>
    </row>
    <row r="13503" spans="25:25" x14ac:dyDescent="0.2">
      <c r="Y13503" s="97"/>
    </row>
    <row r="13504" spans="25:25" x14ac:dyDescent="0.2">
      <c r="Y13504" s="97"/>
    </row>
    <row r="13505" spans="25:25" x14ac:dyDescent="0.2">
      <c r="Y13505" s="97"/>
    </row>
    <row r="13506" spans="25:25" x14ac:dyDescent="0.2">
      <c r="Y13506" s="97"/>
    </row>
    <row r="13507" spans="25:25" x14ac:dyDescent="0.2">
      <c r="Y13507" s="97"/>
    </row>
    <row r="13508" spans="25:25" x14ac:dyDescent="0.2">
      <c r="Y13508" s="97"/>
    </row>
    <row r="13509" spans="25:25" x14ac:dyDescent="0.2">
      <c r="Y13509" s="97"/>
    </row>
    <row r="13510" spans="25:25" x14ac:dyDescent="0.2">
      <c r="Y13510" s="97"/>
    </row>
    <row r="13511" spans="25:25" x14ac:dyDescent="0.2">
      <c r="Y13511" s="97"/>
    </row>
    <row r="13512" spans="25:25" x14ac:dyDescent="0.2">
      <c r="Y13512" s="97"/>
    </row>
    <row r="13513" spans="25:25" x14ac:dyDescent="0.2">
      <c r="Y13513" s="97"/>
    </row>
    <row r="13514" spans="25:25" x14ac:dyDescent="0.2">
      <c r="Y13514" s="97"/>
    </row>
    <row r="13515" spans="25:25" x14ac:dyDescent="0.2">
      <c r="Y13515" s="97"/>
    </row>
    <row r="13516" spans="25:25" x14ac:dyDescent="0.2">
      <c r="Y13516" s="97"/>
    </row>
    <row r="13517" spans="25:25" x14ac:dyDescent="0.2">
      <c r="Y13517" s="97"/>
    </row>
    <row r="13518" spans="25:25" x14ac:dyDescent="0.2">
      <c r="Y13518" s="97"/>
    </row>
    <row r="13519" spans="25:25" x14ac:dyDescent="0.2">
      <c r="Y13519" s="97"/>
    </row>
    <row r="13520" spans="25:25" x14ac:dyDescent="0.2">
      <c r="Y13520" s="97"/>
    </row>
    <row r="13521" spans="25:25" x14ac:dyDescent="0.2">
      <c r="Y13521" s="97"/>
    </row>
    <row r="13522" spans="25:25" x14ac:dyDescent="0.2">
      <c r="Y13522" s="97"/>
    </row>
    <row r="13523" spans="25:25" x14ac:dyDescent="0.2">
      <c r="Y13523" s="97"/>
    </row>
    <row r="13524" spans="25:25" x14ac:dyDescent="0.2">
      <c r="Y13524" s="97"/>
    </row>
    <row r="13525" spans="25:25" x14ac:dyDescent="0.2">
      <c r="Y13525" s="97"/>
    </row>
    <row r="13526" spans="25:25" x14ac:dyDescent="0.2">
      <c r="Y13526" s="97"/>
    </row>
    <row r="13527" spans="25:25" x14ac:dyDescent="0.2">
      <c r="Y13527" s="97"/>
    </row>
    <row r="13528" spans="25:25" x14ac:dyDescent="0.2">
      <c r="Y13528" s="97"/>
    </row>
    <row r="13529" spans="25:25" x14ac:dyDescent="0.2">
      <c r="Y13529" s="97"/>
    </row>
    <row r="13530" spans="25:25" x14ac:dyDescent="0.2">
      <c r="Y13530" s="97"/>
    </row>
    <row r="13531" spans="25:25" x14ac:dyDescent="0.2">
      <c r="Y13531" s="97"/>
    </row>
    <row r="13532" spans="25:25" x14ac:dyDescent="0.2">
      <c r="Y13532" s="97"/>
    </row>
    <row r="13533" spans="25:25" x14ac:dyDescent="0.2">
      <c r="Y13533" s="97"/>
    </row>
    <row r="13534" spans="25:25" x14ac:dyDescent="0.2">
      <c r="Y13534" s="97"/>
    </row>
    <row r="13535" spans="25:25" x14ac:dyDescent="0.2">
      <c r="Y13535" s="97"/>
    </row>
    <row r="13536" spans="25:25" x14ac:dyDescent="0.2">
      <c r="Y13536" s="97"/>
    </row>
    <row r="13537" spans="25:25" x14ac:dyDescent="0.2">
      <c r="Y13537" s="97"/>
    </row>
    <row r="13538" spans="25:25" x14ac:dyDescent="0.2">
      <c r="Y13538" s="97"/>
    </row>
    <row r="13539" spans="25:25" x14ac:dyDescent="0.2">
      <c r="Y13539" s="97"/>
    </row>
    <row r="13540" spans="25:25" x14ac:dyDescent="0.2">
      <c r="Y13540" s="97"/>
    </row>
    <row r="13541" spans="25:25" x14ac:dyDescent="0.2">
      <c r="Y13541" s="97"/>
    </row>
    <row r="13542" spans="25:25" x14ac:dyDescent="0.2">
      <c r="Y13542" s="97"/>
    </row>
    <row r="13543" spans="25:25" x14ac:dyDescent="0.2">
      <c r="Y13543" s="97"/>
    </row>
    <row r="13544" spans="25:25" x14ac:dyDescent="0.2">
      <c r="Y13544" s="97"/>
    </row>
    <row r="13545" spans="25:25" x14ac:dyDescent="0.2">
      <c r="Y13545" s="97"/>
    </row>
    <row r="13546" spans="25:25" x14ac:dyDescent="0.2">
      <c r="Y13546" s="97"/>
    </row>
    <row r="13547" spans="25:25" x14ac:dyDescent="0.2">
      <c r="Y13547" s="97"/>
    </row>
    <row r="13548" spans="25:25" x14ac:dyDescent="0.2">
      <c r="Y13548" s="97"/>
    </row>
    <row r="13549" spans="25:25" x14ac:dyDescent="0.2">
      <c r="Y13549" s="97"/>
    </row>
    <row r="13550" spans="25:25" x14ac:dyDescent="0.2">
      <c r="Y13550" s="97"/>
    </row>
    <row r="13551" spans="25:25" x14ac:dyDescent="0.2">
      <c r="Y13551" s="97"/>
    </row>
    <row r="13552" spans="25:25" x14ac:dyDescent="0.2">
      <c r="Y13552" s="97"/>
    </row>
    <row r="13553" spans="25:25" x14ac:dyDescent="0.2">
      <c r="Y13553" s="97"/>
    </row>
    <row r="13554" spans="25:25" x14ac:dyDescent="0.2">
      <c r="Y13554" s="97"/>
    </row>
    <row r="13555" spans="25:25" x14ac:dyDescent="0.2">
      <c r="Y13555" s="97"/>
    </row>
    <row r="13556" spans="25:25" x14ac:dyDescent="0.2">
      <c r="Y13556" s="97"/>
    </row>
    <row r="13557" spans="25:25" x14ac:dyDescent="0.2">
      <c r="Y13557" s="97"/>
    </row>
    <row r="13558" spans="25:25" x14ac:dyDescent="0.2">
      <c r="Y13558" s="97"/>
    </row>
    <row r="13559" spans="25:25" x14ac:dyDescent="0.2">
      <c r="Y13559" s="97"/>
    </row>
    <row r="13560" spans="25:25" x14ac:dyDescent="0.2">
      <c r="Y13560" s="97"/>
    </row>
    <row r="13561" spans="25:25" x14ac:dyDescent="0.2">
      <c r="Y13561" s="97"/>
    </row>
    <row r="13562" spans="25:25" x14ac:dyDescent="0.2">
      <c r="Y13562" s="97"/>
    </row>
    <row r="13563" spans="25:25" x14ac:dyDescent="0.2">
      <c r="Y13563" s="97"/>
    </row>
    <row r="13564" spans="25:25" x14ac:dyDescent="0.2">
      <c r="Y13564" s="97"/>
    </row>
    <row r="13565" spans="25:25" x14ac:dyDescent="0.2">
      <c r="Y13565" s="97"/>
    </row>
    <row r="13566" spans="25:25" x14ac:dyDescent="0.2">
      <c r="Y13566" s="97"/>
    </row>
    <row r="13567" spans="25:25" x14ac:dyDescent="0.2">
      <c r="Y13567" s="97"/>
    </row>
    <row r="13568" spans="25:25" x14ac:dyDescent="0.2">
      <c r="Y13568" s="97"/>
    </row>
    <row r="13569" spans="25:25" x14ac:dyDescent="0.2">
      <c r="Y13569" s="97"/>
    </row>
    <row r="13570" spans="25:25" x14ac:dyDescent="0.2">
      <c r="Y13570" s="97"/>
    </row>
    <row r="13571" spans="25:25" x14ac:dyDescent="0.2">
      <c r="Y13571" s="97"/>
    </row>
    <row r="13572" spans="25:25" x14ac:dyDescent="0.2">
      <c r="Y13572" s="97"/>
    </row>
    <row r="13573" spans="25:25" x14ac:dyDescent="0.2">
      <c r="Y13573" s="97"/>
    </row>
    <row r="13574" spans="25:25" x14ac:dyDescent="0.2">
      <c r="Y13574" s="97"/>
    </row>
    <row r="13575" spans="25:25" x14ac:dyDescent="0.2">
      <c r="Y13575" s="97"/>
    </row>
    <row r="13576" spans="25:25" x14ac:dyDescent="0.2">
      <c r="Y13576" s="97"/>
    </row>
    <row r="13577" spans="25:25" x14ac:dyDescent="0.2">
      <c r="Y13577" s="97"/>
    </row>
    <row r="13578" spans="25:25" x14ac:dyDescent="0.2">
      <c r="Y13578" s="97"/>
    </row>
    <row r="13579" spans="25:25" x14ac:dyDescent="0.2">
      <c r="Y13579" s="97"/>
    </row>
    <row r="13580" spans="25:25" x14ac:dyDescent="0.2">
      <c r="Y13580" s="97"/>
    </row>
    <row r="13581" spans="25:25" x14ac:dyDescent="0.2">
      <c r="Y13581" s="97"/>
    </row>
    <row r="13582" spans="25:25" x14ac:dyDescent="0.2">
      <c r="Y13582" s="97"/>
    </row>
    <row r="13583" spans="25:25" x14ac:dyDescent="0.2">
      <c r="Y13583" s="97"/>
    </row>
    <row r="13584" spans="25:25" x14ac:dyDescent="0.2">
      <c r="Y13584" s="97"/>
    </row>
    <row r="13585" spans="25:25" x14ac:dyDescent="0.2">
      <c r="Y13585" s="97"/>
    </row>
    <row r="13586" spans="25:25" x14ac:dyDescent="0.2">
      <c r="Y13586" s="97"/>
    </row>
    <row r="13587" spans="25:25" x14ac:dyDescent="0.2">
      <c r="Y13587" s="97"/>
    </row>
    <row r="13588" spans="25:25" x14ac:dyDescent="0.2">
      <c r="Y13588" s="97"/>
    </row>
    <row r="13589" spans="25:25" x14ac:dyDescent="0.2">
      <c r="Y13589" s="97"/>
    </row>
    <row r="13590" spans="25:25" x14ac:dyDescent="0.2">
      <c r="Y13590" s="97"/>
    </row>
    <row r="13591" spans="25:25" x14ac:dyDescent="0.2">
      <c r="Y13591" s="97"/>
    </row>
    <row r="13592" spans="25:25" x14ac:dyDescent="0.2">
      <c r="Y13592" s="97"/>
    </row>
    <row r="13593" spans="25:25" x14ac:dyDescent="0.2">
      <c r="Y13593" s="97"/>
    </row>
    <row r="13594" spans="25:25" x14ac:dyDescent="0.2">
      <c r="Y13594" s="97"/>
    </row>
    <row r="13595" spans="25:25" x14ac:dyDescent="0.2">
      <c r="Y13595" s="97"/>
    </row>
    <row r="13596" spans="25:25" x14ac:dyDescent="0.2">
      <c r="Y13596" s="97"/>
    </row>
    <row r="13597" spans="25:25" x14ac:dyDescent="0.2">
      <c r="Y13597" s="97"/>
    </row>
    <row r="13598" spans="25:25" x14ac:dyDescent="0.2">
      <c r="Y13598" s="97"/>
    </row>
    <row r="13599" spans="25:25" x14ac:dyDescent="0.2">
      <c r="Y13599" s="97"/>
    </row>
    <row r="13600" spans="25:25" x14ac:dyDescent="0.2">
      <c r="Y13600" s="97"/>
    </row>
    <row r="13601" spans="25:25" x14ac:dyDescent="0.2">
      <c r="Y13601" s="97"/>
    </row>
    <row r="13602" spans="25:25" x14ac:dyDescent="0.2">
      <c r="Y13602" s="97"/>
    </row>
    <row r="13603" spans="25:25" x14ac:dyDescent="0.2">
      <c r="Y13603" s="97"/>
    </row>
    <row r="13604" spans="25:25" x14ac:dyDescent="0.2">
      <c r="Y13604" s="97"/>
    </row>
    <row r="13605" spans="25:25" x14ac:dyDescent="0.2">
      <c r="Y13605" s="97"/>
    </row>
    <row r="13606" spans="25:25" x14ac:dyDescent="0.2">
      <c r="Y13606" s="97"/>
    </row>
    <row r="13607" spans="25:25" x14ac:dyDescent="0.2">
      <c r="Y13607" s="97"/>
    </row>
    <row r="13608" spans="25:25" x14ac:dyDescent="0.2">
      <c r="Y13608" s="97"/>
    </row>
    <row r="13609" spans="25:25" x14ac:dyDescent="0.2">
      <c r="Y13609" s="97"/>
    </row>
    <row r="13610" spans="25:25" x14ac:dyDescent="0.2">
      <c r="Y13610" s="97"/>
    </row>
    <row r="13611" spans="25:25" x14ac:dyDescent="0.2">
      <c r="Y13611" s="97"/>
    </row>
    <row r="13612" spans="25:25" x14ac:dyDescent="0.2">
      <c r="Y13612" s="97"/>
    </row>
    <row r="13613" spans="25:25" x14ac:dyDescent="0.2">
      <c r="Y13613" s="97"/>
    </row>
    <row r="13614" spans="25:25" x14ac:dyDescent="0.2">
      <c r="Y13614" s="97"/>
    </row>
    <row r="13615" spans="25:25" x14ac:dyDescent="0.2">
      <c r="Y13615" s="97"/>
    </row>
    <row r="13616" spans="25:25" x14ac:dyDescent="0.2">
      <c r="Y13616" s="97"/>
    </row>
    <row r="13617" spans="25:25" x14ac:dyDescent="0.2">
      <c r="Y13617" s="97"/>
    </row>
    <row r="13618" spans="25:25" x14ac:dyDescent="0.2">
      <c r="Y13618" s="97"/>
    </row>
    <row r="13619" spans="25:25" x14ac:dyDescent="0.2">
      <c r="Y13619" s="97"/>
    </row>
    <row r="13620" spans="25:25" x14ac:dyDescent="0.2">
      <c r="Y13620" s="97"/>
    </row>
    <row r="13621" spans="25:25" x14ac:dyDescent="0.2">
      <c r="Y13621" s="97"/>
    </row>
    <row r="13622" spans="25:25" x14ac:dyDescent="0.2">
      <c r="Y13622" s="97"/>
    </row>
    <row r="13623" spans="25:25" x14ac:dyDescent="0.2">
      <c r="Y13623" s="97"/>
    </row>
    <row r="13624" spans="25:25" x14ac:dyDescent="0.2">
      <c r="Y13624" s="97"/>
    </row>
    <row r="13625" spans="25:25" x14ac:dyDescent="0.2">
      <c r="Y13625" s="97"/>
    </row>
    <row r="13626" spans="25:25" x14ac:dyDescent="0.2">
      <c r="Y13626" s="97"/>
    </row>
    <row r="13627" spans="25:25" x14ac:dyDescent="0.2">
      <c r="Y13627" s="97"/>
    </row>
    <row r="13628" spans="25:25" x14ac:dyDescent="0.2">
      <c r="Y13628" s="97"/>
    </row>
    <row r="13629" spans="25:25" x14ac:dyDescent="0.2">
      <c r="Y13629" s="97"/>
    </row>
    <row r="13630" spans="25:25" x14ac:dyDescent="0.2">
      <c r="Y13630" s="97"/>
    </row>
    <row r="13631" spans="25:25" x14ac:dyDescent="0.2">
      <c r="Y13631" s="97"/>
    </row>
    <row r="13632" spans="25:25" x14ac:dyDescent="0.2">
      <c r="Y13632" s="97"/>
    </row>
    <row r="13633" spans="25:25" x14ac:dyDescent="0.2">
      <c r="Y13633" s="97"/>
    </row>
    <row r="13634" spans="25:25" x14ac:dyDescent="0.2">
      <c r="Y13634" s="97"/>
    </row>
    <row r="13635" spans="25:25" x14ac:dyDescent="0.2">
      <c r="Y13635" s="97"/>
    </row>
    <row r="13636" spans="25:25" x14ac:dyDescent="0.2">
      <c r="Y13636" s="97"/>
    </row>
    <row r="13637" spans="25:25" x14ac:dyDescent="0.2">
      <c r="Y13637" s="97"/>
    </row>
    <row r="13638" spans="25:25" x14ac:dyDescent="0.2">
      <c r="Y13638" s="97"/>
    </row>
    <row r="13639" spans="25:25" x14ac:dyDescent="0.2">
      <c r="Y13639" s="97"/>
    </row>
    <row r="13640" spans="25:25" x14ac:dyDescent="0.2">
      <c r="Y13640" s="97"/>
    </row>
    <row r="13641" spans="25:25" x14ac:dyDescent="0.2">
      <c r="Y13641" s="97"/>
    </row>
    <row r="13642" spans="25:25" x14ac:dyDescent="0.2">
      <c r="Y13642" s="97"/>
    </row>
    <row r="13643" spans="25:25" x14ac:dyDescent="0.2">
      <c r="Y13643" s="97"/>
    </row>
    <row r="13644" spans="25:25" x14ac:dyDescent="0.2">
      <c r="Y13644" s="97"/>
    </row>
    <row r="13645" spans="25:25" x14ac:dyDescent="0.2">
      <c r="Y13645" s="97"/>
    </row>
    <row r="13646" spans="25:25" x14ac:dyDescent="0.2">
      <c r="Y13646" s="97"/>
    </row>
    <row r="13647" spans="25:25" x14ac:dyDescent="0.2">
      <c r="Y13647" s="97"/>
    </row>
    <row r="13648" spans="25:25" x14ac:dyDescent="0.2">
      <c r="Y13648" s="97"/>
    </row>
    <row r="13649" spans="25:25" x14ac:dyDescent="0.2">
      <c r="Y13649" s="97"/>
    </row>
    <row r="13650" spans="25:25" x14ac:dyDescent="0.2">
      <c r="Y13650" s="97"/>
    </row>
    <row r="13651" spans="25:25" x14ac:dyDescent="0.2">
      <c r="Y13651" s="97"/>
    </row>
    <row r="13652" spans="25:25" x14ac:dyDescent="0.2">
      <c r="Y13652" s="97"/>
    </row>
    <row r="13653" spans="25:25" x14ac:dyDescent="0.2">
      <c r="Y13653" s="97"/>
    </row>
    <row r="13654" spans="25:25" x14ac:dyDescent="0.2">
      <c r="Y13654" s="97"/>
    </row>
    <row r="13655" spans="25:25" x14ac:dyDescent="0.2">
      <c r="Y13655" s="97"/>
    </row>
    <row r="13656" spans="25:25" x14ac:dyDescent="0.2">
      <c r="Y13656" s="97"/>
    </row>
    <row r="13657" spans="25:25" x14ac:dyDescent="0.2">
      <c r="Y13657" s="97"/>
    </row>
    <row r="13658" spans="25:25" x14ac:dyDescent="0.2">
      <c r="Y13658" s="97"/>
    </row>
    <row r="13659" spans="25:25" x14ac:dyDescent="0.2">
      <c r="Y13659" s="97"/>
    </row>
    <row r="13660" spans="25:25" x14ac:dyDescent="0.2">
      <c r="Y13660" s="97"/>
    </row>
    <row r="13661" spans="25:25" x14ac:dyDescent="0.2">
      <c r="Y13661" s="97"/>
    </row>
    <row r="13662" spans="25:25" x14ac:dyDescent="0.2">
      <c r="Y13662" s="97"/>
    </row>
    <row r="13663" spans="25:25" x14ac:dyDescent="0.2">
      <c r="Y13663" s="97"/>
    </row>
    <row r="13664" spans="25:25" x14ac:dyDescent="0.2">
      <c r="Y13664" s="97"/>
    </row>
    <row r="13665" spans="25:25" x14ac:dyDescent="0.2">
      <c r="Y13665" s="97"/>
    </row>
    <row r="13666" spans="25:25" x14ac:dyDescent="0.2">
      <c r="Y13666" s="97"/>
    </row>
    <row r="13667" spans="25:25" x14ac:dyDescent="0.2">
      <c r="Y13667" s="97"/>
    </row>
    <row r="13668" spans="25:25" x14ac:dyDescent="0.2">
      <c r="Y13668" s="97"/>
    </row>
    <row r="13669" spans="25:25" x14ac:dyDescent="0.2">
      <c r="Y13669" s="97"/>
    </row>
    <row r="13670" spans="25:25" x14ac:dyDescent="0.2">
      <c r="Y13670" s="97"/>
    </row>
    <row r="13671" spans="25:25" x14ac:dyDescent="0.2">
      <c r="Y13671" s="97"/>
    </row>
    <row r="13672" spans="25:25" x14ac:dyDescent="0.2">
      <c r="Y13672" s="97"/>
    </row>
    <row r="13673" spans="25:25" x14ac:dyDescent="0.2">
      <c r="Y13673" s="97"/>
    </row>
    <row r="13674" spans="25:25" x14ac:dyDescent="0.2">
      <c r="Y13674" s="97"/>
    </row>
    <row r="13675" spans="25:25" x14ac:dyDescent="0.2">
      <c r="Y13675" s="97"/>
    </row>
    <row r="13676" spans="25:25" x14ac:dyDescent="0.2">
      <c r="Y13676" s="97"/>
    </row>
    <row r="13677" spans="25:25" x14ac:dyDescent="0.2">
      <c r="Y13677" s="97"/>
    </row>
    <row r="13678" spans="25:25" x14ac:dyDescent="0.2">
      <c r="Y13678" s="97"/>
    </row>
    <row r="13679" spans="25:25" x14ac:dyDescent="0.2">
      <c r="Y13679" s="97"/>
    </row>
    <row r="13680" spans="25:25" x14ac:dyDescent="0.2">
      <c r="Y13680" s="97"/>
    </row>
    <row r="13681" spans="25:25" x14ac:dyDescent="0.2">
      <c r="Y13681" s="97"/>
    </row>
    <row r="13682" spans="25:25" x14ac:dyDescent="0.2">
      <c r="Y13682" s="97"/>
    </row>
    <row r="13683" spans="25:25" x14ac:dyDescent="0.2">
      <c r="Y13683" s="97"/>
    </row>
    <row r="13684" spans="25:25" x14ac:dyDescent="0.2">
      <c r="Y13684" s="97"/>
    </row>
    <row r="13685" spans="25:25" x14ac:dyDescent="0.2">
      <c r="Y13685" s="97"/>
    </row>
    <row r="13686" spans="25:25" x14ac:dyDescent="0.2">
      <c r="Y13686" s="97"/>
    </row>
    <row r="13687" spans="25:25" x14ac:dyDescent="0.2">
      <c r="Y13687" s="97"/>
    </row>
    <row r="13688" spans="25:25" x14ac:dyDescent="0.2">
      <c r="Y13688" s="97"/>
    </row>
    <row r="13689" spans="25:25" x14ac:dyDescent="0.2">
      <c r="Y13689" s="97"/>
    </row>
    <row r="13690" spans="25:25" x14ac:dyDescent="0.2">
      <c r="Y13690" s="97"/>
    </row>
    <row r="13691" spans="25:25" x14ac:dyDescent="0.2">
      <c r="Y13691" s="97"/>
    </row>
    <row r="13692" spans="25:25" x14ac:dyDescent="0.2">
      <c r="Y13692" s="97"/>
    </row>
    <row r="13693" spans="25:25" x14ac:dyDescent="0.2">
      <c r="Y13693" s="97"/>
    </row>
    <row r="13694" spans="25:25" x14ac:dyDescent="0.2">
      <c r="Y13694" s="97"/>
    </row>
    <row r="13695" spans="25:25" x14ac:dyDescent="0.2">
      <c r="Y13695" s="97"/>
    </row>
    <row r="13696" spans="25:25" x14ac:dyDescent="0.2">
      <c r="Y13696" s="97"/>
    </row>
    <row r="13697" spans="25:25" x14ac:dyDescent="0.2">
      <c r="Y13697" s="97"/>
    </row>
    <row r="13698" spans="25:25" x14ac:dyDescent="0.2">
      <c r="Y13698" s="97"/>
    </row>
    <row r="13699" spans="25:25" x14ac:dyDescent="0.2">
      <c r="Y13699" s="97"/>
    </row>
    <row r="13700" spans="25:25" x14ac:dyDescent="0.2">
      <c r="Y13700" s="97"/>
    </row>
    <row r="13701" spans="25:25" x14ac:dyDescent="0.2">
      <c r="Y13701" s="97"/>
    </row>
    <row r="13702" spans="25:25" x14ac:dyDescent="0.2">
      <c r="Y13702" s="97"/>
    </row>
    <row r="13703" spans="25:25" x14ac:dyDescent="0.2">
      <c r="Y13703" s="97"/>
    </row>
    <row r="13704" spans="25:25" x14ac:dyDescent="0.2">
      <c r="Y13704" s="97"/>
    </row>
    <row r="13705" spans="25:25" x14ac:dyDescent="0.2">
      <c r="Y13705" s="97"/>
    </row>
    <row r="13706" spans="25:25" x14ac:dyDescent="0.2">
      <c r="Y13706" s="97"/>
    </row>
    <row r="13707" spans="25:25" x14ac:dyDescent="0.2">
      <c r="Y13707" s="97"/>
    </row>
    <row r="13708" spans="25:25" x14ac:dyDescent="0.2">
      <c r="Y13708" s="97"/>
    </row>
    <row r="13709" spans="25:25" x14ac:dyDescent="0.2">
      <c r="Y13709" s="97"/>
    </row>
    <row r="13710" spans="25:25" x14ac:dyDescent="0.2">
      <c r="Y13710" s="97"/>
    </row>
    <row r="13711" spans="25:25" x14ac:dyDescent="0.2">
      <c r="Y13711" s="97"/>
    </row>
    <row r="13712" spans="25:25" x14ac:dyDescent="0.2">
      <c r="Y13712" s="97"/>
    </row>
    <row r="13713" spans="25:25" x14ac:dyDescent="0.2">
      <c r="Y13713" s="97"/>
    </row>
    <row r="13714" spans="25:25" x14ac:dyDescent="0.2">
      <c r="Y13714" s="97"/>
    </row>
    <row r="13715" spans="25:25" x14ac:dyDescent="0.2">
      <c r="Y13715" s="97"/>
    </row>
    <row r="13716" spans="25:25" x14ac:dyDescent="0.2">
      <c r="Y13716" s="97"/>
    </row>
    <row r="13717" spans="25:25" x14ac:dyDescent="0.2">
      <c r="Y13717" s="97"/>
    </row>
    <row r="13718" spans="25:25" x14ac:dyDescent="0.2">
      <c r="Y13718" s="97"/>
    </row>
    <row r="13719" spans="25:25" x14ac:dyDescent="0.2">
      <c r="Y13719" s="97"/>
    </row>
    <row r="13720" spans="25:25" x14ac:dyDescent="0.2">
      <c r="Y13720" s="97"/>
    </row>
    <row r="13721" spans="25:25" x14ac:dyDescent="0.2">
      <c r="Y13721" s="97"/>
    </row>
    <row r="13722" spans="25:25" x14ac:dyDescent="0.2">
      <c r="Y13722" s="97"/>
    </row>
    <row r="13723" spans="25:25" x14ac:dyDescent="0.2">
      <c r="Y13723" s="97"/>
    </row>
    <row r="13724" spans="25:25" x14ac:dyDescent="0.2">
      <c r="Y13724" s="97"/>
    </row>
    <row r="13725" spans="25:25" x14ac:dyDescent="0.2">
      <c r="Y13725" s="97"/>
    </row>
    <row r="13726" spans="25:25" x14ac:dyDescent="0.2">
      <c r="Y13726" s="97"/>
    </row>
    <row r="13727" spans="25:25" x14ac:dyDescent="0.2">
      <c r="Y13727" s="97"/>
    </row>
    <row r="13728" spans="25:25" x14ac:dyDescent="0.2">
      <c r="Y13728" s="97"/>
    </row>
    <row r="13729" spans="25:25" x14ac:dyDescent="0.2">
      <c r="Y13729" s="97"/>
    </row>
    <row r="13730" spans="25:25" x14ac:dyDescent="0.2">
      <c r="Y13730" s="97"/>
    </row>
    <row r="13731" spans="25:25" x14ac:dyDescent="0.2">
      <c r="Y13731" s="97"/>
    </row>
    <row r="13732" spans="25:25" x14ac:dyDescent="0.2">
      <c r="Y13732" s="97"/>
    </row>
    <row r="13733" spans="25:25" x14ac:dyDescent="0.2">
      <c r="Y13733" s="97"/>
    </row>
    <row r="13734" spans="25:25" x14ac:dyDescent="0.2">
      <c r="Y13734" s="97"/>
    </row>
    <row r="13735" spans="25:25" x14ac:dyDescent="0.2">
      <c r="Y13735" s="97"/>
    </row>
    <row r="13736" spans="25:25" x14ac:dyDescent="0.2">
      <c r="Y13736" s="97"/>
    </row>
    <row r="13737" spans="25:25" x14ac:dyDescent="0.2">
      <c r="Y13737" s="97"/>
    </row>
    <row r="13738" spans="25:25" x14ac:dyDescent="0.2">
      <c r="Y13738" s="97"/>
    </row>
    <row r="13739" spans="25:25" x14ac:dyDescent="0.2">
      <c r="Y13739" s="97"/>
    </row>
    <row r="13740" spans="25:25" x14ac:dyDescent="0.2">
      <c r="Y13740" s="97"/>
    </row>
    <row r="13741" spans="25:25" x14ac:dyDescent="0.2">
      <c r="Y13741" s="97"/>
    </row>
    <row r="13742" spans="25:25" x14ac:dyDescent="0.2">
      <c r="Y13742" s="97"/>
    </row>
    <row r="13743" spans="25:25" x14ac:dyDescent="0.2">
      <c r="Y13743" s="97"/>
    </row>
    <row r="13744" spans="25:25" x14ac:dyDescent="0.2">
      <c r="Y13744" s="97"/>
    </row>
    <row r="13745" spans="25:25" x14ac:dyDescent="0.2">
      <c r="Y13745" s="97"/>
    </row>
    <row r="13746" spans="25:25" x14ac:dyDescent="0.2">
      <c r="Y13746" s="97"/>
    </row>
    <row r="13747" spans="25:25" x14ac:dyDescent="0.2">
      <c r="Y13747" s="97"/>
    </row>
    <row r="13748" spans="25:25" x14ac:dyDescent="0.2">
      <c r="Y13748" s="97"/>
    </row>
    <row r="13749" spans="25:25" x14ac:dyDescent="0.2">
      <c r="Y13749" s="97"/>
    </row>
    <row r="13750" spans="25:25" x14ac:dyDescent="0.2">
      <c r="Y13750" s="97"/>
    </row>
    <row r="13751" spans="25:25" x14ac:dyDescent="0.2">
      <c r="Y13751" s="97"/>
    </row>
    <row r="13752" spans="25:25" x14ac:dyDescent="0.2">
      <c r="Y13752" s="97"/>
    </row>
    <row r="13753" spans="25:25" x14ac:dyDescent="0.2">
      <c r="Y13753" s="97"/>
    </row>
    <row r="13754" spans="25:25" x14ac:dyDescent="0.2">
      <c r="Y13754" s="97"/>
    </row>
    <row r="13755" spans="25:25" x14ac:dyDescent="0.2">
      <c r="Y13755" s="97"/>
    </row>
    <row r="13756" spans="25:25" x14ac:dyDescent="0.2">
      <c r="Y13756" s="97"/>
    </row>
    <row r="13757" spans="25:25" x14ac:dyDescent="0.2">
      <c r="Y13757" s="97"/>
    </row>
    <row r="13758" spans="25:25" x14ac:dyDescent="0.2">
      <c r="Y13758" s="97"/>
    </row>
    <row r="13759" spans="25:25" x14ac:dyDescent="0.2">
      <c r="Y13759" s="97"/>
    </row>
    <row r="13760" spans="25:25" x14ac:dyDescent="0.2">
      <c r="Y13760" s="97"/>
    </row>
    <row r="13761" spans="25:25" x14ac:dyDescent="0.2">
      <c r="Y13761" s="97"/>
    </row>
    <row r="13762" spans="25:25" x14ac:dyDescent="0.2">
      <c r="Y13762" s="97"/>
    </row>
    <row r="13763" spans="25:25" x14ac:dyDescent="0.2">
      <c r="Y13763" s="97"/>
    </row>
    <row r="13764" spans="25:25" x14ac:dyDescent="0.2">
      <c r="Y13764" s="97"/>
    </row>
    <row r="13765" spans="25:25" x14ac:dyDescent="0.2">
      <c r="Y13765" s="97"/>
    </row>
    <row r="13766" spans="25:25" x14ac:dyDescent="0.2">
      <c r="Y13766" s="97"/>
    </row>
    <row r="13767" spans="25:25" x14ac:dyDescent="0.2">
      <c r="Y13767" s="97"/>
    </row>
    <row r="13768" spans="25:25" x14ac:dyDescent="0.2">
      <c r="Y13768" s="97"/>
    </row>
    <row r="13769" spans="25:25" x14ac:dyDescent="0.2">
      <c r="Y13769" s="97"/>
    </row>
    <row r="13770" spans="25:25" x14ac:dyDescent="0.2">
      <c r="Y13770" s="97"/>
    </row>
    <row r="13771" spans="25:25" x14ac:dyDescent="0.2">
      <c r="Y13771" s="97"/>
    </row>
    <row r="13772" spans="25:25" x14ac:dyDescent="0.2">
      <c r="Y13772" s="97"/>
    </row>
    <row r="13773" spans="25:25" x14ac:dyDescent="0.2">
      <c r="Y13773" s="97"/>
    </row>
    <row r="13774" spans="25:25" x14ac:dyDescent="0.2">
      <c r="Y13774" s="97"/>
    </row>
    <row r="13775" spans="25:25" x14ac:dyDescent="0.2">
      <c r="Y13775" s="97"/>
    </row>
    <row r="13776" spans="25:25" x14ac:dyDescent="0.2">
      <c r="Y13776" s="97"/>
    </row>
    <row r="13777" spans="25:25" x14ac:dyDescent="0.2">
      <c r="Y13777" s="97"/>
    </row>
    <row r="13778" spans="25:25" x14ac:dyDescent="0.2">
      <c r="Y13778" s="97"/>
    </row>
    <row r="13779" spans="25:25" x14ac:dyDescent="0.2">
      <c r="Y13779" s="97"/>
    </row>
    <row r="13780" spans="25:25" x14ac:dyDescent="0.2">
      <c r="Y13780" s="97"/>
    </row>
    <row r="13781" spans="25:25" x14ac:dyDescent="0.2">
      <c r="Y13781" s="97"/>
    </row>
    <row r="13782" spans="25:25" x14ac:dyDescent="0.2">
      <c r="Y13782" s="97"/>
    </row>
    <row r="13783" spans="25:25" x14ac:dyDescent="0.2">
      <c r="Y13783" s="97"/>
    </row>
    <row r="13784" spans="25:25" x14ac:dyDescent="0.2">
      <c r="Y13784" s="97"/>
    </row>
    <row r="13785" spans="25:25" x14ac:dyDescent="0.2">
      <c r="Y13785" s="97"/>
    </row>
    <row r="13786" spans="25:25" x14ac:dyDescent="0.2">
      <c r="Y13786" s="97"/>
    </row>
    <row r="13787" spans="25:25" x14ac:dyDescent="0.2">
      <c r="Y13787" s="97"/>
    </row>
    <row r="13788" spans="25:25" x14ac:dyDescent="0.2">
      <c r="Y13788" s="97"/>
    </row>
    <row r="13789" spans="25:25" x14ac:dyDescent="0.2">
      <c r="Y13789" s="97"/>
    </row>
    <row r="13790" spans="25:25" x14ac:dyDescent="0.2">
      <c r="Y13790" s="97"/>
    </row>
    <row r="13791" spans="25:25" x14ac:dyDescent="0.2">
      <c r="Y13791" s="97"/>
    </row>
    <row r="13792" spans="25:25" x14ac:dyDescent="0.2">
      <c r="Y13792" s="97"/>
    </row>
    <row r="13793" spans="25:25" x14ac:dyDescent="0.2">
      <c r="Y13793" s="97"/>
    </row>
    <row r="13794" spans="25:25" x14ac:dyDescent="0.2">
      <c r="Y13794" s="97"/>
    </row>
    <row r="13795" spans="25:25" x14ac:dyDescent="0.2">
      <c r="Y13795" s="97"/>
    </row>
    <row r="13796" spans="25:25" x14ac:dyDescent="0.2">
      <c r="Y13796" s="97"/>
    </row>
    <row r="13797" spans="25:25" x14ac:dyDescent="0.2">
      <c r="Y13797" s="97"/>
    </row>
    <row r="13798" spans="25:25" x14ac:dyDescent="0.2">
      <c r="Y13798" s="97"/>
    </row>
    <row r="13799" spans="25:25" x14ac:dyDescent="0.2">
      <c r="Y13799" s="97"/>
    </row>
    <row r="13800" spans="25:25" x14ac:dyDescent="0.2">
      <c r="Y13800" s="97"/>
    </row>
    <row r="13801" spans="25:25" x14ac:dyDescent="0.2">
      <c r="Y13801" s="97"/>
    </row>
    <row r="13802" spans="25:25" x14ac:dyDescent="0.2">
      <c r="Y13802" s="97"/>
    </row>
    <row r="13803" spans="25:25" x14ac:dyDescent="0.2">
      <c r="Y13803" s="97"/>
    </row>
    <row r="13804" spans="25:25" x14ac:dyDescent="0.2">
      <c r="Y13804" s="97"/>
    </row>
    <row r="13805" spans="25:25" x14ac:dyDescent="0.2">
      <c r="Y13805" s="97"/>
    </row>
    <row r="13806" spans="25:25" x14ac:dyDescent="0.2">
      <c r="Y13806" s="97"/>
    </row>
    <row r="13807" spans="25:25" x14ac:dyDescent="0.2">
      <c r="Y13807" s="97"/>
    </row>
    <row r="13808" spans="25:25" x14ac:dyDescent="0.2">
      <c r="Y13808" s="97"/>
    </row>
    <row r="13809" spans="25:25" x14ac:dyDescent="0.2">
      <c r="Y13809" s="97"/>
    </row>
    <row r="13810" spans="25:25" x14ac:dyDescent="0.2">
      <c r="Y13810" s="97"/>
    </row>
    <row r="13811" spans="25:25" x14ac:dyDescent="0.2">
      <c r="Y13811" s="97"/>
    </row>
    <row r="13812" spans="25:25" x14ac:dyDescent="0.2">
      <c r="Y13812" s="97"/>
    </row>
    <row r="13813" spans="25:25" x14ac:dyDescent="0.2">
      <c r="Y13813" s="97"/>
    </row>
    <row r="13814" spans="25:25" x14ac:dyDescent="0.2">
      <c r="Y13814" s="97"/>
    </row>
    <row r="13815" spans="25:25" x14ac:dyDescent="0.2">
      <c r="Y13815" s="97"/>
    </row>
    <row r="13816" spans="25:25" x14ac:dyDescent="0.2">
      <c r="Y13816" s="97"/>
    </row>
    <row r="13817" spans="25:25" x14ac:dyDescent="0.2">
      <c r="Y13817" s="97"/>
    </row>
    <row r="13818" spans="25:25" x14ac:dyDescent="0.2">
      <c r="Y13818" s="97"/>
    </row>
    <row r="13819" spans="25:25" x14ac:dyDescent="0.2">
      <c r="Y13819" s="97"/>
    </row>
    <row r="13820" spans="25:25" x14ac:dyDescent="0.2">
      <c r="Y13820" s="97"/>
    </row>
    <row r="13821" spans="25:25" x14ac:dyDescent="0.2">
      <c r="Y13821" s="97"/>
    </row>
    <row r="13822" spans="25:25" x14ac:dyDescent="0.2">
      <c r="Y13822" s="97"/>
    </row>
    <row r="13823" spans="25:25" x14ac:dyDescent="0.2">
      <c r="Y13823" s="97"/>
    </row>
    <row r="13824" spans="25:25" x14ac:dyDescent="0.2">
      <c r="Y13824" s="97"/>
    </row>
    <row r="13825" spans="25:25" x14ac:dyDescent="0.2">
      <c r="Y13825" s="97"/>
    </row>
    <row r="13826" spans="25:25" x14ac:dyDescent="0.2">
      <c r="Y13826" s="97"/>
    </row>
    <row r="13827" spans="25:25" x14ac:dyDescent="0.2">
      <c r="Y13827" s="97"/>
    </row>
    <row r="13828" spans="25:25" x14ac:dyDescent="0.2">
      <c r="Y13828" s="97"/>
    </row>
    <row r="13829" spans="25:25" x14ac:dyDescent="0.2">
      <c r="Y13829" s="97"/>
    </row>
    <row r="13830" spans="25:25" x14ac:dyDescent="0.2">
      <c r="Y13830" s="97"/>
    </row>
    <row r="13831" spans="25:25" x14ac:dyDescent="0.2">
      <c r="Y13831" s="97"/>
    </row>
    <row r="13832" spans="25:25" x14ac:dyDescent="0.2">
      <c r="Y13832" s="97"/>
    </row>
    <row r="13833" spans="25:25" x14ac:dyDescent="0.2">
      <c r="Y13833" s="97"/>
    </row>
    <row r="13834" spans="25:25" x14ac:dyDescent="0.2">
      <c r="Y13834" s="97"/>
    </row>
    <row r="13835" spans="25:25" x14ac:dyDescent="0.2">
      <c r="Y13835" s="97"/>
    </row>
    <row r="13836" spans="25:25" x14ac:dyDescent="0.2">
      <c r="Y13836" s="97"/>
    </row>
    <row r="13837" spans="25:25" x14ac:dyDescent="0.2">
      <c r="Y13837" s="97"/>
    </row>
    <row r="13838" spans="25:25" x14ac:dyDescent="0.2">
      <c r="Y13838" s="97"/>
    </row>
    <row r="13839" spans="25:25" x14ac:dyDescent="0.2">
      <c r="Y13839" s="97"/>
    </row>
    <row r="13840" spans="25:25" x14ac:dyDescent="0.2">
      <c r="Y13840" s="97"/>
    </row>
    <row r="13841" spans="25:25" x14ac:dyDescent="0.2">
      <c r="Y13841" s="97"/>
    </row>
    <row r="13842" spans="25:25" x14ac:dyDescent="0.2">
      <c r="Y13842" s="97"/>
    </row>
    <row r="13843" spans="25:25" x14ac:dyDescent="0.2">
      <c r="Y13843" s="97"/>
    </row>
    <row r="13844" spans="25:25" x14ac:dyDescent="0.2">
      <c r="Y13844" s="97"/>
    </row>
    <row r="13845" spans="25:25" x14ac:dyDescent="0.2">
      <c r="Y13845" s="97"/>
    </row>
    <row r="13846" spans="25:25" x14ac:dyDescent="0.2">
      <c r="Y13846" s="97"/>
    </row>
    <row r="13847" spans="25:25" x14ac:dyDescent="0.2">
      <c r="Y13847" s="97"/>
    </row>
    <row r="13848" spans="25:25" x14ac:dyDescent="0.2">
      <c r="Y13848" s="97"/>
    </row>
    <row r="13849" spans="25:25" x14ac:dyDescent="0.2">
      <c r="Y13849" s="97"/>
    </row>
    <row r="13850" spans="25:25" x14ac:dyDescent="0.2">
      <c r="Y13850" s="97"/>
    </row>
    <row r="13851" spans="25:25" x14ac:dyDescent="0.2">
      <c r="Y13851" s="97"/>
    </row>
    <row r="13852" spans="25:25" x14ac:dyDescent="0.2">
      <c r="Y13852" s="97"/>
    </row>
    <row r="13853" spans="25:25" x14ac:dyDescent="0.2">
      <c r="Y13853" s="97"/>
    </row>
    <row r="13854" spans="25:25" x14ac:dyDescent="0.2">
      <c r="Y13854" s="97"/>
    </row>
    <row r="13855" spans="25:25" x14ac:dyDescent="0.2">
      <c r="Y13855" s="97"/>
    </row>
    <row r="13856" spans="25:25" x14ac:dyDescent="0.2">
      <c r="Y13856" s="97"/>
    </row>
    <row r="13857" spans="25:25" x14ac:dyDescent="0.2">
      <c r="Y13857" s="97"/>
    </row>
    <row r="13858" spans="25:25" x14ac:dyDescent="0.2">
      <c r="Y13858" s="97"/>
    </row>
    <row r="13859" spans="25:25" x14ac:dyDescent="0.2">
      <c r="Y13859" s="97"/>
    </row>
    <row r="13860" spans="25:25" x14ac:dyDescent="0.2">
      <c r="Y13860" s="97"/>
    </row>
    <row r="13861" spans="25:25" x14ac:dyDescent="0.2">
      <c r="Y13861" s="97"/>
    </row>
    <row r="13862" spans="25:25" x14ac:dyDescent="0.2">
      <c r="Y13862" s="97"/>
    </row>
    <row r="13863" spans="25:25" x14ac:dyDescent="0.2">
      <c r="Y13863" s="97"/>
    </row>
    <row r="13864" spans="25:25" x14ac:dyDescent="0.2">
      <c r="Y13864" s="97"/>
    </row>
    <row r="13865" spans="25:25" x14ac:dyDescent="0.2">
      <c r="Y13865" s="97"/>
    </row>
    <row r="13866" spans="25:25" x14ac:dyDescent="0.2">
      <c r="Y13866" s="97"/>
    </row>
    <row r="13867" spans="25:25" x14ac:dyDescent="0.2">
      <c r="Y13867" s="97"/>
    </row>
    <row r="13868" spans="25:25" x14ac:dyDescent="0.2">
      <c r="Y13868" s="97"/>
    </row>
    <row r="13869" spans="25:25" x14ac:dyDescent="0.2">
      <c r="Y13869" s="97"/>
    </row>
    <row r="13870" spans="25:25" x14ac:dyDescent="0.2">
      <c r="Y13870" s="97"/>
    </row>
    <row r="13871" spans="25:25" x14ac:dyDescent="0.2">
      <c r="Y13871" s="97"/>
    </row>
    <row r="13872" spans="25:25" x14ac:dyDescent="0.2">
      <c r="Y13872" s="97"/>
    </row>
    <row r="13873" spans="25:25" x14ac:dyDescent="0.2">
      <c r="Y13873" s="97"/>
    </row>
    <row r="13874" spans="25:25" x14ac:dyDescent="0.2">
      <c r="Y13874" s="97"/>
    </row>
    <row r="13875" spans="25:25" x14ac:dyDescent="0.2">
      <c r="Y13875" s="97"/>
    </row>
    <row r="13876" spans="25:25" x14ac:dyDescent="0.2">
      <c r="Y13876" s="97"/>
    </row>
    <row r="13877" spans="25:25" x14ac:dyDescent="0.2">
      <c r="Y13877" s="97"/>
    </row>
    <row r="13878" spans="25:25" x14ac:dyDescent="0.2">
      <c r="Y13878" s="97"/>
    </row>
    <row r="13879" spans="25:25" x14ac:dyDescent="0.2">
      <c r="Y13879" s="97"/>
    </row>
    <row r="13880" spans="25:25" x14ac:dyDescent="0.2">
      <c r="Y13880" s="97"/>
    </row>
    <row r="13881" spans="25:25" x14ac:dyDescent="0.2">
      <c r="Y13881" s="97"/>
    </row>
    <row r="13882" spans="25:25" x14ac:dyDescent="0.2">
      <c r="Y13882" s="97"/>
    </row>
    <row r="13883" spans="25:25" x14ac:dyDescent="0.2">
      <c r="Y13883" s="97"/>
    </row>
    <row r="13884" spans="25:25" x14ac:dyDescent="0.2">
      <c r="Y13884" s="97"/>
    </row>
    <row r="13885" spans="25:25" x14ac:dyDescent="0.2">
      <c r="Y13885" s="97"/>
    </row>
    <row r="13886" spans="25:25" x14ac:dyDescent="0.2">
      <c r="Y13886" s="97"/>
    </row>
    <row r="13887" spans="25:25" x14ac:dyDescent="0.2">
      <c r="Y13887" s="97"/>
    </row>
    <row r="13888" spans="25:25" x14ac:dyDescent="0.2">
      <c r="Y13888" s="97"/>
    </row>
    <row r="13889" spans="25:25" x14ac:dyDescent="0.2">
      <c r="Y13889" s="97"/>
    </row>
    <row r="13890" spans="25:25" x14ac:dyDescent="0.2">
      <c r="Y13890" s="97"/>
    </row>
    <row r="13891" spans="25:25" x14ac:dyDescent="0.2">
      <c r="Y13891" s="97"/>
    </row>
    <row r="13892" spans="25:25" x14ac:dyDescent="0.2">
      <c r="Y13892" s="97"/>
    </row>
    <row r="13893" spans="25:25" x14ac:dyDescent="0.2">
      <c r="Y13893" s="97"/>
    </row>
    <row r="13894" spans="25:25" x14ac:dyDescent="0.2">
      <c r="Y13894" s="97"/>
    </row>
    <row r="13895" spans="25:25" x14ac:dyDescent="0.2">
      <c r="Y13895" s="97"/>
    </row>
    <row r="13896" spans="25:25" x14ac:dyDescent="0.2">
      <c r="Y13896" s="97"/>
    </row>
    <row r="13897" spans="25:25" x14ac:dyDescent="0.2">
      <c r="Y13897" s="97"/>
    </row>
    <row r="13898" spans="25:25" x14ac:dyDescent="0.2">
      <c r="Y13898" s="97"/>
    </row>
    <row r="13899" spans="25:25" x14ac:dyDescent="0.2">
      <c r="Y13899" s="97"/>
    </row>
    <row r="13900" spans="25:25" x14ac:dyDescent="0.2">
      <c r="Y13900" s="97"/>
    </row>
    <row r="13901" spans="25:25" x14ac:dyDescent="0.2">
      <c r="Y13901" s="97"/>
    </row>
    <row r="13902" spans="25:25" x14ac:dyDescent="0.2">
      <c r="Y13902" s="97"/>
    </row>
    <row r="13903" spans="25:25" x14ac:dyDescent="0.2">
      <c r="Y13903" s="97"/>
    </row>
    <row r="13904" spans="25:25" x14ac:dyDescent="0.2">
      <c r="Y13904" s="97"/>
    </row>
    <row r="13905" spans="25:25" x14ac:dyDescent="0.2">
      <c r="Y13905" s="97"/>
    </row>
    <row r="13906" spans="25:25" x14ac:dyDescent="0.2">
      <c r="Y13906" s="97"/>
    </row>
    <row r="13907" spans="25:25" x14ac:dyDescent="0.2">
      <c r="Y13907" s="97"/>
    </row>
    <row r="13908" spans="25:25" x14ac:dyDescent="0.2">
      <c r="Y13908" s="97"/>
    </row>
    <row r="13909" spans="25:25" x14ac:dyDescent="0.2">
      <c r="Y13909" s="97"/>
    </row>
    <row r="13910" spans="25:25" x14ac:dyDescent="0.2">
      <c r="Y13910" s="97"/>
    </row>
    <row r="13911" spans="25:25" x14ac:dyDescent="0.2">
      <c r="Y13911" s="97"/>
    </row>
    <row r="13912" spans="25:25" x14ac:dyDescent="0.2">
      <c r="Y13912" s="97"/>
    </row>
    <row r="13913" spans="25:25" x14ac:dyDescent="0.2">
      <c r="Y13913" s="97"/>
    </row>
    <row r="13914" spans="25:25" x14ac:dyDescent="0.2">
      <c r="Y13914" s="97"/>
    </row>
    <row r="13915" spans="25:25" x14ac:dyDescent="0.2">
      <c r="Y13915" s="97"/>
    </row>
    <row r="13916" spans="25:25" x14ac:dyDescent="0.2">
      <c r="Y13916" s="97"/>
    </row>
    <row r="13917" spans="25:25" x14ac:dyDescent="0.2">
      <c r="Y13917" s="97"/>
    </row>
    <row r="13918" spans="25:25" x14ac:dyDescent="0.2">
      <c r="Y13918" s="97"/>
    </row>
    <row r="13919" spans="25:25" x14ac:dyDescent="0.2">
      <c r="Y13919" s="97"/>
    </row>
    <row r="13920" spans="25:25" x14ac:dyDescent="0.2">
      <c r="Y13920" s="97"/>
    </row>
    <row r="13921" spans="25:25" x14ac:dyDescent="0.2">
      <c r="Y13921" s="97"/>
    </row>
    <row r="13922" spans="25:25" x14ac:dyDescent="0.2">
      <c r="Y13922" s="97"/>
    </row>
    <row r="13923" spans="25:25" x14ac:dyDescent="0.2">
      <c r="Y13923" s="97"/>
    </row>
    <row r="13924" spans="25:25" x14ac:dyDescent="0.2">
      <c r="Y13924" s="97"/>
    </row>
    <row r="13925" spans="25:25" x14ac:dyDescent="0.2">
      <c r="Y13925" s="97"/>
    </row>
    <row r="13926" spans="25:25" x14ac:dyDescent="0.2">
      <c r="Y13926" s="97"/>
    </row>
    <row r="13927" spans="25:25" x14ac:dyDescent="0.2">
      <c r="Y13927" s="97"/>
    </row>
    <row r="13928" spans="25:25" x14ac:dyDescent="0.2">
      <c r="Y13928" s="97"/>
    </row>
    <row r="13929" spans="25:25" x14ac:dyDescent="0.2">
      <c r="Y13929" s="97"/>
    </row>
    <row r="13930" spans="25:25" x14ac:dyDescent="0.2">
      <c r="Y13930" s="97"/>
    </row>
    <row r="13931" spans="25:25" x14ac:dyDescent="0.2">
      <c r="Y13931" s="97"/>
    </row>
    <row r="13932" spans="25:25" x14ac:dyDescent="0.2">
      <c r="Y13932" s="97"/>
    </row>
    <row r="13933" spans="25:25" x14ac:dyDescent="0.2">
      <c r="Y13933" s="97"/>
    </row>
    <row r="13934" spans="25:25" x14ac:dyDescent="0.2">
      <c r="Y13934" s="97"/>
    </row>
    <row r="13935" spans="25:25" x14ac:dyDescent="0.2">
      <c r="Y13935" s="97"/>
    </row>
    <row r="13936" spans="25:25" x14ac:dyDescent="0.2">
      <c r="Y13936" s="97"/>
    </row>
    <row r="13937" spans="25:25" x14ac:dyDescent="0.2">
      <c r="Y13937" s="97"/>
    </row>
    <row r="13938" spans="25:25" x14ac:dyDescent="0.2">
      <c r="Y13938" s="97"/>
    </row>
    <row r="13939" spans="25:25" x14ac:dyDescent="0.2">
      <c r="Y13939" s="97"/>
    </row>
    <row r="13940" spans="25:25" x14ac:dyDescent="0.2">
      <c r="Y13940" s="97"/>
    </row>
    <row r="13941" spans="25:25" x14ac:dyDescent="0.2">
      <c r="Y13941" s="97"/>
    </row>
    <row r="13942" spans="25:25" x14ac:dyDescent="0.2">
      <c r="Y13942" s="97"/>
    </row>
    <row r="13943" spans="25:25" x14ac:dyDescent="0.2">
      <c r="Y13943" s="97"/>
    </row>
    <row r="13944" spans="25:25" x14ac:dyDescent="0.2">
      <c r="Y13944" s="97"/>
    </row>
    <row r="13945" spans="25:25" x14ac:dyDescent="0.2">
      <c r="Y13945" s="97"/>
    </row>
    <row r="13946" spans="25:25" x14ac:dyDescent="0.2">
      <c r="Y13946" s="97"/>
    </row>
    <row r="13947" spans="25:25" x14ac:dyDescent="0.2">
      <c r="Y13947" s="97"/>
    </row>
    <row r="13948" spans="25:25" x14ac:dyDescent="0.2">
      <c r="Y13948" s="97"/>
    </row>
    <row r="13949" spans="25:25" x14ac:dyDescent="0.2">
      <c r="Y13949" s="97"/>
    </row>
    <row r="13950" spans="25:25" x14ac:dyDescent="0.2">
      <c r="Y13950" s="97"/>
    </row>
    <row r="13951" spans="25:25" x14ac:dyDescent="0.2">
      <c r="Y13951" s="97"/>
    </row>
    <row r="13952" spans="25:25" x14ac:dyDescent="0.2">
      <c r="Y13952" s="97"/>
    </row>
    <row r="13953" spans="25:25" x14ac:dyDescent="0.2">
      <c r="Y13953" s="97"/>
    </row>
    <row r="13954" spans="25:25" x14ac:dyDescent="0.2">
      <c r="Y13954" s="97"/>
    </row>
    <row r="13955" spans="25:25" x14ac:dyDescent="0.2">
      <c r="Y13955" s="97"/>
    </row>
    <row r="13956" spans="25:25" x14ac:dyDescent="0.2">
      <c r="Y13956" s="97"/>
    </row>
    <row r="13957" spans="25:25" x14ac:dyDescent="0.2">
      <c r="Y13957" s="97"/>
    </row>
    <row r="13958" spans="25:25" x14ac:dyDescent="0.2">
      <c r="Y13958" s="97"/>
    </row>
    <row r="13959" spans="25:25" x14ac:dyDescent="0.2">
      <c r="Y13959" s="97"/>
    </row>
    <row r="13960" spans="25:25" x14ac:dyDescent="0.2">
      <c r="Y13960" s="97"/>
    </row>
    <row r="13961" spans="25:25" x14ac:dyDescent="0.2">
      <c r="Y13961" s="97"/>
    </row>
    <row r="13962" spans="25:25" x14ac:dyDescent="0.2">
      <c r="Y13962" s="97"/>
    </row>
    <row r="13963" spans="25:25" x14ac:dyDescent="0.2">
      <c r="Y13963" s="97"/>
    </row>
    <row r="13964" spans="25:25" x14ac:dyDescent="0.2">
      <c r="Y13964" s="97"/>
    </row>
    <row r="13965" spans="25:25" x14ac:dyDescent="0.2">
      <c r="Y13965" s="97"/>
    </row>
    <row r="13966" spans="25:25" x14ac:dyDescent="0.2">
      <c r="Y13966" s="97"/>
    </row>
    <row r="13967" spans="25:25" x14ac:dyDescent="0.2">
      <c r="Y13967" s="97"/>
    </row>
    <row r="13968" spans="25:25" x14ac:dyDescent="0.2">
      <c r="Y13968" s="97"/>
    </row>
    <row r="13969" spans="25:25" x14ac:dyDescent="0.2">
      <c r="Y13969" s="97"/>
    </row>
    <row r="13970" spans="25:25" x14ac:dyDescent="0.2">
      <c r="Y13970" s="97"/>
    </row>
    <row r="13971" spans="25:25" x14ac:dyDescent="0.2">
      <c r="Y13971" s="97"/>
    </row>
    <row r="13972" spans="25:25" x14ac:dyDescent="0.2">
      <c r="Y13972" s="97"/>
    </row>
    <row r="13973" spans="25:25" x14ac:dyDescent="0.2">
      <c r="Y13973" s="97"/>
    </row>
    <row r="13974" spans="25:25" x14ac:dyDescent="0.2">
      <c r="Y13974" s="97"/>
    </row>
    <row r="13975" spans="25:25" x14ac:dyDescent="0.2">
      <c r="Y13975" s="97"/>
    </row>
    <row r="13976" spans="25:25" x14ac:dyDescent="0.2">
      <c r="Y13976" s="97"/>
    </row>
    <row r="13977" spans="25:25" x14ac:dyDescent="0.2">
      <c r="Y13977" s="97"/>
    </row>
    <row r="13978" spans="25:25" x14ac:dyDescent="0.2">
      <c r="Y13978" s="97"/>
    </row>
    <row r="13979" spans="25:25" x14ac:dyDescent="0.2">
      <c r="Y13979" s="97"/>
    </row>
    <row r="13980" spans="25:25" x14ac:dyDescent="0.2">
      <c r="Y13980" s="97"/>
    </row>
    <row r="13981" spans="25:25" x14ac:dyDescent="0.2">
      <c r="Y13981" s="97"/>
    </row>
    <row r="13982" spans="25:25" x14ac:dyDescent="0.2">
      <c r="Y13982" s="97"/>
    </row>
    <row r="13983" spans="25:25" x14ac:dyDescent="0.2">
      <c r="Y13983" s="97"/>
    </row>
    <row r="13984" spans="25:25" x14ac:dyDescent="0.2">
      <c r="Y13984" s="97"/>
    </row>
    <row r="13985" spans="25:25" x14ac:dyDescent="0.2">
      <c r="Y13985" s="97"/>
    </row>
    <row r="13986" spans="25:25" x14ac:dyDescent="0.2">
      <c r="Y13986" s="97"/>
    </row>
    <row r="13987" spans="25:25" x14ac:dyDescent="0.2">
      <c r="Y13987" s="97"/>
    </row>
    <row r="13988" spans="25:25" x14ac:dyDescent="0.2">
      <c r="Y13988" s="97"/>
    </row>
    <row r="13989" spans="25:25" x14ac:dyDescent="0.2">
      <c r="Y13989" s="97"/>
    </row>
    <row r="13990" spans="25:25" x14ac:dyDescent="0.2">
      <c r="Y13990" s="97"/>
    </row>
    <row r="13991" spans="25:25" x14ac:dyDescent="0.2">
      <c r="Y13991" s="97"/>
    </row>
    <row r="13992" spans="25:25" x14ac:dyDescent="0.2">
      <c r="Y13992" s="97"/>
    </row>
    <row r="13993" spans="25:25" x14ac:dyDescent="0.2">
      <c r="Y13993" s="97"/>
    </row>
    <row r="13994" spans="25:25" x14ac:dyDescent="0.2">
      <c r="Y13994" s="97"/>
    </row>
    <row r="13995" spans="25:25" x14ac:dyDescent="0.2">
      <c r="Y13995" s="97"/>
    </row>
    <row r="13996" spans="25:25" x14ac:dyDescent="0.2">
      <c r="Y13996" s="97"/>
    </row>
    <row r="13997" spans="25:25" x14ac:dyDescent="0.2">
      <c r="Y13997" s="97"/>
    </row>
    <row r="13998" spans="25:25" x14ac:dyDescent="0.2">
      <c r="Y13998" s="97"/>
    </row>
    <row r="13999" spans="25:25" x14ac:dyDescent="0.2">
      <c r="Y13999" s="97"/>
    </row>
    <row r="14000" spans="25:25" x14ac:dyDescent="0.2">
      <c r="Y14000" s="97"/>
    </row>
    <row r="14001" spans="25:25" x14ac:dyDescent="0.2">
      <c r="Y14001" s="97"/>
    </row>
    <row r="14002" spans="25:25" x14ac:dyDescent="0.2">
      <c r="Y14002" s="97"/>
    </row>
    <row r="14003" spans="25:25" x14ac:dyDescent="0.2">
      <c r="Y14003" s="97"/>
    </row>
    <row r="14004" spans="25:25" x14ac:dyDescent="0.2">
      <c r="Y14004" s="97"/>
    </row>
    <row r="14005" spans="25:25" x14ac:dyDescent="0.2">
      <c r="Y14005" s="97"/>
    </row>
    <row r="14006" spans="25:25" x14ac:dyDescent="0.2">
      <c r="Y14006" s="97"/>
    </row>
    <row r="14007" spans="25:25" x14ac:dyDescent="0.2">
      <c r="Y14007" s="97"/>
    </row>
    <row r="14008" spans="25:25" x14ac:dyDescent="0.2">
      <c r="Y14008" s="97"/>
    </row>
    <row r="14009" spans="25:25" x14ac:dyDescent="0.2">
      <c r="Y14009" s="97"/>
    </row>
    <row r="14010" spans="25:25" x14ac:dyDescent="0.2">
      <c r="Y14010" s="97"/>
    </row>
    <row r="14011" spans="25:25" x14ac:dyDescent="0.2">
      <c r="Y14011" s="97"/>
    </row>
    <row r="14012" spans="25:25" x14ac:dyDescent="0.2">
      <c r="Y14012" s="97"/>
    </row>
    <row r="14013" spans="25:25" x14ac:dyDescent="0.2">
      <c r="Y14013" s="97"/>
    </row>
    <row r="14014" spans="25:25" x14ac:dyDescent="0.2">
      <c r="Y14014" s="97"/>
    </row>
    <row r="14015" spans="25:25" x14ac:dyDescent="0.2">
      <c r="Y14015" s="97"/>
    </row>
    <row r="14016" spans="25:25" x14ac:dyDescent="0.2">
      <c r="Y14016" s="97"/>
    </row>
    <row r="14017" spans="25:25" x14ac:dyDescent="0.2">
      <c r="Y14017" s="97"/>
    </row>
    <row r="14018" spans="25:25" x14ac:dyDescent="0.2">
      <c r="Y14018" s="97"/>
    </row>
    <row r="14019" spans="25:25" x14ac:dyDescent="0.2">
      <c r="Y14019" s="97"/>
    </row>
    <row r="14020" spans="25:25" x14ac:dyDescent="0.2">
      <c r="Y14020" s="97"/>
    </row>
    <row r="14021" spans="25:25" x14ac:dyDescent="0.2">
      <c r="Y14021" s="97"/>
    </row>
    <row r="14022" spans="25:25" x14ac:dyDescent="0.2">
      <c r="Y14022" s="97"/>
    </row>
    <row r="14023" spans="25:25" x14ac:dyDescent="0.2">
      <c r="Y14023" s="97"/>
    </row>
    <row r="14024" spans="25:25" x14ac:dyDescent="0.2">
      <c r="Y14024" s="97"/>
    </row>
    <row r="14025" spans="25:25" x14ac:dyDescent="0.2">
      <c r="Y14025" s="97"/>
    </row>
    <row r="14026" spans="25:25" x14ac:dyDescent="0.2">
      <c r="Y14026" s="97"/>
    </row>
    <row r="14027" spans="25:25" x14ac:dyDescent="0.2">
      <c r="Y14027" s="97"/>
    </row>
    <row r="14028" spans="25:25" x14ac:dyDescent="0.2">
      <c r="Y14028" s="97"/>
    </row>
    <row r="14029" spans="25:25" x14ac:dyDescent="0.2">
      <c r="Y14029" s="97"/>
    </row>
    <row r="14030" spans="25:25" x14ac:dyDescent="0.2">
      <c r="Y14030" s="97"/>
    </row>
    <row r="14031" spans="25:25" x14ac:dyDescent="0.2">
      <c r="Y14031" s="97"/>
    </row>
    <row r="14032" spans="25:25" x14ac:dyDescent="0.2">
      <c r="Y14032" s="97"/>
    </row>
    <row r="14033" spans="25:25" x14ac:dyDescent="0.2">
      <c r="Y14033" s="97"/>
    </row>
    <row r="14034" spans="25:25" x14ac:dyDescent="0.2">
      <c r="Y14034" s="97"/>
    </row>
    <row r="14035" spans="25:25" x14ac:dyDescent="0.2">
      <c r="Y14035" s="97"/>
    </row>
    <row r="14036" spans="25:25" x14ac:dyDescent="0.2">
      <c r="Y14036" s="97"/>
    </row>
    <row r="14037" spans="25:25" x14ac:dyDescent="0.2">
      <c r="Y14037" s="97"/>
    </row>
    <row r="14038" spans="25:25" x14ac:dyDescent="0.2">
      <c r="Y14038" s="97"/>
    </row>
    <row r="14039" spans="25:25" x14ac:dyDescent="0.2">
      <c r="Y14039" s="97"/>
    </row>
    <row r="14040" spans="25:25" x14ac:dyDescent="0.2">
      <c r="Y14040" s="97"/>
    </row>
    <row r="14041" spans="25:25" x14ac:dyDescent="0.2">
      <c r="Y14041" s="97"/>
    </row>
    <row r="14042" spans="25:25" x14ac:dyDescent="0.2">
      <c r="Y14042" s="97"/>
    </row>
    <row r="14043" spans="25:25" x14ac:dyDescent="0.2">
      <c r="Y14043" s="97"/>
    </row>
    <row r="14044" spans="25:25" x14ac:dyDescent="0.2">
      <c r="Y14044" s="97"/>
    </row>
    <row r="14045" spans="25:25" x14ac:dyDescent="0.2">
      <c r="Y14045" s="97"/>
    </row>
    <row r="14046" spans="25:25" x14ac:dyDescent="0.2">
      <c r="Y14046" s="97"/>
    </row>
    <row r="14047" spans="25:25" x14ac:dyDescent="0.2">
      <c r="Y14047" s="97"/>
    </row>
    <row r="14048" spans="25:25" x14ac:dyDescent="0.2">
      <c r="Y14048" s="97"/>
    </row>
    <row r="14049" spans="25:25" x14ac:dyDescent="0.2">
      <c r="Y14049" s="97"/>
    </row>
    <row r="14050" spans="25:25" x14ac:dyDescent="0.2">
      <c r="Y14050" s="97"/>
    </row>
    <row r="14051" spans="25:25" x14ac:dyDescent="0.2">
      <c r="Y14051" s="97"/>
    </row>
    <row r="14052" spans="25:25" x14ac:dyDescent="0.2">
      <c r="Y14052" s="97"/>
    </row>
    <row r="14053" spans="25:25" x14ac:dyDescent="0.2">
      <c r="Y14053" s="97"/>
    </row>
    <row r="14054" spans="25:25" x14ac:dyDescent="0.2">
      <c r="Y14054" s="97"/>
    </row>
    <row r="14055" spans="25:25" x14ac:dyDescent="0.2">
      <c r="Y14055" s="97"/>
    </row>
    <row r="14056" spans="25:25" x14ac:dyDescent="0.2">
      <c r="Y14056" s="97"/>
    </row>
    <row r="14057" spans="25:25" x14ac:dyDescent="0.2">
      <c r="Y14057" s="97"/>
    </row>
    <row r="14058" spans="25:25" x14ac:dyDescent="0.2">
      <c r="Y14058" s="97"/>
    </row>
    <row r="14059" spans="25:25" x14ac:dyDescent="0.2">
      <c r="Y14059" s="97"/>
    </row>
    <row r="14060" spans="25:25" x14ac:dyDescent="0.2">
      <c r="Y14060" s="97"/>
    </row>
    <row r="14061" spans="25:25" x14ac:dyDescent="0.2">
      <c r="Y14061" s="97"/>
    </row>
    <row r="14062" spans="25:25" x14ac:dyDescent="0.2">
      <c r="Y14062" s="97"/>
    </row>
    <row r="14063" spans="25:25" x14ac:dyDescent="0.2">
      <c r="Y14063" s="97"/>
    </row>
    <row r="14064" spans="25:25" x14ac:dyDescent="0.2">
      <c r="Y14064" s="97"/>
    </row>
    <row r="14065" spans="25:25" x14ac:dyDescent="0.2">
      <c r="Y14065" s="97"/>
    </row>
    <row r="14066" spans="25:25" x14ac:dyDescent="0.2">
      <c r="Y14066" s="97"/>
    </row>
    <row r="14067" spans="25:25" x14ac:dyDescent="0.2">
      <c r="Y14067" s="97"/>
    </row>
    <row r="14068" spans="25:25" x14ac:dyDescent="0.2">
      <c r="Y14068" s="97"/>
    </row>
    <row r="14069" spans="25:25" x14ac:dyDescent="0.2">
      <c r="Y14069" s="97"/>
    </row>
    <row r="14070" spans="25:25" x14ac:dyDescent="0.2">
      <c r="Y14070" s="97"/>
    </row>
    <row r="14071" spans="25:25" x14ac:dyDescent="0.2">
      <c r="Y14071" s="97"/>
    </row>
    <row r="14072" spans="25:25" x14ac:dyDescent="0.2">
      <c r="Y14072" s="97"/>
    </row>
    <row r="14073" spans="25:25" x14ac:dyDescent="0.2">
      <c r="Y14073" s="97"/>
    </row>
    <row r="14074" spans="25:25" x14ac:dyDescent="0.2">
      <c r="Y14074" s="97"/>
    </row>
    <row r="14075" spans="25:25" x14ac:dyDescent="0.2">
      <c r="Y14075" s="97"/>
    </row>
    <row r="14076" spans="25:25" x14ac:dyDescent="0.2">
      <c r="Y14076" s="97"/>
    </row>
    <row r="14077" spans="25:25" x14ac:dyDescent="0.2">
      <c r="Y14077" s="97"/>
    </row>
    <row r="14078" spans="25:25" x14ac:dyDescent="0.2">
      <c r="Y14078" s="97"/>
    </row>
    <row r="14079" spans="25:25" x14ac:dyDescent="0.2">
      <c r="Y14079" s="97"/>
    </row>
    <row r="14080" spans="25:25" x14ac:dyDescent="0.2">
      <c r="Y14080" s="97"/>
    </row>
    <row r="14081" spans="25:25" x14ac:dyDescent="0.2">
      <c r="Y14081" s="97"/>
    </row>
    <row r="14082" spans="25:25" x14ac:dyDescent="0.2">
      <c r="Y14082" s="97"/>
    </row>
    <row r="14083" spans="25:25" x14ac:dyDescent="0.2">
      <c r="Y14083" s="97"/>
    </row>
    <row r="14084" spans="25:25" x14ac:dyDescent="0.2">
      <c r="Y14084" s="97"/>
    </row>
    <row r="14085" spans="25:25" x14ac:dyDescent="0.2">
      <c r="Y14085" s="97"/>
    </row>
    <row r="14086" spans="25:25" x14ac:dyDescent="0.2">
      <c r="Y14086" s="97"/>
    </row>
    <row r="14087" spans="25:25" x14ac:dyDescent="0.2">
      <c r="Y14087" s="97"/>
    </row>
    <row r="14088" spans="25:25" x14ac:dyDescent="0.2">
      <c r="Y14088" s="97"/>
    </row>
    <row r="14089" spans="25:25" x14ac:dyDescent="0.2">
      <c r="Y14089" s="97"/>
    </row>
    <row r="14090" spans="25:25" x14ac:dyDescent="0.2">
      <c r="Y14090" s="97"/>
    </row>
    <row r="14091" spans="25:25" x14ac:dyDescent="0.2">
      <c r="Y14091" s="97"/>
    </row>
    <row r="14092" spans="25:25" x14ac:dyDescent="0.2">
      <c r="Y14092" s="97"/>
    </row>
    <row r="14093" spans="25:25" x14ac:dyDescent="0.2">
      <c r="Y14093" s="97"/>
    </row>
    <row r="14094" spans="25:25" x14ac:dyDescent="0.2">
      <c r="Y14094" s="97"/>
    </row>
    <row r="14095" spans="25:25" x14ac:dyDescent="0.2">
      <c r="Y14095" s="97"/>
    </row>
    <row r="14096" spans="25:25" x14ac:dyDescent="0.2">
      <c r="Y14096" s="97"/>
    </row>
    <row r="14097" spans="25:25" x14ac:dyDescent="0.2">
      <c r="Y14097" s="97"/>
    </row>
    <row r="14098" spans="25:25" x14ac:dyDescent="0.2">
      <c r="Y14098" s="97"/>
    </row>
    <row r="14099" spans="25:25" x14ac:dyDescent="0.2">
      <c r="Y14099" s="97"/>
    </row>
    <row r="14100" spans="25:25" x14ac:dyDescent="0.2">
      <c r="Y14100" s="97"/>
    </row>
    <row r="14101" spans="25:25" x14ac:dyDescent="0.2">
      <c r="Y14101" s="97"/>
    </row>
    <row r="14102" spans="25:25" x14ac:dyDescent="0.2">
      <c r="Y14102" s="97"/>
    </row>
    <row r="14103" spans="25:25" x14ac:dyDescent="0.2">
      <c r="Y14103" s="97"/>
    </row>
    <row r="14104" spans="25:25" x14ac:dyDescent="0.2">
      <c r="Y14104" s="97"/>
    </row>
    <row r="14105" spans="25:25" x14ac:dyDescent="0.2">
      <c r="Y14105" s="97"/>
    </row>
    <row r="14106" spans="25:25" x14ac:dyDescent="0.2">
      <c r="Y14106" s="97"/>
    </row>
    <row r="14107" spans="25:25" x14ac:dyDescent="0.2">
      <c r="Y14107" s="97"/>
    </row>
    <row r="14108" spans="25:25" x14ac:dyDescent="0.2">
      <c r="Y14108" s="97"/>
    </row>
    <row r="14109" spans="25:25" x14ac:dyDescent="0.2">
      <c r="Y14109" s="97"/>
    </row>
    <row r="14110" spans="25:25" x14ac:dyDescent="0.2">
      <c r="Y14110" s="97"/>
    </row>
    <row r="14111" spans="25:25" x14ac:dyDescent="0.2">
      <c r="Y14111" s="97"/>
    </row>
    <row r="14112" spans="25:25" x14ac:dyDescent="0.2">
      <c r="Y14112" s="97"/>
    </row>
    <row r="14113" spans="25:25" x14ac:dyDescent="0.2">
      <c r="Y14113" s="97"/>
    </row>
    <row r="14114" spans="25:25" x14ac:dyDescent="0.2">
      <c r="Y14114" s="97"/>
    </row>
    <row r="14115" spans="25:25" x14ac:dyDescent="0.2">
      <c r="Y14115" s="97"/>
    </row>
    <row r="14116" spans="25:25" x14ac:dyDescent="0.2">
      <c r="Y14116" s="97"/>
    </row>
    <row r="14117" spans="25:25" x14ac:dyDescent="0.2">
      <c r="Y14117" s="97"/>
    </row>
    <row r="14118" spans="25:25" x14ac:dyDescent="0.2">
      <c r="Y14118" s="97"/>
    </row>
    <row r="14119" spans="25:25" x14ac:dyDescent="0.2">
      <c r="Y14119" s="97"/>
    </row>
    <row r="14120" spans="25:25" x14ac:dyDescent="0.2">
      <c r="Y14120" s="97"/>
    </row>
    <row r="14121" spans="25:25" x14ac:dyDescent="0.2">
      <c r="Y14121" s="97"/>
    </row>
    <row r="14122" spans="25:25" x14ac:dyDescent="0.2">
      <c r="Y14122" s="97"/>
    </row>
    <row r="14123" spans="25:25" x14ac:dyDescent="0.2">
      <c r="Y14123" s="97"/>
    </row>
    <row r="14124" spans="25:25" x14ac:dyDescent="0.2">
      <c r="Y14124" s="97"/>
    </row>
    <row r="14125" spans="25:25" x14ac:dyDescent="0.2">
      <c r="Y14125" s="97"/>
    </row>
    <row r="14126" spans="25:25" x14ac:dyDescent="0.2">
      <c r="Y14126" s="97"/>
    </row>
    <row r="14127" spans="25:25" x14ac:dyDescent="0.2">
      <c r="Y14127" s="97"/>
    </row>
    <row r="14128" spans="25:25" x14ac:dyDescent="0.2">
      <c r="Y14128" s="97"/>
    </row>
    <row r="14129" spans="25:25" x14ac:dyDescent="0.2">
      <c r="Y14129" s="97"/>
    </row>
    <row r="14130" spans="25:25" x14ac:dyDescent="0.2">
      <c r="Y14130" s="97"/>
    </row>
    <row r="14131" spans="25:25" x14ac:dyDescent="0.2">
      <c r="Y14131" s="97"/>
    </row>
    <row r="14132" spans="25:25" x14ac:dyDescent="0.2">
      <c r="Y14132" s="97"/>
    </row>
    <row r="14133" spans="25:25" x14ac:dyDescent="0.2">
      <c r="Y14133" s="97"/>
    </row>
    <row r="14134" spans="25:25" x14ac:dyDescent="0.2">
      <c r="Y14134" s="97"/>
    </row>
    <row r="14135" spans="25:25" x14ac:dyDescent="0.2">
      <c r="Y14135" s="97"/>
    </row>
    <row r="14136" spans="25:25" x14ac:dyDescent="0.2">
      <c r="Y14136" s="97"/>
    </row>
    <row r="14137" spans="25:25" x14ac:dyDescent="0.2">
      <c r="Y14137" s="97"/>
    </row>
    <row r="14138" spans="25:25" x14ac:dyDescent="0.2">
      <c r="Y14138" s="97"/>
    </row>
    <row r="14139" spans="25:25" x14ac:dyDescent="0.2">
      <c r="Y14139" s="97"/>
    </row>
    <row r="14140" spans="25:25" x14ac:dyDescent="0.2">
      <c r="Y14140" s="97"/>
    </row>
    <row r="14141" spans="25:25" x14ac:dyDescent="0.2">
      <c r="Y14141" s="97"/>
    </row>
    <row r="14142" spans="25:25" x14ac:dyDescent="0.2">
      <c r="Y14142" s="97"/>
    </row>
    <row r="14143" spans="25:25" x14ac:dyDescent="0.2">
      <c r="Y14143" s="97"/>
    </row>
    <row r="14144" spans="25:25" x14ac:dyDescent="0.2">
      <c r="Y14144" s="97"/>
    </row>
    <row r="14145" spans="25:25" x14ac:dyDescent="0.2">
      <c r="Y14145" s="97"/>
    </row>
    <row r="14146" spans="25:25" x14ac:dyDescent="0.2">
      <c r="Y14146" s="97"/>
    </row>
    <row r="14147" spans="25:25" x14ac:dyDescent="0.2">
      <c r="Y14147" s="97"/>
    </row>
    <row r="14148" spans="25:25" x14ac:dyDescent="0.2">
      <c r="Y14148" s="97"/>
    </row>
    <row r="14149" spans="25:25" x14ac:dyDescent="0.2">
      <c r="Y14149" s="97"/>
    </row>
    <row r="14150" spans="25:25" x14ac:dyDescent="0.2">
      <c r="Y14150" s="97"/>
    </row>
    <row r="14151" spans="25:25" x14ac:dyDescent="0.2">
      <c r="Y14151" s="97"/>
    </row>
    <row r="14152" spans="25:25" x14ac:dyDescent="0.2">
      <c r="Y14152" s="97"/>
    </row>
    <row r="14153" spans="25:25" x14ac:dyDescent="0.2">
      <c r="Y14153" s="97"/>
    </row>
    <row r="14154" spans="25:25" x14ac:dyDescent="0.2">
      <c r="Y14154" s="97"/>
    </row>
    <row r="14155" spans="25:25" x14ac:dyDescent="0.2">
      <c r="Y14155" s="97"/>
    </row>
    <row r="14156" spans="25:25" x14ac:dyDescent="0.2">
      <c r="Y14156" s="97"/>
    </row>
    <row r="14157" spans="25:25" x14ac:dyDescent="0.2">
      <c r="Y14157" s="97"/>
    </row>
    <row r="14158" spans="25:25" x14ac:dyDescent="0.2">
      <c r="Y14158" s="97"/>
    </row>
    <row r="14159" spans="25:25" x14ac:dyDescent="0.2">
      <c r="Y14159" s="97"/>
    </row>
    <row r="14160" spans="25:25" x14ac:dyDescent="0.2">
      <c r="Y14160" s="97"/>
    </row>
    <row r="14161" spans="25:25" x14ac:dyDescent="0.2">
      <c r="Y14161" s="97"/>
    </row>
    <row r="14162" spans="25:25" x14ac:dyDescent="0.2">
      <c r="Y14162" s="97"/>
    </row>
    <row r="14163" spans="25:25" x14ac:dyDescent="0.2">
      <c r="Y14163" s="97"/>
    </row>
    <row r="14164" spans="25:25" x14ac:dyDescent="0.2">
      <c r="Y14164" s="97"/>
    </row>
    <row r="14165" spans="25:25" x14ac:dyDescent="0.2">
      <c r="Y14165" s="97"/>
    </row>
    <row r="14166" spans="25:25" x14ac:dyDescent="0.2">
      <c r="Y14166" s="97"/>
    </row>
    <row r="14167" spans="25:25" x14ac:dyDescent="0.2">
      <c r="Y14167" s="97"/>
    </row>
    <row r="14168" spans="25:25" x14ac:dyDescent="0.2">
      <c r="Y14168" s="97"/>
    </row>
    <row r="14169" spans="25:25" x14ac:dyDescent="0.2">
      <c r="Y14169" s="97"/>
    </row>
    <row r="14170" spans="25:25" x14ac:dyDescent="0.2">
      <c r="Y14170" s="97"/>
    </row>
    <row r="14171" spans="25:25" x14ac:dyDescent="0.2">
      <c r="Y14171" s="97"/>
    </row>
    <row r="14172" spans="25:25" x14ac:dyDescent="0.2">
      <c r="Y14172" s="97"/>
    </row>
    <row r="14173" spans="25:25" x14ac:dyDescent="0.2">
      <c r="Y14173" s="97"/>
    </row>
    <row r="14174" spans="25:25" x14ac:dyDescent="0.2">
      <c r="Y14174" s="97"/>
    </row>
    <row r="14175" spans="25:25" x14ac:dyDescent="0.2">
      <c r="Y14175" s="97"/>
    </row>
    <row r="14176" spans="25:25" x14ac:dyDescent="0.2">
      <c r="Y14176" s="97"/>
    </row>
    <row r="14177" spans="25:25" x14ac:dyDescent="0.2">
      <c r="Y14177" s="97"/>
    </row>
    <row r="14178" spans="25:25" x14ac:dyDescent="0.2">
      <c r="Y14178" s="97"/>
    </row>
    <row r="14179" spans="25:25" x14ac:dyDescent="0.2">
      <c r="Y14179" s="97"/>
    </row>
    <row r="14180" spans="25:25" x14ac:dyDescent="0.2">
      <c r="Y14180" s="97"/>
    </row>
    <row r="14181" spans="25:25" x14ac:dyDescent="0.2">
      <c r="Y14181" s="97"/>
    </row>
    <row r="14182" spans="25:25" x14ac:dyDescent="0.2">
      <c r="Y14182" s="97"/>
    </row>
    <row r="14183" spans="25:25" x14ac:dyDescent="0.2">
      <c r="Y14183" s="97"/>
    </row>
    <row r="14184" spans="25:25" x14ac:dyDescent="0.2">
      <c r="Y14184" s="97"/>
    </row>
    <row r="14185" spans="25:25" x14ac:dyDescent="0.2">
      <c r="Y14185" s="97"/>
    </row>
    <row r="14186" spans="25:25" x14ac:dyDescent="0.2">
      <c r="Y14186" s="97"/>
    </row>
    <row r="14187" spans="25:25" x14ac:dyDescent="0.2">
      <c r="Y14187" s="97"/>
    </row>
    <row r="14188" spans="25:25" x14ac:dyDescent="0.2">
      <c r="Y14188" s="97"/>
    </row>
    <row r="14189" spans="25:25" x14ac:dyDescent="0.2">
      <c r="Y14189" s="97"/>
    </row>
    <row r="14190" spans="25:25" x14ac:dyDescent="0.2">
      <c r="Y14190" s="97"/>
    </row>
    <row r="14191" spans="25:25" x14ac:dyDescent="0.2">
      <c r="Y14191" s="97"/>
    </row>
    <row r="14192" spans="25:25" x14ac:dyDescent="0.2">
      <c r="Y14192" s="97"/>
    </row>
    <row r="14193" spans="25:25" x14ac:dyDescent="0.2">
      <c r="Y14193" s="97"/>
    </row>
    <row r="14194" spans="25:25" x14ac:dyDescent="0.2">
      <c r="Y14194" s="97"/>
    </row>
    <row r="14195" spans="25:25" x14ac:dyDescent="0.2">
      <c r="Y14195" s="97"/>
    </row>
    <row r="14196" spans="25:25" x14ac:dyDescent="0.2">
      <c r="Y14196" s="97"/>
    </row>
    <row r="14197" spans="25:25" x14ac:dyDescent="0.2">
      <c r="Y14197" s="97"/>
    </row>
    <row r="14198" spans="25:25" x14ac:dyDescent="0.2">
      <c r="Y14198" s="97"/>
    </row>
    <row r="14199" spans="25:25" x14ac:dyDescent="0.2">
      <c r="Y14199" s="97"/>
    </row>
    <row r="14200" spans="25:25" x14ac:dyDescent="0.2">
      <c r="Y14200" s="97"/>
    </row>
    <row r="14201" spans="25:25" x14ac:dyDescent="0.2">
      <c r="Y14201" s="97"/>
    </row>
    <row r="14202" spans="25:25" x14ac:dyDescent="0.2">
      <c r="Y14202" s="97"/>
    </row>
    <row r="14203" spans="25:25" x14ac:dyDescent="0.2">
      <c r="Y14203" s="97"/>
    </row>
    <row r="14204" spans="25:25" x14ac:dyDescent="0.2">
      <c r="Y14204" s="97"/>
    </row>
    <row r="14205" spans="25:25" x14ac:dyDescent="0.2">
      <c r="Y14205" s="97"/>
    </row>
    <row r="14206" spans="25:25" x14ac:dyDescent="0.2">
      <c r="Y14206" s="97"/>
    </row>
    <row r="14207" spans="25:25" x14ac:dyDescent="0.2">
      <c r="Y14207" s="97"/>
    </row>
    <row r="14208" spans="25:25" x14ac:dyDescent="0.2">
      <c r="Y14208" s="97"/>
    </row>
    <row r="14209" spans="25:25" x14ac:dyDescent="0.2">
      <c r="Y14209" s="97"/>
    </row>
    <row r="14210" spans="25:25" x14ac:dyDescent="0.2">
      <c r="Y14210" s="97"/>
    </row>
    <row r="14211" spans="25:25" x14ac:dyDescent="0.2">
      <c r="Y14211" s="97"/>
    </row>
    <row r="14212" spans="25:25" x14ac:dyDescent="0.2">
      <c r="Y14212" s="97"/>
    </row>
    <row r="14213" spans="25:25" x14ac:dyDescent="0.2">
      <c r="Y14213" s="97"/>
    </row>
    <row r="14214" spans="25:25" x14ac:dyDescent="0.2">
      <c r="Y14214" s="97"/>
    </row>
    <row r="14215" spans="25:25" x14ac:dyDescent="0.2">
      <c r="Y14215" s="97"/>
    </row>
    <row r="14216" spans="25:25" x14ac:dyDescent="0.2">
      <c r="Y14216" s="97"/>
    </row>
    <row r="14217" spans="25:25" x14ac:dyDescent="0.2">
      <c r="Y14217" s="97"/>
    </row>
    <row r="14218" spans="25:25" x14ac:dyDescent="0.2">
      <c r="Y14218" s="97"/>
    </row>
    <row r="14219" spans="25:25" x14ac:dyDescent="0.2">
      <c r="Y14219" s="97"/>
    </row>
    <row r="14220" spans="25:25" x14ac:dyDescent="0.2">
      <c r="Y14220" s="97"/>
    </row>
    <row r="14221" spans="25:25" x14ac:dyDescent="0.2">
      <c r="Y14221" s="97"/>
    </row>
    <row r="14222" spans="25:25" x14ac:dyDescent="0.2">
      <c r="Y14222" s="97"/>
    </row>
    <row r="14223" spans="25:25" x14ac:dyDescent="0.2">
      <c r="Y14223" s="97"/>
    </row>
    <row r="14224" spans="25:25" x14ac:dyDescent="0.2">
      <c r="Y14224" s="97"/>
    </row>
    <row r="14225" spans="25:25" x14ac:dyDescent="0.2">
      <c r="Y14225" s="97"/>
    </row>
    <row r="14226" spans="25:25" x14ac:dyDescent="0.2">
      <c r="Y14226" s="97"/>
    </row>
    <row r="14227" spans="25:25" x14ac:dyDescent="0.2">
      <c r="Y14227" s="97"/>
    </row>
    <row r="14228" spans="25:25" x14ac:dyDescent="0.2">
      <c r="Y14228" s="97"/>
    </row>
    <row r="14229" spans="25:25" x14ac:dyDescent="0.2">
      <c r="Y14229" s="97"/>
    </row>
    <row r="14230" spans="25:25" x14ac:dyDescent="0.2">
      <c r="Y14230" s="97"/>
    </row>
    <row r="14231" spans="25:25" x14ac:dyDescent="0.2">
      <c r="Y14231" s="97"/>
    </row>
    <row r="14232" spans="25:25" x14ac:dyDescent="0.2">
      <c r="Y14232" s="97"/>
    </row>
    <row r="14233" spans="25:25" x14ac:dyDescent="0.2">
      <c r="Y14233" s="97"/>
    </row>
    <row r="14234" spans="25:25" x14ac:dyDescent="0.2">
      <c r="Y14234" s="97"/>
    </row>
    <row r="14235" spans="25:25" x14ac:dyDescent="0.2">
      <c r="Y14235" s="97"/>
    </row>
    <row r="14236" spans="25:25" x14ac:dyDescent="0.2">
      <c r="Y14236" s="97"/>
    </row>
    <row r="14237" spans="25:25" x14ac:dyDescent="0.2">
      <c r="Y14237" s="97"/>
    </row>
    <row r="14238" spans="25:25" x14ac:dyDescent="0.2">
      <c r="Y14238" s="97"/>
    </row>
    <row r="14239" spans="25:25" x14ac:dyDescent="0.2">
      <c r="Y14239" s="97"/>
    </row>
    <row r="14240" spans="25:25" x14ac:dyDescent="0.2">
      <c r="Y14240" s="97"/>
    </row>
    <row r="14241" spans="25:25" x14ac:dyDescent="0.2">
      <c r="Y14241" s="97"/>
    </row>
    <row r="14242" spans="25:25" x14ac:dyDescent="0.2">
      <c r="Y14242" s="97"/>
    </row>
    <row r="14243" spans="25:25" x14ac:dyDescent="0.2">
      <c r="Y14243" s="97"/>
    </row>
    <row r="14244" spans="25:25" x14ac:dyDescent="0.2">
      <c r="Y14244" s="97"/>
    </row>
    <row r="14245" spans="25:25" x14ac:dyDescent="0.2">
      <c r="Y14245" s="97"/>
    </row>
    <row r="14246" spans="25:25" x14ac:dyDescent="0.2">
      <c r="Y14246" s="97"/>
    </row>
    <row r="14247" spans="25:25" x14ac:dyDescent="0.2">
      <c r="Y14247" s="97"/>
    </row>
    <row r="14248" spans="25:25" x14ac:dyDescent="0.2">
      <c r="Y14248" s="97"/>
    </row>
    <row r="14249" spans="25:25" x14ac:dyDescent="0.2">
      <c r="Y14249" s="97"/>
    </row>
    <row r="14250" spans="25:25" x14ac:dyDescent="0.2">
      <c r="Y14250" s="97"/>
    </row>
    <row r="14251" spans="25:25" x14ac:dyDescent="0.2">
      <c r="Y14251" s="97"/>
    </row>
    <row r="14252" spans="25:25" x14ac:dyDescent="0.2">
      <c r="Y14252" s="97"/>
    </row>
    <row r="14253" spans="25:25" x14ac:dyDescent="0.2">
      <c r="Y14253" s="97"/>
    </row>
    <row r="14254" spans="25:25" x14ac:dyDescent="0.2">
      <c r="Y14254" s="97"/>
    </row>
    <row r="14255" spans="25:25" x14ac:dyDescent="0.2">
      <c r="Y14255" s="97"/>
    </row>
    <row r="14256" spans="25:25" x14ac:dyDescent="0.2">
      <c r="Y14256" s="97"/>
    </row>
    <row r="14257" spans="25:25" x14ac:dyDescent="0.2">
      <c r="Y14257" s="97"/>
    </row>
    <row r="14258" spans="25:25" x14ac:dyDescent="0.2">
      <c r="Y14258" s="97"/>
    </row>
    <row r="14259" spans="25:25" x14ac:dyDescent="0.2">
      <c r="Y14259" s="97"/>
    </row>
    <row r="14260" spans="25:25" x14ac:dyDescent="0.2">
      <c r="Y14260" s="97"/>
    </row>
    <row r="14261" spans="25:25" x14ac:dyDescent="0.2">
      <c r="Y14261" s="97"/>
    </row>
    <row r="14262" spans="25:25" x14ac:dyDescent="0.2">
      <c r="Y14262" s="97"/>
    </row>
    <row r="14263" spans="25:25" x14ac:dyDescent="0.2">
      <c r="Y14263" s="97"/>
    </row>
    <row r="14264" spans="25:25" x14ac:dyDescent="0.2">
      <c r="Y14264" s="97"/>
    </row>
    <row r="14265" spans="25:25" x14ac:dyDescent="0.2">
      <c r="Y14265" s="97"/>
    </row>
    <row r="14266" spans="25:25" x14ac:dyDescent="0.2">
      <c r="Y14266" s="97"/>
    </row>
    <row r="14267" spans="25:25" x14ac:dyDescent="0.2">
      <c r="Y14267" s="97"/>
    </row>
    <row r="14268" spans="25:25" x14ac:dyDescent="0.2">
      <c r="Y14268" s="97"/>
    </row>
    <row r="14269" spans="25:25" x14ac:dyDescent="0.2">
      <c r="Y14269" s="97"/>
    </row>
    <row r="14270" spans="25:25" x14ac:dyDescent="0.2">
      <c r="Y14270" s="97"/>
    </row>
    <row r="14271" spans="25:25" x14ac:dyDescent="0.2">
      <c r="Y14271" s="97"/>
    </row>
    <row r="14272" spans="25:25" x14ac:dyDescent="0.2">
      <c r="Y14272" s="97"/>
    </row>
    <row r="14273" spans="25:25" x14ac:dyDescent="0.2">
      <c r="Y14273" s="97"/>
    </row>
    <row r="14274" spans="25:25" x14ac:dyDescent="0.2">
      <c r="Y14274" s="97"/>
    </row>
    <row r="14275" spans="25:25" x14ac:dyDescent="0.2">
      <c r="Y14275" s="97"/>
    </row>
    <row r="14276" spans="25:25" x14ac:dyDescent="0.2">
      <c r="Y14276" s="97"/>
    </row>
    <row r="14277" spans="25:25" x14ac:dyDescent="0.2">
      <c r="Y14277" s="97"/>
    </row>
    <row r="14278" spans="25:25" x14ac:dyDescent="0.2">
      <c r="Y14278" s="97"/>
    </row>
    <row r="14279" spans="25:25" x14ac:dyDescent="0.2">
      <c r="Y14279" s="97"/>
    </row>
    <row r="14280" spans="25:25" x14ac:dyDescent="0.2">
      <c r="Y14280" s="97"/>
    </row>
    <row r="14281" spans="25:25" x14ac:dyDescent="0.2">
      <c r="Y14281" s="97"/>
    </row>
    <row r="14282" spans="25:25" x14ac:dyDescent="0.2">
      <c r="Y14282" s="97"/>
    </row>
    <row r="14283" spans="25:25" x14ac:dyDescent="0.2">
      <c r="Y14283" s="97"/>
    </row>
    <row r="14284" spans="25:25" x14ac:dyDescent="0.2">
      <c r="Y14284" s="97"/>
    </row>
    <row r="14285" spans="25:25" x14ac:dyDescent="0.2">
      <c r="Y14285" s="97"/>
    </row>
    <row r="14286" spans="25:25" x14ac:dyDescent="0.2">
      <c r="Y14286" s="97"/>
    </row>
    <row r="14287" spans="25:25" x14ac:dyDescent="0.2">
      <c r="Y14287" s="97"/>
    </row>
    <row r="14288" spans="25:25" x14ac:dyDescent="0.2">
      <c r="Y14288" s="97"/>
    </row>
    <row r="14289" spans="25:25" x14ac:dyDescent="0.2">
      <c r="Y14289" s="97"/>
    </row>
    <row r="14290" spans="25:25" x14ac:dyDescent="0.2">
      <c r="Y14290" s="97"/>
    </row>
    <row r="14291" spans="25:25" x14ac:dyDescent="0.2">
      <c r="Y14291" s="97"/>
    </row>
    <row r="14292" spans="25:25" x14ac:dyDescent="0.2">
      <c r="Y14292" s="97"/>
    </row>
    <row r="14293" spans="25:25" x14ac:dyDescent="0.2">
      <c r="Y14293" s="97"/>
    </row>
    <row r="14294" spans="25:25" x14ac:dyDescent="0.2">
      <c r="Y14294" s="97"/>
    </row>
    <row r="14295" spans="25:25" x14ac:dyDescent="0.2">
      <c r="Y14295" s="97"/>
    </row>
    <row r="14296" spans="25:25" x14ac:dyDescent="0.2">
      <c r="Y14296" s="97"/>
    </row>
    <row r="14297" spans="25:25" x14ac:dyDescent="0.2">
      <c r="Y14297" s="97"/>
    </row>
    <row r="14298" spans="25:25" x14ac:dyDescent="0.2">
      <c r="Y14298" s="97"/>
    </row>
    <row r="14299" spans="25:25" x14ac:dyDescent="0.2">
      <c r="Y14299" s="97"/>
    </row>
    <row r="14300" spans="25:25" x14ac:dyDescent="0.2">
      <c r="Y14300" s="97"/>
    </row>
    <row r="14301" spans="25:25" x14ac:dyDescent="0.2">
      <c r="Y14301" s="97"/>
    </row>
    <row r="14302" spans="25:25" x14ac:dyDescent="0.2">
      <c r="Y14302" s="97"/>
    </row>
    <row r="14303" spans="25:25" x14ac:dyDescent="0.2">
      <c r="Y14303" s="97"/>
    </row>
    <row r="14304" spans="25:25" x14ac:dyDescent="0.2">
      <c r="Y14304" s="97"/>
    </row>
    <row r="14305" spans="25:25" x14ac:dyDescent="0.2">
      <c r="Y14305" s="97"/>
    </row>
    <row r="14306" spans="25:25" x14ac:dyDescent="0.2">
      <c r="Y14306" s="97"/>
    </row>
    <row r="14307" spans="25:25" x14ac:dyDescent="0.2">
      <c r="Y14307" s="97"/>
    </row>
    <row r="14308" spans="25:25" x14ac:dyDescent="0.2">
      <c r="Y14308" s="97"/>
    </row>
    <row r="14309" spans="25:25" x14ac:dyDescent="0.2">
      <c r="Y14309" s="97"/>
    </row>
    <row r="14310" spans="25:25" x14ac:dyDescent="0.2">
      <c r="Y14310" s="97"/>
    </row>
    <row r="14311" spans="25:25" x14ac:dyDescent="0.2">
      <c r="Y14311" s="97"/>
    </row>
    <row r="14312" spans="25:25" x14ac:dyDescent="0.2">
      <c r="Y14312" s="97"/>
    </row>
    <row r="14313" spans="25:25" x14ac:dyDescent="0.2">
      <c r="Y14313" s="97"/>
    </row>
    <row r="14314" spans="25:25" x14ac:dyDescent="0.2">
      <c r="Y14314" s="97"/>
    </row>
    <row r="14315" spans="25:25" x14ac:dyDescent="0.2">
      <c r="Y14315" s="97"/>
    </row>
    <row r="14316" spans="25:25" x14ac:dyDescent="0.2">
      <c r="Y14316" s="97"/>
    </row>
    <row r="14317" spans="25:25" x14ac:dyDescent="0.2">
      <c r="Y14317" s="97"/>
    </row>
    <row r="14318" spans="25:25" x14ac:dyDescent="0.2">
      <c r="Y14318" s="97"/>
    </row>
    <row r="14319" spans="25:25" x14ac:dyDescent="0.2">
      <c r="Y14319" s="97"/>
    </row>
    <row r="14320" spans="25:25" x14ac:dyDescent="0.2">
      <c r="Y14320" s="97"/>
    </row>
    <row r="14321" spans="25:25" x14ac:dyDescent="0.2">
      <c r="Y14321" s="97"/>
    </row>
    <row r="14322" spans="25:25" x14ac:dyDescent="0.2">
      <c r="Y14322" s="97"/>
    </row>
    <row r="14323" spans="25:25" x14ac:dyDescent="0.2">
      <c r="Y14323" s="97"/>
    </row>
    <row r="14324" spans="25:25" x14ac:dyDescent="0.2">
      <c r="Y14324" s="97"/>
    </row>
    <row r="14325" spans="25:25" x14ac:dyDescent="0.2">
      <c r="Y14325" s="97"/>
    </row>
    <row r="14326" spans="25:25" x14ac:dyDescent="0.2">
      <c r="Y14326" s="97"/>
    </row>
    <row r="14327" spans="25:25" x14ac:dyDescent="0.2">
      <c r="Y14327" s="97"/>
    </row>
    <row r="14328" spans="25:25" x14ac:dyDescent="0.2">
      <c r="Y14328" s="97"/>
    </row>
    <row r="14329" spans="25:25" x14ac:dyDescent="0.2">
      <c r="Y14329" s="97"/>
    </row>
    <row r="14330" spans="25:25" x14ac:dyDescent="0.2">
      <c r="Y14330" s="97"/>
    </row>
    <row r="14331" spans="25:25" x14ac:dyDescent="0.2">
      <c r="Y14331" s="97"/>
    </row>
    <row r="14332" spans="25:25" x14ac:dyDescent="0.2">
      <c r="Y14332" s="97"/>
    </row>
    <row r="14333" spans="25:25" x14ac:dyDescent="0.2">
      <c r="Y14333" s="97"/>
    </row>
    <row r="14334" spans="25:25" x14ac:dyDescent="0.2">
      <c r="Y14334" s="97"/>
    </row>
    <row r="14335" spans="25:25" x14ac:dyDescent="0.2">
      <c r="Y14335" s="97"/>
    </row>
    <row r="14336" spans="25:25" x14ac:dyDescent="0.2">
      <c r="Y14336" s="97"/>
    </row>
    <row r="14337" spans="25:25" x14ac:dyDescent="0.2">
      <c r="Y14337" s="97"/>
    </row>
    <row r="14338" spans="25:25" x14ac:dyDescent="0.2">
      <c r="Y14338" s="97"/>
    </row>
    <row r="14339" spans="25:25" x14ac:dyDescent="0.2">
      <c r="Y14339" s="97"/>
    </row>
    <row r="14340" spans="25:25" x14ac:dyDescent="0.2">
      <c r="Y14340" s="97"/>
    </row>
    <row r="14341" spans="25:25" x14ac:dyDescent="0.2">
      <c r="Y14341" s="97"/>
    </row>
    <row r="14342" spans="25:25" x14ac:dyDescent="0.2">
      <c r="Y14342" s="97"/>
    </row>
    <row r="14343" spans="25:25" x14ac:dyDescent="0.2">
      <c r="Y14343" s="97"/>
    </row>
    <row r="14344" spans="25:25" x14ac:dyDescent="0.2">
      <c r="Y14344" s="97"/>
    </row>
    <row r="14345" spans="25:25" x14ac:dyDescent="0.2">
      <c r="Y14345" s="97"/>
    </row>
    <row r="14346" spans="25:25" x14ac:dyDescent="0.2">
      <c r="Y14346" s="97"/>
    </row>
    <row r="14347" spans="25:25" x14ac:dyDescent="0.2">
      <c r="Y14347" s="97"/>
    </row>
    <row r="14348" spans="25:25" x14ac:dyDescent="0.2">
      <c r="Y14348" s="97"/>
    </row>
    <row r="14349" spans="25:25" x14ac:dyDescent="0.2">
      <c r="Y14349" s="97"/>
    </row>
    <row r="14350" spans="25:25" x14ac:dyDescent="0.2">
      <c r="Y14350" s="97"/>
    </row>
    <row r="14351" spans="25:25" x14ac:dyDescent="0.2">
      <c r="Y14351" s="97"/>
    </row>
    <row r="14352" spans="25:25" x14ac:dyDescent="0.2">
      <c r="Y14352" s="97"/>
    </row>
    <row r="14353" spans="25:25" x14ac:dyDescent="0.2">
      <c r="Y14353" s="97"/>
    </row>
    <row r="14354" spans="25:25" x14ac:dyDescent="0.2">
      <c r="Y14354" s="97"/>
    </row>
    <row r="14355" spans="25:25" x14ac:dyDescent="0.2">
      <c r="Y14355" s="97"/>
    </row>
    <row r="14356" spans="25:25" x14ac:dyDescent="0.2">
      <c r="Y14356" s="97"/>
    </row>
    <row r="14357" spans="25:25" x14ac:dyDescent="0.2">
      <c r="Y14357" s="97"/>
    </row>
    <row r="14358" spans="25:25" x14ac:dyDescent="0.2">
      <c r="Y14358" s="97"/>
    </row>
    <row r="14359" spans="25:25" x14ac:dyDescent="0.2">
      <c r="Y14359" s="97"/>
    </row>
    <row r="14360" spans="25:25" x14ac:dyDescent="0.2">
      <c r="Y14360" s="97"/>
    </row>
    <row r="14361" spans="25:25" x14ac:dyDescent="0.2">
      <c r="Y14361" s="97"/>
    </row>
    <row r="14362" spans="25:25" x14ac:dyDescent="0.2">
      <c r="Y14362" s="97"/>
    </row>
    <row r="14363" spans="25:25" x14ac:dyDescent="0.2">
      <c r="Y14363" s="97"/>
    </row>
    <row r="14364" spans="25:25" x14ac:dyDescent="0.2">
      <c r="Y14364" s="97"/>
    </row>
    <row r="14365" spans="25:25" x14ac:dyDescent="0.2">
      <c r="Y14365" s="97"/>
    </row>
    <row r="14366" spans="25:25" x14ac:dyDescent="0.2">
      <c r="Y14366" s="97"/>
    </row>
    <row r="14367" spans="25:25" x14ac:dyDescent="0.2">
      <c r="Y14367" s="97"/>
    </row>
    <row r="14368" spans="25:25" x14ac:dyDescent="0.2">
      <c r="Y14368" s="97"/>
    </row>
    <row r="14369" spans="25:25" x14ac:dyDescent="0.2">
      <c r="Y14369" s="97"/>
    </row>
    <row r="14370" spans="25:25" x14ac:dyDescent="0.2">
      <c r="Y14370" s="97"/>
    </row>
    <row r="14371" spans="25:25" x14ac:dyDescent="0.2">
      <c r="Y14371" s="97"/>
    </row>
    <row r="14372" spans="25:25" x14ac:dyDescent="0.2">
      <c r="Y14372" s="97"/>
    </row>
    <row r="14373" spans="25:25" x14ac:dyDescent="0.2">
      <c r="Y14373" s="97"/>
    </row>
    <row r="14374" spans="25:25" x14ac:dyDescent="0.2">
      <c r="Y14374" s="97"/>
    </row>
    <row r="14375" spans="25:25" x14ac:dyDescent="0.2">
      <c r="Y14375" s="97"/>
    </row>
    <row r="14376" spans="25:25" x14ac:dyDescent="0.2">
      <c r="Y14376" s="97"/>
    </row>
    <row r="14377" spans="25:25" x14ac:dyDescent="0.2">
      <c r="Y14377" s="97"/>
    </row>
    <row r="14378" spans="25:25" x14ac:dyDescent="0.2">
      <c r="Y14378" s="97"/>
    </row>
    <row r="14379" spans="25:25" x14ac:dyDescent="0.2">
      <c r="Y14379" s="97"/>
    </row>
    <row r="14380" spans="25:25" x14ac:dyDescent="0.2">
      <c r="Y14380" s="97"/>
    </row>
    <row r="14381" spans="25:25" x14ac:dyDescent="0.2">
      <c r="Y14381" s="97"/>
    </row>
    <row r="14382" spans="25:25" x14ac:dyDescent="0.2">
      <c r="Y14382" s="97"/>
    </row>
    <row r="14383" spans="25:25" x14ac:dyDescent="0.2">
      <c r="Y14383" s="97"/>
    </row>
    <row r="14384" spans="25:25" x14ac:dyDescent="0.2">
      <c r="Y14384" s="97"/>
    </row>
    <row r="14385" spans="25:25" x14ac:dyDescent="0.2">
      <c r="Y14385" s="97"/>
    </row>
    <row r="14386" spans="25:25" x14ac:dyDescent="0.2">
      <c r="Y14386" s="97"/>
    </row>
    <row r="14387" spans="25:25" x14ac:dyDescent="0.2">
      <c r="Y14387" s="97"/>
    </row>
    <row r="14388" spans="25:25" x14ac:dyDescent="0.2">
      <c r="Y14388" s="97"/>
    </row>
    <row r="14389" spans="25:25" x14ac:dyDescent="0.2">
      <c r="Y14389" s="97"/>
    </row>
    <row r="14390" spans="25:25" x14ac:dyDescent="0.2">
      <c r="Y14390" s="97"/>
    </row>
    <row r="14391" spans="25:25" x14ac:dyDescent="0.2">
      <c r="Y14391" s="97"/>
    </row>
    <row r="14392" spans="25:25" x14ac:dyDescent="0.2">
      <c r="Y14392" s="97"/>
    </row>
    <row r="14393" spans="25:25" x14ac:dyDescent="0.2">
      <c r="Y14393" s="97"/>
    </row>
    <row r="14394" spans="25:25" x14ac:dyDescent="0.2">
      <c r="Y14394" s="97"/>
    </row>
    <row r="14395" spans="25:25" x14ac:dyDescent="0.2">
      <c r="Y14395" s="97"/>
    </row>
    <row r="14396" spans="25:25" x14ac:dyDescent="0.2">
      <c r="Y14396" s="97"/>
    </row>
    <row r="14397" spans="25:25" x14ac:dyDescent="0.2">
      <c r="Y14397" s="97"/>
    </row>
    <row r="14398" spans="25:25" x14ac:dyDescent="0.2">
      <c r="Y14398" s="97"/>
    </row>
    <row r="14399" spans="25:25" x14ac:dyDescent="0.2">
      <c r="Y14399" s="97"/>
    </row>
    <row r="14400" spans="25:25" x14ac:dyDescent="0.2">
      <c r="Y14400" s="97"/>
    </row>
    <row r="14401" spans="25:25" x14ac:dyDescent="0.2">
      <c r="Y14401" s="97"/>
    </row>
    <row r="14402" spans="25:25" x14ac:dyDescent="0.2">
      <c r="Y14402" s="97"/>
    </row>
    <row r="14403" spans="25:25" x14ac:dyDescent="0.2">
      <c r="Y14403" s="97"/>
    </row>
    <row r="14404" spans="25:25" x14ac:dyDescent="0.2">
      <c r="Y14404" s="97"/>
    </row>
    <row r="14405" spans="25:25" x14ac:dyDescent="0.2">
      <c r="Y14405" s="97"/>
    </row>
    <row r="14406" spans="25:25" x14ac:dyDescent="0.2">
      <c r="Y14406" s="97"/>
    </row>
    <row r="14407" spans="25:25" x14ac:dyDescent="0.2">
      <c r="Y14407" s="97"/>
    </row>
    <row r="14408" spans="25:25" x14ac:dyDescent="0.2">
      <c r="Y14408" s="97"/>
    </row>
    <row r="14409" spans="25:25" x14ac:dyDescent="0.2">
      <c r="Y14409" s="97"/>
    </row>
    <row r="14410" spans="25:25" x14ac:dyDescent="0.2">
      <c r="Y14410" s="97"/>
    </row>
    <row r="14411" spans="25:25" x14ac:dyDescent="0.2">
      <c r="Y14411" s="97"/>
    </row>
    <row r="14412" spans="25:25" x14ac:dyDescent="0.2">
      <c r="Y14412" s="97"/>
    </row>
    <row r="14413" spans="25:25" x14ac:dyDescent="0.2">
      <c r="Y14413" s="97"/>
    </row>
    <row r="14414" spans="25:25" x14ac:dyDescent="0.2">
      <c r="Y14414" s="97"/>
    </row>
    <row r="14415" spans="25:25" x14ac:dyDescent="0.2">
      <c r="Y14415" s="97"/>
    </row>
    <row r="14416" spans="25:25" x14ac:dyDescent="0.2">
      <c r="Y14416" s="97"/>
    </row>
    <row r="14417" spans="25:25" x14ac:dyDescent="0.2">
      <c r="Y14417" s="97"/>
    </row>
    <row r="14418" spans="25:25" x14ac:dyDescent="0.2">
      <c r="Y14418" s="97"/>
    </row>
    <row r="14419" spans="25:25" x14ac:dyDescent="0.2">
      <c r="Y14419" s="97"/>
    </row>
    <row r="14420" spans="25:25" x14ac:dyDescent="0.2">
      <c r="Y14420" s="97"/>
    </row>
    <row r="14421" spans="25:25" x14ac:dyDescent="0.2">
      <c r="Y14421" s="97"/>
    </row>
    <row r="14422" spans="25:25" x14ac:dyDescent="0.2">
      <c r="Y14422" s="97"/>
    </row>
    <row r="14423" spans="25:25" x14ac:dyDescent="0.2">
      <c r="Y14423" s="97"/>
    </row>
    <row r="14424" spans="25:25" x14ac:dyDescent="0.2">
      <c r="Y14424" s="97"/>
    </row>
    <row r="14425" spans="25:25" x14ac:dyDescent="0.2">
      <c r="Y14425" s="97"/>
    </row>
    <row r="14426" spans="25:25" x14ac:dyDescent="0.2">
      <c r="Y14426" s="97"/>
    </row>
    <row r="14427" spans="25:25" x14ac:dyDescent="0.2">
      <c r="Y14427" s="97"/>
    </row>
    <row r="14428" spans="25:25" x14ac:dyDescent="0.2">
      <c r="Y14428" s="97"/>
    </row>
    <row r="14429" spans="25:25" x14ac:dyDescent="0.2">
      <c r="Y14429" s="97"/>
    </row>
    <row r="14430" spans="25:25" x14ac:dyDescent="0.2">
      <c r="Y14430" s="97"/>
    </row>
    <row r="14431" spans="25:25" x14ac:dyDescent="0.2">
      <c r="Y14431" s="97"/>
    </row>
    <row r="14432" spans="25:25" x14ac:dyDescent="0.2">
      <c r="Y14432" s="97"/>
    </row>
    <row r="14433" spans="25:25" x14ac:dyDescent="0.2">
      <c r="Y14433" s="97"/>
    </row>
    <row r="14434" spans="25:25" x14ac:dyDescent="0.2">
      <c r="Y14434" s="97"/>
    </row>
    <row r="14435" spans="25:25" x14ac:dyDescent="0.2">
      <c r="Y14435" s="97"/>
    </row>
    <row r="14436" spans="25:25" x14ac:dyDescent="0.2">
      <c r="Y14436" s="97"/>
    </row>
    <row r="14437" spans="25:25" x14ac:dyDescent="0.2">
      <c r="Y14437" s="97"/>
    </row>
    <row r="14438" spans="25:25" x14ac:dyDescent="0.2">
      <c r="Y14438" s="97"/>
    </row>
    <row r="14439" spans="25:25" x14ac:dyDescent="0.2">
      <c r="Y14439" s="97"/>
    </row>
    <row r="14440" spans="25:25" x14ac:dyDescent="0.2">
      <c r="Y14440" s="97"/>
    </row>
    <row r="14441" spans="25:25" x14ac:dyDescent="0.2">
      <c r="Y14441" s="97"/>
    </row>
    <row r="14442" spans="25:25" x14ac:dyDescent="0.2">
      <c r="Y14442" s="97"/>
    </row>
    <row r="14443" spans="25:25" x14ac:dyDescent="0.2">
      <c r="Y14443" s="97"/>
    </row>
    <row r="14444" spans="25:25" x14ac:dyDescent="0.2">
      <c r="Y14444" s="97"/>
    </row>
    <row r="14445" spans="25:25" x14ac:dyDescent="0.2">
      <c r="Y14445" s="97"/>
    </row>
    <row r="14446" spans="25:25" x14ac:dyDescent="0.2">
      <c r="Y14446" s="97"/>
    </row>
    <row r="14447" spans="25:25" x14ac:dyDescent="0.2">
      <c r="Y14447" s="97"/>
    </row>
    <row r="14448" spans="25:25" x14ac:dyDescent="0.2">
      <c r="Y14448" s="97"/>
    </row>
    <row r="14449" spans="25:25" x14ac:dyDescent="0.2">
      <c r="Y14449" s="97"/>
    </row>
    <row r="14450" spans="25:25" x14ac:dyDescent="0.2">
      <c r="Y14450" s="97"/>
    </row>
    <row r="14451" spans="25:25" x14ac:dyDescent="0.2">
      <c r="Y14451" s="97"/>
    </row>
    <row r="14452" spans="25:25" x14ac:dyDescent="0.2">
      <c r="Y14452" s="97"/>
    </row>
    <row r="14453" spans="25:25" x14ac:dyDescent="0.2">
      <c r="Y14453" s="97"/>
    </row>
    <row r="14454" spans="25:25" x14ac:dyDescent="0.2">
      <c r="Y14454" s="97"/>
    </row>
    <row r="14455" spans="25:25" x14ac:dyDescent="0.2">
      <c r="Y14455" s="97"/>
    </row>
    <row r="14456" spans="25:25" x14ac:dyDescent="0.2">
      <c r="Y14456" s="97"/>
    </row>
    <row r="14457" spans="25:25" x14ac:dyDescent="0.2">
      <c r="Y14457" s="97"/>
    </row>
    <row r="14458" spans="25:25" x14ac:dyDescent="0.2">
      <c r="Y14458" s="97"/>
    </row>
    <row r="14459" spans="25:25" x14ac:dyDescent="0.2">
      <c r="Y14459" s="97"/>
    </row>
    <row r="14460" spans="25:25" x14ac:dyDescent="0.2">
      <c r="Y14460" s="97"/>
    </row>
    <row r="14461" spans="25:25" x14ac:dyDescent="0.2">
      <c r="Y14461" s="97"/>
    </row>
    <row r="14462" spans="25:25" x14ac:dyDescent="0.2">
      <c r="Y14462" s="97"/>
    </row>
    <row r="14463" spans="25:25" x14ac:dyDescent="0.2">
      <c r="Y14463" s="97"/>
    </row>
    <row r="14464" spans="25:25" x14ac:dyDescent="0.2">
      <c r="Y14464" s="97"/>
    </row>
    <row r="14465" spans="25:25" x14ac:dyDescent="0.2">
      <c r="Y14465" s="97"/>
    </row>
    <row r="14466" spans="25:25" x14ac:dyDescent="0.2">
      <c r="Y14466" s="97"/>
    </row>
    <row r="14467" spans="25:25" x14ac:dyDescent="0.2">
      <c r="Y14467" s="97"/>
    </row>
    <row r="14468" spans="25:25" x14ac:dyDescent="0.2">
      <c r="Y14468" s="97"/>
    </row>
    <row r="14469" spans="25:25" x14ac:dyDescent="0.2">
      <c r="Y14469" s="97"/>
    </row>
    <row r="14470" spans="25:25" x14ac:dyDescent="0.2">
      <c r="Y14470" s="97"/>
    </row>
    <row r="14471" spans="25:25" x14ac:dyDescent="0.2">
      <c r="Y14471" s="97"/>
    </row>
    <row r="14472" spans="25:25" x14ac:dyDescent="0.2">
      <c r="Y14472" s="97"/>
    </row>
    <row r="14473" spans="25:25" x14ac:dyDescent="0.2">
      <c r="Y14473" s="97"/>
    </row>
    <row r="14474" spans="25:25" x14ac:dyDescent="0.2">
      <c r="Y14474" s="97"/>
    </row>
    <row r="14475" spans="25:25" x14ac:dyDescent="0.2">
      <c r="Y14475" s="97"/>
    </row>
    <row r="14476" spans="25:25" x14ac:dyDescent="0.2">
      <c r="Y14476" s="97"/>
    </row>
    <row r="14477" spans="25:25" x14ac:dyDescent="0.2">
      <c r="Y14477" s="97"/>
    </row>
    <row r="14478" spans="25:25" x14ac:dyDescent="0.2">
      <c r="Y14478" s="97"/>
    </row>
    <row r="14479" spans="25:25" x14ac:dyDescent="0.2">
      <c r="Y14479" s="97"/>
    </row>
    <row r="14480" spans="25:25" x14ac:dyDescent="0.2">
      <c r="Y14480" s="97"/>
    </row>
    <row r="14481" spans="25:25" x14ac:dyDescent="0.2">
      <c r="Y14481" s="97"/>
    </row>
    <row r="14482" spans="25:25" x14ac:dyDescent="0.2">
      <c r="Y14482" s="97"/>
    </row>
    <row r="14483" spans="25:25" x14ac:dyDescent="0.2">
      <c r="Y14483" s="97"/>
    </row>
    <row r="14484" spans="25:25" x14ac:dyDescent="0.2">
      <c r="Y14484" s="97"/>
    </row>
    <row r="14485" spans="25:25" x14ac:dyDescent="0.2">
      <c r="Y14485" s="97"/>
    </row>
    <row r="14486" spans="25:25" x14ac:dyDescent="0.2">
      <c r="Y14486" s="97"/>
    </row>
    <row r="14487" spans="25:25" x14ac:dyDescent="0.2">
      <c r="Y14487" s="97"/>
    </row>
    <row r="14488" spans="25:25" x14ac:dyDescent="0.2">
      <c r="Y14488" s="97"/>
    </row>
    <row r="14489" spans="25:25" x14ac:dyDescent="0.2">
      <c r="Y14489" s="97"/>
    </row>
    <row r="14490" spans="25:25" x14ac:dyDescent="0.2">
      <c r="Y14490" s="97"/>
    </row>
    <row r="14491" spans="25:25" x14ac:dyDescent="0.2">
      <c r="Y14491" s="97"/>
    </row>
    <row r="14492" spans="25:25" x14ac:dyDescent="0.2">
      <c r="Y14492" s="97"/>
    </row>
    <row r="14493" spans="25:25" x14ac:dyDescent="0.2">
      <c r="Y14493" s="97"/>
    </row>
    <row r="14494" spans="25:25" x14ac:dyDescent="0.2">
      <c r="Y14494" s="97"/>
    </row>
    <row r="14495" spans="25:25" x14ac:dyDescent="0.2">
      <c r="Y14495" s="97"/>
    </row>
    <row r="14496" spans="25:25" x14ac:dyDescent="0.2">
      <c r="Y14496" s="97"/>
    </row>
    <row r="14497" spans="25:25" x14ac:dyDescent="0.2">
      <c r="Y14497" s="97"/>
    </row>
    <row r="14498" spans="25:25" x14ac:dyDescent="0.2">
      <c r="Y14498" s="97"/>
    </row>
    <row r="14499" spans="25:25" x14ac:dyDescent="0.2">
      <c r="Y14499" s="97"/>
    </row>
    <row r="14500" spans="25:25" x14ac:dyDescent="0.2">
      <c r="Y14500" s="97"/>
    </row>
    <row r="14501" spans="25:25" x14ac:dyDescent="0.2">
      <c r="Y14501" s="97"/>
    </row>
    <row r="14502" spans="25:25" x14ac:dyDescent="0.2">
      <c r="Y14502" s="97"/>
    </row>
    <row r="14503" spans="25:25" x14ac:dyDescent="0.2">
      <c r="Y14503" s="97"/>
    </row>
    <row r="14504" spans="25:25" x14ac:dyDescent="0.2">
      <c r="Y14504" s="97"/>
    </row>
    <row r="14505" spans="25:25" x14ac:dyDescent="0.2">
      <c r="Y14505" s="97"/>
    </row>
    <row r="14506" spans="25:25" x14ac:dyDescent="0.2">
      <c r="Y14506" s="97"/>
    </row>
    <row r="14507" spans="25:25" x14ac:dyDescent="0.2">
      <c r="Y14507" s="97"/>
    </row>
    <row r="14508" spans="25:25" x14ac:dyDescent="0.2">
      <c r="Y14508" s="97"/>
    </row>
    <row r="14509" spans="25:25" x14ac:dyDescent="0.2">
      <c r="Y14509" s="97"/>
    </row>
    <row r="14510" spans="25:25" x14ac:dyDescent="0.2">
      <c r="Y14510" s="97"/>
    </row>
    <row r="14511" spans="25:25" x14ac:dyDescent="0.2">
      <c r="Y14511" s="97"/>
    </row>
    <row r="14512" spans="25:25" x14ac:dyDescent="0.2">
      <c r="Y14512" s="97"/>
    </row>
    <row r="14513" spans="25:25" x14ac:dyDescent="0.2">
      <c r="Y14513" s="97"/>
    </row>
    <row r="14514" spans="25:25" x14ac:dyDescent="0.2">
      <c r="Y14514" s="97"/>
    </row>
    <row r="14515" spans="25:25" x14ac:dyDescent="0.2">
      <c r="Y14515" s="97"/>
    </row>
    <row r="14516" spans="25:25" x14ac:dyDescent="0.2">
      <c r="Y14516" s="97"/>
    </row>
    <row r="14517" spans="25:25" x14ac:dyDescent="0.2">
      <c r="Y14517" s="97"/>
    </row>
    <row r="14518" spans="25:25" x14ac:dyDescent="0.2">
      <c r="Y14518" s="97"/>
    </row>
    <row r="14519" spans="25:25" x14ac:dyDescent="0.2">
      <c r="Y14519" s="97"/>
    </row>
    <row r="14520" spans="25:25" x14ac:dyDescent="0.2">
      <c r="Y14520" s="97"/>
    </row>
    <row r="14521" spans="25:25" x14ac:dyDescent="0.2">
      <c r="Y14521" s="97"/>
    </row>
    <row r="14522" spans="25:25" x14ac:dyDescent="0.2">
      <c r="Y14522" s="97"/>
    </row>
    <row r="14523" spans="25:25" x14ac:dyDescent="0.2">
      <c r="Y14523" s="97"/>
    </row>
    <row r="14524" spans="25:25" x14ac:dyDescent="0.2">
      <c r="Y14524" s="97"/>
    </row>
    <row r="14525" spans="25:25" x14ac:dyDescent="0.2">
      <c r="Y14525" s="97"/>
    </row>
    <row r="14526" spans="25:25" x14ac:dyDescent="0.2">
      <c r="Y14526" s="97"/>
    </row>
    <row r="14527" spans="25:25" x14ac:dyDescent="0.2">
      <c r="Y14527" s="97"/>
    </row>
    <row r="14528" spans="25:25" x14ac:dyDescent="0.2">
      <c r="Y14528" s="97"/>
    </row>
    <row r="14529" spans="25:25" x14ac:dyDescent="0.2">
      <c r="Y14529" s="97"/>
    </row>
    <row r="14530" spans="25:25" x14ac:dyDescent="0.2">
      <c r="Y14530" s="97"/>
    </row>
    <row r="14531" spans="25:25" x14ac:dyDescent="0.2">
      <c r="Y14531" s="97"/>
    </row>
    <row r="14532" spans="25:25" x14ac:dyDescent="0.2">
      <c r="Y14532" s="97"/>
    </row>
    <row r="14533" spans="25:25" x14ac:dyDescent="0.2">
      <c r="Y14533" s="97"/>
    </row>
    <row r="14534" spans="25:25" x14ac:dyDescent="0.2">
      <c r="Y14534" s="97"/>
    </row>
    <row r="14535" spans="25:25" x14ac:dyDescent="0.2">
      <c r="Y14535" s="97"/>
    </row>
    <row r="14536" spans="25:25" x14ac:dyDescent="0.2">
      <c r="Y14536" s="97"/>
    </row>
    <row r="14537" spans="25:25" x14ac:dyDescent="0.2">
      <c r="Y14537" s="97"/>
    </row>
    <row r="14538" spans="25:25" x14ac:dyDescent="0.2">
      <c r="Y14538" s="97"/>
    </row>
    <row r="14539" spans="25:25" x14ac:dyDescent="0.2">
      <c r="Y14539" s="97"/>
    </row>
    <row r="14540" spans="25:25" x14ac:dyDescent="0.2">
      <c r="Y14540" s="97"/>
    </row>
    <row r="14541" spans="25:25" x14ac:dyDescent="0.2">
      <c r="Y14541" s="97"/>
    </row>
    <row r="14542" spans="25:25" x14ac:dyDescent="0.2">
      <c r="Y14542" s="97"/>
    </row>
    <row r="14543" spans="25:25" x14ac:dyDescent="0.2">
      <c r="Y14543" s="97"/>
    </row>
    <row r="14544" spans="25:25" x14ac:dyDescent="0.2">
      <c r="Y14544" s="97"/>
    </row>
    <row r="14545" spans="25:25" x14ac:dyDescent="0.2">
      <c r="Y14545" s="97"/>
    </row>
    <row r="14546" spans="25:25" x14ac:dyDescent="0.2">
      <c r="Y14546" s="97"/>
    </row>
    <row r="14547" spans="25:25" x14ac:dyDescent="0.2">
      <c r="Y14547" s="97"/>
    </row>
    <row r="14548" spans="25:25" x14ac:dyDescent="0.2">
      <c r="Y14548" s="97"/>
    </row>
    <row r="14549" spans="25:25" x14ac:dyDescent="0.2">
      <c r="Y14549" s="97"/>
    </row>
    <row r="14550" spans="25:25" x14ac:dyDescent="0.2">
      <c r="Y14550" s="97"/>
    </row>
    <row r="14551" spans="25:25" x14ac:dyDescent="0.2">
      <c r="Y14551" s="97"/>
    </row>
    <row r="14552" spans="25:25" x14ac:dyDescent="0.2">
      <c r="Y14552" s="97"/>
    </row>
    <row r="14553" spans="25:25" x14ac:dyDescent="0.2">
      <c r="Y14553" s="97"/>
    </row>
    <row r="14554" spans="25:25" x14ac:dyDescent="0.2">
      <c r="Y14554" s="97"/>
    </row>
    <row r="14555" spans="25:25" x14ac:dyDescent="0.2">
      <c r="Y14555" s="97"/>
    </row>
    <row r="14556" spans="25:25" x14ac:dyDescent="0.2">
      <c r="Y14556" s="97"/>
    </row>
    <row r="14557" spans="25:25" x14ac:dyDescent="0.2">
      <c r="Y14557" s="97"/>
    </row>
    <row r="14558" spans="25:25" x14ac:dyDescent="0.2">
      <c r="Y14558" s="97"/>
    </row>
    <row r="14559" spans="25:25" x14ac:dyDescent="0.2">
      <c r="Y14559" s="97"/>
    </row>
    <row r="14560" spans="25:25" x14ac:dyDescent="0.2">
      <c r="Y14560" s="97"/>
    </row>
    <row r="14561" spans="25:25" x14ac:dyDescent="0.2">
      <c r="Y14561" s="97"/>
    </row>
    <row r="14562" spans="25:25" x14ac:dyDescent="0.2">
      <c r="Y14562" s="97"/>
    </row>
    <row r="14563" spans="25:25" x14ac:dyDescent="0.2">
      <c r="Y14563" s="97"/>
    </row>
    <row r="14564" spans="25:25" x14ac:dyDescent="0.2">
      <c r="Y14564" s="97"/>
    </row>
    <row r="14565" spans="25:25" x14ac:dyDescent="0.2">
      <c r="Y14565" s="97"/>
    </row>
    <row r="14566" spans="25:25" x14ac:dyDescent="0.2">
      <c r="Y14566" s="97"/>
    </row>
    <row r="14567" spans="25:25" x14ac:dyDescent="0.2">
      <c r="Y14567" s="97"/>
    </row>
    <row r="14568" spans="25:25" x14ac:dyDescent="0.2">
      <c r="Y14568" s="97"/>
    </row>
    <row r="14569" spans="25:25" x14ac:dyDescent="0.2">
      <c r="Y14569" s="97"/>
    </row>
    <row r="14570" spans="25:25" x14ac:dyDescent="0.2">
      <c r="Y14570" s="97"/>
    </row>
    <row r="14571" spans="25:25" x14ac:dyDescent="0.2">
      <c r="Y14571" s="97"/>
    </row>
    <row r="14572" spans="25:25" x14ac:dyDescent="0.2">
      <c r="Y14572" s="97"/>
    </row>
    <row r="14573" spans="25:25" x14ac:dyDescent="0.2">
      <c r="Y14573" s="97"/>
    </row>
    <row r="14574" spans="25:25" x14ac:dyDescent="0.2">
      <c r="Y14574" s="97"/>
    </row>
    <row r="14575" spans="25:25" x14ac:dyDescent="0.2">
      <c r="Y14575" s="97"/>
    </row>
    <row r="14576" spans="25:25" x14ac:dyDescent="0.2">
      <c r="Y14576" s="97"/>
    </row>
    <row r="14577" spans="25:25" x14ac:dyDescent="0.2">
      <c r="Y14577" s="97"/>
    </row>
    <row r="14578" spans="25:25" x14ac:dyDescent="0.2">
      <c r="Y14578" s="97"/>
    </row>
    <row r="14579" spans="25:25" x14ac:dyDescent="0.2">
      <c r="Y14579" s="97"/>
    </row>
    <row r="14580" spans="25:25" x14ac:dyDescent="0.2">
      <c r="Y14580" s="97"/>
    </row>
    <row r="14581" spans="25:25" x14ac:dyDescent="0.2">
      <c r="Y14581" s="97"/>
    </row>
    <row r="14582" spans="25:25" x14ac:dyDescent="0.2">
      <c r="Y14582" s="97"/>
    </row>
    <row r="14583" spans="25:25" x14ac:dyDescent="0.2">
      <c r="Y14583" s="97"/>
    </row>
    <row r="14584" spans="25:25" x14ac:dyDescent="0.2">
      <c r="Y14584" s="97"/>
    </row>
    <row r="14585" spans="25:25" x14ac:dyDescent="0.2">
      <c r="Y14585" s="97"/>
    </row>
    <row r="14586" spans="25:25" x14ac:dyDescent="0.2">
      <c r="Y14586" s="97"/>
    </row>
    <row r="14587" spans="25:25" x14ac:dyDescent="0.2">
      <c r="Y14587" s="97"/>
    </row>
    <row r="14588" spans="25:25" x14ac:dyDescent="0.2">
      <c r="Y14588" s="97"/>
    </row>
    <row r="14589" spans="25:25" x14ac:dyDescent="0.2">
      <c r="Y14589" s="97"/>
    </row>
    <row r="14590" spans="25:25" x14ac:dyDescent="0.2">
      <c r="Y14590" s="97"/>
    </row>
    <row r="14591" spans="25:25" x14ac:dyDescent="0.2">
      <c r="Y14591" s="97"/>
    </row>
    <row r="14592" spans="25:25" x14ac:dyDescent="0.2">
      <c r="Y14592" s="97"/>
    </row>
    <row r="14593" spans="25:25" x14ac:dyDescent="0.2">
      <c r="Y14593" s="97"/>
    </row>
    <row r="14594" spans="25:25" x14ac:dyDescent="0.2">
      <c r="Y14594" s="97"/>
    </row>
    <row r="14595" spans="25:25" x14ac:dyDescent="0.2">
      <c r="Y14595" s="97"/>
    </row>
    <row r="14596" spans="25:25" x14ac:dyDescent="0.2">
      <c r="Y14596" s="97"/>
    </row>
    <row r="14597" spans="25:25" x14ac:dyDescent="0.2">
      <c r="Y14597" s="97"/>
    </row>
    <row r="14598" spans="25:25" x14ac:dyDescent="0.2">
      <c r="Y14598" s="97"/>
    </row>
    <row r="14599" spans="25:25" x14ac:dyDescent="0.2">
      <c r="Y14599" s="97"/>
    </row>
    <row r="14600" spans="25:25" x14ac:dyDescent="0.2">
      <c r="Y14600" s="97"/>
    </row>
    <row r="14601" spans="25:25" x14ac:dyDescent="0.2">
      <c r="Y14601" s="97"/>
    </row>
    <row r="14602" spans="25:25" x14ac:dyDescent="0.2">
      <c r="Y14602" s="97"/>
    </row>
    <row r="14603" spans="25:25" x14ac:dyDescent="0.2">
      <c r="Y14603" s="97"/>
    </row>
    <row r="14604" spans="25:25" x14ac:dyDescent="0.2">
      <c r="Y14604" s="97"/>
    </row>
    <row r="14605" spans="25:25" x14ac:dyDescent="0.2">
      <c r="Y14605" s="97"/>
    </row>
    <row r="14606" spans="25:25" x14ac:dyDescent="0.2">
      <c r="Y14606" s="97"/>
    </row>
    <row r="14607" spans="25:25" x14ac:dyDescent="0.2">
      <c r="Y14607" s="97"/>
    </row>
    <row r="14608" spans="25:25" x14ac:dyDescent="0.2">
      <c r="Y14608" s="97"/>
    </row>
    <row r="14609" spans="25:25" x14ac:dyDescent="0.2">
      <c r="Y14609" s="97"/>
    </row>
    <row r="14610" spans="25:25" x14ac:dyDescent="0.2">
      <c r="Y14610" s="97"/>
    </row>
    <row r="14611" spans="25:25" x14ac:dyDescent="0.2">
      <c r="Y14611" s="97"/>
    </row>
    <row r="14612" spans="25:25" x14ac:dyDescent="0.2">
      <c r="Y14612" s="97"/>
    </row>
    <row r="14613" spans="25:25" x14ac:dyDescent="0.2">
      <c r="Y14613" s="97"/>
    </row>
    <row r="14614" spans="25:25" x14ac:dyDescent="0.2">
      <c r="Y14614" s="97"/>
    </row>
    <row r="14615" spans="25:25" x14ac:dyDescent="0.2">
      <c r="Y14615" s="97"/>
    </row>
    <row r="14616" spans="25:25" x14ac:dyDescent="0.2">
      <c r="Y14616" s="97"/>
    </row>
    <row r="14617" spans="25:25" x14ac:dyDescent="0.2">
      <c r="Y14617" s="97"/>
    </row>
    <row r="14618" spans="25:25" x14ac:dyDescent="0.2">
      <c r="Y14618" s="97"/>
    </row>
    <row r="14619" spans="25:25" x14ac:dyDescent="0.2">
      <c r="Y14619" s="97"/>
    </row>
    <row r="14620" spans="25:25" x14ac:dyDescent="0.2">
      <c r="Y14620" s="97"/>
    </row>
    <row r="14621" spans="25:25" x14ac:dyDescent="0.2">
      <c r="Y14621" s="97"/>
    </row>
    <row r="14622" spans="25:25" x14ac:dyDescent="0.2">
      <c r="Y14622" s="97"/>
    </row>
    <row r="14623" spans="25:25" x14ac:dyDescent="0.2">
      <c r="Y14623" s="97"/>
    </row>
    <row r="14624" spans="25:25" x14ac:dyDescent="0.2">
      <c r="Y14624" s="97"/>
    </row>
    <row r="14625" spans="25:25" x14ac:dyDescent="0.2">
      <c r="Y14625" s="97"/>
    </row>
    <row r="14626" spans="25:25" x14ac:dyDescent="0.2">
      <c r="Y14626" s="97"/>
    </row>
    <row r="14627" spans="25:25" x14ac:dyDescent="0.2">
      <c r="Y14627" s="97"/>
    </row>
    <row r="14628" spans="25:25" x14ac:dyDescent="0.2">
      <c r="Y14628" s="97"/>
    </row>
    <row r="14629" spans="25:25" x14ac:dyDescent="0.2">
      <c r="Y14629" s="97"/>
    </row>
    <row r="14630" spans="25:25" x14ac:dyDescent="0.2">
      <c r="Y14630" s="97"/>
    </row>
    <row r="14631" spans="25:25" x14ac:dyDescent="0.2">
      <c r="Y14631" s="97"/>
    </row>
    <row r="14632" spans="25:25" x14ac:dyDescent="0.2">
      <c r="Y14632" s="97"/>
    </row>
    <row r="14633" spans="25:25" x14ac:dyDescent="0.2">
      <c r="Y14633" s="97"/>
    </row>
    <row r="14634" spans="25:25" x14ac:dyDescent="0.2">
      <c r="Y14634" s="97"/>
    </row>
    <row r="14635" spans="25:25" x14ac:dyDescent="0.2">
      <c r="Y14635" s="97"/>
    </row>
    <row r="14636" spans="25:25" x14ac:dyDescent="0.2">
      <c r="Y14636" s="97"/>
    </row>
    <row r="14637" spans="25:25" x14ac:dyDescent="0.2">
      <c r="Y14637" s="97"/>
    </row>
    <row r="14638" spans="25:25" x14ac:dyDescent="0.2">
      <c r="Y14638" s="97"/>
    </row>
    <row r="14639" spans="25:25" x14ac:dyDescent="0.2">
      <c r="Y14639" s="97"/>
    </row>
    <row r="14640" spans="25:25" x14ac:dyDescent="0.2">
      <c r="Y14640" s="97"/>
    </row>
    <row r="14641" spans="25:25" x14ac:dyDescent="0.2">
      <c r="Y14641" s="97"/>
    </row>
    <row r="14642" spans="25:25" x14ac:dyDescent="0.2">
      <c r="Y14642" s="97"/>
    </row>
    <row r="14643" spans="25:25" x14ac:dyDescent="0.2">
      <c r="Y14643" s="97"/>
    </row>
    <row r="14644" spans="25:25" x14ac:dyDescent="0.2">
      <c r="Y14644" s="97"/>
    </row>
    <row r="14645" spans="25:25" x14ac:dyDescent="0.2">
      <c r="Y14645" s="97"/>
    </row>
    <row r="14646" spans="25:25" x14ac:dyDescent="0.2">
      <c r="Y14646" s="97"/>
    </row>
    <row r="14647" spans="25:25" x14ac:dyDescent="0.2">
      <c r="Y14647" s="97"/>
    </row>
    <row r="14648" spans="25:25" x14ac:dyDescent="0.2">
      <c r="Y14648" s="97"/>
    </row>
    <row r="14649" spans="25:25" x14ac:dyDescent="0.2">
      <c r="Y14649" s="97"/>
    </row>
    <row r="14650" spans="25:25" x14ac:dyDescent="0.2">
      <c r="Y14650" s="97"/>
    </row>
    <row r="14651" spans="25:25" x14ac:dyDescent="0.2">
      <c r="Y14651" s="97"/>
    </row>
    <row r="14652" spans="25:25" x14ac:dyDescent="0.2">
      <c r="Y14652" s="97"/>
    </row>
    <row r="14653" spans="25:25" x14ac:dyDescent="0.2">
      <c r="Y14653" s="97"/>
    </row>
    <row r="14654" spans="25:25" x14ac:dyDescent="0.2">
      <c r="Y14654" s="97"/>
    </row>
    <row r="14655" spans="25:25" x14ac:dyDescent="0.2">
      <c r="Y14655" s="97"/>
    </row>
    <row r="14656" spans="25:25" x14ac:dyDescent="0.2">
      <c r="Y14656" s="97"/>
    </row>
    <row r="14657" spans="25:25" x14ac:dyDescent="0.2">
      <c r="Y14657" s="97"/>
    </row>
    <row r="14658" spans="25:25" x14ac:dyDescent="0.2">
      <c r="Y14658" s="97"/>
    </row>
    <row r="14659" spans="25:25" x14ac:dyDescent="0.2">
      <c r="Y14659" s="97"/>
    </row>
    <row r="14660" spans="25:25" x14ac:dyDescent="0.2">
      <c r="Y14660" s="97"/>
    </row>
    <row r="14661" spans="25:25" x14ac:dyDescent="0.2">
      <c r="Y14661" s="97"/>
    </row>
    <row r="14662" spans="25:25" x14ac:dyDescent="0.2">
      <c r="Y14662" s="97"/>
    </row>
    <row r="14663" spans="25:25" x14ac:dyDescent="0.2">
      <c r="Y14663" s="97"/>
    </row>
    <row r="14664" spans="25:25" x14ac:dyDescent="0.2">
      <c r="Y14664" s="97"/>
    </row>
    <row r="14665" spans="25:25" x14ac:dyDescent="0.2">
      <c r="Y14665" s="97"/>
    </row>
    <row r="14666" spans="25:25" x14ac:dyDescent="0.2">
      <c r="Y14666" s="97"/>
    </row>
    <row r="14667" spans="25:25" x14ac:dyDescent="0.2">
      <c r="Y14667" s="97"/>
    </row>
    <row r="14668" spans="25:25" x14ac:dyDescent="0.2">
      <c r="Y14668" s="97"/>
    </row>
    <row r="14669" spans="25:25" x14ac:dyDescent="0.2">
      <c r="Y14669" s="97"/>
    </row>
    <row r="14670" spans="25:25" x14ac:dyDescent="0.2">
      <c r="Y14670" s="97"/>
    </row>
    <row r="14671" spans="25:25" x14ac:dyDescent="0.2">
      <c r="Y14671" s="97"/>
    </row>
    <row r="14672" spans="25:25" x14ac:dyDescent="0.2">
      <c r="Y14672" s="97"/>
    </row>
    <row r="14673" spans="25:25" x14ac:dyDescent="0.2">
      <c r="Y14673" s="97"/>
    </row>
    <row r="14674" spans="25:25" x14ac:dyDescent="0.2">
      <c r="Y14674" s="97"/>
    </row>
    <row r="14675" spans="25:25" x14ac:dyDescent="0.2">
      <c r="Y14675" s="97"/>
    </row>
    <row r="14676" spans="25:25" x14ac:dyDescent="0.2">
      <c r="Y14676" s="97"/>
    </row>
    <row r="14677" spans="25:25" x14ac:dyDescent="0.2">
      <c r="Y14677" s="97"/>
    </row>
    <row r="14678" spans="25:25" x14ac:dyDescent="0.2">
      <c r="Y14678" s="97"/>
    </row>
    <row r="14679" spans="25:25" x14ac:dyDescent="0.2">
      <c r="Y14679" s="97"/>
    </row>
    <row r="14680" spans="25:25" x14ac:dyDescent="0.2">
      <c r="Y14680" s="97"/>
    </row>
    <row r="14681" spans="25:25" x14ac:dyDescent="0.2">
      <c r="Y14681" s="97"/>
    </row>
    <row r="14682" spans="25:25" x14ac:dyDescent="0.2">
      <c r="Y14682" s="97"/>
    </row>
    <row r="14683" spans="25:25" x14ac:dyDescent="0.2">
      <c r="Y14683" s="97"/>
    </row>
    <row r="14684" spans="25:25" x14ac:dyDescent="0.2">
      <c r="Y14684" s="97"/>
    </row>
    <row r="14685" spans="25:25" x14ac:dyDescent="0.2">
      <c r="Y14685" s="97"/>
    </row>
    <row r="14686" spans="25:25" x14ac:dyDescent="0.2">
      <c r="Y14686" s="97"/>
    </row>
    <row r="14687" spans="25:25" x14ac:dyDescent="0.2">
      <c r="Y14687" s="97"/>
    </row>
    <row r="14688" spans="25:25" x14ac:dyDescent="0.2">
      <c r="Y14688" s="97"/>
    </row>
    <row r="14689" spans="25:25" x14ac:dyDescent="0.2">
      <c r="Y14689" s="97"/>
    </row>
    <row r="14690" spans="25:25" x14ac:dyDescent="0.2">
      <c r="Y14690" s="97"/>
    </row>
    <row r="14691" spans="25:25" x14ac:dyDescent="0.2">
      <c r="Y14691" s="97"/>
    </row>
    <row r="14692" spans="25:25" x14ac:dyDescent="0.2">
      <c r="Y14692" s="97"/>
    </row>
    <row r="14693" spans="25:25" x14ac:dyDescent="0.2">
      <c r="Y14693" s="97"/>
    </row>
    <row r="14694" spans="25:25" x14ac:dyDescent="0.2">
      <c r="Y14694" s="97"/>
    </row>
    <row r="14695" spans="25:25" x14ac:dyDescent="0.2">
      <c r="Y14695" s="97"/>
    </row>
    <row r="14696" spans="25:25" x14ac:dyDescent="0.2">
      <c r="Y14696" s="97"/>
    </row>
    <row r="14697" spans="25:25" x14ac:dyDescent="0.2">
      <c r="Y14697" s="97"/>
    </row>
    <row r="14698" spans="25:25" x14ac:dyDescent="0.2">
      <c r="Y14698" s="97"/>
    </row>
    <row r="14699" spans="25:25" x14ac:dyDescent="0.2">
      <c r="Y14699" s="97"/>
    </row>
    <row r="14700" spans="25:25" x14ac:dyDescent="0.2">
      <c r="Y14700" s="97"/>
    </row>
    <row r="14701" spans="25:25" x14ac:dyDescent="0.2">
      <c r="Y14701" s="97"/>
    </row>
    <row r="14702" spans="25:25" x14ac:dyDescent="0.2">
      <c r="Y14702" s="97"/>
    </row>
    <row r="14703" spans="25:25" x14ac:dyDescent="0.2">
      <c r="Y14703" s="97"/>
    </row>
    <row r="14704" spans="25:25" x14ac:dyDescent="0.2">
      <c r="Y14704" s="97"/>
    </row>
    <row r="14705" spans="25:25" x14ac:dyDescent="0.2">
      <c r="Y14705" s="97"/>
    </row>
    <row r="14706" spans="25:25" x14ac:dyDescent="0.2">
      <c r="Y14706" s="97"/>
    </row>
    <row r="14707" spans="25:25" x14ac:dyDescent="0.2">
      <c r="Y14707" s="97"/>
    </row>
    <row r="14708" spans="25:25" x14ac:dyDescent="0.2">
      <c r="Y14708" s="97"/>
    </row>
    <row r="14709" spans="25:25" x14ac:dyDescent="0.2">
      <c r="Y14709" s="97"/>
    </row>
    <row r="14710" spans="25:25" x14ac:dyDescent="0.2">
      <c r="Y14710" s="97"/>
    </row>
    <row r="14711" spans="25:25" x14ac:dyDescent="0.2">
      <c r="Y14711" s="97"/>
    </row>
    <row r="14712" spans="25:25" x14ac:dyDescent="0.2">
      <c r="Y14712" s="97"/>
    </row>
    <row r="14713" spans="25:25" x14ac:dyDescent="0.2">
      <c r="Y14713" s="97"/>
    </row>
    <row r="14714" spans="25:25" x14ac:dyDescent="0.2">
      <c r="Y14714" s="97"/>
    </row>
    <row r="14715" spans="25:25" x14ac:dyDescent="0.2">
      <c r="Y14715" s="97"/>
    </row>
    <row r="14716" spans="25:25" x14ac:dyDescent="0.2">
      <c r="Y14716" s="97"/>
    </row>
    <row r="14717" spans="25:25" x14ac:dyDescent="0.2">
      <c r="Y14717" s="97"/>
    </row>
    <row r="14718" spans="25:25" x14ac:dyDescent="0.2">
      <c r="Y14718" s="97"/>
    </row>
    <row r="14719" spans="25:25" x14ac:dyDescent="0.2">
      <c r="Y14719" s="97"/>
    </row>
    <row r="14720" spans="25:25" x14ac:dyDescent="0.2">
      <c r="Y14720" s="97"/>
    </row>
    <row r="14721" spans="25:25" x14ac:dyDescent="0.2">
      <c r="Y14721" s="97"/>
    </row>
    <row r="14722" spans="25:25" x14ac:dyDescent="0.2">
      <c r="Y14722" s="97"/>
    </row>
    <row r="14723" spans="25:25" x14ac:dyDescent="0.2">
      <c r="Y14723" s="97"/>
    </row>
    <row r="14724" spans="25:25" x14ac:dyDescent="0.2">
      <c r="Y14724" s="97"/>
    </row>
    <row r="14725" spans="25:25" x14ac:dyDescent="0.2">
      <c r="Y14725" s="97"/>
    </row>
    <row r="14726" spans="25:25" x14ac:dyDescent="0.2">
      <c r="Y14726" s="97"/>
    </row>
    <row r="14727" spans="25:25" x14ac:dyDescent="0.2">
      <c r="Y14727" s="97"/>
    </row>
    <row r="14728" spans="25:25" x14ac:dyDescent="0.2">
      <c r="Y14728" s="97"/>
    </row>
    <row r="14729" spans="25:25" x14ac:dyDescent="0.2">
      <c r="Y14729" s="97"/>
    </row>
    <row r="14730" spans="25:25" x14ac:dyDescent="0.2">
      <c r="Y14730" s="97"/>
    </row>
    <row r="14731" spans="25:25" x14ac:dyDescent="0.2">
      <c r="Y14731" s="97"/>
    </row>
    <row r="14732" spans="25:25" x14ac:dyDescent="0.2">
      <c r="Y14732" s="97"/>
    </row>
    <row r="14733" spans="25:25" x14ac:dyDescent="0.2">
      <c r="Y14733" s="97"/>
    </row>
    <row r="14734" spans="25:25" x14ac:dyDescent="0.2">
      <c r="Y14734" s="97"/>
    </row>
    <row r="14735" spans="25:25" x14ac:dyDescent="0.2">
      <c r="Y14735" s="97"/>
    </row>
    <row r="14736" spans="25:25" x14ac:dyDescent="0.2">
      <c r="Y14736" s="97"/>
    </row>
    <row r="14737" spans="25:25" x14ac:dyDescent="0.2">
      <c r="Y14737" s="97"/>
    </row>
    <row r="14738" spans="25:25" x14ac:dyDescent="0.2">
      <c r="Y14738" s="97"/>
    </row>
    <row r="14739" spans="25:25" x14ac:dyDescent="0.2">
      <c r="Y14739" s="97"/>
    </row>
    <row r="14740" spans="25:25" x14ac:dyDescent="0.2">
      <c r="Y14740" s="97"/>
    </row>
    <row r="14741" spans="25:25" x14ac:dyDescent="0.2">
      <c r="Y14741" s="97"/>
    </row>
    <row r="14742" spans="25:25" x14ac:dyDescent="0.2">
      <c r="Y14742" s="97"/>
    </row>
    <row r="14743" spans="25:25" x14ac:dyDescent="0.2">
      <c r="Y14743" s="97"/>
    </row>
    <row r="14744" spans="25:25" x14ac:dyDescent="0.2">
      <c r="Y14744" s="97"/>
    </row>
    <row r="14745" spans="25:25" x14ac:dyDescent="0.2">
      <c r="Y14745" s="97"/>
    </row>
    <row r="14746" spans="25:25" x14ac:dyDescent="0.2">
      <c r="Y14746" s="97"/>
    </row>
    <row r="14747" spans="25:25" x14ac:dyDescent="0.2">
      <c r="Y14747" s="97"/>
    </row>
    <row r="14748" spans="25:25" x14ac:dyDescent="0.2">
      <c r="Y14748" s="97"/>
    </row>
    <row r="14749" spans="25:25" x14ac:dyDescent="0.2">
      <c r="Y14749" s="97"/>
    </row>
    <row r="14750" spans="25:25" x14ac:dyDescent="0.2">
      <c r="Y14750" s="97"/>
    </row>
    <row r="14751" spans="25:25" x14ac:dyDescent="0.2">
      <c r="Y14751" s="97"/>
    </row>
    <row r="14752" spans="25:25" x14ac:dyDescent="0.2">
      <c r="Y14752" s="97"/>
    </row>
    <row r="14753" spans="25:25" x14ac:dyDescent="0.2">
      <c r="Y14753" s="97"/>
    </row>
    <row r="14754" spans="25:25" x14ac:dyDescent="0.2">
      <c r="Y14754" s="97"/>
    </row>
    <row r="14755" spans="25:25" x14ac:dyDescent="0.2">
      <c r="Y14755" s="97"/>
    </row>
    <row r="14756" spans="25:25" x14ac:dyDescent="0.2">
      <c r="Y14756" s="97"/>
    </row>
    <row r="14757" spans="25:25" x14ac:dyDescent="0.2">
      <c r="Y14757" s="97"/>
    </row>
    <row r="14758" spans="25:25" x14ac:dyDescent="0.2">
      <c r="Y14758" s="97"/>
    </row>
    <row r="14759" spans="25:25" x14ac:dyDescent="0.2">
      <c r="Y14759" s="97"/>
    </row>
    <row r="14760" spans="25:25" x14ac:dyDescent="0.2">
      <c r="Y14760" s="97"/>
    </row>
    <row r="14761" spans="25:25" x14ac:dyDescent="0.2">
      <c r="Y14761" s="97"/>
    </row>
    <row r="14762" spans="25:25" x14ac:dyDescent="0.2">
      <c r="Y14762" s="97"/>
    </row>
    <row r="14763" spans="25:25" x14ac:dyDescent="0.2">
      <c r="Y14763" s="97"/>
    </row>
    <row r="14764" spans="25:25" x14ac:dyDescent="0.2">
      <c r="Y14764" s="97"/>
    </row>
    <row r="14765" spans="25:25" x14ac:dyDescent="0.2">
      <c r="Y14765" s="97"/>
    </row>
    <row r="14766" spans="25:25" x14ac:dyDescent="0.2">
      <c r="Y14766" s="97"/>
    </row>
    <row r="14767" spans="25:25" x14ac:dyDescent="0.2">
      <c r="Y14767" s="97"/>
    </row>
    <row r="14768" spans="25:25" x14ac:dyDescent="0.2">
      <c r="Y14768" s="97"/>
    </row>
    <row r="14769" spans="25:25" x14ac:dyDescent="0.2">
      <c r="Y14769" s="97"/>
    </row>
    <row r="14770" spans="25:25" x14ac:dyDescent="0.2">
      <c r="Y14770" s="97"/>
    </row>
    <row r="14771" spans="25:25" x14ac:dyDescent="0.2">
      <c r="Y14771" s="97"/>
    </row>
    <row r="14772" spans="25:25" x14ac:dyDescent="0.2">
      <c r="Y14772" s="97"/>
    </row>
    <row r="14773" spans="25:25" x14ac:dyDescent="0.2">
      <c r="Y14773" s="97"/>
    </row>
    <row r="14774" spans="25:25" x14ac:dyDescent="0.2">
      <c r="Y14774" s="97"/>
    </row>
    <row r="14775" spans="25:25" x14ac:dyDescent="0.2">
      <c r="Y14775" s="97"/>
    </row>
    <row r="14776" spans="25:25" x14ac:dyDescent="0.2">
      <c r="Y14776" s="97"/>
    </row>
    <row r="14777" spans="25:25" x14ac:dyDescent="0.2">
      <c r="Y14777" s="97"/>
    </row>
    <row r="14778" spans="25:25" x14ac:dyDescent="0.2">
      <c r="Y14778" s="97"/>
    </row>
    <row r="14779" spans="25:25" x14ac:dyDescent="0.2">
      <c r="Y14779" s="97"/>
    </row>
    <row r="14780" spans="25:25" x14ac:dyDescent="0.2">
      <c r="Y14780" s="97"/>
    </row>
    <row r="14781" spans="25:25" x14ac:dyDescent="0.2">
      <c r="Y14781" s="97"/>
    </row>
    <row r="14782" spans="25:25" x14ac:dyDescent="0.2">
      <c r="Y14782" s="97"/>
    </row>
    <row r="14783" spans="25:25" x14ac:dyDescent="0.2">
      <c r="Y14783" s="97"/>
    </row>
    <row r="14784" spans="25:25" x14ac:dyDescent="0.2">
      <c r="Y14784" s="97"/>
    </row>
    <row r="14785" spans="25:25" x14ac:dyDescent="0.2">
      <c r="Y14785" s="97"/>
    </row>
    <row r="14786" spans="25:25" x14ac:dyDescent="0.2">
      <c r="Y14786" s="97"/>
    </row>
    <row r="14787" spans="25:25" x14ac:dyDescent="0.2">
      <c r="Y14787" s="97"/>
    </row>
    <row r="14788" spans="25:25" x14ac:dyDescent="0.2">
      <c r="Y14788" s="97"/>
    </row>
    <row r="14789" spans="25:25" x14ac:dyDescent="0.2">
      <c r="Y14789" s="97"/>
    </row>
    <row r="14790" spans="25:25" x14ac:dyDescent="0.2">
      <c r="Y14790" s="97"/>
    </row>
    <row r="14791" spans="25:25" x14ac:dyDescent="0.2">
      <c r="Y14791" s="97"/>
    </row>
    <row r="14792" spans="25:25" x14ac:dyDescent="0.2">
      <c r="Y14792" s="97"/>
    </row>
    <row r="14793" spans="25:25" x14ac:dyDescent="0.2">
      <c r="Y14793" s="97"/>
    </row>
    <row r="14794" spans="25:25" x14ac:dyDescent="0.2">
      <c r="Y14794" s="97"/>
    </row>
    <row r="14795" spans="25:25" x14ac:dyDescent="0.2">
      <c r="Y14795" s="97"/>
    </row>
    <row r="14796" spans="25:25" x14ac:dyDescent="0.2">
      <c r="Y14796" s="97"/>
    </row>
    <row r="14797" spans="25:25" x14ac:dyDescent="0.2">
      <c r="Y14797" s="97"/>
    </row>
    <row r="14798" spans="25:25" x14ac:dyDescent="0.2">
      <c r="Y14798" s="97"/>
    </row>
    <row r="14799" spans="25:25" x14ac:dyDescent="0.2">
      <c r="Y14799" s="97"/>
    </row>
    <row r="14800" spans="25:25" x14ac:dyDescent="0.2">
      <c r="Y14800" s="97"/>
    </row>
    <row r="14801" spans="25:25" x14ac:dyDescent="0.2">
      <c r="Y14801" s="97"/>
    </row>
    <row r="14802" spans="25:25" x14ac:dyDescent="0.2">
      <c r="Y14802" s="97"/>
    </row>
    <row r="14803" spans="25:25" x14ac:dyDescent="0.2">
      <c r="Y14803" s="97"/>
    </row>
    <row r="14804" spans="25:25" x14ac:dyDescent="0.2">
      <c r="Y14804" s="97"/>
    </row>
    <row r="14805" spans="25:25" x14ac:dyDescent="0.2">
      <c r="Y14805" s="97"/>
    </row>
    <row r="14806" spans="25:25" x14ac:dyDescent="0.2">
      <c r="Y14806" s="97"/>
    </row>
    <row r="14807" spans="25:25" x14ac:dyDescent="0.2">
      <c r="Y14807" s="97"/>
    </row>
    <row r="14808" spans="25:25" x14ac:dyDescent="0.2">
      <c r="Y14808" s="97"/>
    </row>
    <row r="14809" spans="25:25" x14ac:dyDescent="0.2">
      <c r="Y14809" s="97"/>
    </row>
    <row r="14810" spans="25:25" x14ac:dyDescent="0.2">
      <c r="Y14810" s="97"/>
    </row>
    <row r="14811" spans="25:25" x14ac:dyDescent="0.2">
      <c r="Y14811" s="97"/>
    </row>
    <row r="14812" spans="25:25" x14ac:dyDescent="0.2">
      <c r="Y14812" s="97"/>
    </row>
    <row r="14813" spans="25:25" x14ac:dyDescent="0.2">
      <c r="Y14813" s="97"/>
    </row>
    <row r="14814" spans="25:25" x14ac:dyDescent="0.2">
      <c r="Y14814" s="97"/>
    </row>
    <row r="14815" spans="25:25" x14ac:dyDescent="0.2">
      <c r="Y14815" s="97"/>
    </row>
    <row r="14816" spans="25:25" x14ac:dyDescent="0.2">
      <c r="Y14816" s="97"/>
    </row>
    <row r="14817" spans="25:25" x14ac:dyDescent="0.2">
      <c r="Y14817" s="97"/>
    </row>
    <row r="14818" spans="25:25" x14ac:dyDescent="0.2">
      <c r="Y14818" s="97"/>
    </row>
    <row r="14819" spans="25:25" x14ac:dyDescent="0.2">
      <c r="Y14819" s="97"/>
    </row>
    <row r="14820" spans="25:25" x14ac:dyDescent="0.2">
      <c r="Y14820" s="97"/>
    </row>
    <row r="14821" spans="25:25" x14ac:dyDescent="0.2">
      <c r="Y14821" s="97"/>
    </row>
    <row r="14822" spans="25:25" x14ac:dyDescent="0.2">
      <c r="Y14822" s="97"/>
    </row>
    <row r="14823" spans="25:25" x14ac:dyDescent="0.2">
      <c r="Y14823" s="97"/>
    </row>
    <row r="14824" spans="25:25" x14ac:dyDescent="0.2">
      <c r="Y14824" s="97"/>
    </row>
    <row r="14825" spans="25:25" x14ac:dyDescent="0.2">
      <c r="Y14825" s="97"/>
    </row>
    <row r="14826" spans="25:25" x14ac:dyDescent="0.2">
      <c r="Y14826" s="97"/>
    </row>
    <row r="14827" spans="25:25" x14ac:dyDescent="0.2">
      <c r="Y14827" s="97"/>
    </row>
    <row r="14828" spans="25:25" x14ac:dyDescent="0.2">
      <c r="Y14828" s="97"/>
    </row>
    <row r="14829" spans="25:25" x14ac:dyDescent="0.2">
      <c r="Y14829" s="97"/>
    </row>
    <row r="14830" spans="25:25" x14ac:dyDescent="0.2">
      <c r="Y14830" s="97"/>
    </row>
    <row r="14831" spans="25:25" x14ac:dyDescent="0.2">
      <c r="Y14831" s="97"/>
    </row>
    <row r="14832" spans="25:25" x14ac:dyDescent="0.2">
      <c r="Y14832" s="97"/>
    </row>
    <row r="14833" spans="25:25" x14ac:dyDescent="0.2">
      <c r="Y14833" s="97"/>
    </row>
    <row r="14834" spans="25:25" x14ac:dyDescent="0.2">
      <c r="Y14834" s="97"/>
    </row>
    <row r="14835" spans="25:25" x14ac:dyDescent="0.2">
      <c r="Y14835" s="97"/>
    </row>
    <row r="14836" spans="25:25" x14ac:dyDescent="0.2">
      <c r="Y14836" s="97"/>
    </row>
    <row r="14837" spans="25:25" x14ac:dyDescent="0.2">
      <c r="Y14837" s="97"/>
    </row>
    <row r="14838" spans="25:25" x14ac:dyDescent="0.2">
      <c r="Y14838" s="97"/>
    </row>
    <row r="14839" spans="25:25" x14ac:dyDescent="0.2">
      <c r="Y14839" s="97"/>
    </row>
    <row r="14840" spans="25:25" x14ac:dyDescent="0.2">
      <c r="Y14840" s="97"/>
    </row>
    <row r="14841" spans="25:25" x14ac:dyDescent="0.2">
      <c r="Y14841" s="97"/>
    </row>
    <row r="14842" spans="25:25" x14ac:dyDescent="0.2">
      <c r="Y14842" s="97"/>
    </row>
    <row r="14843" spans="25:25" x14ac:dyDescent="0.2">
      <c r="Y14843" s="97"/>
    </row>
    <row r="14844" spans="25:25" x14ac:dyDescent="0.2">
      <c r="Y14844" s="97"/>
    </row>
    <row r="14845" spans="25:25" x14ac:dyDescent="0.2">
      <c r="Y14845" s="97"/>
    </row>
    <row r="14846" spans="25:25" x14ac:dyDescent="0.2">
      <c r="Y14846" s="97"/>
    </row>
    <row r="14847" spans="25:25" x14ac:dyDescent="0.2">
      <c r="Y14847" s="97"/>
    </row>
    <row r="14848" spans="25:25" x14ac:dyDescent="0.2">
      <c r="Y14848" s="97"/>
    </row>
    <row r="14849" spans="25:25" x14ac:dyDescent="0.2">
      <c r="Y14849" s="97"/>
    </row>
    <row r="14850" spans="25:25" x14ac:dyDescent="0.2">
      <c r="Y14850" s="97"/>
    </row>
    <row r="14851" spans="25:25" x14ac:dyDescent="0.2">
      <c r="Y14851" s="97"/>
    </row>
    <row r="14852" spans="25:25" x14ac:dyDescent="0.2">
      <c r="Y14852" s="97"/>
    </row>
    <row r="14853" spans="25:25" x14ac:dyDescent="0.2">
      <c r="Y14853" s="97"/>
    </row>
    <row r="14854" spans="25:25" x14ac:dyDescent="0.2">
      <c r="Y14854" s="97"/>
    </row>
    <row r="14855" spans="25:25" x14ac:dyDescent="0.2">
      <c r="Y14855" s="97"/>
    </row>
    <row r="14856" spans="25:25" x14ac:dyDescent="0.2">
      <c r="Y14856" s="97"/>
    </row>
    <row r="14857" spans="25:25" x14ac:dyDescent="0.2">
      <c r="Y14857" s="97"/>
    </row>
    <row r="14858" spans="25:25" x14ac:dyDescent="0.2">
      <c r="Y14858" s="97"/>
    </row>
    <row r="14859" spans="25:25" x14ac:dyDescent="0.2">
      <c r="Y14859" s="97"/>
    </row>
    <row r="14860" spans="25:25" x14ac:dyDescent="0.2">
      <c r="Y14860" s="97"/>
    </row>
    <row r="14861" spans="25:25" x14ac:dyDescent="0.2">
      <c r="Y14861" s="97"/>
    </row>
    <row r="14862" spans="25:25" x14ac:dyDescent="0.2">
      <c r="Y14862" s="97"/>
    </row>
    <row r="14863" spans="25:25" x14ac:dyDescent="0.2">
      <c r="Y14863" s="97"/>
    </row>
    <row r="14864" spans="25:25" x14ac:dyDescent="0.2">
      <c r="Y14864" s="97"/>
    </row>
    <row r="14865" spans="25:25" x14ac:dyDescent="0.2">
      <c r="Y14865" s="97"/>
    </row>
    <row r="14866" spans="25:25" x14ac:dyDescent="0.2">
      <c r="Y14866" s="97"/>
    </row>
    <row r="14867" spans="25:25" x14ac:dyDescent="0.2">
      <c r="Y14867" s="97"/>
    </row>
    <row r="14868" spans="25:25" x14ac:dyDescent="0.2">
      <c r="Y14868" s="97"/>
    </row>
    <row r="14869" spans="25:25" x14ac:dyDescent="0.2">
      <c r="Y14869" s="97"/>
    </row>
    <row r="14870" spans="25:25" x14ac:dyDescent="0.2">
      <c r="Y14870" s="97"/>
    </row>
    <row r="14871" spans="25:25" x14ac:dyDescent="0.2">
      <c r="Y14871" s="97"/>
    </row>
    <row r="14872" spans="25:25" x14ac:dyDescent="0.2">
      <c r="Y14872" s="97"/>
    </row>
    <row r="14873" spans="25:25" x14ac:dyDescent="0.2">
      <c r="Y14873" s="97"/>
    </row>
    <row r="14874" spans="25:25" x14ac:dyDescent="0.2">
      <c r="Y14874" s="97"/>
    </row>
    <row r="14875" spans="25:25" x14ac:dyDescent="0.2">
      <c r="Y14875" s="97"/>
    </row>
    <row r="14876" spans="25:25" x14ac:dyDescent="0.2">
      <c r="Y14876" s="97"/>
    </row>
    <row r="14877" spans="25:25" x14ac:dyDescent="0.2">
      <c r="Y14877" s="97"/>
    </row>
    <row r="14878" spans="25:25" x14ac:dyDescent="0.2">
      <c r="Y14878" s="97"/>
    </row>
    <row r="14879" spans="25:25" x14ac:dyDescent="0.2">
      <c r="Y14879" s="97"/>
    </row>
    <row r="14880" spans="25:25" x14ac:dyDescent="0.2">
      <c r="Y14880" s="97"/>
    </row>
    <row r="14881" spans="25:25" x14ac:dyDescent="0.2">
      <c r="Y14881" s="97"/>
    </row>
    <row r="14882" spans="25:25" x14ac:dyDescent="0.2">
      <c r="Y14882" s="97"/>
    </row>
    <row r="14883" spans="25:25" x14ac:dyDescent="0.2">
      <c r="Y14883" s="97"/>
    </row>
    <row r="14884" spans="25:25" x14ac:dyDescent="0.2">
      <c r="Y14884" s="97"/>
    </row>
    <row r="14885" spans="25:25" x14ac:dyDescent="0.2">
      <c r="Y14885" s="97"/>
    </row>
    <row r="14886" spans="25:25" x14ac:dyDescent="0.2">
      <c r="Y14886" s="97"/>
    </row>
    <row r="14887" spans="25:25" x14ac:dyDescent="0.2">
      <c r="Y14887" s="97"/>
    </row>
    <row r="14888" spans="25:25" x14ac:dyDescent="0.2">
      <c r="Y14888" s="97"/>
    </row>
    <row r="14889" spans="25:25" x14ac:dyDescent="0.2">
      <c r="Y14889" s="97"/>
    </row>
    <row r="14890" spans="25:25" x14ac:dyDescent="0.2">
      <c r="Y14890" s="97"/>
    </row>
    <row r="14891" spans="25:25" x14ac:dyDescent="0.2">
      <c r="Y14891" s="97"/>
    </row>
    <row r="14892" spans="25:25" x14ac:dyDescent="0.2">
      <c r="Y14892" s="97"/>
    </row>
    <row r="14893" spans="25:25" x14ac:dyDescent="0.2">
      <c r="Y14893" s="97"/>
    </row>
    <row r="14894" spans="25:25" x14ac:dyDescent="0.2">
      <c r="Y14894" s="97"/>
    </row>
    <row r="14895" spans="25:25" x14ac:dyDescent="0.2">
      <c r="Y14895" s="97"/>
    </row>
    <row r="14896" spans="25:25" x14ac:dyDescent="0.2">
      <c r="Y14896" s="97"/>
    </row>
    <row r="14897" spans="25:25" x14ac:dyDescent="0.2">
      <c r="Y14897" s="97"/>
    </row>
    <row r="14898" spans="25:25" x14ac:dyDescent="0.2">
      <c r="Y14898" s="97"/>
    </row>
    <row r="14899" spans="25:25" x14ac:dyDescent="0.2">
      <c r="Y14899" s="97"/>
    </row>
    <row r="14900" spans="25:25" x14ac:dyDescent="0.2">
      <c r="Y14900" s="97"/>
    </row>
    <row r="14901" spans="25:25" x14ac:dyDescent="0.2">
      <c r="Y14901" s="97"/>
    </row>
    <row r="14902" spans="25:25" x14ac:dyDescent="0.2">
      <c r="Y14902" s="97"/>
    </row>
    <row r="14903" spans="25:25" x14ac:dyDescent="0.2">
      <c r="Y14903" s="97"/>
    </row>
    <row r="14904" spans="25:25" x14ac:dyDescent="0.2">
      <c r="Y14904" s="97"/>
    </row>
    <row r="14905" spans="25:25" x14ac:dyDescent="0.2">
      <c r="Y14905" s="97"/>
    </row>
    <row r="14906" spans="25:25" x14ac:dyDescent="0.2">
      <c r="Y14906" s="97"/>
    </row>
    <row r="14907" spans="25:25" x14ac:dyDescent="0.2">
      <c r="Y14907" s="97"/>
    </row>
    <row r="14908" spans="25:25" x14ac:dyDescent="0.2">
      <c r="Y14908" s="97"/>
    </row>
    <row r="14909" spans="25:25" x14ac:dyDescent="0.2">
      <c r="Y14909" s="97"/>
    </row>
    <row r="14910" spans="25:25" x14ac:dyDescent="0.2">
      <c r="Y14910" s="97"/>
    </row>
    <row r="14911" spans="25:25" x14ac:dyDescent="0.2">
      <c r="Y14911" s="97"/>
    </row>
    <row r="14912" spans="25:25" x14ac:dyDescent="0.2">
      <c r="Y14912" s="97"/>
    </row>
    <row r="14913" spans="25:25" x14ac:dyDescent="0.2">
      <c r="Y14913" s="97"/>
    </row>
    <row r="14914" spans="25:25" x14ac:dyDescent="0.2">
      <c r="Y14914" s="97"/>
    </row>
    <row r="14915" spans="25:25" x14ac:dyDescent="0.2">
      <c r="Y14915" s="97"/>
    </row>
    <row r="14916" spans="25:25" x14ac:dyDescent="0.2">
      <c r="Y14916" s="97"/>
    </row>
    <row r="14917" spans="25:25" x14ac:dyDescent="0.2">
      <c r="Y14917" s="97"/>
    </row>
    <row r="14918" spans="25:25" x14ac:dyDescent="0.2">
      <c r="Y14918" s="97"/>
    </row>
    <row r="14919" spans="25:25" x14ac:dyDescent="0.2">
      <c r="Y14919" s="97"/>
    </row>
    <row r="14920" spans="25:25" x14ac:dyDescent="0.2">
      <c r="Y14920" s="97"/>
    </row>
    <row r="14921" spans="25:25" x14ac:dyDescent="0.2">
      <c r="Y14921" s="97"/>
    </row>
    <row r="14922" spans="25:25" x14ac:dyDescent="0.2">
      <c r="Y14922" s="97"/>
    </row>
    <row r="14923" spans="25:25" x14ac:dyDescent="0.2">
      <c r="Y14923" s="97"/>
    </row>
    <row r="14924" spans="25:25" x14ac:dyDescent="0.2">
      <c r="Y14924" s="97"/>
    </row>
    <row r="14925" spans="25:25" x14ac:dyDescent="0.2">
      <c r="Y14925" s="97"/>
    </row>
    <row r="14926" spans="25:25" x14ac:dyDescent="0.2">
      <c r="Y14926" s="97"/>
    </row>
    <row r="14927" spans="25:25" x14ac:dyDescent="0.2">
      <c r="Y14927" s="97"/>
    </row>
    <row r="14928" spans="25:25" x14ac:dyDescent="0.2">
      <c r="Y14928" s="97"/>
    </row>
    <row r="14929" spans="25:25" x14ac:dyDescent="0.2">
      <c r="Y14929" s="97"/>
    </row>
    <row r="14930" spans="25:25" x14ac:dyDescent="0.2">
      <c r="Y14930" s="97"/>
    </row>
    <row r="14931" spans="25:25" x14ac:dyDescent="0.2">
      <c r="Y14931" s="97"/>
    </row>
    <row r="14932" spans="25:25" x14ac:dyDescent="0.2">
      <c r="Y14932" s="97"/>
    </row>
    <row r="14933" spans="25:25" x14ac:dyDescent="0.2">
      <c r="Y14933" s="97"/>
    </row>
    <row r="14934" spans="25:25" x14ac:dyDescent="0.2">
      <c r="Y14934" s="97"/>
    </row>
    <row r="14935" spans="25:25" x14ac:dyDescent="0.2">
      <c r="Y14935" s="97"/>
    </row>
    <row r="14936" spans="25:25" x14ac:dyDescent="0.2">
      <c r="Y14936" s="97"/>
    </row>
    <row r="14937" spans="25:25" x14ac:dyDescent="0.2">
      <c r="Y14937" s="97"/>
    </row>
    <row r="14938" spans="25:25" x14ac:dyDescent="0.2">
      <c r="Y14938" s="97"/>
    </row>
    <row r="14939" spans="25:25" x14ac:dyDescent="0.2">
      <c r="Y14939" s="97"/>
    </row>
    <row r="14940" spans="25:25" x14ac:dyDescent="0.2">
      <c r="Y14940" s="97"/>
    </row>
    <row r="14941" spans="25:25" x14ac:dyDescent="0.2">
      <c r="Y14941" s="97"/>
    </row>
    <row r="14942" spans="25:25" x14ac:dyDescent="0.2">
      <c r="Y14942" s="97"/>
    </row>
    <row r="14943" spans="25:25" x14ac:dyDescent="0.2">
      <c r="Y14943" s="97"/>
    </row>
    <row r="14944" spans="25:25" x14ac:dyDescent="0.2">
      <c r="Y14944" s="97"/>
    </row>
    <row r="14945" spans="25:25" x14ac:dyDescent="0.2">
      <c r="Y14945" s="97"/>
    </row>
    <row r="14946" spans="25:25" x14ac:dyDescent="0.2">
      <c r="Y14946" s="97"/>
    </row>
    <row r="14947" spans="25:25" x14ac:dyDescent="0.2">
      <c r="Y14947" s="97"/>
    </row>
    <row r="14948" spans="25:25" x14ac:dyDescent="0.2">
      <c r="Y14948" s="97"/>
    </row>
    <row r="14949" spans="25:25" x14ac:dyDescent="0.2">
      <c r="Y14949" s="97"/>
    </row>
    <row r="14950" spans="25:25" x14ac:dyDescent="0.2">
      <c r="Y14950" s="97"/>
    </row>
    <row r="14951" spans="25:25" x14ac:dyDescent="0.2">
      <c r="Y14951" s="97"/>
    </row>
    <row r="14952" spans="25:25" x14ac:dyDescent="0.2">
      <c r="Y14952" s="97"/>
    </row>
    <row r="14953" spans="25:25" x14ac:dyDescent="0.2">
      <c r="Y14953" s="97"/>
    </row>
    <row r="14954" spans="25:25" x14ac:dyDescent="0.2">
      <c r="Y14954" s="97"/>
    </row>
    <row r="14955" spans="25:25" x14ac:dyDescent="0.2">
      <c r="Y14955" s="97"/>
    </row>
    <row r="14956" spans="25:25" x14ac:dyDescent="0.2">
      <c r="Y14956" s="97"/>
    </row>
    <row r="14957" spans="25:25" x14ac:dyDescent="0.2">
      <c r="Y14957" s="97"/>
    </row>
    <row r="14958" spans="25:25" x14ac:dyDescent="0.2">
      <c r="Y14958" s="97"/>
    </row>
    <row r="14959" spans="25:25" x14ac:dyDescent="0.2">
      <c r="Y14959" s="97"/>
    </row>
    <row r="14960" spans="25:25" x14ac:dyDescent="0.2">
      <c r="Y14960" s="97"/>
    </row>
    <row r="14961" spans="25:25" x14ac:dyDescent="0.2">
      <c r="Y14961" s="97"/>
    </row>
    <row r="14962" spans="25:25" x14ac:dyDescent="0.2">
      <c r="Y14962" s="97"/>
    </row>
    <row r="14963" spans="25:25" x14ac:dyDescent="0.2">
      <c r="Y14963" s="97"/>
    </row>
    <row r="14964" spans="25:25" x14ac:dyDescent="0.2">
      <c r="Y14964" s="97"/>
    </row>
    <row r="14965" spans="25:25" x14ac:dyDescent="0.2">
      <c r="Y14965" s="97"/>
    </row>
    <row r="14966" spans="25:25" x14ac:dyDescent="0.2">
      <c r="Y14966" s="97"/>
    </row>
    <row r="14967" spans="25:25" x14ac:dyDescent="0.2">
      <c r="Y14967" s="97"/>
    </row>
    <row r="14968" spans="25:25" x14ac:dyDescent="0.2">
      <c r="Y14968" s="97"/>
    </row>
    <row r="14969" spans="25:25" x14ac:dyDescent="0.2">
      <c r="Y14969" s="97"/>
    </row>
    <row r="14970" spans="25:25" x14ac:dyDescent="0.2">
      <c r="Y14970" s="97"/>
    </row>
    <row r="14971" spans="25:25" x14ac:dyDescent="0.2">
      <c r="Y14971" s="97"/>
    </row>
    <row r="14972" spans="25:25" x14ac:dyDescent="0.2">
      <c r="Y14972" s="97"/>
    </row>
    <row r="14973" spans="25:25" x14ac:dyDescent="0.2">
      <c r="Y14973" s="97"/>
    </row>
    <row r="14974" spans="25:25" x14ac:dyDescent="0.2">
      <c r="Y14974" s="97"/>
    </row>
    <row r="14975" spans="25:25" x14ac:dyDescent="0.2">
      <c r="Y14975" s="97"/>
    </row>
    <row r="14976" spans="25:25" x14ac:dyDescent="0.2">
      <c r="Y14976" s="97"/>
    </row>
    <row r="14977" spans="25:25" x14ac:dyDescent="0.2">
      <c r="Y14977" s="97"/>
    </row>
    <row r="14978" spans="25:25" x14ac:dyDescent="0.2">
      <c r="Y14978" s="97"/>
    </row>
    <row r="14979" spans="25:25" x14ac:dyDescent="0.2">
      <c r="Y14979" s="97"/>
    </row>
    <row r="14980" spans="25:25" x14ac:dyDescent="0.2">
      <c r="Y14980" s="97"/>
    </row>
    <row r="14981" spans="25:25" x14ac:dyDescent="0.2">
      <c r="Y14981" s="97"/>
    </row>
    <row r="14982" spans="25:25" x14ac:dyDescent="0.2">
      <c r="Y14982" s="97"/>
    </row>
    <row r="14983" spans="25:25" x14ac:dyDescent="0.2">
      <c r="Y14983" s="97"/>
    </row>
    <row r="14984" spans="25:25" x14ac:dyDescent="0.2">
      <c r="Y14984" s="97"/>
    </row>
    <row r="14985" spans="25:25" x14ac:dyDescent="0.2">
      <c r="Y14985" s="97"/>
    </row>
    <row r="14986" spans="25:25" x14ac:dyDescent="0.2">
      <c r="Y14986" s="97"/>
    </row>
    <row r="14987" spans="25:25" x14ac:dyDescent="0.2">
      <c r="Y14987" s="97"/>
    </row>
    <row r="14988" spans="25:25" x14ac:dyDescent="0.2">
      <c r="Y14988" s="97"/>
    </row>
    <row r="14989" spans="25:25" x14ac:dyDescent="0.2">
      <c r="Y14989" s="97"/>
    </row>
    <row r="14990" spans="25:25" x14ac:dyDescent="0.2">
      <c r="Y14990" s="97"/>
    </row>
    <row r="14991" spans="25:25" x14ac:dyDescent="0.2">
      <c r="Y14991" s="97"/>
    </row>
    <row r="14992" spans="25:25" x14ac:dyDescent="0.2">
      <c r="Y14992" s="97"/>
    </row>
    <row r="14993" spans="25:25" x14ac:dyDescent="0.2">
      <c r="Y14993" s="97"/>
    </row>
    <row r="14994" spans="25:25" x14ac:dyDescent="0.2">
      <c r="Y14994" s="97"/>
    </row>
    <row r="14995" spans="25:25" x14ac:dyDescent="0.2">
      <c r="Y14995" s="97"/>
    </row>
    <row r="14996" spans="25:25" x14ac:dyDescent="0.2">
      <c r="Y14996" s="97"/>
    </row>
    <row r="14997" spans="25:25" x14ac:dyDescent="0.2">
      <c r="Y14997" s="97"/>
    </row>
    <row r="14998" spans="25:25" x14ac:dyDescent="0.2">
      <c r="Y14998" s="97"/>
    </row>
    <row r="14999" spans="25:25" x14ac:dyDescent="0.2">
      <c r="Y14999" s="97"/>
    </row>
    <row r="15000" spans="25:25" x14ac:dyDescent="0.2">
      <c r="Y15000" s="97"/>
    </row>
    <row r="15001" spans="25:25" x14ac:dyDescent="0.2">
      <c r="Y15001" s="97"/>
    </row>
    <row r="15002" spans="25:25" x14ac:dyDescent="0.2">
      <c r="Y15002" s="97"/>
    </row>
    <row r="15003" spans="25:25" x14ac:dyDescent="0.2">
      <c r="Y15003" s="97"/>
    </row>
    <row r="15004" spans="25:25" x14ac:dyDescent="0.2">
      <c r="Y15004" s="97"/>
    </row>
    <row r="15005" spans="25:25" x14ac:dyDescent="0.2">
      <c r="Y15005" s="97"/>
    </row>
    <row r="15006" spans="25:25" x14ac:dyDescent="0.2">
      <c r="Y15006" s="97"/>
    </row>
    <row r="15007" spans="25:25" x14ac:dyDescent="0.2">
      <c r="Y15007" s="97"/>
    </row>
    <row r="15008" spans="25:25" x14ac:dyDescent="0.2">
      <c r="Y15008" s="97"/>
    </row>
    <row r="15009" spans="25:25" x14ac:dyDescent="0.2">
      <c r="Y15009" s="97"/>
    </row>
    <row r="15010" spans="25:25" x14ac:dyDescent="0.2">
      <c r="Y15010" s="97"/>
    </row>
    <row r="15011" spans="25:25" x14ac:dyDescent="0.2">
      <c r="Y15011" s="97"/>
    </row>
    <row r="15012" spans="25:25" x14ac:dyDescent="0.2">
      <c r="Y15012" s="97"/>
    </row>
    <row r="15013" spans="25:25" x14ac:dyDescent="0.2">
      <c r="Y15013" s="97"/>
    </row>
    <row r="15014" spans="25:25" x14ac:dyDescent="0.2">
      <c r="Y15014" s="97"/>
    </row>
    <row r="15015" spans="25:25" x14ac:dyDescent="0.2">
      <c r="Y15015" s="97"/>
    </row>
    <row r="15016" spans="25:25" x14ac:dyDescent="0.2">
      <c r="Y15016" s="97"/>
    </row>
    <row r="15017" spans="25:25" x14ac:dyDescent="0.2">
      <c r="Y15017" s="97"/>
    </row>
    <row r="15018" spans="25:25" x14ac:dyDescent="0.2">
      <c r="Y15018" s="97"/>
    </row>
    <row r="15019" spans="25:25" x14ac:dyDescent="0.2">
      <c r="Y15019" s="97"/>
    </row>
    <row r="15020" spans="25:25" x14ac:dyDescent="0.2">
      <c r="Y15020" s="97"/>
    </row>
    <row r="15021" spans="25:25" x14ac:dyDescent="0.2">
      <c r="Y15021" s="97"/>
    </row>
    <row r="15022" spans="25:25" x14ac:dyDescent="0.2">
      <c r="Y15022" s="97"/>
    </row>
    <row r="15023" spans="25:25" x14ac:dyDescent="0.2">
      <c r="Y15023" s="97"/>
    </row>
    <row r="15024" spans="25:25" x14ac:dyDescent="0.2">
      <c r="Y15024" s="97"/>
    </row>
    <row r="15025" spans="25:25" x14ac:dyDescent="0.2">
      <c r="Y15025" s="97"/>
    </row>
    <row r="15026" spans="25:25" x14ac:dyDescent="0.2">
      <c r="Y15026" s="97"/>
    </row>
    <row r="15027" spans="25:25" x14ac:dyDescent="0.2">
      <c r="Y15027" s="97"/>
    </row>
    <row r="15028" spans="25:25" x14ac:dyDescent="0.2">
      <c r="Y15028" s="97"/>
    </row>
    <row r="15029" spans="25:25" x14ac:dyDescent="0.2">
      <c r="Y15029" s="97"/>
    </row>
    <row r="15030" spans="25:25" x14ac:dyDescent="0.2">
      <c r="Y15030" s="97"/>
    </row>
    <row r="15031" spans="25:25" x14ac:dyDescent="0.2">
      <c r="Y15031" s="97"/>
    </row>
    <row r="15032" spans="25:25" x14ac:dyDescent="0.2">
      <c r="Y15032" s="97"/>
    </row>
    <row r="15033" spans="25:25" x14ac:dyDescent="0.2">
      <c r="Y15033" s="97"/>
    </row>
    <row r="15034" spans="25:25" x14ac:dyDescent="0.2">
      <c r="Y15034" s="97"/>
    </row>
    <row r="15035" spans="25:25" x14ac:dyDescent="0.2">
      <c r="Y15035" s="97"/>
    </row>
    <row r="15036" spans="25:25" x14ac:dyDescent="0.2">
      <c r="Y15036" s="97"/>
    </row>
    <row r="15037" spans="25:25" x14ac:dyDescent="0.2">
      <c r="Y15037" s="97"/>
    </row>
    <row r="15038" spans="25:25" x14ac:dyDescent="0.2">
      <c r="Y15038" s="97"/>
    </row>
    <row r="15039" spans="25:25" x14ac:dyDescent="0.2">
      <c r="Y15039" s="97"/>
    </row>
    <row r="15040" spans="25:25" x14ac:dyDescent="0.2">
      <c r="Y15040" s="97"/>
    </row>
    <row r="15041" spans="25:25" x14ac:dyDescent="0.2">
      <c r="Y15041" s="97"/>
    </row>
    <row r="15042" spans="25:25" x14ac:dyDescent="0.2">
      <c r="Y15042" s="97"/>
    </row>
    <row r="15043" spans="25:25" x14ac:dyDescent="0.2">
      <c r="Y15043" s="97"/>
    </row>
    <row r="15044" spans="25:25" x14ac:dyDescent="0.2">
      <c r="Y15044" s="97"/>
    </row>
    <row r="15045" spans="25:25" x14ac:dyDescent="0.2">
      <c r="Y15045" s="97"/>
    </row>
    <row r="15046" spans="25:25" x14ac:dyDescent="0.2">
      <c r="Y15046" s="97"/>
    </row>
    <row r="15047" spans="25:25" x14ac:dyDescent="0.2">
      <c r="Y15047" s="97"/>
    </row>
    <row r="15048" spans="25:25" x14ac:dyDescent="0.2">
      <c r="Y15048" s="97"/>
    </row>
    <row r="15049" spans="25:25" x14ac:dyDescent="0.2">
      <c r="Y15049" s="97"/>
    </row>
    <row r="15050" spans="25:25" x14ac:dyDescent="0.2">
      <c r="Y15050" s="97"/>
    </row>
    <row r="15051" spans="25:25" x14ac:dyDescent="0.2">
      <c r="Y15051" s="97"/>
    </row>
    <row r="15052" spans="25:25" x14ac:dyDescent="0.2">
      <c r="Y15052" s="97"/>
    </row>
    <row r="15053" spans="25:25" x14ac:dyDescent="0.2">
      <c r="Y15053" s="97"/>
    </row>
    <row r="15054" spans="25:25" x14ac:dyDescent="0.2">
      <c r="Y15054" s="97"/>
    </row>
    <row r="15055" spans="25:25" x14ac:dyDescent="0.2">
      <c r="Y15055" s="97"/>
    </row>
    <row r="15056" spans="25:25" x14ac:dyDescent="0.2">
      <c r="Y15056" s="97"/>
    </row>
    <row r="15057" spans="25:25" x14ac:dyDescent="0.2">
      <c r="Y15057" s="97"/>
    </row>
    <row r="15058" spans="25:25" x14ac:dyDescent="0.2">
      <c r="Y15058" s="97"/>
    </row>
    <row r="15059" spans="25:25" x14ac:dyDescent="0.2">
      <c r="Y15059" s="97"/>
    </row>
    <row r="15060" spans="25:25" x14ac:dyDescent="0.2">
      <c r="Y15060" s="97"/>
    </row>
    <row r="15061" spans="25:25" x14ac:dyDescent="0.2">
      <c r="Y15061" s="97"/>
    </row>
    <row r="15062" spans="25:25" x14ac:dyDescent="0.2">
      <c r="Y15062" s="97"/>
    </row>
    <row r="15063" spans="25:25" x14ac:dyDescent="0.2">
      <c r="Y15063" s="97"/>
    </row>
    <row r="15064" spans="25:25" x14ac:dyDescent="0.2">
      <c r="Y15064" s="97"/>
    </row>
    <row r="15065" spans="25:25" x14ac:dyDescent="0.2">
      <c r="Y15065" s="97"/>
    </row>
    <row r="15066" spans="25:25" x14ac:dyDescent="0.2">
      <c r="Y15066" s="97"/>
    </row>
    <row r="15067" spans="25:25" x14ac:dyDescent="0.2">
      <c r="Y15067" s="97"/>
    </row>
    <row r="15068" spans="25:25" x14ac:dyDescent="0.2">
      <c r="Y15068" s="97"/>
    </row>
    <row r="15069" spans="25:25" x14ac:dyDescent="0.2">
      <c r="Y15069" s="97"/>
    </row>
    <row r="15070" spans="25:25" x14ac:dyDescent="0.2">
      <c r="Y15070" s="97"/>
    </row>
    <row r="15071" spans="25:25" x14ac:dyDescent="0.2">
      <c r="Y15071" s="97"/>
    </row>
    <row r="15072" spans="25:25" x14ac:dyDescent="0.2">
      <c r="Y15072" s="97"/>
    </row>
    <row r="15073" spans="25:25" x14ac:dyDescent="0.2">
      <c r="Y15073" s="97"/>
    </row>
    <row r="15074" spans="25:25" x14ac:dyDescent="0.2">
      <c r="Y15074" s="97"/>
    </row>
    <row r="15075" spans="25:25" x14ac:dyDescent="0.2">
      <c r="Y15075" s="97"/>
    </row>
    <row r="15076" spans="25:25" x14ac:dyDescent="0.2">
      <c r="Y15076" s="97"/>
    </row>
    <row r="15077" spans="25:25" x14ac:dyDescent="0.2">
      <c r="Y15077" s="97"/>
    </row>
    <row r="15078" spans="25:25" x14ac:dyDescent="0.2">
      <c r="Y15078" s="97"/>
    </row>
    <row r="15079" spans="25:25" x14ac:dyDescent="0.2">
      <c r="Y15079" s="97"/>
    </row>
    <row r="15080" spans="25:25" x14ac:dyDescent="0.2">
      <c r="Y15080" s="97"/>
    </row>
    <row r="15081" spans="25:25" x14ac:dyDescent="0.2">
      <c r="Y15081" s="97"/>
    </row>
    <row r="15082" spans="25:25" x14ac:dyDescent="0.2">
      <c r="Y15082" s="97"/>
    </row>
    <row r="15083" spans="25:25" x14ac:dyDescent="0.2">
      <c r="Y15083" s="97"/>
    </row>
    <row r="15084" spans="25:25" x14ac:dyDescent="0.2">
      <c r="Y15084" s="97"/>
    </row>
    <row r="15085" spans="25:25" x14ac:dyDescent="0.2">
      <c r="Y15085" s="97"/>
    </row>
    <row r="15086" spans="25:25" x14ac:dyDescent="0.2">
      <c r="Y15086" s="97"/>
    </row>
    <row r="15087" spans="25:25" x14ac:dyDescent="0.2">
      <c r="Y15087" s="97"/>
    </row>
    <row r="15088" spans="25:25" x14ac:dyDescent="0.2">
      <c r="Y15088" s="97"/>
    </row>
    <row r="15089" spans="25:25" x14ac:dyDescent="0.2">
      <c r="Y15089" s="97"/>
    </row>
    <row r="15090" spans="25:25" x14ac:dyDescent="0.2">
      <c r="Y15090" s="97"/>
    </row>
    <row r="15091" spans="25:25" x14ac:dyDescent="0.2">
      <c r="Y15091" s="97"/>
    </row>
    <row r="15092" spans="25:25" x14ac:dyDescent="0.2">
      <c r="Y15092" s="97"/>
    </row>
    <row r="15093" spans="25:25" x14ac:dyDescent="0.2">
      <c r="Y15093" s="97"/>
    </row>
    <row r="15094" spans="25:25" x14ac:dyDescent="0.2">
      <c r="Y15094" s="97"/>
    </row>
    <row r="15095" spans="25:25" x14ac:dyDescent="0.2">
      <c r="Y15095" s="97"/>
    </row>
    <row r="15096" spans="25:25" x14ac:dyDescent="0.2">
      <c r="Y15096" s="97"/>
    </row>
    <row r="15097" spans="25:25" x14ac:dyDescent="0.2">
      <c r="Y15097" s="97"/>
    </row>
    <row r="15098" spans="25:25" x14ac:dyDescent="0.2">
      <c r="Y15098" s="97"/>
    </row>
    <row r="15099" spans="25:25" x14ac:dyDescent="0.2">
      <c r="Y15099" s="97"/>
    </row>
    <row r="15100" spans="25:25" x14ac:dyDescent="0.2">
      <c r="Y15100" s="97"/>
    </row>
    <row r="15101" spans="25:25" x14ac:dyDescent="0.2">
      <c r="Y15101" s="97"/>
    </row>
    <row r="15102" spans="25:25" x14ac:dyDescent="0.2">
      <c r="Y15102" s="97"/>
    </row>
    <row r="15103" spans="25:25" x14ac:dyDescent="0.2">
      <c r="Y15103" s="97"/>
    </row>
    <row r="15104" spans="25:25" x14ac:dyDescent="0.2">
      <c r="Y15104" s="97"/>
    </row>
    <row r="15105" spans="25:25" x14ac:dyDescent="0.2">
      <c r="Y15105" s="97"/>
    </row>
    <row r="15106" spans="25:25" x14ac:dyDescent="0.2">
      <c r="Y15106" s="97"/>
    </row>
    <row r="15107" spans="25:25" x14ac:dyDescent="0.2">
      <c r="Y15107" s="97"/>
    </row>
    <row r="15108" spans="25:25" x14ac:dyDescent="0.2">
      <c r="Y15108" s="97"/>
    </row>
    <row r="15109" spans="25:25" x14ac:dyDescent="0.2">
      <c r="Y15109" s="97"/>
    </row>
    <row r="15110" spans="25:25" x14ac:dyDescent="0.2">
      <c r="Y15110" s="97"/>
    </row>
    <row r="15111" spans="25:25" x14ac:dyDescent="0.2">
      <c r="Y15111" s="97"/>
    </row>
    <row r="15112" spans="25:25" x14ac:dyDescent="0.2">
      <c r="Y15112" s="97"/>
    </row>
    <row r="15113" spans="25:25" x14ac:dyDescent="0.2">
      <c r="Y15113" s="97"/>
    </row>
    <row r="15114" spans="25:25" x14ac:dyDescent="0.2">
      <c r="Y15114" s="97"/>
    </row>
    <row r="15115" spans="25:25" x14ac:dyDescent="0.2">
      <c r="Y15115" s="97"/>
    </row>
    <row r="15116" spans="25:25" x14ac:dyDescent="0.2">
      <c r="Y15116" s="97"/>
    </row>
    <row r="15117" spans="25:25" x14ac:dyDescent="0.2">
      <c r="Y15117" s="97"/>
    </row>
    <row r="15118" spans="25:25" x14ac:dyDescent="0.2">
      <c r="Y15118" s="97"/>
    </row>
    <row r="15119" spans="25:25" x14ac:dyDescent="0.2">
      <c r="Y15119" s="97"/>
    </row>
    <row r="15120" spans="25:25" x14ac:dyDescent="0.2">
      <c r="Y15120" s="97"/>
    </row>
    <row r="15121" spans="25:25" x14ac:dyDescent="0.2">
      <c r="Y15121" s="97"/>
    </row>
    <row r="15122" spans="25:25" x14ac:dyDescent="0.2">
      <c r="Y15122" s="97"/>
    </row>
    <row r="15123" spans="25:25" x14ac:dyDescent="0.2">
      <c r="Y15123" s="97"/>
    </row>
    <row r="15124" spans="25:25" x14ac:dyDescent="0.2">
      <c r="Y15124" s="97"/>
    </row>
    <row r="15125" spans="25:25" x14ac:dyDescent="0.2">
      <c r="Y15125" s="97"/>
    </row>
    <row r="15126" spans="25:25" x14ac:dyDescent="0.2">
      <c r="Y15126" s="97"/>
    </row>
    <row r="15127" spans="25:25" x14ac:dyDescent="0.2">
      <c r="Y15127" s="97"/>
    </row>
    <row r="15128" spans="25:25" x14ac:dyDescent="0.2">
      <c r="Y15128" s="97"/>
    </row>
    <row r="15129" spans="25:25" x14ac:dyDescent="0.2">
      <c r="Y15129" s="97"/>
    </row>
    <row r="15130" spans="25:25" x14ac:dyDescent="0.2">
      <c r="Y15130" s="97"/>
    </row>
    <row r="15131" spans="25:25" x14ac:dyDescent="0.2">
      <c r="Y15131" s="97"/>
    </row>
    <row r="15132" spans="25:25" x14ac:dyDescent="0.2">
      <c r="Y15132" s="97"/>
    </row>
    <row r="15133" spans="25:25" x14ac:dyDescent="0.2">
      <c r="Y15133" s="97"/>
    </row>
    <row r="15134" spans="25:25" x14ac:dyDescent="0.2">
      <c r="Y15134" s="97"/>
    </row>
    <row r="15135" spans="25:25" x14ac:dyDescent="0.2">
      <c r="Y15135" s="97"/>
    </row>
    <row r="15136" spans="25:25" x14ac:dyDescent="0.2">
      <c r="Y15136" s="97"/>
    </row>
    <row r="15137" spans="25:25" x14ac:dyDescent="0.2">
      <c r="Y15137" s="97"/>
    </row>
    <row r="15138" spans="25:25" x14ac:dyDescent="0.2">
      <c r="Y15138" s="97"/>
    </row>
    <row r="15139" spans="25:25" x14ac:dyDescent="0.2">
      <c r="Y15139" s="97"/>
    </row>
    <row r="15140" spans="25:25" x14ac:dyDescent="0.2">
      <c r="Y15140" s="97"/>
    </row>
    <row r="15141" spans="25:25" x14ac:dyDescent="0.2">
      <c r="Y15141" s="97"/>
    </row>
    <row r="15142" spans="25:25" x14ac:dyDescent="0.2">
      <c r="Y15142" s="97"/>
    </row>
    <row r="15143" spans="25:25" x14ac:dyDescent="0.2">
      <c r="Y15143" s="97"/>
    </row>
    <row r="15144" spans="25:25" x14ac:dyDescent="0.2">
      <c r="Y15144" s="97"/>
    </row>
    <row r="15145" spans="25:25" x14ac:dyDescent="0.2">
      <c r="Y15145" s="97"/>
    </row>
    <row r="15146" spans="25:25" x14ac:dyDescent="0.2">
      <c r="Y15146" s="97"/>
    </row>
    <row r="15147" spans="25:25" x14ac:dyDescent="0.2">
      <c r="Y15147" s="97"/>
    </row>
    <row r="15148" spans="25:25" x14ac:dyDescent="0.2">
      <c r="Y15148" s="97"/>
    </row>
    <row r="15149" spans="25:25" x14ac:dyDescent="0.2">
      <c r="Y15149" s="97"/>
    </row>
    <row r="15150" spans="25:25" x14ac:dyDescent="0.2">
      <c r="Y15150" s="97"/>
    </row>
    <row r="15151" spans="25:25" x14ac:dyDescent="0.2">
      <c r="Y15151" s="97"/>
    </row>
    <row r="15152" spans="25:25" x14ac:dyDescent="0.2">
      <c r="Y15152" s="97"/>
    </row>
    <row r="15153" spans="25:25" x14ac:dyDescent="0.2">
      <c r="Y15153" s="97"/>
    </row>
    <row r="15154" spans="25:25" x14ac:dyDescent="0.2">
      <c r="Y15154" s="97"/>
    </row>
    <row r="15155" spans="25:25" x14ac:dyDescent="0.2">
      <c r="Y15155" s="97"/>
    </row>
    <row r="15156" spans="25:25" x14ac:dyDescent="0.2">
      <c r="Y15156" s="97"/>
    </row>
    <row r="15157" spans="25:25" x14ac:dyDescent="0.2">
      <c r="Y15157" s="97"/>
    </row>
    <row r="15158" spans="25:25" x14ac:dyDescent="0.2">
      <c r="Y15158" s="97"/>
    </row>
    <row r="15159" spans="25:25" x14ac:dyDescent="0.2">
      <c r="Y15159" s="97"/>
    </row>
    <row r="15160" spans="25:25" x14ac:dyDescent="0.2">
      <c r="Y15160" s="97"/>
    </row>
    <row r="15161" spans="25:25" x14ac:dyDescent="0.2">
      <c r="Y15161" s="97"/>
    </row>
    <row r="15162" spans="25:25" x14ac:dyDescent="0.2">
      <c r="Y15162" s="97"/>
    </row>
    <row r="15163" spans="25:25" x14ac:dyDescent="0.2">
      <c r="Y15163" s="97"/>
    </row>
    <row r="15164" spans="25:25" x14ac:dyDescent="0.2">
      <c r="Y15164" s="97"/>
    </row>
    <row r="15165" spans="25:25" x14ac:dyDescent="0.2">
      <c r="Y15165" s="97"/>
    </row>
    <row r="15166" spans="25:25" x14ac:dyDescent="0.2">
      <c r="Y15166" s="97"/>
    </row>
    <row r="15167" spans="25:25" x14ac:dyDescent="0.2">
      <c r="Y15167" s="97"/>
    </row>
    <row r="15168" spans="25:25" x14ac:dyDescent="0.2">
      <c r="Y15168" s="97"/>
    </row>
    <row r="15169" spans="25:25" x14ac:dyDescent="0.2">
      <c r="Y15169" s="97"/>
    </row>
    <row r="15170" spans="25:25" x14ac:dyDescent="0.2">
      <c r="Y15170" s="97"/>
    </row>
    <row r="15171" spans="25:25" x14ac:dyDescent="0.2">
      <c r="Y15171" s="97"/>
    </row>
    <row r="15172" spans="25:25" x14ac:dyDescent="0.2">
      <c r="Y15172" s="97"/>
    </row>
    <row r="15173" spans="25:25" x14ac:dyDescent="0.2">
      <c r="Y15173" s="97"/>
    </row>
    <row r="15174" spans="25:25" x14ac:dyDescent="0.2">
      <c r="Y15174" s="97"/>
    </row>
    <row r="15175" spans="25:25" x14ac:dyDescent="0.2">
      <c r="Y15175" s="97"/>
    </row>
    <row r="15176" spans="25:25" x14ac:dyDescent="0.2">
      <c r="Y15176" s="97"/>
    </row>
    <row r="15177" spans="25:25" x14ac:dyDescent="0.2">
      <c r="Y15177" s="97"/>
    </row>
    <row r="15178" spans="25:25" x14ac:dyDescent="0.2">
      <c r="Y15178" s="97"/>
    </row>
    <row r="15179" spans="25:25" x14ac:dyDescent="0.2">
      <c r="Y15179" s="97"/>
    </row>
    <row r="15180" spans="25:25" x14ac:dyDescent="0.2">
      <c r="Y15180" s="97"/>
    </row>
    <row r="15181" spans="25:25" x14ac:dyDescent="0.2">
      <c r="Y15181" s="97"/>
    </row>
    <row r="15182" spans="25:25" x14ac:dyDescent="0.2">
      <c r="Y15182" s="97"/>
    </row>
    <row r="15183" spans="25:25" x14ac:dyDescent="0.2">
      <c r="Y15183" s="97"/>
    </row>
    <row r="15184" spans="25:25" x14ac:dyDescent="0.2">
      <c r="Y15184" s="97"/>
    </row>
    <row r="15185" spans="25:25" x14ac:dyDescent="0.2">
      <c r="Y15185" s="97"/>
    </row>
    <row r="15186" spans="25:25" x14ac:dyDescent="0.2">
      <c r="Y15186" s="97"/>
    </row>
    <row r="15187" spans="25:25" x14ac:dyDescent="0.2">
      <c r="Y15187" s="97"/>
    </row>
    <row r="15188" spans="25:25" x14ac:dyDescent="0.2">
      <c r="Y15188" s="97"/>
    </row>
    <row r="15189" spans="25:25" x14ac:dyDescent="0.2">
      <c r="Y15189" s="97"/>
    </row>
    <row r="15190" spans="25:25" x14ac:dyDescent="0.2">
      <c r="Y15190" s="97"/>
    </row>
    <row r="15191" spans="25:25" x14ac:dyDescent="0.2">
      <c r="Y15191" s="97"/>
    </row>
    <row r="15192" spans="25:25" x14ac:dyDescent="0.2">
      <c r="Y15192" s="97"/>
    </row>
    <row r="15193" spans="25:25" x14ac:dyDescent="0.2">
      <c r="Y15193" s="97"/>
    </row>
    <row r="15194" spans="25:25" x14ac:dyDescent="0.2">
      <c r="Y15194" s="97"/>
    </row>
    <row r="15195" spans="25:25" x14ac:dyDescent="0.2">
      <c r="Y15195" s="97"/>
    </row>
    <row r="15196" spans="25:25" x14ac:dyDescent="0.2">
      <c r="Y15196" s="97"/>
    </row>
    <row r="15197" spans="25:25" x14ac:dyDescent="0.2">
      <c r="Y15197" s="97"/>
    </row>
    <row r="15198" spans="25:25" x14ac:dyDescent="0.2">
      <c r="Y15198" s="97"/>
    </row>
    <row r="15199" spans="25:25" x14ac:dyDescent="0.2">
      <c r="Y15199" s="97"/>
    </row>
    <row r="15200" spans="25:25" x14ac:dyDescent="0.2">
      <c r="Y15200" s="97"/>
    </row>
    <row r="15201" spans="25:25" x14ac:dyDescent="0.2">
      <c r="Y15201" s="97"/>
    </row>
    <row r="15202" spans="25:25" x14ac:dyDescent="0.2">
      <c r="Y15202" s="97"/>
    </row>
    <row r="15203" spans="25:25" x14ac:dyDescent="0.2">
      <c r="Y15203" s="97"/>
    </row>
    <row r="15204" spans="25:25" x14ac:dyDescent="0.2">
      <c r="Y15204" s="97"/>
    </row>
    <row r="15205" spans="25:25" x14ac:dyDescent="0.2">
      <c r="Y15205" s="97"/>
    </row>
    <row r="15206" spans="25:25" x14ac:dyDescent="0.2">
      <c r="Y15206" s="97"/>
    </row>
    <row r="15207" spans="25:25" x14ac:dyDescent="0.2">
      <c r="Y15207" s="97"/>
    </row>
    <row r="15208" spans="25:25" x14ac:dyDescent="0.2">
      <c r="Y15208" s="97"/>
    </row>
    <row r="15209" spans="25:25" x14ac:dyDescent="0.2">
      <c r="Y15209" s="97"/>
    </row>
    <row r="15210" spans="25:25" x14ac:dyDescent="0.2">
      <c r="Y15210" s="97"/>
    </row>
    <row r="15211" spans="25:25" x14ac:dyDescent="0.2">
      <c r="Y15211" s="97"/>
    </row>
    <row r="15212" spans="25:25" x14ac:dyDescent="0.2">
      <c r="Y15212" s="97"/>
    </row>
    <row r="15213" spans="25:25" x14ac:dyDescent="0.2">
      <c r="Y15213" s="97"/>
    </row>
    <row r="15214" spans="25:25" x14ac:dyDescent="0.2">
      <c r="Y15214" s="97"/>
    </row>
    <row r="15215" spans="25:25" x14ac:dyDescent="0.2">
      <c r="Y15215" s="97"/>
    </row>
    <row r="15216" spans="25:25" x14ac:dyDescent="0.2">
      <c r="Y15216" s="97"/>
    </row>
    <row r="15217" spans="25:25" x14ac:dyDescent="0.2">
      <c r="Y15217" s="97"/>
    </row>
    <row r="15218" spans="25:25" x14ac:dyDescent="0.2">
      <c r="Y15218" s="97"/>
    </row>
    <row r="15219" spans="25:25" x14ac:dyDescent="0.2">
      <c r="Y15219" s="97"/>
    </row>
    <row r="15220" spans="25:25" x14ac:dyDescent="0.2">
      <c r="Y15220" s="97"/>
    </row>
    <row r="15221" spans="25:25" x14ac:dyDescent="0.2">
      <c r="Y15221" s="97"/>
    </row>
    <row r="15222" spans="25:25" x14ac:dyDescent="0.2">
      <c r="Y15222" s="97"/>
    </row>
    <row r="15223" spans="25:25" x14ac:dyDescent="0.2">
      <c r="Y15223" s="97"/>
    </row>
    <row r="15224" spans="25:25" x14ac:dyDescent="0.2">
      <c r="Y15224" s="97"/>
    </row>
    <row r="15225" spans="25:25" x14ac:dyDescent="0.2">
      <c r="Y15225" s="97"/>
    </row>
    <row r="15226" spans="25:25" x14ac:dyDescent="0.2">
      <c r="Y15226" s="97"/>
    </row>
    <row r="15227" spans="25:25" x14ac:dyDescent="0.2">
      <c r="Y15227" s="97"/>
    </row>
    <row r="15228" spans="25:25" x14ac:dyDescent="0.2">
      <c r="Y15228" s="97"/>
    </row>
    <row r="15229" spans="25:25" x14ac:dyDescent="0.2">
      <c r="Y15229" s="97"/>
    </row>
    <row r="15230" spans="25:25" x14ac:dyDescent="0.2">
      <c r="Y15230" s="97"/>
    </row>
    <row r="15231" spans="25:25" x14ac:dyDescent="0.2">
      <c r="Y15231" s="97"/>
    </row>
    <row r="15232" spans="25:25" x14ac:dyDescent="0.2">
      <c r="Y15232" s="97"/>
    </row>
    <row r="15233" spans="25:25" x14ac:dyDescent="0.2">
      <c r="Y15233" s="97"/>
    </row>
    <row r="15234" spans="25:25" x14ac:dyDescent="0.2">
      <c r="Y15234" s="97"/>
    </row>
    <row r="15235" spans="25:25" x14ac:dyDescent="0.2">
      <c r="Y15235" s="97"/>
    </row>
    <row r="15236" spans="25:25" x14ac:dyDescent="0.2">
      <c r="Y15236" s="97"/>
    </row>
    <row r="15237" spans="25:25" x14ac:dyDescent="0.2">
      <c r="Y15237" s="97"/>
    </row>
    <row r="15238" spans="25:25" x14ac:dyDescent="0.2">
      <c r="Y15238" s="97"/>
    </row>
    <row r="15239" spans="25:25" x14ac:dyDescent="0.2">
      <c r="Y15239" s="97"/>
    </row>
    <row r="15240" spans="25:25" x14ac:dyDescent="0.2">
      <c r="Y15240" s="97"/>
    </row>
    <row r="15241" spans="25:25" x14ac:dyDescent="0.2">
      <c r="Y15241" s="97"/>
    </row>
    <row r="15242" spans="25:25" x14ac:dyDescent="0.2">
      <c r="Y15242" s="97"/>
    </row>
    <row r="15243" spans="25:25" x14ac:dyDescent="0.2">
      <c r="Y15243" s="97"/>
    </row>
    <row r="15244" spans="25:25" x14ac:dyDescent="0.2">
      <c r="Y15244" s="97"/>
    </row>
    <row r="15245" spans="25:25" x14ac:dyDescent="0.2">
      <c r="Y15245" s="97"/>
    </row>
    <row r="15246" spans="25:25" x14ac:dyDescent="0.2">
      <c r="Y15246" s="97"/>
    </row>
    <row r="15247" spans="25:25" x14ac:dyDescent="0.2">
      <c r="Y15247" s="97"/>
    </row>
    <row r="15248" spans="25:25" x14ac:dyDescent="0.2">
      <c r="Y15248" s="97"/>
    </row>
    <row r="15249" spans="25:25" x14ac:dyDescent="0.2">
      <c r="Y15249" s="97"/>
    </row>
    <row r="15250" spans="25:25" x14ac:dyDescent="0.2">
      <c r="Y15250" s="97"/>
    </row>
    <row r="15251" spans="25:25" x14ac:dyDescent="0.2">
      <c r="Y15251" s="97"/>
    </row>
    <row r="15252" spans="25:25" x14ac:dyDescent="0.2">
      <c r="Y15252" s="97"/>
    </row>
    <row r="15253" spans="25:25" x14ac:dyDescent="0.2">
      <c r="Y15253" s="97"/>
    </row>
    <row r="15254" spans="25:25" x14ac:dyDescent="0.2">
      <c r="Y15254" s="97"/>
    </row>
    <row r="15255" spans="25:25" x14ac:dyDescent="0.2">
      <c r="Y15255" s="97"/>
    </row>
    <row r="15256" spans="25:25" x14ac:dyDescent="0.2">
      <c r="Y15256" s="97"/>
    </row>
    <row r="15257" spans="25:25" x14ac:dyDescent="0.2">
      <c r="Y15257" s="97"/>
    </row>
    <row r="15258" spans="25:25" x14ac:dyDescent="0.2">
      <c r="Y15258" s="97"/>
    </row>
    <row r="15259" spans="25:25" x14ac:dyDescent="0.2">
      <c r="Y15259" s="97"/>
    </row>
    <row r="15260" spans="25:25" x14ac:dyDescent="0.2">
      <c r="Y15260" s="97"/>
    </row>
    <row r="15261" spans="25:25" x14ac:dyDescent="0.2">
      <c r="Y15261" s="97"/>
    </row>
    <row r="15262" spans="25:25" x14ac:dyDescent="0.2">
      <c r="Y15262" s="97"/>
    </row>
    <row r="15263" spans="25:25" x14ac:dyDescent="0.2">
      <c r="Y15263" s="97"/>
    </row>
    <row r="15264" spans="25:25" x14ac:dyDescent="0.2">
      <c r="Y15264" s="97"/>
    </row>
    <row r="15265" spans="25:25" x14ac:dyDescent="0.2">
      <c r="Y15265" s="97"/>
    </row>
    <row r="15266" spans="25:25" x14ac:dyDescent="0.2">
      <c r="Y15266" s="97"/>
    </row>
    <row r="15267" spans="25:25" x14ac:dyDescent="0.2">
      <c r="Y15267" s="97"/>
    </row>
    <row r="15268" spans="25:25" x14ac:dyDescent="0.2">
      <c r="Y15268" s="97"/>
    </row>
    <row r="15269" spans="25:25" x14ac:dyDescent="0.2">
      <c r="Y15269" s="97"/>
    </row>
    <row r="15270" spans="25:25" x14ac:dyDescent="0.2">
      <c r="Y15270" s="97"/>
    </row>
    <row r="15271" spans="25:25" x14ac:dyDescent="0.2">
      <c r="Y15271" s="97"/>
    </row>
    <row r="15272" spans="25:25" x14ac:dyDescent="0.2">
      <c r="Y15272" s="97"/>
    </row>
    <row r="15273" spans="25:25" x14ac:dyDescent="0.2">
      <c r="Y15273" s="97"/>
    </row>
    <row r="15274" spans="25:25" x14ac:dyDescent="0.2">
      <c r="Y15274" s="97"/>
    </row>
    <row r="15275" spans="25:25" x14ac:dyDescent="0.2">
      <c r="Y15275" s="97"/>
    </row>
    <row r="15276" spans="25:25" x14ac:dyDescent="0.2">
      <c r="Y15276" s="97"/>
    </row>
    <row r="15277" spans="25:25" x14ac:dyDescent="0.2">
      <c r="Y15277" s="97"/>
    </row>
    <row r="15278" spans="25:25" x14ac:dyDescent="0.2">
      <c r="Y15278" s="97"/>
    </row>
    <row r="15279" spans="25:25" x14ac:dyDescent="0.2">
      <c r="Y15279" s="97"/>
    </row>
    <row r="15280" spans="25:25" x14ac:dyDescent="0.2">
      <c r="Y15280" s="97"/>
    </row>
    <row r="15281" spans="25:25" x14ac:dyDescent="0.2">
      <c r="Y15281" s="97"/>
    </row>
    <row r="15282" spans="25:25" x14ac:dyDescent="0.2">
      <c r="Y15282" s="97"/>
    </row>
    <row r="15283" spans="25:25" x14ac:dyDescent="0.2">
      <c r="Y15283" s="97"/>
    </row>
    <row r="15284" spans="25:25" x14ac:dyDescent="0.2">
      <c r="Y15284" s="97"/>
    </row>
    <row r="15285" spans="25:25" x14ac:dyDescent="0.2">
      <c r="Y15285" s="97"/>
    </row>
    <row r="15286" spans="25:25" x14ac:dyDescent="0.2">
      <c r="Y15286" s="97"/>
    </row>
    <row r="15287" spans="25:25" x14ac:dyDescent="0.2">
      <c r="Y15287" s="97"/>
    </row>
    <row r="15288" spans="25:25" x14ac:dyDescent="0.2">
      <c r="Y15288" s="97"/>
    </row>
    <row r="15289" spans="25:25" x14ac:dyDescent="0.2">
      <c r="Y15289" s="97"/>
    </row>
    <row r="15290" spans="25:25" x14ac:dyDescent="0.2">
      <c r="Y15290" s="97"/>
    </row>
    <row r="15291" spans="25:25" x14ac:dyDescent="0.2">
      <c r="Y15291" s="97"/>
    </row>
    <row r="15292" spans="25:25" x14ac:dyDescent="0.2">
      <c r="Y15292" s="97"/>
    </row>
    <row r="15293" spans="25:25" x14ac:dyDescent="0.2">
      <c r="Y15293" s="97"/>
    </row>
    <row r="15294" spans="25:25" x14ac:dyDescent="0.2">
      <c r="Y15294" s="97"/>
    </row>
    <row r="15295" spans="25:25" x14ac:dyDescent="0.2">
      <c r="Y15295" s="97"/>
    </row>
    <row r="15296" spans="25:25" x14ac:dyDescent="0.2">
      <c r="Y15296" s="97"/>
    </row>
    <row r="15297" spans="25:25" x14ac:dyDescent="0.2">
      <c r="Y15297" s="97"/>
    </row>
    <row r="15298" spans="25:25" x14ac:dyDescent="0.2">
      <c r="Y15298" s="97"/>
    </row>
    <row r="15299" spans="25:25" x14ac:dyDescent="0.2">
      <c r="Y15299" s="97"/>
    </row>
    <row r="15300" spans="25:25" x14ac:dyDescent="0.2">
      <c r="Y15300" s="97"/>
    </row>
    <row r="15301" spans="25:25" x14ac:dyDescent="0.2">
      <c r="Y15301" s="97"/>
    </row>
    <row r="15302" spans="25:25" x14ac:dyDescent="0.2">
      <c r="Y15302" s="97"/>
    </row>
    <row r="15303" spans="25:25" x14ac:dyDescent="0.2">
      <c r="Y15303" s="97"/>
    </row>
    <row r="15304" spans="25:25" x14ac:dyDescent="0.2">
      <c r="Y15304" s="97"/>
    </row>
    <row r="15305" spans="25:25" x14ac:dyDescent="0.2">
      <c r="Y15305" s="97"/>
    </row>
    <row r="15306" spans="25:25" x14ac:dyDescent="0.2">
      <c r="Y15306" s="97"/>
    </row>
    <row r="15307" spans="25:25" x14ac:dyDescent="0.2">
      <c r="Y15307" s="97"/>
    </row>
    <row r="15308" spans="25:25" x14ac:dyDescent="0.2">
      <c r="Y15308" s="97"/>
    </row>
    <row r="15309" spans="25:25" x14ac:dyDescent="0.2">
      <c r="Y15309" s="97"/>
    </row>
    <row r="15310" spans="25:25" x14ac:dyDescent="0.2">
      <c r="Y15310" s="97"/>
    </row>
    <row r="15311" spans="25:25" x14ac:dyDescent="0.2">
      <c r="Y15311" s="97"/>
    </row>
    <row r="15312" spans="25:25" x14ac:dyDescent="0.2">
      <c r="Y15312" s="97"/>
    </row>
    <row r="15313" spans="25:25" x14ac:dyDescent="0.2">
      <c r="Y15313" s="97"/>
    </row>
    <row r="15314" spans="25:25" x14ac:dyDescent="0.2">
      <c r="Y15314" s="97"/>
    </row>
    <row r="15315" spans="25:25" x14ac:dyDescent="0.2">
      <c r="Y15315" s="97"/>
    </row>
    <row r="15316" spans="25:25" x14ac:dyDescent="0.2">
      <c r="Y15316" s="97"/>
    </row>
    <row r="15317" spans="25:25" x14ac:dyDescent="0.2">
      <c r="Y15317" s="97"/>
    </row>
    <row r="15318" spans="25:25" x14ac:dyDescent="0.2">
      <c r="Y15318" s="97"/>
    </row>
    <row r="15319" spans="25:25" x14ac:dyDescent="0.2">
      <c r="Y15319" s="97"/>
    </row>
    <row r="15320" spans="25:25" x14ac:dyDescent="0.2">
      <c r="Y15320" s="97"/>
    </row>
    <row r="15321" spans="25:25" x14ac:dyDescent="0.2">
      <c r="Y15321" s="97"/>
    </row>
    <row r="15322" spans="25:25" x14ac:dyDescent="0.2">
      <c r="Y15322" s="97"/>
    </row>
    <row r="15323" spans="25:25" x14ac:dyDescent="0.2">
      <c r="Y15323" s="97"/>
    </row>
    <row r="15324" spans="25:25" x14ac:dyDescent="0.2">
      <c r="Y15324" s="97"/>
    </row>
    <row r="15325" spans="25:25" x14ac:dyDescent="0.2">
      <c r="Y15325" s="97"/>
    </row>
    <row r="15326" spans="25:25" x14ac:dyDescent="0.2">
      <c r="Y15326" s="97"/>
    </row>
    <row r="15327" spans="25:25" x14ac:dyDescent="0.2">
      <c r="Y15327" s="97"/>
    </row>
    <row r="15328" spans="25:25" x14ac:dyDescent="0.2">
      <c r="Y15328" s="97"/>
    </row>
    <row r="15329" spans="25:25" x14ac:dyDescent="0.2">
      <c r="Y15329" s="97"/>
    </row>
    <row r="15330" spans="25:25" x14ac:dyDescent="0.2">
      <c r="Y15330" s="97"/>
    </row>
    <row r="15331" spans="25:25" x14ac:dyDescent="0.2">
      <c r="Y15331" s="97"/>
    </row>
    <row r="15332" spans="25:25" x14ac:dyDescent="0.2">
      <c r="Y15332" s="97"/>
    </row>
    <row r="15333" spans="25:25" x14ac:dyDescent="0.2">
      <c r="Y15333" s="97"/>
    </row>
    <row r="15334" spans="25:25" x14ac:dyDescent="0.2">
      <c r="Y15334" s="97"/>
    </row>
    <row r="15335" spans="25:25" x14ac:dyDescent="0.2">
      <c r="Y15335" s="97"/>
    </row>
    <row r="15336" spans="25:25" x14ac:dyDescent="0.2">
      <c r="Y15336" s="97"/>
    </row>
    <row r="15337" spans="25:25" x14ac:dyDescent="0.2">
      <c r="Y15337" s="97"/>
    </row>
    <row r="15338" spans="25:25" x14ac:dyDescent="0.2">
      <c r="Y15338" s="97"/>
    </row>
    <row r="15339" spans="25:25" x14ac:dyDescent="0.2">
      <c r="Y15339" s="97"/>
    </row>
    <row r="15340" spans="25:25" x14ac:dyDescent="0.2">
      <c r="Y15340" s="97"/>
    </row>
    <row r="15341" spans="25:25" x14ac:dyDescent="0.2">
      <c r="Y15341" s="97"/>
    </row>
    <row r="15342" spans="25:25" x14ac:dyDescent="0.2">
      <c r="Y15342" s="97"/>
    </row>
    <row r="15343" spans="25:25" x14ac:dyDescent="0.2">
      <c r="Y15343" s="97"/>
    </row>
    <row r="15344" spans="25:25" x14ac:dyDescent="0.2">
      <c r="Y15344" s="97"/>
    </row>
    <row r="15345" spans="25:25" x14ac:dyDescent="0.2">
      <c r="Y15345" s="97"/>
    </row>
    <row r="15346" spans="25:25" x14ac:dyDescent="0.2">
      <c r="Y15346" s="97"/>
    </row>
    <row r="15347" spans="25:25" x14ac:dyDescent="0.2">
      <c r="Y15347" s="97"/>
    </row>
    <row r="15348" spans="25:25" x14ac:dyDescent="0.2">
      <c r="Y15348" s="97"/>
    </row>
    <row r="15349" spans="25:25" x14ac:dyDescent="0.2">
      <c r="Y15349" s="97"/>
    </row>
    <row r="15350" spans="25:25" x14ac:dyDescent="0.2">
      <c r="Y15350" s="97"/>
    </row>
    <row r="15351" spans="25:25" x14ac:dyDescent="0.2">
      <c r="Y15351" s="97"/>
    </row>
    <row r="15352" spans="25:25" x14ac:dyDescent="0.2">
      <c r="Y15352" s="97"/>
    </row>
    <row r="15353" spans="25:25" x14ac:dyDescent="0.2">
      <c r="Y15353" s="97"/>
    </row>
    <row r="15354" spans="25:25" x14ac:dyDescent="0.2">
      <c r="Y15354" s="97"/>
    </row>
    <row r="15355" spans="25:25" x14ac:dyDescent="0.2">
      <c r="Y15355" s="97"/>
    </row>
    <row r="15356" spans="25:25" x14ac:dyDescent="0.2">
      <c r="Y15356" s="97"/>
    </row>
    <row r="15357" spans="25:25" x14ac:dyDescent="0.2">
      <c r="Y15357" s="97"/>
    </row>
    <row r="15358" spans="25:25" x14ac:dyDescent="0.2">
      <c r="Y15358" s="97"/>
    </row>
    <row r="15359" spans="25:25" x14ac:dyDescent="0.2">
      <c r="Y15359" s="97"/>
    </row>
    <row r="15360" spans="25:25" x14ac:dyDescent="0.2">
      <c r="Y15360" s="97"/>
    </row>
    <row r="15361" spans="25:25" x14ac:dyDescent="0.2">
      <c r="Y15361" s="97"/>
    </row>
    <row r="15362" spans="25:25" x14ac:dyDescent="0.2">
      <c r="Y15362" s="97"/>
    </row>
    <row r="15363" spans="25:25" x14ac:dyDescent="0.2">
      <c r="Y15363" s="97"/>
    </row>
    <row r="15364" spans="25:25" x14ac:dyDescent="0.2">
      <c r="Y15364" s="97"/>
    </row>
    <row r="15365" spans="25:25" x14ac:dyDescent="0.2">
      <c r="Y15365" s="97"/>
    </row>
    <row r="15366" spans="25:25" x14ac:dyDescent="0.2">
      <c r="Y15366" s="97"/>
    </row>
    <row r="15367" spans="25:25" x14ac:dyDescent="0.2">
      <c r="Y15367" s="97"/>
    </row>
    <row r="15368" spans="25:25" x14ac:dyDescent="0.2">
      <c r="Y15368" s="97"/>
    </row>
    <row r="15369" spans="25:25" x14ac:dyDescent="0.2">
      <c r="Y15369" s="97"/>
    </row>
    <row r="15370" spans="25:25" x14ac:dyDescent="0.2">
      <c r="Y15370" s="97"/>
    </row>
    <row r="15371" spans="25:25" x14ac:dyDescent="0.2">
      <c r="Y15371" s="97"/>
    </row>
    <row r="15372" spans="25:25" x14ac:dyDescent="0.2">
      <c r="Y15372" s="97"/>
    </row>
    <row r="15373" spans="25:25" x14ac:dyDescent="0.2">
      <c r="Y15373" s="97"/>
    </row>
    <row r="15374" spans="25:25" x14ac:dyDescent="0.2">
      <c r="Y15374" s="97"/>
    </row>
    <row r="15375" spans="25:25" x14ac:dyDescent="0.2">
      <c r="Y15375" s="97"/>
    </row>
    <row r="15376" spans="25:25" x14ac:dyDescent="0.2">
      <c r="Y15376" s="97"/>
    </row>
    <row r="15377" spans="25:25" x14ac:dyDescent="0.2">
      <c r="Y15377" s="97"/>
    </row>
    <row r="15378" spans="25:25" x14ac:dyDescent="0.2">
      <c r="Y15378" s="97"/>
    </row>
    <row r="15379" spans="25:25" x14ac:dyDescent="0.2">
      <c r="Y15379" s="97"/>
    </row>
    <row r="15380" spans="25:25" x14ac:dyDescent="0.2">
      <c r="Y15380" s="97"/>
    </row>
    <row r="15381" spans="25:25" x14ac:dyDescent="0.2">
      <c r="Y15381" s="97"/>
    </row>
    <row r="15382" spans="25:25" x14ac:dyDescent="0.2">
      <c r="Y15382" s="97"/>
    </row>
    <row r="15383" spans="25:25" x14ac:dyDescent="0.2">
      <c r="Y15383" s="97"/>
    </row>
    <row r="15384" spans="25:25" x14ac:dyDescent="0.2">
      <c r="Y15384" s="97"/>
    </row>
    <row r="15385" spans="25:25" x14ac:dyDescent="0.2">
      <c r="Y15385" s="97"/>
    </row>
    <row r="15386" spans="25:25" x14ac:dyDescent="0.2">
      <c r="Y15386" s="97"/>
    </row>
    <row r="15387" spans="25:25" x14ac:dyDescent="0.2">
      <c r="Y15387" s="97"/>
    </row>
    <row r="15388" spans="25:25" x14ac:dyDescent="0.2">
      <c r="Y15388" s="97"/>
    </row>
    <row r="15389" spans="25:25" x14ac:dyDescent="0.2">
      <c r="Y15389" s="97"/>
    </row>
    <row r="15390" spans="25:25" x14ac:dyDescent="0.2">
      <c r="Y15390" s="97"/>
    </row>
    <row r="15391" spans="25:25" x14ac:dyDescent="0.2">
      <c r="Y15391" s="97"/>
    </row>
    <row r="15392" spans="25:25" x14ac:dyDescent="0.2">
      <c r="Y15392" s="97"/>
    </row>
    <row r="15393" spans="25:25" x14ac:dyDescent="0.2">
      <c r="Y15393" s="97"/>
    </row>
    <row r="15394" spans="25:25" x14ac:dyDescent="0.2">
      <c r="Y15394" s="97"/>
    </row>
    <row r="15395" spans="25:25" x14ac:dyDescent="0.2">
      <c r="Y15395" s="97"/>
    </row>
    <row r="15396" spans="25:25" x14ac:dyDescent="0.2">
      <c r="Y15396" s="97"/>
    </row>
    <row r="15397" spans="25:25" x14ac:dyDescent="0.2">
      <c r="Y15397" s="97"/>
    </row>
    <row r="15398" spans="25:25" x14ac:dyDescent="0.2">
      <c r="Y15398" s="97"/>
    </row>
    <row r="15399" spans="25:25" x14ac:dyDescent="0.2">
      <c r="Y15399" s="97"/>
    </row>
    <row r="15400" spans="25:25" x14ac:dyDescent="0.2">
      <c r="Y15400" s="97"/>
    </row>
    <row r="15401" spans="25:25" x14ac:dyDescent="0.2">
      <c r="Y15401" s="97"/>
    </row>
    <row r="15402" spans="25:25" x14ac:dyDescent="0.2">
      <c r="Y15402" s="97"/>
    </row>
    <row r="15403" spans="25:25" x14ac:dyDescent="0.2">
      <c r="Y15403" s="97"/>
    </row>
    <row r="15404" spans="25:25" x14ac:dyDescent="0.2">
      <c r="Y15404" s="97"/>
    </row>
    <row r="15405" spans="25:25" x14ac:dyDescent="0.2">
      <c r="Y15405" s="97"/>
    </row>
    <row r="15406" spans="25:25" x14ac:dyDescent="0.2">
      <c r="Y15406" s="97"/>
    </row>
    <row r="15407" spans="25:25" x14ac:dyDescent="0.2">
      <c r="Y15407" s="97"/>
    </row>
    <row r="15408" spans="25:25" x14ac:dyDescent="0.2">
      <c r="Y15408" s="97"/>
    </row>
    <row r="15409" spans="25:25" x14ac:dyDescent="0.2">
      <c r="Y15409" s="97"/>
    </row>
    <row r="15410" spans="25:25" x14ac:dyDescent="0.2">
      <c r="Y15410" s="97"/>
    </row>
    <row r="15411" spans="25:25" x14ac:dyDescent="0.2">
      <c r="Y15411" s="97"/>
    </row>
    <row r="15412" spans="25:25" x14ac:dyDescent="0.2">
      <c r="Y15412" s="97"/>
    </row>
    <row r="15413" spans="25:25" x14ac:dyDescent="0.2">
      <c r="Y15413" s="97"/>
    </row>
    <row r="15414" spans="25:25" x14ac:dyDescent="0.2">
      <c r="Y15414" s="97"/>
    </row>
    <row r="15415" spans="25:25" x14ac:dyDescent="0.2">
      <c r="Y15415" s="97"/>
    </row>
    <row r="15416" spans="25:25" x14ac:dyDescent="0.2">
      <c r="Y15416" s="97"/>
    </row>
    <row r="15417" spans="25:25" x14ac:dyDescent="0.2">
      <c r="Y15417" s="97"/>
    </row>
    <row r="15418" spans="25:25" x14ac:dyDescent="0.2">
      <c r="Y15418" s="97"/>
    </row>
    <row r="15419" spans="25:25" x14ac:dyDescent="0.2">
      <c r="Y15419" s="97"/>
    </row>
    <row r="15420" spans="25:25" x14ac:dyDescent="0.2">
      <c r="Y15420" s="97"/>
    </row>
    <row r="15421" spans="25:25" x14ac:dyDescent="0.2">
      <c r="Y15421" s="97"/>
    </row>
    <row r="15422" spans="25:25" x14ac:dyDescent="0.2">
      <c r="Y15422" s="97"/>
    </row>
    <row r="15423" spans="25:25" x14ac:dyDescent="0.2">
      <c r="Y15423" s="97"/>
    </row>
    <row r="15424" spans="25:25" x14ac:dyDescent="0.2">
      <c r="Y15424" s="97"/>
    </row>
    <row r="15425" spans="25:25" x14ac:dyDescent="0.2">
      <c r="Y15425" s="97"/>
    </row>
    <row r="15426" spans="25:25" x14ac:dyDescent="0.2">
      <c r="Y15426" s="97"/>
    </row>
    <row r="15427" spans="25:25" x14ac:dyDescent="0.2">
      <c r="Y15427" s="97"/>
    </row>
    <row r="15428" spans="25:25" x14ac:dyDescent="0.2">
      <c r="Y15428" s="97"/>
    </row>
    <row r="15429" spans="25:25" x14ac:dyDescent="0.2">
      <c r="Y15429" s="97"/>
    </row>
    <row r="15430" spans="25:25" x14ac:dyDescent="0.2">
      <c r="Y15430" s="97"/>
    </row>
    <row r="15431" spans="25:25" x14ac:dyDescent="0.2">
      <c r="Y15431" s="97"/>
    </row>
    <row r="15432" spans="25:25" x14ac:dyDescent="0.2">
      <c r="Y15432" s="97"/>
    </row>
    <row r="15433" spans="25:25" x14ac:dyDescent="0.2">
      <c r="Y15433" s="97"/>
    </row>
    <row r="15434" spans="25:25" x14ac:dyDescent="0.2">
      <c r="Y15434" s="97"/>
    </row>
    <row r="15435" spans="25:25" x14ac:dyDescent="0.2">
      <c r="Y15435" s="97"/>
    </row>
    <row r="15436" spans="25:25" x14ac:dyDescent="0.2">
      <c r="Y15436" s="97"/>
    </row>
    <row r="15437" spans="25:25" x14ac:dyDescent="0.2">
      <c r="Y15437" s="97"/>
    </row>
    <row r="15438" spans="25:25" x14ac:dyDescent="0.2">
      <c r="Y15438" s="97"/>
    </row>
    <row r="15439" spans="25:25" x14ac:dyDescent="0.2">
      <c r="Y15439" s="97"/>
    </row>
    <row r="15440" spans="25:25" x14ac:dyDescent="0.2">
      <c r="Y15440" s="97"/>
    </row>
    <row r="15441" spans="25:25" x14ac:dyDescent="0.2">
      <c r="Y15441" s="97"/>
    </row>
    <row r="15442" spans="25:25" x14ac:dyDescent="0.2">
      <c r="Y15442" s="97"/>
    </row>
    <row r="15443" spans="25:25" x14ac:dyDescent="0.2">
      <c r="Y15443" s="97"/>
    </row>
    <row r="15444" spans="25:25" x14ac:dyDescent="0.2">
      <c r="Y15444" s="97"/>
    </row>
    <row r="15445" spans="25:25" x14ac:dyDescent="0.2">
      <c r="Y15445" s="97"/>
    </row>
    <row r="15446" spans="25:25" x14ac:dyDescent="0.2">
      <c r="Y15446" s="97"/>
    </row>
    <row r="15447" spans="25:25" x14ac:dyDescent="0.2">
      <c r="Y15447" s="97"/>
    </row>
    <row r="15448" spans="25:25" x14ac:dyDescent="0.2">
      <c r="Y15448" s="97"/>
    </row>
    <row r="15449" spans="25:25" x14ac:dyDescent="0.2">
      <c r="Y15449" s="97"/>
    </row>
    <row r="15450" spans="25:25" x14ac:dyDescent="0.2">
      <c r="Y15450" s="97"/>
    </row>
    <row r="15451" spans="25:25" x14ac:dyDescent="0.2">
      <c r="Y15451" s="97"/>
    </row>
    <row r="15452" spans="25:25" x14ac:dyDescent="0.2">
      <c r="Y15452" s="97"/>
    </row>
    <row r="15453" spans="25:25" x14ac:dyDescent="0.2">
      <c r="Y15453" s="97"/>
    </row>
    <row r="15454" spans="25:25" x14ac:dyDescent="0.2">
      <c r="Y15454" s="97"/>
    </row>
    <row r="15455" spans="25:25" x14ac:dyDescent="0.2">
      <c r="Y15455" s="97"/>
    </row>
    <row r="15456" spans="25:25" x14ac:dyDescent="0.2">
      <c r="Y15456" s="97"/>
    </row>
    <row r="15457" spans="25:25" x14ac:dyDescent="0.2">
      <c r="Y15457" s="97"/>
    </row>
    <row r="15458" spans="25:25" x14ac:dyDescent="0.2">
      <c r="Y15458" s="97"/>
    </row>
    <row r="15459" spans="25:25" x14ac:dyDescent="0.2">
      <c r="Y15459" s="97"/>
    </row>
    <row r="15460" spans="25:25" x14ac:dyDescent="0.2">
      <c r="Y15460" s="97"/>
    </row>
    <row r="15461" spans="25:25" x14ac:dyDescent="0.2">
      <c r="Y15461" s="97"/>
    </row>
    <row r="15462" spans="25:25" x14ac:dyDescent="0.2">
      <c r="Y15462" s="97"/>
    </row>
    <row r="15463" spans="25:25" x14ac:dyDescent="0.2">
      <c r="Y15463" s="97"/>
    </row>
    <row r="15464" spans="25:25" x14ac:dyDescent="0.2">
      <c r="Y15464" s="97"/>
    </row>
    <row r="15465" spans="25:25" x14ac:dyDescent="0.2">
      <c r="Y15465" s="97"/>
    </row>
    <row r="15466" spans="25:25" x14ac:dyDescent="0.2">
      <c r="Y15466" s="97"/>
    </row>
    <row r="15467" spans="25:25" x14ac:dyDescent="0.2">
      <c r="Y15467" s="97"/>
    </row>
    <row r="15468" spans="25:25" x14ac:dyDescent="0.2">
      <c r="Y15468" s="97"/>
    </row>
    <row r="15469" spans="25:25" x14ac:dyDescent="0.2">
      <c r="Y15469" s="97"/>
    </row>
    <row r="15470" spans="25:25" x14ac:dyDescent="0.2">
      <c r="Y15470" s="97"/>
    </row>
    <row r="15471" spans="25:25" x14ac:dyDescent="0.2">
      <c r="Y15471" s="97"/>
    </row>
    <row r="15472" spans="25:25" x14ac:dyDescent="0.2">
      <c r="Y15472" s="97"/>
    </row>
    <row r="15473" spans="25:25" x14ac:dyDescent="0.2">
      <c r="Y15473" s="97"/>
    </row>
    <row r="15474" spans="25:25" x14ac:dyDescent="0.2">
      <c r="Y15474" s="97"/>
    </row>
    <row r="15475" spans="25:25" x14ac:dyDescent="0.2">
      <c r="Y15475" s="97"/>
    </row>
    <row r="15476" spans="25:25" x14ac:dyDescent="0.2">
      <c r="Y15476" s="97"/>
    </row>
    <row r="15477" spans="25:25" x14ac:dyDescent="0.2">
      <c r="Y15477" s="97"/>
    </row>
    <row r="15478" spans="25:25" x14ac:dyDescent="0.2">
      <c r="Y15478" s="97"/>
    </row>
    <row r="15479" spans="25:25" x14ac:dyDescent="0.2">
      <c r="Y15479" s="97"/>
    </row>
    <row r="15480" spans="25:25" x14ac:dyDescent="0.2">
      <c r="Y15480" s="97"/>
    </row>
    <row r="15481" spans="25:25" x14ac:dyDescent="0.2">
      <c r="Y15481" s="97"/>
    </row>
    <row r="15482" spans="25:25" x14ac:dyDescent="0.2">
      <c r="Y15482" s="97"/>
    </row>
    <row r="15483" spans="25:25" x14ac:dyDescent="0.2">
      <c r="Y15483" s="97"/>
    </row>
    <row r="15484" spans="25:25" x14ac:dyDescent="0.2">
      <c r="Y15484" s="97"/>
    </row>
    <row r="15485" spans="25:25" x14ac:dyDescent="0.2">
      <c r="Y15485" s="97"/>
    </row>
    <row r="15486" spans="25:25" x14ac:dyDescent="0.2">
      <c r="Y15486" s="97"/>
    </row>
    <row r="15487" spans="25:25" x14ac:dyDescent="0.2">
      <c r="Y15487" s="97"/>
    </row>
    <row r="15488" spans="25:25" x14ac:dyDescent="0.2">
      <c r="Y15488" s="97"/>
    </row>
    <row r="15489" spans="25:25" x14ac:dyDescent="0.2">
      <c r="Y15489" s="97"/>
    </row>
    <row r="15490" spans="25:25" x14ac:dyDescent="0.2">
      <c r="Y15490" s="97"/>
    </row>
    <row r="15491" spans="25:25" x14ac:dyDescent="0.2">
      <c r="Y15491" s="97"/>
    </row>
    <row r="15492" spans="25:25" x14ac:dyDescent="0.2">
      <c r="Y15492" s="97"/>
    </row>
    <row r="15493" spans="25:25" x14ac:dyDescent="0.2">
      <c r="Y15493" s="97"/>
    </row>
    <row r="15494" spans="25:25" x14ac:dyDescent="0.2">
      <c r="Y15494" s="97"/>
    </row>
    <row r="15495" spans="25:25" x14ac:dyDescent="0.2">
      <c r="Y15495" s="97"/>
    </row>
    <row r="15496" spans="25:25" x14ac:dyDescent="0.2">
      <c r="Y15496" s="97"/>
    </row>
    <row r="15497" spans="25:25" x14ac:dyDescent="0.2">
      <c r="Y15497" s="97"/>
    </row>
    <row r="15498" spans="25:25" x14ac:dyDescent="0.2">
      <c r="Y15498" s="97"/>
    </row>
    <row r="15499" spans="25:25" x14ac:dyDescent="0.2">
      <c r="Y15499" s="97"/>
    </row>
    <row r="15500" spans="25:25" x14ac:dyDescent="0.2">
      <c r="Y15500" s="97"/>
    </row>
    <row r="15501" spans="25:25" x14ac:dyDescent="0.2">
      <c r="Y15501" s="97"/>
    </row>
    <row r="15502" spans="25:25" x14ac:dyDescent="0.2">
      <c r="Y15502" s="97"/>
    </row>
    <row r="15503" spans="25:25" x14ac:dyDescent="0.2">
      <c r="Y15503" s="97"/>
    </row>
    <row r="15504" spans="25:25" x14ac:dyDescent="0.2">
      <c r="Y15504" s="97"/>
    </row>
    <row r="15505" spans="25:25" x14ac:dyDescent="0.2">
      <c r="Y15505" s="97"/>
    </row>
    <row r="15506" spans="25:25" x14ac:dyDescent="0.2">
      <c r="Y15506" s="97"/>
    </row>
    <row r="15507" spans="25:25" x14ac:dyDescent="0.2">
      <c r="Y15507" s="97"/>
    </row>
    <row r="15508" spans="25:25" x14ac:dyDescent="0.2">
      <c r="Y15508" s="97"/>
    </row>
    <row r="15509" spans="25:25" x14ac:dyDescent="0.2">
      <c r="Y15509" s="97"/>
    </row>
    <row r="15510" spans="25:25" x14ac:dyDescent="0.2">
      <c r="Y15510" s="97"/>
    </row>
    <row r="15511" spans="25:25" x14ac:dyDescent="0.2">
      <c r="Y15511" s="97"/>
    </row>
    <row r="15512" spans="25:25" x14ac:dyDescent="0.2">
      <c r="Y15512" s="97"/>
    </row>
    <row r="15513" spans="25:25" x14ac:dyDescent="0.2">
      <c r="Y15513" s="97"/>
    </row>
    <row r="15514" spans="25:25" x14ac:dyDescent="0.2">
      <c r="Y15514" s="97"/>
    </row>
    <row r="15515" spans="25:25" x14ac:dyDescent="0.2">
      <c r="Y15515" s="97"/>
    </row>
    <row r="15516" spans="25:25" x14ac:dyDescent="0.2">
      <c r="Y15516" s="97"/>
    </row>
    <row r="15517" spans="25:25" x14ac:dyDescent="0.2">
      <c r="Y15517" s="97"/>
    </row>
    <row r="15518" spans="25:25" x14ac:dyDescent="0.2">
      <c r="Y15518" s="97"/>
    </row>
    <row r="15519" spans="25:25" x14ac:dyDescent="0.2">
      <c r="Y15519" s="97"/>
    </row>
    <row r="15520" spans="25:25" x14ac:dyDescent="0.2">
      <c r="Y15520" s="97"/>
    </row>
    <row r="15521" spans="25:25" x14ac:dyDescent="0.2">
      <c r="Y15521" s="97"/>
    </row>
    <row r="15522" spans="25:25" x14ac:dyDescent="0.2">
      <c r="Y15522" s="97"/>
    </row>
    <row r="15523" spans="25:25" x14ac:dyDescent="0.2">
      <c r="Y15523" s="97"/>
    </row>
    <row r="15524" spans="25:25" x14ac:dyDescent="0.2">
      <c r="Y15524" s="97"/>
    </row>
    <row r="15525" spans="25:25" x14ac:dyDescent="0.2">
      <c r="Y15525" s="97"/>
    </row>
    <row r="15526" spans="25:25" x14ac:dyDescent="0.2">
      <c r="Y15526" s="97"/>
    </row>
    <row r="15527" spans="25:25" x14ac:dyDescent="0.2">
      <c r="Y15527" s="97"/>
    </row>
    <row r="15528" spans="25:25" x14ac:dyDescent="0.2">
      <c r="Y15528" s="97"/>
    </row>
    <row r="15529" spans="25:25" x14ac:dyDescent="0.2">
      <c r="Y15529" s="97"/>
    </row>
    <row r="15530" spans="25:25" x14ac:dyDescent="0.2">
      <c r="Y15530" s="97"/>
    </row>
    <row r="15531" spans="25:25" x14ac:dyDescent="0.2">
      <c r="Y15531" s="97"/>
    </row>
    <row r="15532" spans="25:25" x14ac:dyDescent="0.2">
      <c r="Y15532" s="97"/>
    </row>
    <row r="15533" spans="25:25" x14ac:dyDescent="0.2">
      <c r="Y15533" s="97"/>
    </row>
    <row r="15534" spans="25:25" x14ac:dyDescent="0.2">
      <c r="Y15534" s="97"/>
    </row>
    <row r="15535" spans="25:25" x14ac:dyDescent="0.2">
      <c r="Y15535" s="97"/>
    </row>
    <row r="15536" spans="25:25" x14ac:dyDescent="0.2">
      <c r="Y15536" s="97"/>
    </row>
    <row r="15537" spans="25:25" x14ac:dyDescent="0.2">
      <c r="Y15537" s="97"/>
    </row>
    <row r="15538" spans="25:25" x14ac:dyDescent="0.2">
      <c r="Y15538" s="97"/>
    </row>
    <row r="15539" spans="25:25" x14ac:dyDescent="0.2">
      <c r="Y15539" s="97"/>
    </row>
    <row r="15540" spans="25:25" x14ac:dyDescent="0.2">
      <c r="Y15540" s="97"/>
    </row>
    <row r="15541" spans="25:25" x14ac:dyDescent="0.2">
      <c r="Y15541" s="97"/>
    </row>
    <row r="15542" spans="25:25" x14ac:dyDescent="0.2">
      <c r="Y15542" s="97"/>
    </row>
    <row r="15543" spans="25:25" x14ac:dyDescent="0.2">
      <c r="Y15543" s="97"/>
    </row>
    <row r="15544" spans="25:25" x14ac:dyDescent="0.2">
      <c r="Y15544" s="97"/>
    </row>
    <row r="15545" spans="25:25" x14ac:dyDescent="0.2">
      <c r="Y15545" s="97"/>
    </row>
    <row r="15546" spans="25:25" x14ac:dyDescent="0.2">
      <c r="Y15546" s="97"/>
    </row>
    <row r="15547" spans="25:25" x14ac:dyDescent="0.2">
      <c r="Y15547" s="97"/>
    </row>
    <row r="15548" spans="25:25" x14ac:dyDescent="0.2">
      <c r="Y15548" s="97"/>
    </row>
    <row r="15549" spans="25:25" x14ac:dyDescent="0.2">
      <c r="Y15549" s="97"/>
    </row>
    <row r="15550" spans="25:25" x14ac:dyDescent="0.2">
      <c r="Y15550" s="97"/>
    </row>
    <row r="15551" spans="25:25" x14ac:dyDescent="0.2">
      <c r="Y15551" s="97"/>
    </row>
    <row r="15552" spans="25:25" x14ac:dyDescent="0.2">
      <c r="Y15552" s="97"/>
    </row>
    <row r="15553" spans="25:25" x14ac:dyDescent="0.2">
      <c r="Y15553" s="97"/>
    </row>
    <row r="15554" spans="25:25" x14ac:dyDescent="0.2">
      <c r="Y15554" s="97"/>
    </row>
    <row r="15555" spans="25:25" x14ac:dyDescent="0.2">
      <c r="Y15555" s="97"/>
    </row>
    <row r="15556" spans="25:25" x14ac:dyDescent="0.2">
      <c r="Y15556" s="97"/>
    </row>
    <row r="15557" spans="25:25" x14ac:dyDescent="0.2">
      <c r="Y15557" s="97"/>
    </row>
    <row r="15558" spans="25:25" x14ac:dyDescent="0.2">
      <c r="Y15558" s="97"/>
    </row>
    <row r="15559" spans="25:25" x14ac:dyDescent="0.2">
      <c r="Y15559" s="97"/>
    </row>
    <row r="15560" spans="25:25" x14ac:dyDescent="0.2">
      <c r="Y15560" s="97"/>
    </row>
    <row r="15561" spans="25:25" x14ac:dyDescent="0.2">
      <c r="Y15561" s="97"/>
    </row>
    <row r="15562" spans="25:25" x14ac:dyDescent="0.2">
      <c r="Y15562" s="97"/>
    </row>
    <row r="15563" spans="25:25" x14ac:dyDescent="0.2">
      <c r="Y15563" s="97"/>
    </row>
    <row r="15564" spans="25:25" x14ac:dyDescent="0.2">
      <c r="Y15564" s="97"/>
    </row>
    <row r="15565" spans="25:25" x14ac:dyDescent="0.2">
      <c r="Y15565" s="97"/>
    </row>
    <row r="15566" spans="25:25" x14ac:dyDescent="0.2">
      <c r="Y15566" s="97"/>
    </row>
    <row r="15567" spans="25:25" x14ac:dyDescent="0.2">
      <c r="Y15567" s="97"/>
    </row>
    <row r="15568" spans="25:25" x14ac:dyDescent="0.2">
      <c r="Y15568" s="97"/>
    </row>
    <row r="15569" spans="25:25" x14ac:dyDescent="0.2">
      <c r="Y15569" s="97"/>
    </row>
    <row r="15570" spans="25:25" x14ac:dyDescent="0.2">
      <c r="Y15570" s="97"/>
    </row>
    <row r="15571" spans="25:25" x14ac:dyDescent="0.2">
      <c r="Y15571" s="97"/>
    </row>
    <row r="15572" spans="25:25" x14ac:dyDescent="0.2">
      <c r="Y15572" s="97"/>
    </row>
    <row r="15573" spans="25:25" x14ac:dyDescent="0.2">
      <c r="Y15573" s="97"/>
    </row>
    <row r="15574" spans="25:25" x14ac:dyDescent="0.2">
      <c r="Y15574" s="97"/>
    </row>
    <row r="15575" spans="25:25" x14ac:dyDescent="0.2">
      <c r="Y15575" s="97"/>
    </row>
    <row r="15576" spans="25:25" x14ac:dyDescent="0.2">
      <c r="Y15576" s="97"/>
    </row>
    <row r="15577" spans="25:25" x14ac:dyDescent="0.2">
      <c r="Y15577" s="97"/>
    </row>
    <row r="15578" spans="25:25" x14ac:dyDescent="0.2">
      <c r="Y15578" s="97"/>
    </row>
    <row r="15579" spans="25:25" x14ac:dyDescent="0.2">
      <c r="Y15579" s="97"/>
    </row>
    <row r="15580" spans="25:25" x14ac:dyDescent="0.2">
      <c r="Y15580" s="97"/>
    </row>
    <row r="15581" spans="25:25" x14ac:dyDescent="0.2">
      <c r="Y15581" s="97"/>
    </row>
    <row r="15582" spans="25:25" x14ac:dyDescent="0.2">
      <c r="Y15582" s="97"/>
    </row>
    <row r="15583" spans="25:25" x14ac:dyDescent="0.2">
      <c r="Y15583" s="97"/>
    </row>
    <row r="15584" spans="25:25" x14ac:dyDescent="0.2">
      <c r="Y15584" s="97"/>
    </row>
    <row r="15585" spans="25:25" x14ac:dyDescent="0.2">
      <c r="Y15585" s="97"/>
    </row>
    <row r="15586" spans="25:25" x14ac:dyDescent="0.2">
      <c r="Y15586" s="97"/>
    </row>
    <row r="15587" spans="25:25" x14ac:dyDescent="0.2">
      <c r="Y15587" s="97"/>
    </row>
    <row r="15588" spans="25:25" x14ac:dyDescent="0.2">
      <c r="Y15588" s="97"/>
    </row>
    <row r="15589" spans="25:25" x14ac:dyDescent="0.2">
      <c r="Y15589" s="97"/>
    </row>
    <row r="15590" spans="25:25" x14ac:dyDescent="0.2">
      <c r="Y15590" s="97"/>
    </row>
    <row r="15591" spans="25:25" x14ac:dyDescent="0.2">
      <c r="Y15591" s="97"/>
    </row>
    <row r="15592" spans="25:25" x14ac:dyDescent="0.2">
      <c r="Y15592" s="97"/>
    </row>
    <row r="15593" spans="25:25" x14ac:dyDescent="0.2">
      <c r="Y15593" s="97"/>
    </row>
    <row r="15594" spans="25:25" x14ac:dyDescent="0.2">
      <c r="Y15594" s="97"/>
    </row>
    <row r="15595" spans="25:25" x14ac:dyDescent="0.2">
      <c r="Y15595" s="97"/>
    </row>
    <row r="15596" spans="25:25" x14ac:dyDescent="0.2">
      <c r="Y15596" s="97"/>
    </row>
    <row r="15597" spans="25:25" x14ac:dyDescent="0.2">
      <c r="Y15597" s="97"/>
    </row>
    <row r="15598" spans="25:25" x14ac:dyDescent="0.2">
      <c r="Y15598" s="97"/>
    </row>
    <row r="15599" spans="25:25" x14ac:dyDescent="0.2">
      <c r="Y15599" s="97"/>
    </row>
    <row r="15600" spans="25:25" x14ac:dyDescent="0.2">
      <c r="Y15600" s="97"/>
    </row>
    <row r="15601" spans="25:25" x14ac:dyDescent="0.2">
      <c r="Y15601" s="97"/>
    </row>
    <row r="15602" spans="25:25" x14ac:dyDescent="0.2">
      <c r="Y15602" s="97"/>
    </row>
    <row r="15603" spans="25:25" x14ac:dyDescent="0.2">
      <c r="Y15603" s="97"/>
    </row>
    <row r="15604" spans="25:25" x14ac:dyDescent="0.2">
      <c r="Y15604" s="97"/>
    </row>
    <row r="15605" spans="25:25" x14ac:dyDescent="0.2">
      <c r="Y15605" s="97"/>
    </row>
    <row r="15606" spans="25:25" x14ac:dyDescent="0.2">
      <c r="Y15606" s="97"/>
    </row>
    <row r="15607" spans="25:25" x14ac:dyDescent="0.2">
      <c r="Y15607" s="97"/>
    </row>
    <row r="15608" spans="25:25" x14ac:dyDescent="0.2">
      <c r="Y15608" s="97"/>
    </row>
    <row r="15609" spans="25:25" x14ac:dyDescent="0.2">
      <c r="Y15609" s="97"/>
    </row>
    <row r="15610" spans="25:25" x14ac:dyDescent="0.2">
      <c r="Y15610" s="97"/>
    </row>
    <row r="15611" spans="25:25" x14ac:dyDescent="0.2">
      <c r="Y15611" s="97"/>
    </row>
    <row r="15612" spans="25:25" x14ac:dyDescent="0.2">
      <c r="Y15612" s="97"/>
    </row>
    <row r="15613" spans="25:25" x14ac:dyDescent="0.2">
      <c r="Y15613" s="97"/>
    </row>
    <row r="15614" spans="25:25" x14ac:dyDescent="0.2">
      <c r="Y15614" s="97"/>
    </row>
    <row r="15615" spans="25:25" x14ac:dyDescent="0.2">
      <c r="Y15615" s="97"/>
    </row>
    <row r="15616" spans="25:25" x14ac:dyDescent="0.2">
      <c r="Y15616" s="97"/>
    </row>
    <row r="15617" spans="25:25" x14ac:dyDescent="0.2">
      <c r="Y15617" s="97"/>
    </row>
    <row r="15618" spans="25:25" x14ac:dyDescent="0.2">
      <c r="Y15618" s="97"/>
    </row>
    <row r="15619" spans="25:25" x14ac:dyDescent="0.2">
      <c r="Y15619" s="97"/>
    </row>
    <row r="15620" spans="25:25" x14ac:dyDescent="0.2">
      <c r="Y15620" s="97"/>
    </row>
    <row r="15621" spans="25:25" x14ac:dyDescent="0.2">
      <c r="Y15621" s="97"/>
    </row>
    <row r="15622" spans="25:25" x14ac:dyDescent="0.2">
      <c r="Y15622" s="97"/>
    </row>
    <row r="15623" spans="25:25" x14ac:dyDescent="0.2">
      <c r="Y15623" s="97"/>
    </row>
    <row r="15624" spans="25:25" x14ac:dyDescent="0.2">
      <c r="Y15624" s="97"/>
    </row>
    <row r="15625" spans="25:25" x14ac:dyDescent="0.2">
      <c r="Y15625" s="97"/>
    </row>
    <row r="15626" spans="25:25" x14ac:dyDescent="0.2">
      <c r="Y15626" s="97"/>
    </row>
    <row r="15627" spans="25:25" x14ac:dyDescent="0.2">
      <c r="Y15627" s="97"/>
    </row>
    <row r="15628" spans="25:25" x14ac:dyDescent="0.2">
      <c r="Y15628" s="97"/>
    </row>
    <row r="15629" spans="25:25" x14ac:dyDescent="0.2">
      <c r="Y15629" s="97"/>
    </row>
    <row r="15630" spans="25:25" x14ac:dyDescent="0.2">
      <c r="Y15630" s="97"/>
    </row>
    <row r="15631" spans="25:25" x14ac:dyDescent="0.2">
      <c r="Y15631" s="97"/>
    </row>
    <row r="15632" spans="25:25" x14ac:dyDescent="0.2">
      <c r="Y15632" s="97"/>
    </row>
    <row r="15633" spans="25:25" x14ac:dyDescent="0.2">
      <c r="Y15633" s="97"/>
    </row>
    <row r="15634" spans="25:25" x14ac:dyDescent="0.2">
      <c r="Y15634" s="97"/>
    </row>
    <row r="15635" spans="25:25" x14ac:dyDescent="0.2">
      <c r="Y15635" s="97"/>
    </row>
    <row r="15636" spans="25:25" x14ac:dyDescent="0.2">
      <c r="Y15636" s="97"/>
    </row>
    <row r="15637" spans="25:25" x14ac:dyDescent="0.2">
      <c r="Y15637" s="97"/>
    </row>
    <row r="15638" spans="25:25" x14ac:dyDescent="0.2">
      <c r="Y15638" s="97"/>
    </row>
    <row r="15639" spans="25:25" x14ac:dyDescent="0.2">
      <c r="Y15639" s="97"/>
    </row>
    <row r="15640" spans="25:25" x14ac:dyDescent="0.2">
      <c r="Y15640" s="97"/>
    </row>
    <row r="15641" spans="25:25" x14ac:dyDescent="0.2">
      <c r="Y15641" s="97"/>
    </row>
    <row r="15642" spans="25:25" x14ac:dyDescent="0.2">
      <c r="Y15642" s="97"/>
    </row>
    <row r="15643" spans="25:25" x14ac:dyDescent="0.2">
      <c r="Y15643" s="97"/>
    </row>
    <row r="15644" spans="25:25" x14ac:dyDescent="0.2">
      <c r="Y15644" s="97"/>
    </row>
    <row r="15645" spans="25:25" x14ac:dyDescent="0.2">
      <c r="Y15645" s="97"/>
    </row>
    <row r="15646" spans="25:25" x14ac:dyDescent="0.2">
      <c r="Y15646" s="97"/>
    </row>
    <row r="15647" spans="25:25" x14ac:dyDescent="0.2">
      <c r="Y15647" s="97"/>
    </row>
    <row r="15648" spans="25:25" x14ac:dyDescent="0.2">
      <c r="Y15648" s="97"/>
    </row>
    <row r="15649" spans="25:25" x14ac:dyDescent="0.2">
      <c r="Y15649" s="97"/>
    </row>
    <row r="15650" spans="25:25" x14ac:dyDescent="0.2">
      <c r="Y15650" s="97"/>
    </row>
    <row r="15651" spans="25:25" x14ac:dyDescent="0.2">
      <c r="Y15651" s="97"/>
    </row>
    <row r="15652" spans="25:25" x14ac:dyDescent="0.2">
      <c r="Y15652" s="97"/>
    </row>
    <row r="15653" spans="25:25" x14ac:dyDescent="0.2">
      <c r="Y15653" s="97"/>
    </row>
    <row r="15654" spans="25:25" x14ac:dyDescent="0.2">
      <c r="Y15654" s="97"/>
    </row>
    <row r="15655" spans="25:25" x14ac:dyDescent="0.2">
      <c r="Y15655" s="97"/>
    </row>
    <row r="15656" spans="25:25" x14ac:dyDescent="0.2">
      <c r="Y15656" s="97"/>
    </row>
    <row r="15657" spans="25:25" x14ac:dyDescent="0.2">
      <c r="Y15657" s="97"/>
    </row>
    <row r="15658" spans="25:25" x14ac:dyDescent="0.2">
      <c r="Y15658" s="97"/>
    </row>
    <row r="15659" spans="25:25" x14ac:dyDescent="0.2">
      <c r="Y15659" s="97"/>
    </row>
    <row r="15660" spans="25:25" x14ac:dyDescent="0.2">
      <c r="Y15660" s="97"/>
    </row>
    <row r="15661" spans="25:25" x14ac:dyDescent="0.2">
      <c r="Y15661" s="97"/>
    </row>
    <row r="15662" spans="25:25" x14ac:dyDescent="0.2">
      <c r="Y15662" s="97"/>
    </row>
    <row r="15663" spans="25:25" x14ac:dyDescent="0.2">
      <c r="Y15663" s="97"/>
    </row>
    <row r="15664" spans="25:25" x14ac:dyDescent="0.2">
      <c r="Y15664" s="97"/>
    </row>
    <row r="15665" spans="25:25" x14ac:dyDescent="0.2">
      <c r="Y15665" s="97"/>
    </row>
    <row r="15666" spans="25:25" x14ac:dyDescent="0.2">
      <c r="Y15666" s="97"/>
    </row>
    <row r="15667" spans="25:25" x14ac:dyDescent="0.2">
      <c r="Y15667" s="97"/>
    </row>
    <row r="15668" spans="25:25" x14ac:dyDescent="0.2">
      <c r="Y15668" s="97"/>
    </row>
    <row r="15669" spans="25:25" x14ac:dyDescent="0.2">
      <c r="Y15669" s="97"/>
    </row>
    <row r="15670" spans="25:25" x14ac:dyDescent="0.2">
      <c r="Y15670" s="97"/>
    </row>
    <row r="15671" spans="25:25" x14ac:dyDescent="0.2">
      <c r="Y15671" s="97"/>
    </row>
    <row r="15672" spans="25:25" x14ac:dyDescent="0.2">
      <c r="Y15672" s="97"/>
    </row>
    <row r="15673" spans="25:25" x14ac:dyDescent="0.2">
      <c r="Y15673" s="97"/>
    </row>
    <row r="15674" spans="25:25" x14ac:dyDescent="0.2">
      <c r="Y15674" s="97"/>
    </row>
    <row r="15675" spans="25:25" x14ac:dyDescent="0.2">
      <c r="Y15675" s="97"/>
    </row>
    <row r="15676" spans="25:25" x14ac:dyDescent="0.2">
      <c r="Y15676" s="97"/>
    </row>
    <row r="15677" spans="25:25" x14ac:dyDescent="0.2">
      <c r="Y15677" s="97"/>
    </row>
    <row r="15678" spans="25:25" x14ac:dyDescent="0.2">
      <c r="Y15678" s="97"/>
    </row>
    <row r="15679" spans="25:25" x14ac:dyDescent="0.2">
      <c r="Y15679" s="97"/>
    </row>
    <row r="15680" spans="25:25" x14ac:dyDescent="0.2">
      <c r="Y15680" s="97"/>
    </row>
    <row r="15681" spans="25:25" x14ac:dyDescent="0.2">
      <c r="Y15681" s="97"/>
    </row>
    <row r="15682" spans="25:25" x14ac:dyDescent="0.2">
      <c r="Y15682" s="97"/>
    </row>
    <row r="15683" spans="25:25" x14ac:dyDescent="0.2">
      <c r="Y15683" s="97"/>
    </row>
    <row r="15684" spans="25:25" x14ac:dyDescent="0.2">
      <c r="Y15684" s="97"/>
    </row>
    <row r="15685" spans="25:25" x14ac:dyDescent="0.2">
      <c r="Y15685" s="97"/>
    </row>
    <row r="15686" spans="25:25" x14ac:dyDescent="0.2">
      <c r="Y15686" s="97"/>
    </row>
    <row r="15687" spans="25:25" x14ac:dyDescent="0.2">
      <c r="Y15687" s="97"/>
    </row>
    <row r="15688" spans="25:25" x14ac:dyDescent="0.2">
      <c r="Y15688" s="97"/>
    </row>
    <row r="15689" spans="25:25" x14ac:dyDescent="0.2">
      <c r="Y15689" s="97"/>
    </row>
    <row r="15690" spans="25:25" x14ac:dyDescent="0.2">
      <c r="Y15690" s="97"/>
    </row>
    <row r="15691" spans="25:25" x14ac:dyDescent="0.2">
      <c r="Y15691" s="97"/>
    </row>
    <row r="15692" spans="25:25" x14ac:dyDescent="0.2">
      <c r="Y15692" s="97"/>
    </row>
    <row r="15693" spans="25:25" x14ac:dyDescent="0.2">
      <c r="Y15693" s="97"/>
    </row>
    <row r="15694" spans="25:25" x14ac:dyDescent="0.2">
      <c r="Y15694" s="97"/>
    </row>
    <row r="15695" spans="25:25" x14ac:dyDescent="0.2">
      <c r="Y15695" s="97"/>
    </row>
    <row r="15696" spans="25:25" x14ac:dyDescent="0.2">
      <c r="Y15696" s="97"/>
    </row>
    <row r="15697" spans="25:25" x14ac:dyDescent="0.2">
      <c r="Y15697" s="97"/>
    </row>
    <row r="15698" spans="25:25" x14ac:dyDescent="0.2">
      <c r="Y15698" s="97"/>
    </row>
    <row r="15699" spans="25:25" x14ac:dyDescent="0.2">
      <c r="Y15699" s="97"/>
    </row>
    <row r="15700" spans="25:25" x14ac:dyDescent="0.2">
      <c r="Y15700" s="97"/>
    </row>
    <row r="15701" spans="25:25" x14ac:dyDescent="0.2">
      <c r="Y15701" s="97"/>
    </row>
    <row r="15702" spans="25:25" x14ac:dyDescent="0.2">
      <c r="Y15702" s="97"/>
    </row>
    <row r="15703" spans="25:25" x14ac:dyDescent="0.2">
      <c r="Y15703" s="97"/>
    </row>
    <row r="15704" spans="25:25" x14ac:dyDescent="0.2">
      <c r="Y15704" s="97"/>
    </row>
    <row r="15705" spans="25:25" x14ac:dyDescent="0.2">
      <c r="Y15705" s="97"/>
    </row>
    <row r="15706" spans="25:25" x14ac:dyDescent="0.2">
      <c r="Y15706" s="97"/>
    </row>
    <row r="15707" spans="25:25" x14ac:dyDescent="0.2">
      <c r="Y15707" s="97"/>
    </row>
    <row r="15708" spans="25:25" x14ac:dyDescent="0.2">
      <c r="Y15708" s="97"/>
    </row>
    <row r="15709" spans="25:25" x14ac:dyDescent="0.2">
      <c r="Y15709" s="97"/>
    </row>
    <row r="15710" spans="25:25" x14ac:dyDescent="0.2">
      <c r="Y15710" s="97"/>
    </row>
    <row r="15711" spans="25:25" x14ac:dyDescent="0.2">
      <c r="Y15711" s="97"/>
    </row>
    <row r="15712" spans="25:25" x14ac:dyDescent="0.2">
      <c r="Y15712" s="97"/>
    </row>
    <row r="15713" spans="25:25" x14ac:dyDescent="0.2">
      <c r="Y15713" s="97"/>
    </row>
    <row r="15714" spans="25:25" x14ac:dyDescent="0.2">
      <c r="Y15714" s="97"/>
    </row>
    <row r="15715" spans="25:25" x14ac:dyDescent="0.2">
      <c r="Y15715" s="97"/>
    </row>
    <row r="15716" spans="25:25" x14ac:dyDescent="0.2">
      <c r="Y15716" s="97"/>
    </row>
    <row r="15717" spans="25:25" x14ac:dyDescent="0.2">
      <c r="Y15717" s="97"/>
    </row>
    <row r="15718" spans="25:25" x14ac:dyDescent="0.2">
      <c r="Y15718" s="97"/>
    </row>
    <row r="15719" spans="25:25" x14ac:dyDescent="0.2">
      <c r="Y15719" s="97"/>
    </row>
    <row r="15720" spans="25:25" x14ac:dyDescent="0.2">
      <c r="Y15720" s="97"/>
    </row>
    <row r="15721" spans="25:25" x14ac:dyDescent="0.2">
      <c r="Y15721" s="97"/>
    </row>
    <row r="15722" spans="25:25" x14ac:dyDescent="0.2">
      <c r="Y15722" s="97"/>
    </row>
    <row r="15723" spans="25:25" x14ac:dyDescent="0.2">
      <c r="Y15723" s="97"/>
    </row>
    <row r="15724" spans="25:25" x14ac:dyDescent="0.2">
      <c r="Y15724" s="97"/>
    </row>
    <row r="15725" spans="25:25" x14ac:dyDescent="0.2">
      <c r="Y15725" s="97"/>
    </row>
    <row r="15726" spans="25:25" x14ac:dyDescent="0.2">
      <c r="Y15726" s="97"/>
    </row>
    <row r="15727" spans="25:25" x14ac:dyDescent="0.2">
      <c r="Y15727" s="97"/>
    </row>
    <row r="15728" spans="25:25" x14ac:dyDescent="0.2">
      <c r="Y15728" s="97"/>
    </row>
    <row r="15729" spans="25:25" x14ac:dyDescent="0.2">
      <c r="Y15729" s="97"/>
    </row>
    <row r="15730" spans="25:25" x14ac:dyDescent="0.2">
      <c r="Y15730" s="97"/>
    </row>
    <row r="15731" spans="25:25" x14ac:dyDescent="0.2">
      <c r="Y15731" s="97"/>
    </row>
    <row r="15732" spans="25:25" x14ac:dyDescent="0.2">
      <c r="Y15732" s="97"/>
    </row>
    <row r="15733" spans="25:25" x14ac:dyDescent="0.2">
      <c r="Y15733" s="97"/>
    </row>
    <row r="15734" spans="25:25" x14ac:dyDescent="0.2">
      <c r="Y15734" s="97"/>
    </row>
    <row r="15735" spans="25:25" x14ac:dyDescent="0.2">
      <c r="Y15735" s="97"/>
    </row>
    <row r="15736" spans="25:25" x14ac:dyDescent="0.2">
      <c r="Y15736" s="97"/>
    </row>
    <row r="15737" spans="25:25" x14ac:dyDescent="0.2">
      <c r="Y15737" s="97"/>
    </row>
    <row r="15738" spans="25:25" x14ac:dyDescent="0.2">
      <c r="Y15738" s="97"/>
    </row>
    <row r="15739" spans="25:25" x14ac:dyDescent="0.2">
      <c r="Y15739" s="97"/>
    </row>
    <row r="15740" spans="25:25" x14ac:dyDescent="0.2">
      <c r="Y15740" s="97"/>
    </row>
    <row r="15741" spans="25:25" x14ac:dyDescent="0.2">
      <c r="Y15741" s="97"/>
    </row>
    <row r="15742" spans="25:25" x14ac:dyDescent="0.2">
      <c r="Y15742" s="97"/>
    </row>
    <row r="15743" spans="25:25" x14ac:dyDescent="0.2">
      <c r="Y15743" s="97"/>
    </row>
    <row r="15744" spans="25:25" x14ac:dyDescent="0.2">
      <c r="Y15744" s="97"/>
    </row>
    <row r="15745" spans="25:25" x14ac:dyDescent="0.2">
      <c r="Y15745" s="97"/>
    </row>
    <row r="15746" spans="25:25" x14ac:dyDescent="0.2">
      <c r="Y15746" s="97"/>
    </row>
    <row r="15747" spans="25:25" x14ac:dyDescent="0.2">
      <c r="Y15747" s="97"/>
    </row>
    <row r="15748" spans="25:25" x14ac:dyDescent="0.2">
      <c r="Y15748" s="97"/>
    </row>
    <row r="15749" spans="25:25" x14ac:dyDescent="0.2">
      <c r="Y15749" s="97"/>
    </row>
    <row r="15750" spans="25:25" x14ac:dyDescent="0.2">
      <c r="Y15750" s="97"/>
    </row>
    <row r="15751" spans="25:25" x14ac:dyDescent="0.2">
      <c r="Y15751" s="97"/>
    </row>
    <row r="15752" spans="25:25" x14ac:dyDescent="0.2">
      <c r="Y15752" s="97"/>
    </row>
    <row r="15753" spans="25:25" x14ac:dyDescent="0.2">
      <c r="Y15753" s="97"/>
    </row>
    <row r="15754" spans="25:25" x14ac:dyDescent="0.2">
      <c r="Y15754" s="97"/>
    </row>
    <row r="15755" spans="25:25" x14ac:dyDescent="0.2">
      <c r="Y15755" s="97"/>
    </row>
    <row r="15756" spans="25:25" x14ac:dyDescent="0.2">
      <c r="Y15756" s="97"/>
    </row>
    <row r="15757" spans="25:25" x14ac:dyDescent="0.2">
      <c r="Y15757" s="97"/>
    </row>
    <row r="15758" spans="25:25" x14ac:dyDescent="0.2">
      <c r="Y15758" s="97"/>
    </row>
    <row r="15759" spans="25:25" x14ac:dyDescent="0.2">
      <c r="Y15759" s="97"/>
    </row>
    <row r="15760" spans="25:25" x14ac:dyDescent="0.2">
      <c r="Y15760" s="97"/>
    </row>
    <row r="15761" spans="25:25" x14ac:dyDescent="0.2">
      <c r="Y15761" s="97"/>
    </row>
    <row r="15762" spans="25:25" x14ac:dyDescent="0.2">
      <c r="Y15762" s="97"/>
    </row>
    <row r="15763" spans="25:25" x14ac:dyDescent="0.2">
      <c r="Y15763" s="97"/>
    </row>
    <row r="15764" spans="25:25" x14ac:dyDescent="0.2">
      <c r="Y15764" s="97"/>
    </row>
    <row r="15765" spans="25:25" x14ac:dyDescent="0.2">
      <c r="Y15765" s="97"/>
    </row>
    <row r="15766" spans="25:25" x14ac:dyDescent="0.2">
      <c r="Y15766" s="97"/>
    </row>
    <row r="15767" spans="25:25" x14ac:dyDescent="0.2">
      <c r="Y15767" s="97"/>
    </row>
    <row r="15768" spans="25:25" x14ac:dyDescent="0.2">
      <c r="Y15768" s="97"/>
    </row>
    <row r="15769" spans="25:25" x14ac:dyDescent="0.2">
      <c r="Y15769" s="97"/>
    </row>
    <row r="15770" spans="25:25" x14ac:dyDescent="0.2">
      <c r="Y15770" s="97"/>
    </row>
    <row r="15771" spans="25:25" x14ac:dyDescent="0.2">
      <c r="Y15771" s="97"/>
    </row>
    <row r="15772" spans="25:25" x14ac:dyDescent="0.2">
      <c r="Y15772" s="97"/>
    </row>
    <row r="15773" spans="25:25" x14ac:dyDescent="0.2">
      <c r="Y15773" s="97"/>
    </row>
    <row r="15774" spans="25:25" x14ac:dyDescent="0.2">
      <c r="Y15774" s="97"/>
    </row>
    <row r="15775" spans="25:25" x14ac:dyDescent="0.2">
      <c r="Y15775" s="97"/>
    </row>
    <row r="15776" spans="25:25" x14ac:dyDescent="0.2">
      <c r="Y15776" s="97"/>
    </row>
    <row r="15777" spans="25:25" x14ac:dyDescent="0.2">
      <c r="Y15777" s="97"/>
    </row>
    <row r="15778" spans="25:25" x14ac:dyDescent="0.2">
      <c r="Y15778" s="97"/>
    </row>
    <row r="15779" spans="25:25" x14ac:dyDescent="0.2">
      <c r="Y15779" s="97"/>
    </row>
    <row r="15780" spans="25:25" x14ac:dyDescent="0.2">
      <c r="Y15780" s="97"/>
    </row>
    <row r="15781" spans="25:25" x14ac:dyDescent="0.2">
      <c r="Y15781" s="97"/>
    </row>
    <row r="15782" spans="25:25" x14ac:dyDescent="0.2">
      <c r="Y15782" s="97"/>
    </row>
    <row r="15783" spans="25:25" x14ac:dyDescent="0.2">
      <c r="Y15783" s="97"/>
    </row>
    <row r="15784" spans="25:25" x14ac:dyDescent="0.2">
      <c r="Y15784" s="97"/>
    </row>
    <row r="15785" spans="25:25" x14ac:dyDescent="0.2">
      <c r="Y15785" s="97"/>
    </row>
    <row r="15786" spans="25:25" x14ac:dyDescent="0.2">
      <c r="Y15786" s="97"/>
    </row>
    <row r="15787" spans="25:25" x14ac:dyDescent="0.2">
      <c r="Y15787" s="97"/>
    </row>
    <row r="15788" spans="25:25" x14ac:dyDescent="0.2">
      <c r="Y15788" s="97"/>
    </row>
    <row r="15789" spans="25:25" x14ac:dyDescent="0.2">
      <c r="Y15789" s="97"/>
    </row>
    <row r="15790" spans="25:25" x14ac:dyDescent="0.2">
      <c r="Y15790" s="97"/>
    </row>
    <row r="15791" spans="25:25" x14ac:dyDescent="0.2">
      <c r="Y15791" s="97"/>
    </row>
    <row r="15792" spans="25:25" x14ac:dyDescent="0.2">
      <c r="Y15792" s="97"/>
    </row>
    <row r="15793" spans="25:25" x14ac:dyDescent="0.2">
      <c r="Y15793" s="97"/>
    </row>
    <row r="15794" spans="25:25" x14ac:dyDescent="0.2">
      <c r="Y15794" s="97"/>
    </row>
    <row r="15795" spans="25:25" x14ac:dyDescent="0.2">
      <c r="Y15795" s="97"/>
    </row>
    <row r="15796" spans="25:25" x14ac:dyDescent="0.2">
      <c r="Y15796" s="97"/>
    </row>
    <row r="15797" spans="25:25" x14ac:dyDescent="0.2">
      <c r="Y15797" s="97"/>
    </row>
    <row r="15798" spans="25:25" x14ac:dyDescent="0.2">
      <c r="Y15798" s="97"/>
    </row>
    <row r="15799" spans="25:25" x14ac:dyDescent="0.2">
      <c r="Y15799" s="97"/>
    </row>
    <row r="15800" spans="25:25" x14ac:dyDescent="0.2">
      <c r="Y15800" s="97"/>
    </row>
    <row r="15801" spans="25:25" x14ac:dyDescent="0.2">
      <c r="Y15801" s="97"/>
    </row>
    <row r="15802" spans="25:25" x14ac:dyDescent="0.2">
      <c r="Y15802" s="97"/>
    </row>
    <row r="15803" spans="25:25" x14ac:dyDescent="0.2">
      <c r="Y15803" s="97"/>
    </row>
    <row r="15804" spans="25:25" x14ac:dyDescent="0.2">
      <c r="Y15804" s="97"/>
    </row>
    <row r="15805" spans="25:25" x14ac:dyDescent="0.2">
      <c r="Y15805" s="97"/>
    </row>
    <row r="15806" spans="25:25" x14ac:dyDescent="0.2">
      <c r="Y15806" s="97"/>
    </row>
    <row r="15807" spans="25:25" x14ac:dyDescent="0.2">
      <c r="Y15807" s="97"/>
    </row>
    <row r="15808" spans="25:25" x14ac:dyDescent="0.2">
      <c r="Y15808" s="97"/>
    </row>
    <row r="15809" spans="25:25" x14ac:dyDescent="0.2">
      <c r="Y15809" s="97"/>
    </row>
    <row r="15810" spans="25:25" x14ac:dyDescent="0.2">
      <c r="Y15810" s="97"/>
    </row>
    <row r="15811" spans="25:25" x14ac:dyDescent="0.2">
      <c r="Y15811" s="97"/>
    </row>
    <row r="15812" spans="25:25" x14ac:dyDescent="0.2">
      <c r="Y15812" s="97"/>
    </row>
    <row r="15813" spans="25:25" x14ac:dyDescent="0.2">
      <c r="Y15813" s="97"/>
    </row>
    <row r="15814" spans="25:25" x14ac:dyDescent="0.2">
      <c r="Y15814" s="97"/>
    </row>
    <row r="15815" spans="25:25" x14ac:dyDescent="0.2">
      <c r="Y15815" s="97"/>
    </row>
    <row r="15816" spans="25:25" x14ac:dyDescent="0.2">
      <c r="Y15816" s="97"/>
    </row>
    <row r="15817" spans="25:25" x14ac:dyDescent="0.2">
      <c r="Y15817" s="97"/>
    </row>
    <row r="15818" spans="25:25" x14ac:dyDescent="0.2">
      <c r="Y15818" s="97"/>
    </row>
    <row r="15819" spans="25:25" x14ac:dyDescent="0.2">
      <c r="Y15819" s="97"/>
    </row>
    <row r="15820" spans="25:25" x14ac:dyDescent="0.2">
      <c r="Y15820" s="97"/>
    </row>
    <row r="15821" spans="25:25" x14ac:dyDescent="0.2">
      <c r="Y15821" s="97"/>
    </row>
    <row r="15822" spans="25:25" x14ac:dyDescent="0.2">
      <c r="Y15822" s="97"/>
    </row>
    <row r="15823" spans="25:25" x14ac:dyDescent="0.2">
      <c r="Y15823" s="97"/>
    </row>
    <row r="15824" spans="25:25" x14ac:dyDescent="0.2">
      <c r="Y15824" s="97"/>
    </row>
    <row r="15825" spans="25:25" x14ac:dyDescent="0.2">
      <c r="Y15825" s="97"/>
    </row>
    <row r="15826" spans="25:25" x14ac:dyDescent="0.2">
      <c r="Y15826" s="97"/>
    </row>
    <row r="15827" spans="25:25" x14ac:dyDescent="0.2">
      <c r="Y15827" s="97"/>
    </row>
    <row r="15828" spans="25:25" x14ac:dyDescent="0.2">
      <c r="Y15828" s="97"/>
    </row>
    <row r="15829" spans="25:25" x14ac:dyDescent="0.2">
      <c r="Y15829" s="97"/>
    </row>
    <row r="15830" spans="25:25" x14ac:dyDescent="0.2">
      <c r="Y15830" s="97"/>
    </row>
    <row r="15831" spans="25:25" x14ac:dyDescent="0.2">
      <c r="Y15831" s="97"/>
    </row>
    <row r="15832" spans="25:25" x14ac:dyDescent="0.2">
      <c r="Y15832" s="97"/>
    </row>
    <row r="15833" spans="25:25" x14ac:dyDescent="0.2">
      <c r="Y15833" s="97"/>
    </row>
    <row r="15834" spans="25:25" x14ac:dyDescent="0.2">
      <c r="Y15834" s="97"/>
    </row>
    <row r="15835" spans="25:25" x14ac:dyDescent="0.2">
      <c r="Y15835" s="97"/>
    </row>
    <row r="15836" spans="25:25" x14ac:dyDescent="0.2">
      <c r="Y15836" s="97"/>
    </row>
    <row r="15837" spans="25:25" x14ac:dyDescent="0.2">
      <c r="Y15837" s="97"/>
    </row>
    <row r="15838" spans="25:25" x14ac:dyDescent="0.2">
      <c r="Y15838" s="97"/>
    </row>
    <row r="15839" spans="25:25" x14ac:dyDescent="0.2">
      <c r="Y15839" s="97"/>
    </row>
    <row r="15840" spans="25:25" x14ac:dyDescent="0.2">
      <c r="Y15840" s="97"/>
    </row>
    <row r="15841" spans="25:25" x14ac:dyDescent="0.2">
      <c r="Y15841" s="97"/>
    </row>
    <row r="15842" spans="25:25" x14ac:dyDescent="0.2">
      <c r="Y15842" s="97"/>
    </row>
    <row r="15843" spans="25:25" x14ac:dyDescent="0.2">
      <c r="Y15843" s="97"/>
    </row>
    <row r="15844" spans="25:25" x14ac:dyDescent="0.2">
      <c r="Y15844" s="97"/>
    </row>
    <row r="15845" spans="25:25" x14ac:dyDescent="0.2">
      <c r="Y15845" s="97"/>
    </row>
    <row r="15846" spans="25:25" x14ac:dyDescent="0.2">
      <c r="Y15846" s="97"/>
    </row>
    <row r="15847" spans="25:25" x14ac:dyDescent="0.2">
      <c r="Y15847" s="97"/>
    </row>
    <row r="15848" spans="25:25" x14ac:dyDescent="0.2">
      <c r="Y15848" s="97"/>
    </row>
    <row r="15849" spans="25:25" x14ac:dyDescent="0.2">
      <c r="Y15849" s="97"/>
    </row>
    <row r="15850" spans="25:25" x14ac:dyDescent="0.2">
      <c r="Y15850" s="97"/>
    </row>
    <row r="15851" spans="25:25" x14ac:dyDescent="0.2">
      <c r="Y15851" s="97"/>
    </row>
    <row r="15852" spans="25:25" x14ac:dyDescent="0.2">
      <c r="Y15852" s="97"/>
    </row>
    <row r="15853" spans="25:25" x14ac:dyDescent="0.2">
      <c r="Y15853" s="97"/>
    </row>
    <row r="15854" spans="25:25" x14ac:dyDescent="0.2">
      <c r="Y15854" s="97"/>
    </row>
    <row r="15855" spans="25:25" x14ac:dyDescent="0.2">
      <c r="Y15855" s="97"/>
    </row>
    <row r="15856" spans="25:25" x14ac:dyDescent="0.2">
      <c r="Y15856" s="97"/>
    </row>
    <row r="15857" spans="25:25" x14ac:dyDescent="0.2">
      <c r="Y15857" s="97"/>
    </row>
    <row r="15858" spans="25:25" x14ac:dyDescent="0.2">
      <c r="Y15858" s="97"/>
    </row>
    <row r="15859" spans="25:25" x14ac:dyDescent="0.2">
      <c r="Y15859" s="97"/>
    </row>
    <row r="15860" spans="25:25" x14ac:dyDescent="0.2">
      <c r="Y15860" s="97"/>
    </row>
    <row r="15861" spans="25:25" x14ac:dyDescent="0.2">
      <c r="Y15861" s="97"/>
    </row>
    <row r="15862" spans="25:25" x14ac:dyDescent="0.2">
      <c r="Y15862" s="97"/>
    </row>
    <row r="15863" spans="25:25" x14ac:dyDescent="0.2">
      <c r="Y15863" s="97"/>
    </row>
    <row r="15864" spans="25:25" x14ac:dyDescent="0.2">
      <c r="Y15864" s="97"/>
    </row>
    <row r="15865" spans="25:25" x14ac:dyDescent="0.2">
      <c r="Y15865" s="97"/>
    </row>
    <row r="15866" spans="25:25" x14ac:dyDescent="0.2">
      <c r="Y15866" s="97"/>
    </row>
    <row r="15867" spans="25:25" x14ac:dyDescent="0.2">
      <c r="Y15867" s="97"/>
    </row>
    <row r="15868" spans="25:25" x14ac:dyDescent="0.2">
      <c r="Y15868" s="97"/>
    </row>
    <row r="15869" spans="25:25" x14ac:dyDescent="0.2">
      <c r="Y15869" s="97"/>
    </row>
    <row r="15870" spans="25:25" x14ac:dyDescent="0.2">
      <c r="Y15870" s="97"/>
    </row>
    <row r="15871" spans="25:25" x14ac:dyDescent="0.2">
      <c r="Y15871" s="97"/>
    </row>
    <row r="15872" spans="25:25" x14ac:dyDescent="0.2">
      <c r="Y15872" s="97"/>
    </row>
    <row r="15873" spans="25:25" x14ac:dyDescent="0.2">
      <c r="Y15873" s="97"/>
    </row>
    <row r="15874" spans="25:25" x14ac:dyDescent="0.2">
      <c r="Y15874" s="97"/>
    </row>
    <row r="15875" spans="25:25" x14ac:dyDescent="0.2">
      <c r="Y15875" s="97"/>
    </row>
    <row r="15876" spans="25:25" x14ac:dyDescent="0.2">
      <c r="Y15876" s="97"/>
    </row>
    <row r="15877" spans="25:25" x14ac:dyDescent="0.2">
      <c r="Y15877" s="97"/>
    </row>
    <row r="15878" spans="25:25" x14ac:dyDescent="0.2">
      <c r="Y15878" s="97"/>
    </row>
    <row r="15879" spans="25:25" x14ac:dyDescent="0.2">
      <c r="Y15879" s="97"/>
    </row>
    <row r="15880" spans="25:25" x14ac:dyDescent="0.2">
      <c r="Y15880" s="97"/>
    </row>
    <row r="15881" spans="25:25" x14ac:dyDescent="0.2">
      <c r="Y15881" s="97"/>
    </row>
    <row r="15882" spans="25:25" x14ac:dyDescent="0.2">
      <c r="Y15882" s="97"/>
    </row>
    <row r="15883" spans="25:25" x14ac:dyDescent="0.2">
      <c r="Y15883" s="97"/>
    </row>
    <row r="15884" spans="25:25" x14ac:dyDescent="0.2">
      <c r="Y15884" s="97"/>
    </row>
    <row r="15885" spans="25:25" x14ac:dyDescent="0.2">
      <c r="Y15885" s="97"/>
    </row>
    <row r="15886" spans="25:25" x14ac:dyDescent="0.2">
      <c r="Y15886" s="97"/>
    </row>
    <row r="15887" spans="25:25" x14ac:dyDescent="0.2">
      <c r="Y15887" s="97"/>
    </row>
    <row r="15888" spans="25:25" x14ac:dyDescent="0.2">
      <c r="Y15888" s="97"/>
    </row>
    <row r="15889" spans="25:25" x14ac:dyDescent="0.2">
      <c r="Y15889" s="97"/>
    </row>
    <row r="15890" spans="25:25" x14ac:dyDescent="0.2">
      <c r="Y15890" s="97"/>
    </row>
    <row r="15891" spans="25:25" x14ac:dyDescent="0.2">
      <c r="Y15891" s="97"/>
    </row>
    <row r="15892" spans="25:25" x14ac:dyDescent="0.2">
      <c r="Y15892" s="97"/>
    </row>
    <row r="15893" spans="25:25" x14ac:dyDescent="0.2">
      <c r="Y15893" s="97"/>
    </row>
    <row r="15894" spans="25:25" x14ac:dyDescent="0.2">
      <c r="Y15894" s="97"/>
    </row>
    <row r="15895" spans="25:25" x14ac:dyDescent="0.2">
      <c r="Y15895" s="97"/>
    </row>
    <row r="15896" spans="25:25" x14ac:dyDescent="0.2">
      <c r="Y15896" s="97"/>
    </row>
    <row r="15897" spans="25:25" x14ac:dyDescent="0.2">
      <c r="Y15897" s="97"/>
    </row>
    <row r="15898" spans="25:25" x14ac:dyDescent="0.2">
      <c r="Y15898" s="97"/>
    </row>
    <row r="15899" spans="25:25" x14ac:dyDescent="0.2">
      <c r="Y15899" s="97"/>
    </row>
    <row r="15900" spans="25:25" x14ac:dyDescent="0.2">
      <c r="Y15900" s="97"/>
    </row>
    <row r="15901" spans="25:25" x14ac:dyDescent="0.2">
      <c r="Y15901" s="97"/>
    </row>
    <row r="15902" spans="25:25" x14ac:dyDescent="0.2">
      <c r="Y15902" s="97"/>
    </row>
    <row r="15903" spans="25:25" x14ac:dyDescent="0.2">
      <c r="Y15903" s="97"/>
    </row>
    <row r="15904" spans="25:25" x14ac:dyDescent="0.2">
      <c r="Y15904" s="97"/>
    </row>
    <row r="15905" spans="25:25" x14ac:dyDescent="0.2">
      <c r="Y15905" s="97"/>
    </row>
    <row r="15906" spans="25:25" x14ac:dyDescent="0.2">
      <c r="Y15906" s="97"/>
    </row>
    <row r="15907" spans="25:25" x14ac:dyDescent="0.2">
      <c r="Y15907" s="97"/>
    </row>
    <row r="15908" spans="25:25" x14ac:dyDescent="0.2">
      <c r="Y15908" s="97"/>
    </row>
    <row r="15909" spans="25:25" x14ac:dyDescent="0.2">
      <c r="Y15909" s="97"/>
    </row>
    <row r="15910" spans="25:25" x14ac:dyDescent="0.2">
      <c r="Y15910" s="97"/>
    </row>
    <row r="15911" spans="25:25" x14ac:dyDescent="0.2">
      <c r="Y15911" s="97"/>
    </row>
    <row r="15912" spans="25:25" x14ac:dyDescent="0.2">
      <c r="Y15912" s="97"/>
    </row>
    <row r="15913" spans="25:25" x14ac:dyDescent="0.2">
      <c r="Y15913" s="97"/>
    </row>
    <row r="15914" spans="25:25" x14ac:dyDescent="0.2">
      <c r="Y15914" s="97"/>
    </row>
    <row r="15915" spans="25:25" x14ac:dyDescent="0.2">
      <c r="Y15915" s="97"/>
    </row>
    <row r="15916" spans="25:25" x14ac:dyDescent="0.2">
      <c r="Y15916" s="97"/>
    </row>
    <row r="15917" spans="25:25" x14ac:dyDescent="0.2">
      <c r="Y15917" s="97"/>
    </row>
    <row r="15918" spans="25:25" x14ac:dyDescent="0.2">
      <c r="Y15918" s="97"/>
    </row>
    <row r="15919" spans="25:25" x14ac:dyDescent="0.2">
      <c r="Y15919" s="97"/>
    </row>
    <row r="15920" spans="25:25" x14ac:dyDescent="0.2">
      <c r="Y15920" s="97"/>
    </row>
    <row r="15921" spans="25:25" x14ac:dyDescent="0.2">
      <c r="Y15921" s="97"/>
    </row>
    <row r="15922" spans="25:25" x14ac:dyDescent="0.2">
      <c r="Y15922" s="97"/>
    </row>
    <row r="15923" spans="25:25" x14ac:dyDescent="0.2">
      <c r="Y15923" s="97"/>
    </row>
    <row r="15924" spans="25:25" x14ac:dyDescent="0.2">
      <c r="Y15924" s="97"/>
    </row>
    <row r="15925" spans="25:25" x14ac:dyDescent="0.2">
      <c r="Y15925" s="97"/>
    </row>
    <row r="15926" spans="25:25" x14ac:dyDescent="0.2">
      <c r="Y15926" s="97"/>
    </row>
    <row r="15927" spans="25:25" x14ac:dyDescent="0.2">
      <c r="Y15927" s="97"/>
    </row>
    <row r="15928" spans="25:25" x14ac:dyDescent="0.2">
      <c r="Y15928" s="97"/>
    </row>
    <row r="15929" spans="25:25" x14ac:dyDescent="0.2">
      <c r="Y15929" s="97"/>
    </row>
    <row r="15930" spans="25:25" x14ac:dyDescent="0.2">
      <c r="Y15930" s="97"/>
    </row>
    <row r="15931" spans="25:25" x14ac:dyDescent="0.2">
      <c r="Y15931" s="97"/>
    </row>
    <row r="15932" spans="25:25" x14ac:dyDescent="0.2">
      <c r="Y15932" s="97"/>
    </row>
    <row r="15933" spans="25:25" x14ac:dyDescent="0.2">
      <c r="Y15933" s="97"/>
    </row>
    <row r="15934" spans="25:25" x14ac:dyDescent="0.2">
      <c r="Y15934" s="97"/>
    </row>
    <row r="15935" spans="25:25" x14ac:dyDescent="0.2">
      <c r="Y15935" s="97"/>
    </row>
    <row r="15936" spans="25:25" x14ac:dyDescent="0.2">
      <c r="Y15936" s="97"/>
    </row>
    <row r="15937" spans="25:25" x14ac:dyDescent="0.2">
      <c r="Y15937" s="97"/>
    </row>
    <row r="15938" spans="25:25" x14ac:dyDescent="0.2">
      <c r="Y15938" s="97"/>
    </row>
    <row r="15939" spans="25:25" x14ac:dyDescent="0.2">
      <c r="Y15939" s="97"/>
    </row>
    <row r="15940" spans="25:25" x14ac:dyDescent="0.2">
      <c r="Y15940" s="97"/>
    </row>
    <row r="15941" spans="25:25" x14ac:dyDescent="0.2">
      <c r="Y15941" s="97"/>
    </row>
    <row r="15942" spans="25:25" x14ac:dyDescent="0.2">
      <c r="Y15942" s="97"/>
    </row>
    <row r="15943" spans="25:25" x14ac:dyDescent="0.2">
      <c r="Y15943" s="97"/>
    </row>
    <row r="15944" spans="25:25" x14ac:dyDescent="0.2">
      <c r="Y15944" s="97"/>
    </row>
    <row r="15945" spans="25:25" x14ac:dyDescent="0.2">
      <c r="Y15945" s="97"/>
    </row>
    <row r="15946" spans="25:25" x14ac:dyDescent="0.2">
      <c r="Y15946" s="97"/>
    </row>
    <row r="15947" spans="25:25" x14ac:dyDescent="0.2">
      <c r="Y15947" s="97"/>
    </row>
    <row r="15948" spans="25:25" x14ac:dyDescent="0.2">
      <c r="Y15948" s="97"/>
    </row>
    <row r="15949" spans="25:25" x14ac:dyDescent="0.2">
      <c r="Y15949" s="97"/>
    </row>
    <row r="15950" spans="25:25" x14ac:dyDescent="0.2">
      <c r="Y15950" s="97"/>
    </row>
    <row r="15951" spans="25:25" x14ac:dyDescent="0.2">
      <c r="Y15951" s="97"/>
    </row>
    <row r="15952" spans="25:25" x14ac:dyDescent="0.2">
      <c r="Y15952" s="97"/>
    </row>
    <row r="15953" spans="25:25" x14ac:dyDescent="0.2">
      <c r="Y15953" s="97"/>
    </row>
    <row r="15954" spans="25:25" x14ac:dyDescent="0.2">
      <c r="Y15954" s="97"/>
    </row>
    <row r="15955" spans="25:25" x14ac:dyDescent="0.2">
      <c r="Y15955" s="97"/>
    </row>
    <row r="15956" spans="25:25" x14ac:dyDescent="0.2">
      <c r="Y15956" s="97"/>
    </row>
    <row r="15957" spans="25:25" x14ac:dyDescent="0.2">
      <c r="Y15957" s="97"/>
    </row>
    <row r="15958" spans="25:25" x14ac:dyDescent="0.2">
      <c r="Y15958" s="97"/>
    </row>
    <row r="15959" spans="25:25" x14ac:dyDescent="0.2">
      <c r="Y15959" s="97"/>
    </row>
    <row r="15960" spans="25:25" x14ac:dyDescent="0.2">
      <c r="Y15960" s="97"/>
    </row>
    <row r="15961" spans="25:25" x14ac:dyDescent="0.2">
      <c r="Y15961" s="97"/>
    </row>
    <row r="15962" spans="25:25" x14ac:dyDescent="0.2">
      <c r="Y15962" s="97"/>
    </row>
    <row r="15963" spans="25:25" x14ac:dyDescent="0.2">
      <c r="Y15963" s="97"/>
    </row>
    <row r="15964" spans="25:25" x14ac:dyDescent="0.2">
      <c r="Y15964" s="97"/>
    </row>
    <row r="15965" spans="25:25" x14ac:dyDescent="0.2">
      <c r="Y15965" s="97"/>
    </row>
    <row r="15966" spans="25:25" x14ac:dyDescent="0.2">
      <c r="Y15966" s="97"/>
    </row>
    <row r="15967" spans="25:25" x14ac:dyDescent="0.2">
      <c r="Y15967" s="97"/>
    </row>
    <row r="15968" spans="25:25" x14ac:dyDescent="0.2">
      <c r="Y15968" s="97"/>
    </row>
    <row r="15969" spans="25:25" x14ac:dyDescent="0.2">
      <c r="Y15969" s="97"/>
    </row>
    <row r="15970" spans="25:25" x14ac:dyDescent="0.2">
      <c r="Y15970" s="97"/>
    </row>
    <row r="15971" spans="25:25" x14ac:dyDescent="0.2">
      <c r="Y15971" s="97"/>
    </row>
    <row r="15972" spans="25:25" x14ac:dyDescent="0.2">
      <c r="Y15972" s="97"/>
    </row>
    <row r="15973" spans="25:25" x14ac:dyDescent="0.2">
      <c r="Y15973" s="97"/>
    </row>
    <row r="15974" spans="25:25" x14ac:dyDescent="0.2">
      <c r="Y15974" s="97"/>
    </row>
    <row r="15975" spans="25:25" x14ac:dyDescent="0.2">
      <c r="Y15975" s="97"/>
    </row>
    <row r="15976" spans="25:25" x14ac:dyDescent="0.2">
      <c r="Y15976" s="97"/>
    </row>
    <row r="15977" spans="25:25" x14ac:dyDescent="0.2">
      <c r="Y15977" s="97"/>
    </row>
    <row r="15978" spans="25:25" x14ac:dyDescent="0.2">
      <c r="Y15978" s="97"/>
    </row>
    <row r="15979" spans="25:25" x14ac:dyDescent="0.2">
      <c r="Y15979" s="97"/>
    </row>
    <row r="15980" spans="25:25" x14ac:dyDescent="0.2">
      <c r="Y15980" s="97"/>
    </row>
    <row r="15981" spans="25:25" x14ac:dyDescent="0.2">
      <c r="Y15981" s="97"/>
    </row>
    <row r="15982" spans="25:25" x14ac:dyDescent="0.2">
      <c r="Y15982" s="97"/>
    </row>
    <row r="15983" spans="25:25" x14ac:dyDescent="0.2">
      <c r="Y15983" s="97"/>
    </row>
    <row r="15984" spans="25:25" x14ac:dyDescent="0.2">
      <c r="Y15984" s="97"/>
    </row>
    <row r="15985" spans="25:25" x14ac:dyDescent="0.2">
      <c r="Y15985" s="97"/>
    </row>
    <row r="15986" spans="25:25" x14ac:dyDescent="0.2">
      <c r="Y15986" s="97"/>
    </row>
    <row r="15987" spans="25:25" x14ac:dyDescent="0.2">
      <c r="Y15987" s="97"/>
    </row>
    <row r="15988" spans="25:25" x14ac:dyDescent="0.2">
      <c r="Y15988" s="97"/>
    </row>
    <row r="15989" spans="25:25" x14ac:dyDescent="0.2">
      <c r="Y15989" s="97"/>
    </row>
    <row r="15990" spans="25:25" x14ac:dyDescent="0.2">
      <c r="Y15990" s="97"/>
    </row>
    <row r="15991" spans="25:25" x14ac:dyDescent="0.2">
      <c r="Y15991" s="97"/>
    </row>
    <row r="15992" spans="25:25" x14ac:dyDescent="0.2">
      <c r="Y15992" s="97"/>
    </row>
    <row r="15993" spans="25:25" x14ac:dyDescent="0.2">
      <c r="Y15993" s="97"/>
    </row>
    <row r="15994" spans="25:25" x14ac:dyDescent="0.2">
      <c r="Y15994" s="97"/>
    </row>
    <row r="15995" spans="25:25" x14ac:dyDescent="0.2">
      <c r="Y15995" s="97"/>
    </row>
    <row r="15996" spans="25:25" x14ac:dyDescent="0.2">
      <c r="Y15996" s="97"/>
    </row>
    <row r="15997" spans="25:25" x14ac:dyDescent="0.2">
      <c r="Y15997" s="97"/>
    </row>
    <row r="15998" spans="25:25" x14ac:dyDescent="0.2">
      <c r="Y15998" s="97"/>
    </row>
    <row r="15999" spans="25:25" x14ac:dyDescent="0.2">
      <c r="Y15999" s="97"/>
    </row>
    <row r="16000" spans="25:25" x14ac:dyDescent="0.2">
      <c r="Y16000" s="97"/>
    </row>
    <row r="16001" spans="25:25" x14ac:dyDescent="0.2">
      <c r="Y16001" s="97"/>
    </row>
    <row r="16002" spans="25:25" x14ac:dyDescent="0.2">
      <c r="Y16002" s="97"/>
    </row>
    <row r="16003" spans="25:25" x14ac:dyDescent="0.2">
      <c r="Y16003" s="97"/>
    </row>
    <row r="16004" spans="25:25" x14ac:dyDescent="0.2">
      <c r="Y16004" s="97"/>
    </row>
    <row r="16005" spans="25:25" x14ac:dyDescent="0.2">
      <c r="Y16005" s="97"/>
    </row>
    <row r="16006" spans="25:25" x14ac:dyDescent="0.2">
      <c r="Y16006" s="97"/>
    </row>
    <row r="16007" spans="25:25" x14ac:dyDescent="0.2">
      <c r="Y16007" s="97"/>
    </row>
    <row r="16008" spans="25:25" x14ac:dyDescent="0.2">
      <c r="Y16008" s="97"/>
    </row>
    <row r="16009" spans="25:25" x14ac:dyDescent="0.2">
      <c r="Y16009" s="97"/>
    </row>
    <row r="16010" spans="25:25" x14ac:dyDescent="0.2">
      <c r="Y16010" s="97"/>
    </row>
    <row r="16011" spans="25:25" x14ac:dyDescent="0.2">
      <c r="Y16011" s="97"/>
    </row>
    <row r="16012" spans="25:25" x14ac:dyDescent="0.2">
      <c r="Y16012" s="97"/>
    </row>
    <row r="16013" spans="25:25" x14ac:dyDescent="0.2">
      <c r="Y16013" s="97"/>
    </row>
    <row r="16014" spans="25:25" x14ac:dyDescent="0.2">
      <c r="Y16014" s="97"/>
    </row>
    <row r="16015" spans="25:25" x14ac:dyDescent="0.2">
      <c r="Y16015" s="97"/>
    </row>
    <row r="16016" spans="25:25" x14ac:dyDescent="0.2">
      <c r="Y16016" s="97"/>
    </row>
    <row r="16017" spans="25:25" x14ac:dyDescent="0.2">
      <c r="Y16017" s="97"/>
    </row>
    <row r="16018" spans="25:25" x14ac:dyDescent="0.2">
      <c r="Y16018" s="97"/>
    </row>
    <row r="16019" spans="25:25" x14ac:dyDescent="0.2">
      <c r="Y16019" s="97"/>
    </row>
    <row r="16020" spans="25:25" x14ac:dyDescent="0.2">
      <c r="Y16020" s="97"/>
    </row>
    <row r="16021" spans="25:25" x14ac:dyDescent="0.2">
      <c r="Y16021" s="97"/>
    </row>
    <row r="16022" spans="25:25" x14ac:dyDescent="0.2">
      <c r="Y16022" s="97"/>
    </row>
    <row r="16023" spans="25:25" x14ac:dyDescent="0.2">
      <c r="Y16023" s="97"/>
    </row>
    <row r="16024" spans="25:25" x14ac:dyDescent="0.2">
      <c r="Y16024" s="97"/>
    </row>
    <row r="16025" spans="25:25" x14ac:dyDescent="0.2">
      <c r="Y16025" s="97"/>
    </row>
    <row r="16026" spans="25:25" x14ac:dyDescent="0.2">
      <c r="Y16026" s="97"/>
    </row>
    <row r="16027" spans="25:25" x14ac:dyDescent="0.2">
      <c r="Y16027" s="97"/>
    </row>
    <row r="16028" spans="25:25" x14ac:dyDescent="0.2">
      <c r="Y16028" s="97"/>
    </row>
    <row r="16029" spans="25:25" x14ac:dyDescent="0.2">
      <c r="Y16029" s="97"/>
    </row>
    <row r="16030" spans="25:25" x14ac:dyDescent="0.2">
      <c r="Y16030" s="97"/>
    </row>
    <row r="16031" spans="25:25" x14ac:dyDescent="0.2">
      <c r="Y16031" s="97"/>
    </row>
    <row r="16032" spans="25:25" x14ac:dyDescent="0.2">
      <c r="Y16032" s="97"/>
    </row>
    <row r="16033" spans="25:25" x14ac:dyDescent="0.2">
      <c r="Y16033" s="97"/>
    </row>
    <row r="16034" spans="25:25" x14ac:dyDescent="0.2">
      <c r="Y16034" s="97"/>
    </row>
    <row r="16035" spans="25:25" x14ac:dyDescent="0.2">
      <c r="Y16035" s="97"/>
    </row>
    <row r="16036" spans="25:25" x14ac:dyDescent="0.2">
      <c r="Y16036" s="97"/>
    </row>
    <row r="16037" spans="25:25" x14ac:dyDescent="0.2">
      <c r="Y16037" s="97"/>
    </row>
    <row r="16038" spans="25:25" x14ac:dyDescent="0.2">
      <c r="Y16038" s="97"/>
    </row>
    <row r="16039" spans="25:25" x14ac:dyDescent="0.2">
      <c r="Y16039" s="97"/>
    </row>
    <row r="16040" spans="25:25" x14ac:dyDescent="0.2">
      <c r="Y16040" s="97"/>
    </row>
    <row r="16041" spans="25:25" x14ac:dyDescent="0.2">
      <c r="Y16041" s="97"/>
    </row>
    <row r="16042" spans="25:25" x14ac:dyDescent="0.2">
      <c r="Y16042" s="97"/>
    </row>
    <row r="16043" spans="25:25" x14ac:dyDescent="0.2">
      <c r="Y16043" s="97"/>
    </row>
    <row r="16044" spans="25:25" x14ac:dyDescent="0.2">
      <c r="Y16044" s="97"/>
    </row>
    <row r="16045" spans="25:25" x14ac:dyDescent="0.2">
      <c r="Y16045" s="97"/>
    </row>
    <row r="16046" spans="25:25" x14ac:dyDescent="0.2">
      <c r="Y16046" s="97"/>
    </row>
    <row r="16047" spans="25:25" x14ac:dyDescent="0.2">
      <c r="Y16047" s="97"/>
    </row>
    <row r="16048" spans="25:25" x14ac:dyDescent="0.2">
      <c r="Y16048" s="97"/>
    </row>
    <row r="16049" spans="25:25" x14ac:dyDescent="0.2">
      <c r="Y16049" s="97"/>
    </row>
    <row r="16050" spans="25:25" x14ac:dyDescent="0.2">
      <c r="Y16050" s="97"/>
    </row>
    <row r="16051" spans="25:25" x14ac:dyDescent="0.2">
      <c r="Y16051" s="97"/>
    </row>
    <row r="16052" spans="25:25" x14ac:dyDescent="0.2">
      <c r="Y16052" s="97"/>
    </row>
    <row r="16053" spans="25:25" x14ac:dyDescent="0.2">
      <c r="Y16053" s="97"/>
    </row>
    <row r="16054" spans="25:25" x14ac:dyDescent="0.2">
      <c r="Y16054" s="97"/>
    </row>
    <row r="16055" spans="25:25" x14ac:dyDescent="0.2">
      <c r="Y16055" s="97"/>
    </row>
    <row r="16056" spans="25:25" x14ac:dyDescent="0.2">
      <c r="Y16056" s="97"/>
    </row>
    <row r="16057" spans="25:25" x14ac:dyDescent="0.2">
      <c r="Y16057" s="97"/>
    </row>
    <row r="16058" spans="25:25" x14ac:dyDescent="0.2">
      <c r="Y16058" s="97"/>
    </row>
    <row r="16059" spans="25:25" x14ac:dyDescent="0.2">
      <c r="Y16059" s="97"/>
    </row>
    <row r="16060" spans="25:25" x14ac:dyDescent="0.2">
      <c r="Y16060" s="97"/>
    </row>
    <row r="16061" spans="25:25" x14ac:dyDescent="0.2">
      <c r="Y16061" s="97"/>
    </row>
    <row r="16062" spans="25:25" x14ac:dyDescent="0.2">
      <c r="Y16062" s="97"/>
    </row>
    <row r="16063" spans="25:25" x14ac:dyDescent="0.2">
      <c r="Y16063" s="97"/>
    </row>
    <row r="16064" spans="25:25" x14ac:dyDescent="0.2">
      <c r="Y16064" s="97"/>
    </row>
    <row r="16065" spans="25:25" x14ac:dyDescent="0.2">
      <c r="Y16065" s="97"/>
    </row>
    <row r="16066" spans="25:25" x14ac:dyDescent="0.2">
      <c r="Y16066" s="97"/>
    </row>
    <row r="16067" spans="25:25" x14ac:dyDescent="0.2">
      <c r="Y16067" s="97"/>
    </row>
    <row r="16068" spans="25:25" x14ac:dyDescent="0.2">
      <c r="Y16068" s="97"/>
    </row>
    <row r="16069" spans="25:25" x14ac:dyDescent="0.2">
      <c r="Y16069" s="97"/>
    </row>
    <row r="16070" spans="25:25" x14ac:dyDescent="0.2">
      <c r="Y16070" s="97"/>
    </row>
    <row r="16071" spans="25:25" x14ac:dyDescent="0.2">
      <c r="Y16071" s="97"/>
    </row>
    <row r="16072" spans="25:25" x14ac:dyDescent="0.2">
      <c r="Y16072" s="97"/>
    </row>
    <row r="16073" spans="25:25" x14ac:dyDescent="0.2">
      <c r="Y16073" s="97"/>
    </row>
    <row r="16074" spans="25:25" x14ac:dyDescent="0.2">
      <c r="Y16074" s="97"/>
    </row>
    <row r="16075" spans="25:25" x14ac:dyDescent="0.2">
      <c r="Y16075" s="97"/>
    </row>
    <row r="16076" spans="25:25" x14ac:dyDescent="0.2">
      <c r="Y16076" s="97"/>
    </row>
    <row r="16077" spans="25:25" x14ac:dyDescent="0.2">
      <c r="Y16077" s="97"/>
    </row>
    <row r="16078" spans="25:25" x14ac:dyDescent="0.2">
      <c r="Y16078" s="97"/>
    </row>
    <row r="16079" spans="25:25" x14ac:dyDescent="0.2">
      <c r="Y16079" s="97"/>
    </row>
    <row r="16080" spans="25:25" x14ac:dyDescent="0.2">
      <c r="Y16080" s="97"/>
    </row>
    <row r="16081" spans="25:25" x14ac:dyDescent="0.2">
      <c r="Y16081" s="97"/>
    </row>
    <row r="16082" spans="25:25" x14ac:dyDescent="0.2">
      <c r="Y16082" s="97"/>
    </row>
    <row r="16083" spans="25:25" x14ac:dyDescent="0.2">
      <c r="Y16083" s="97"/>
    </row>
    <row r="16084" spans="25:25" x14ac:dyDescent="0.2">
      <c r="Y16084" s="97"/>
    </row>
    <row r="16085" spans="25:25" x14ac:dyDescent="0.2">
      <c r="Y16085" s="97"/>
    </row>
    <row r="16086" spans="25:25" x14ac:dyDescent="0.2">
      <c r="Y16086" s="97"/>
    </row>
    <row r="16087" spans="25:25" x14ac:dyDescent="0.2">
      <c r="Y16087" s="97"/>
    </row>
    <row r="16088" spans="25:25" x14ac:dyDescent="0.2">
      <c r="Y16088" s="97"/>
    </row>
    <row r="16089" spans="25:25" x14ac:dyDescent="0.2">
      <c r="Y16089" s="97"/>
    </row>
    <row r="16090" spans="25:25" x14ac:dyDescent="0.2">
      <c r="Y16090" s="97"/>
    </row>
    <row r="16091" spans="25:25" x14ac:dyDescent="0.2">
      <c r="Y16091" s="97"/>
    </row>
    <row r="16092" spans="25:25" x14ac:dyDescent="0.2">
      <c r="Y16092" s="97"/>
    </row>
    <row r="16093" spans="25:25" x14ac:dyDescent="0.2">
      <c r="Y16093" s="97"/>
    </row>
    <row r="16094" spans="25:25" x14ac:dyDescent="0.2">
      <c r="Y16094" s="97"/>
    </row>
    <row r="16095" spans="25:25" x14ac:dyDescent="0.2">
      <c r="Y16095" s="97"/>
    </row>
    <row r="16096" spans="25:25" x14ac:dyDescent="0.2">
      <c r="Y16096" s="97"/>
    </row>
    <row r="16097" spans="25:25" x14ac:dyDescent="0.2">
      <c r="Y16097" s="97"/>
    </row>
    <row r="16098" spans="25:25" x14ac:dyDescent="0.2">
      <c r="Y16098" s="97"/>
    </row>
    <row r="16099" spans="25:25" x14ac:dyDescent="0.2">
      <c r="Y16099" s="97"/>
    </row>
    <row r="16100" spans="25:25" x14ac:dyDescent="0.2">
      <c r="Y16100" s="97"/>
    </row>
    <row r="16101" spans="25:25" x14ac:dyDescent="0.2">
      <c r="Y16101" s="97"/>
    </row>
    <row r="16102" spans="25:25" x14ac:dyDescent="0.2">
      <c r="Y16102" s="97"/>
    </row>
    <row r="16103" spans="25:25" x14ac:dyDescent="0.2">
      <c r="Y16103" s="97"/>
    </row>
    <row r="16104" spans="25:25" x14ac:dyDescent="0.2">
      <c r="Y16104" s="97"/>
    </row>
    <row r="16105" spans="25:25" x14ac:dyDescent="0.2">
      <c r="Y16105" s="97"/>
    </row>
    <row r="16106" spans="25:25" x14ac:dyDescent="0.2">
      <c r="Y16106" s="97"/>
    </row>
    <row r="16107" spans="25:25" x14ac:dyDescent="0.2">
      <c r="Y16107" s="97"/>
    </row>
    <row r="16108" spans="25:25" x14ac:dyDescent="0.2">
      <c r="Y16108" s="97"/>
    </row>
    <row r="16109" spans="25:25" x14ac:dyDescent="0.2">
      <c r="Y16109" s="97"/>
    </row>
    <row r="16110" spans="25:25" x14ac:dyDescent="0.2">
      <c r="Y16110" s="97"/>
    </row>
    <row r="16111" spans="25:25" x14ac:dyDescent="0.2">
      <c r="Y16111" s="97"/>
    </row>
    <row r="16112" spans="25:25" x14ac:dyDescent="0.2">
      <c r="Y16112" s="97"/>
    </row>
    <row r="16113" spans="25:25" x14ac:dyDescent="0.2">
      <c r="Y16113" s="97"/>
    </row>
    <row r="16114" spans="25:25" x14ac:dyDescent="0.2">
      <c r="Y16114" s="97"/>
    </row>
    <row r="16115" spans="25:25" x14ac:dyDescent="0.2">
      <c r="Y16115" s="97"/>
    </row>
    <row r="16116" spans="25:25" x14ac:dyDescent="0.2">
      <c r="Y16116" s="97"/>
    </row>
    <row r="16117" spans="25:25" x14ac:dyDescent="0.2">
      <c r="Y16117" s="97"/>
    </row>
    <row r="16118" spans="25:25" x14ac:dyDescent="0.2">
      <c r="Y16118" s="97"/>
    </row>
    <row r="16119" spans="25:25" x14ac:dyDescent="0.2">
      <c r="Y16119" s="97"/>
    </row>
    <row r="16120" spans="25:25" x14ac:dyDescent="0.2">
      <c r="Y16120" s="97"/>
    </row>
    <row r="16121" spans="25:25" x14ac:dyDescent="0.2">
      <c r="Y16121" s="97"/>
    </row>
    <row r="16122" spans="25:25" x14ac:dyDescent="0.2">
      <c r="Y16122" s="97"/>
    </row>
    <row r="16123" spans="25:25" x14ac:dyDescent="0.2">
      <c r="Y16123" s="97"/>
    </row>
    <row r="16124" spans="25:25" x14ac:dyDescent="0.2">
      <c r="Y16124" s="97"/>
    </row>
    <row r="16125" spans="25:25" x14ac:dyDescent="0.2">
      <c r="Y16125" s="97"/>
    </row>
    <row r="16126" spans="25:25" x14ac:dyDescent="0.2">
      <c r="Y16126" s="97"/>
    </row>
    <row r="16127" spans="25:25" x14ac:dyDescent="0.2">
      <c r="Y16127" s="97"/>
    </row>
    <row r="16128" spans="25:25" x14ac:dyDescent="0.2">
      <c r="Y16128" s="97"/>
    </row>
    <row r="16129" spans="25:25" x14ac:dyDescent="0.2">
      <c r="Y16129" s="97"/>
    </row>
    <row r="16130" spans="25:25" x14ac:dyDescent="0.2">
      <c r="Y16130" s="97"/>
    </row>
    <row r="16131" spans="25:25" x14ac:dyDescent="0.2">
      <c r="Y16131" s="97"/>
    </row>
    <row r="16132" spans="25:25" x14ac:dyDescent="0.2">
      <c r="Y16132" s="97"/>
    </row>
    <row r="16133" spans="25:25" x14ac:dyDescent="0.2">
      <c r="Y16133" s="97"/>
    </row>
    <row r="16134" spans="25:25" x14ac:dyDescent="0.2">
      <c r="Y16134" s="97"/>
    </row>
    <row r="16135" spans="25:25" x14ac:dyDescent="0.2">
      <c r="Y16135" s="97"/>
    </row>
    <row r="16136" spans="25:25" x14ac:dyDescent="0.2">
      <c r="Y16136" s="97"/>
    </row>
    <row r="16137" spans="25:25" x14ac:dyDescent="0.2">
      <c r="Y16137" s="97"/>
    </row>
    <row r="16138" spans="25:25" x14ac:dyDescent="0.2">
      <c r="Y16138" s="97"/>
    </row>
    <row r="16139" spans="25:25" x14ac:dyDescent="0.2">
      <c r="Y16139" s="97"/>
    </row>
    <row r="16140" spans="25:25" x14ac:dyDescent="0.2">
      <c r="Y16140" s="97"/>
    </row>
    <row r="16141" spans="25:25" x14ac:dyDescent="0.2">
      <c r="Y16141" s="97"/>
    </row>
    <row r="16142" spans="25:25" x14ac:dyDescent="0.2">
      <c r="Y16142" s="97"/>
    </row>
    <row r="16143" spans="25:25" x14ac:dyDescent="0.2">
      <c r="Y16143" s="97"/>
    </row>
    <row r="16144" spans="25:25" x14ac:dyDescent="0.2">
      <c r="Y16144" s="97"/>
    </row>
    <row r="16145" spans="25:25" x14ac:dyDescent="0.2">
      <c r="Y16145" s="97"/>
    </row>
    <row r="16146" spans="25:25" x14ac:dyDescent="0.2">
      <c r="Y16146" s="97"/>
    </row>
    <row r="16147" spans="25:25" x14ac:dyDescent="0.2">
      <c r="Y16147" s="97"/>
    </row>
    <row r="16148" spans="25:25" x14ac:dyDescent="0.2">
      <c r="Y16148" s="97"/>
    </row>
    <row r="16149" spans="25:25" x14ac:dyDescent="0.2">
      <c r="Y16149" s="97"/>
    </row>
    <row r="16150" spans="25:25" x14ac:dyDescent="0.2">
      <c r="Y16150" s="97"/>
    </row>
    <row r="16151" spans="25:25" x14ac:dyDescent="0.2">
      <c r="Y16151" s="97"/>
    </row>
    <row r="16152" spans="25:25" x14ac:dyDescent="0.2">
      <c r="Y16152" s="97"/>
    </row>
    <row r="16153" spans="25:25" x14ac:dyDescent="0.2">
      <c r="Y16153" s="97"/>
    </row>
    <row r="16154" spans="25:25" x14ac:dyDescent="0.2">
      <c r="Y16154" s="97"/>
    </row>
    <row r="16155" spans="25:25" x14ac:dyDescent="0.2">
      <c r="Y16155" s="97"/>
    </row>
    <row r="16156" spans="25:25" x14ac:dyDescent="0.2">
      <c r="Y16156" s="97"/>
    </row>
    <row r="16157" spans="25:25" x14ac:dyDescent="0.2">
      <c r="Y16157" s="97"/>
    </row>
    <row r="16158" spans="25:25" x14ac:dyDescent="0.2">
      <c r="Y16158" s="97"/>
    </row>
    <row r="16159" spans="25:25" x14ac:dyDescent="0.2">
      <c r="Y16159" s="97"/>
    </row>
    <row r="16160" spans="25:25" x14ac:dyDescent="0.2">
      <c r="Y16160" s="97"/>
    </row>
    <row r="16161" spans="25:25" x14ac:dyDescent="0.2">
      <c r="Y16161" s="97"/>
    </row>
    <row r="16162" spans="25:25" x14ac:dyDescent="0.2">
      <c r="Y16162" s="97"/>
    </row>
    <row r="16163" spans="25:25" x14ac:dyDescent="0.2">
      <c r="Y16163" s="97"/>
    </row>
    <row r="16164" spans="25:25" x14ac:dyDescent="0.2">
      <c r="Y16164" s="97"/>
    </row>
    <row r="16165" spans="25:25" x14ac:dyDescent="0.2">
      <c r="Y16165" s="97"/>
    </row>
    <row r="16166" spans="25:25" x14ac:dyDescent="0.2">
      <c r="Y16166" s="97"/>
    </row>
    <row r="16167" spans="25:25" x14ac:dyDescent="0.2">
      <c r="Y16167" s="97"/>
    </row>
    <row r="16168" spans="25:25" x14ac:dyDescent="0.2">
      <c r="Y16168" s="97"/>
    </row>
    <row r="16169" spans="25:25" x14ac:dyDescent="0.2">
      <c r="Y16169" s="97"/>
    </row>
    <row r="16170" spans="25:25" x14ac:dyDescent="0.2">
      <c r="Y16170" s="97"/>
    </row>
    <row r="16171" spans="25:25" x14ac:dyDescent="0.2">
      <c r="Y16171" s="97"/>
    </row>
    <row r="16172" spans="25:25" x14ac:dyDescent="0.2">
      <c r="Y16172" s="97"/>
    </row>
    <row r="16173" spans="25:25" x14ac:dyDescent="0.2">
      <c r="Y16173" s="97"/>
    </row>
    <row r="16174" spans="25:25" x14ac:dyDescent="0.2">
      <c r="Y16174" s="97"/>
    </row>
    <row r="16175" spans="25:25" x14ac:dyDescent="0.2">
      <c r="Y16175" s="97"/>
    </row>
    <row r="16176" spans="25:25" x14ac:dyDescent="0.2">
      <c r="Y16176" s="97"/>
    </row>
    <row r="16177" spans="25:25" x14ac:dyDescent="0.2">
      <c r="Y16177" s="97"/>
    </row>
    <row r="16178" spans="25:25" x14ac:dyDescent="0.2">
      <c r="Y16178" s="97"/>
    </row>
    <row r="16179" spans="25:25" x14ac:dyDescent="0.2">
      <c r="Y16179" s="97"/>
    </row>
    <row r="16180" spans="25:25" x14ac:dyDescent="0.2">
      <c r="Y16180" s="97"/>
    </row>
    <row r="16181" spans="25:25" x14ac:dyDescent="0.2">
      <c r="Y16181" s="97"/>
    </row>
    <row r="16182" spans="25:25" x14ac:dyDescent="0.2">
      <c r="Y16182" s="97"/>
    </row>
    <row r="16183" spans="25:25" x14ac:dyDescent="0.2">
      <c r="Y16183" s="97"/>
    </row>
    <row r="16184" spans="25:25" x14ac:dyDescent="0.2">
      <c r="Y16184" s="97"/>
    </row>
    <row r="16185" spans="25:25" x14ac:dyDescent="0.2">
      <c r="Y16185" s="97"/>
    </row>
    <row r="16186" spans="25:25" x14ac:dyDescent="0.2">
      <c r="Y16186" s="97"/>
    </row>
    <row r="16187" spans="25:25" x14ac:dyDescent="0.2">
      <c r="Y16187" s="97"/>
    </row>
    <row r="16188" spans="25:25" x14ac:dyDescent="0.2">
      <c r="Y16188" s="97"/>
    </row>
    <row r="16189" spans="25:25" x14ac:dyDescent="0.2">
      <c r="Y16189" s="97"/>
    </row>
    <row r="16190" spans="25:25" x14ac:dyDescent="0.2">
      <c r="Y16190" s="97"/>
    </row>
    <row r="16191" spans="25:25" x14ac:dyDescent="0.2">
      <c r="Y16191" s="97"/>
    </row>
    <row r="16192" spans="25:25" x14ac:dyDescent="0.2">
      <c r="Y16192" s="97"/>
    </row>
    <row r="16193" spans="25:25" x14ac:dyDescent="0.2">
      <c r="Y16193" s="97"/>
    </row>
    <row r="16194" spans="25:25" x14ac:dyDescent="0.2">
      <c r="Y16194" s="97"/>
    </row>
    <row r="16195" spans="25:25" x14ac:dyDescent="0.2">
      <c r="Y16195" s="97"/>
    </row>
    <row r="16196" spans="25:25" x14ac:dyDescent="0.2">
      <c r="Y16196" s="97"/>
    </row>
    <row r="16197" spans="25:25" x14ac:dyDescent="0.2">
      <c r="Y16197" s="97"/>
    </row>
    <row r="16198" spans="25:25" x14ac:dyDescent="0.2">
      <c r="Y16198" s="97"/>
    </row>
    <row r="16199" spans="25:25" x14ac:dyDescent="0.2">
      <c r="Y16199" s="97"/>
    </row>
    <row r="16200" spans="25:25" x14ac:dyDescent="0.2">
      <c r="Y16200" s="97"/>
    </row>
    <row r="16201" spans="25:25" x14ac:dyDescent="0.2">
      <c r="Y16201" s="97"/>
    </row>
    <row r="16202" spans="25:25" x14ac:dyDescent="0.2">
      <c r="Y16202" s="97"/>
    </row>
    <row r="16203" spans="25:25" x14ac:dyDescent="0.2">
      <c r="Y16203" s="97"/>
    </row>
    <row r="16204" spans="25:25" x14ac:dyDescent="0.2">
      <c r="Y16204" s="97"/>
    </row>
    <row r="16205" spans="25:25" x14ac:dyDescent="0.2">
      <c r="Y16205" s="97"/>
    </row>
    <row r="16206" spans="25:25" x14ac:dyDescent="0.2">
      <c r="Y16206" s="97"/>
    </row>
    <row r="16207" spans="25:25" x14ac:dyDescent="0.2">
      <c r="Y16207" s="97"/>
    </row>
    <row r="16208" spans="25:25" x14ac:dyDescent="0.2">
      <c r="Y16208" s="97"/>
    </row>
    <row r="16209" spans="25:25" x14ac:dyDescent="0.2">
      <c r="Y16209" s="97"/>
    </row>
    <row r="16210" spans="25:25" x14ac:dyDescent="0.2">
      <c r="Y16210" s="97"/>
    </row>
    <row r="16211" spans="25:25" x14ac:dyDescent="0.2">
      <c r="Y16211" s="97"/>
    </row>
    <row r="16212" spans="25:25" x14ac:dyDescent="0.2">
      <c r="Y16212" s="97"/>
    </row>
    <row r="16213" spans="25:25" x14ac:dyDescent="0.2">
      <c r="Y16213" s="97"/>
    </row>
    <row r="16214" spans="25:25" x14ac:dyDescent="0.2">
      <c r="Y16214" s="97"/>
    </row>
    <row r="16215" spans="25:25" x14ac:dyDescent="0.2">
      <c r="Y16215" s="97"/>
    </row>
    <row r="16216" spans="25:25" x14ac:dyDescent="0.2">
      <c r="Y16216" s="97"/>
    </row>
    <row r="16217" spans="25:25" x14ac:dyDescent="0.2">
      <c r="Y16217" s="97"/>
    </row>
    <row r="16218" spans="25:25" x14ac:dyDescent="0.2">
      <c r="Y16218" s="97"/>
    </row>
    <row r="16219" spans="25:25" x14ac:dyDescent="0.2">
      <c r="Y16219" s="97"/>
    </row>
    <row r="16220" spans="25:25" x14ac:dyDescent="0.2">
      <c r="Y16220" s="97"/>
    </row>
    <row r="16221" spans="25:25" x14ac:dyDescent="0.2">
      <c r="Y16221" s="97"/>
    </row>
    <row r="16222" spans="25:25" x14ac:dyDescent="0.2">
      <c r="Y16222" s="97"/>
    </row>
    <row r="16223" spans="25:25" x14ac:dyDescent="0.2">
      <c r="Y16223" s="97"/>
    </row>
    <row r="16224" spans="25:25" x14ac:dyDescent="0.2">
      <c r="Y16224" s="97"/>
    </row>
    <row r="16225" spans="25:25" x14ac:dyDescent="0.2">
      <c r="Y16225" s="97"/>
    </row>
    <row r="16226" spans="25:25" x14ac:dyDescent="0.2">
      <c r="Y16226" s="97"/>
    </row>
    <row r="16227" spans="25:25" x14ac:dyDescent="0.2">
      <c r="Y16227" s="97"/>
    </row>
    <row r="16228" spans="25:25" x14ac:dyDescent="0.2">
      <c r="Y16228" s="97"/>
    </row>
    <row r="16229" spans="25:25" x14ac:dyDescent="0.2">
      <c r="Y16229" s="97"/>
    </row>
    <row r="16230" spans="25:25" x14ac:dyDescent="0.2">
      <c r="Y16230" s="97"/>
    </row>
    <row r="16231" spans="25:25" x14ac:dyDescent="0.2">
      <c r="Y16231" s="97"/>
    </row>
    <row r="16232" spans="25:25" x14ac:dyDescent="0.2">
      <c r="Y16232" s="97"/>
    </row>
    <row r="16233" spans="25:25" x14ac:dyDescent="0.2">
      <c r="Y16233" s="97"/>
    </row>
    <row r="16234" spans="25:25" x14ac:dyDescent="0.2">
      <c r="Y16234" s="97"/>
    </row>
    <row r="16235" spans="25:25" x14ac:dyDescent="0.2">
      <c r="Y16235" s="97"/>
    </row>
    <row r="16236" spans="25:25" x14ac:dyDescent="0.2">
      <c r="Y16236" s="97"/>
    </row>
    <row r="16237" spans="25:25" x14ac:dyDescent="0.2">
      <c r="Y16237" s="97"/>
    </row>
    <row r="16238" spans="25:25" x14ac:dyDescent="0.2">
      <c r="Y16238" s="97"/>
    </row>
    <row r="16239" spans="25:25" x14ac:dyDescent="0.2">
      <c r="Y16239" s="97"/>
    </row>
    <row r="16240" spans="25:25" x14ac:dyDescent="0.2">
      <c r="Y16240" s="97"/>
    </row>
    <row r="16241" spans="25:25" x14ac:dyDescent="0.2">
      <c r="Y16241" s="97"/>
    </row>
    <row r="16242" spans="25:25" x14ac:dyDescent="0.2">
      <c r="Y16242" s="97"/>
    </row>
    <row r="16243" spans="25:25" x14ac:dyDescent="0.2">
      <c r="Y16243" s="97"/>
    </row>
    <row r="16244" spans="25:25" x14ac:dyDescent="0.2">
      <c r="Y16244" s="97"/>
    </row>
    <row r="16245" spans="25:25" x14ac:dyDescent="0.2">
      <c r="Y16245" s="97"/>
    </row>
    <row r="16246" spans="25:25" x14ac:dyDescent="0.2">
      <c r="Y16246" s="97"/>
    </row>
    <row r="16247" spans="25:25" x14ac:dyDescent="0.2">
      <c r="Y16247" s="97"/>
    </row>
    <row r="16248" spans="25:25" x14ac:dyDescent="0.2">
      <c r="Y16248" s="97"/>
    </row>
    <row r="16249" spans="25:25" x14ac:dyDescent="0.2">
      <c r="Y16249" s="97"/>
    </row>
    <row r="16250" spans="25:25" x14ac:dyDescent="0.2">
      <c r="Y16250" s="97"/>
    </row>
    <row r="16251" spans="25:25" x14ac:dyDescent="0.2">
      <c r="Y16251" s="97"/>
    </row>
    <row r="16252" spans="25:25" x14ac:dyDescent="0.2">
      <c r="Y16252" s="97"/>
    </row>
    <row r="16253" spans="25:25" x14ac:dyDescent="0.2">
      <c r="Y16253" s="97"/>
    </row>
    <row r="16254" spans="25:25" x14ac:dyDescent="0.2">
      <c r="Y16254" s="97"/>
    </row>
    <row r="16255" spans="25:25" x14ac:dyDescent="0.2">
      <c r="Y16255" s="97"/>
    </row>
    <row r="16256" spans="25:25" x14ac:dyDescent="0.2">
      <c r="Y16256" s="97"/>
    </row>
    <row r="16257" spans="25:25" x14ac:dyDescent="0.2">
      <c r="Y16257" s="97"/>
    </row>
    <row r="16258" spans="25:25" x14ac:dyDescent="0.2">
      <c r="Y16258" s="97"/>
    </row>
    <row r="16259" spans="25:25" x14ac:dyDescent="0.2">
      <c r="Y16259" s="97"/>
    </row>
    <row r="16260" spans="25:25" x14ac:dyDescent="0.2">
      <c r="Y16260" s="97"/>
    </row>
    <row r="16261" spans="25:25" x14ac:dyDescent="0.2">
      <c r="Y16261" s="97"/>
    </row>
    <row r="16262" spans="25:25" x14ac:dyDescent="0.2">
      <c r="Y16262" s="97"/>
    </row>
    <row r="16263" spans="25:25" x14ac:dyDescent="0.2">
      <c r="Y16263" s="97"/>
    </row>
    <row r="16264" spans="25:25" x14ac:dyDescent="0.2">
      <c r="Y16264" s="97"/>
    </row>
    <row r="16265" spans="25:25" x14ac:dyDescent="0.2">
      <c r="Y16265" s="97"/>
    </row>
    <row r="16266" spans="25:25" x14ac:dyDescent="0.2">
      <c r="Y16266" s="97"/>
    </row>
    <row r="16267" spans="25:25" x14ac:dyDescent="0.2">
      <c r="Y16267" s="97"/>
    </row>
    <row r="16268" spans="25:25" x14ac:dyDescent="0.2">
      <c r="Y16268" s="97"/>
    </row>
    <row r="16269" spans="25:25" x14ac:dyDescent="0.2">
      <c r="Y16269" s="97"/>
    </row>
    <row r="16270" spans="25:25" x14ac:dyDescent="0.2">
      <c r="Y16270" s="97"/>
    </row>
    <row r="16271" spans="25:25" x14ac:dyDescent="0.2">
      <c r="Y16271" s="97"/>
    </row>
    <row r="16272" spans="25:25" x14ac:dyDescent="0.2">
      <c r="Y16272" s="97"/>
    </row>
    <row r="16273" spans="25:25" x14ac:dyDescent="0.2">
      <c r="Y16273" s="97"/>
    </row>
    <row r="16274" spans="25:25" x14ac:dyDescent="0.2">
      <c r="Y16274" s="97"/>
    </row>
    <row r="16275" spans="25:25" x14ac:dyDescent="0.2">
      <c r="Y16275" s="97"/>
    </row>
    <row r="16276" spans="25:25" x14ac:dyDescent="0.2">
      <c r="Y16276" s="97"/>
    </row>
    <row r="16277" spans="25:25" x14ac:dyDescent="0.2">
      <c r="Y16277" s="97"/>
    </row>
    <row r="16278" spans="25:25" x14ac:dyDescent="0.2">
      <c r="Y16278" s="97"/>
    </row>
    <row r="16279" spans="25:25" x14ac:dyDescent="0.2">
      <c r="Y16279" s="97"/>
    </row>
    <row r="16280" spans="25:25" x14ac:dyDescent="0.2">
      <c r="Y16280" s="97"/>
    </row>
    <row r="16281" spans="25:25" x14ac:dyDescent="0.2">
      <c r="Y16281" s="97"/>
    </row>
    <row r="16282" spans="25:25" x14ac:dyDescent="0.2">
      <c r="Y16282" s="97"/>
    </row>
    <row r="16283" spans="25:25" x14ac:dyDescent="0.2">
      <c r="Y16283" s="97"/>
    </row>
    <row r="16284" spans="25:25" x14ac:dyDescent="0.2">
      <c r="Y16284" s="97"/>
    </row>
    <row r="16285" spans="25:25" x14ac:dyDescent="0.2">
      <c r="Y16285" s="97"/>
    </row>
    <row r="16286" spans="25:25" x14ac:dyDescent="0.2">
      <c r="Y16286" s="97"/>
    </row>
    <row r="16287" spans="25:25" x14ac:dyDescent="0.2">
      <c r="Y16287" s="97"/>
    </row>
    <row r="16288" spans="25:25" x14ac:dyDescent="0.2">
      <c r="Y16288" s="97"/>
    </row>
    <row r="16289" spans="25:25" x14ac:dyDescent="0.2">
      <c r="Y16289" s="97"/>
    </row>
    <row r="16290" spans="25:25" x14ac:dyDescent="0.2">
      <c r="Y16290" s="97"/>
    </row>
    <row r="16291" spans="25:25" x14ac:dyDescent="0.2">
      <c r="Y16291" s="97"/>
    </row>
    <row r="16292" spans="25:25" x14ac:dyDescent="0.2">
      <c r="Y16292" s="97"/>
    </row>
    <row r="16293" spans="25:25" x14ac:dyDescent="0.2">
      <c r="Y16293" s="97"/>
    </row>
    <row r="16294" spans="25:25" x14ac:dyDescent="0.2">
      <c r="Y16294" s="97"/>
    </row>
    <row r="16295" spans="25:25" x14ac:dyDescent="0.2">
      <c r="Y16295" s="97"/>
    </row>
    <row r="16296" spans="25:25" x14ac:dyDescent="0.2">
      <c r="Y16296" s="97"/>
    </row>
    <row r="16297" spans="25:25" x14ac:dyDescent="0.2">
      <c r="Y16297" s="97"/>
    </row>
    <row r="16298" spans="25:25" x14ac:dyDescent="0.2">
      <c r="Y16298" s="97"/>
    </row>
    <row r="16299" spans="25:25" x14ac:dyDescent="0.2">
      <c r="Y16299" s="97"/>
    </row>
    <row r="16300" spans="25:25" x14ac:dyDescent="0.2">
      <c r="Y16300" s="97"/>
    </row>
    <row r="16301" spans="25:25" x14ac:dyDescent="0.2">
      <c r="Y16301" s="97"/>
    </row>
    <row r="16302" spans="25:25" x14ac:dyDescent="0.2">
      <c r="Y16302" s="97"/>
    </row>
    <row r="16303" spans="25:25" x14ac:dyDescent="0.2">
      <c r="Y16303" s="97"/>
    </row>
    <row r="16304" spans="25:25" x14ac:dyDescent="0.2">
      <c r="Y16304" s="97"/>
    </row>
    <row r="16305" spans="25:25" x14ac:dyDescent="0.2">
      <c r="Y16305" s="97"/>
    </row>
    <row r="16306" spans="25:25" x14ac:dyDescent="0.2">
      <c r="Y16306" s="97"/>
    </row>
    <row r="16307" spans="25:25" x14ac:dyDescent="0.2">
      <c r="Y16307" s="97"/>
    </row>
    <row r="16308" spans="25:25" x14ac:dyDescent="0.2">
      <c r="Y16308" s="97"/>
    </row>
    <row r="16309" spans="25:25" x14ac:dyDescent="0.2">
      <c r="Y16309" s="97"/>
    </row>
    <row r="16310" spans="25:25" x14ac:dyDescent="0.2">
      <c r="Y16310" s="97"/>
    </row>
    <row r="16311" spans="25:25" x14ac:dyDescent="0.2">
      <c r="Y16311" s="97"/>
    </row>
    <row r="16312" spans="25:25" x14ac:dyDescent="0.2">
      <c r="Y16312" s="97"/>
    </row>
    <row r="16313" spans="25:25" x14ac:dyDescent="0.2">
      <c r="Y16313" s="97"/>
    </row>
    <row r="16314" spans="25:25" x14ac:dyDescent="0.2">
      <c r="Y16314" s="97"/>
    </row>
    <row r="16315" spans="25:25" x14ac:dyDescent="0.2">
      <c r="Y16315" s="97"/>
    </row>
    <row r="16316" spans="25:25" x14ac:dyDescent="0.2">
      <c r="Y16316" s="97"/>
    </row>
    <row r="16317" spans="25:25" x14ac:dyDescent="0.2">
      <c r="Y16317" s="97"/>
    </row>
    <row r="16318" spans="25:25" x14ac:dyDescent="0.2">
      <c r="Y16318" s="97"/>
    </row>
    <row r="16319" spans="25:25" x14ac:dyDescent="0.2">
      <c r="Y16319" s="97"/>
    </row>
    <row r="16320" spans="25:25" x14ac:dyDescent="0.2">
      <c r="Y16320" s="97"/>
    </row>
    <row r="16321" spans="25:25" x14ac:dyDescent="0.2">
      <c r="Y16321" s="97"/>
    </row>
    <row r="16322" spans="25:25" x14ac:dyDescent="0.2">
      <c r="Y16322" s="97"/>
    </row>
    <row r="16323" spans="25:25" x14ac:dyDescent="0.2">
      <c r="Y16323" s="97"/>
    </row>
    <row r="16324" spans="25:25" x14ac:dyDescent="0.2">
      <c r="Y16324" s="97"/>
    </row>
    <row r="16325" spans="25:25" x14ac:dyDescent="0.2">
      <c r="Y16325" s="97"/>
    </row>
    <row r="16326" spans="25:25" x14ac:dyDescent="0.2">
      <c r="Y16326" s="97"/>
    </row>
    <row r="16327" spans="25:25" x14ac:dyDescent="0.2">
      <c r="Y16327" s="97"/>
    </row>
    <row r="16328" spans="25:25" x14ac:dyDescent="0.2">
      <c r="Y16328" s="97"/>
    </row>
    <row r="16329" spans="25:25" x14ac:dyDescent="0.2">
      <c r="Y16329" s="97"/>
    </row>
    <row r="16330" spans="25:25" x14ac:dyDescent="0.2">
      <c r="Y16330" s="97"/>
    </row>
    <row r="16331" spans="25:25" x14ac:dyDescent="0.2">
      <c r="Y16331" s="97"/>
    </row>
    <row r="16332" spans="25:25" x14ac:dyDescent="0.2">
      <c r="Y16332" s="97"/>
    </row>
    <row r="16333" spans="25:25" x14ac:dyDescent="0.2">
      <c r="Y16333" s="97"/>
    </row>
    <row r="16334" spans="25:25" x14ac:dyDescent="0.2">
      <c r="Y16334" s="97"/>
    </row>
    <row r="16335" spans="25:25" x14ac:dyDescent="0.2">
      <c r="Y16335" s="97"/>
    </row>
    <row r="16336" spans="25:25" x14ac:dyDescent="0.2">
      <c r="Y16336" s="97"/>
    </row>
    <row r="16337" spans="25:25" x14ac:dyDescent="0.2">
      <c r="Y16337" s="97"/>
    </row>
    <row r="16338" spans="25:25" x14ac:dyDescent="0.2">
      <c r="Y16338" s="97"/>
    </row>
    <row r="16339" spans="25:25" x14ac:dyDescent="0.2">
      <c r="Y16339" s="97"/>
    </row>
    <row r="16340" spans="25:25" x14ac:dyDescent="0.2">
      <c r="Y16340" s="97"/>
    </row>
    <row r="16341" spans="25:25" x14ac:dyDescent="0.2">
      <c r="Y16341" s="97"/>
    </row>
    <row r="16342" spans="25:25" x14ac:dyDescent="0.2">
      <c r="Y16342" s="97"/>
    </row>
    <row r="16343" spans="25:25" x14ac:dyDescent="0.2">
      <c r="Y16343" s="97"/>
    </row>
    <row r="16344" spans="25:25" x14ac:dyDescent="0.2">
      <c r="Y16344" s="97"/>
    </row>
    <row r="16345" spans="25:25" x14ac:dyDescent="0.2">
      <c r="Y16345" s="97"/>
    </row>
    <row r="16346" spans="25:25" x14ac:dyDescent="0.2">
      <c r="Y16346" s="97"/>
    </row>
    <row r="16347" spans="25:25" x14ac:dyDescent="0.2">
      <c r="Y16347" s="97"/>
    </row>
    <row r="16348" spans="25:25" x14ac:dyDescent="0.2">
      <c r="Y16348" s="97"/>
    </row>
    <row r="16349" spans="25:25" x14ac:dyDescent="0.2">
      <c r="Y16349" s="97"/>
    </row>
    <row r="16350" spans="25:25" x14ac:dyDescent="0.2">
      <c r="Y16350" s="97"/>
    </row>
    <row r="16351" spans="25:25" x14ac:dyDescent="0.2">
      <c r="Y16351" s="97"/>
    </row>
    <row r="16352" spans="25:25" x14ac:dyDescent="0.2">
      <c r="Y16352" s="97"/>
    </row>
    <row r="16353" spans="25:25" x14ac:dyDescent="0.2">
      <c r="Y16353" s="97"/>
    </row>
    <row r="16354" spans="25:25" x14ac:dyDescent="0.2">
      <c r="Y16354" s="97"/>
    </row>
    <row r="16355" spans="25:25" x14ac:dyDescent="0.2">
      <c r="Y16355" s="97"/>
    </row>
    <row r="16356" spans="25:25" x14ac:dyDescent="0.2">
      <c r="Y16356" s="97"/>
    </row>
    <row r="16357" spans="25:25" x14ac:dyDescent="0.2">
      <c r="Y16357" s="97"/>
    </row>
    <row r="16358" spans="25:25" x14ac:dyDescent="0.2">
      <c r="Y16358" s="97"/>
    </row>
    <row r="16359" spans="25:25" x14ac:dyDescent="0.2">
      <c r="Y16359" s="97"/>
    </row>
    <row r="16360" spans="25:25" x14ac:dyDescent="0.2">
      <c r="Y16360" s="97"/>
    </row>
    <row r="16361" spans="25:25" x14ac:dyDescent="0.2">
      <c r="Y16361" s="97"/>
    </row>
    <row r="16362" spans="25:25" x14ac:dyDescent="0.2">
      <c r="Y16362" s="97"/>
    </row>
    <row r="16363" spans="25:25" x14ac:dyDescent="0.2">
      <c r="Y16363" s="97"/>
    </row>
    <row r="16364" spans="25:25" x14ac:dyDescent="0.2">
      <c r="Y16364" s="97"/>
    </row>
    <row r="16365" spans="25:25" x14ac:dyDescent="0.2">
      <c r="Y16365" s="97"/>
    </row>
    <row r="16366" spans="25:25" x14ac:dyDescent="0.2">
      <c r="Y16366" s="97"/>
    </row>
    <row r="16367" spans="25:25" x14ac:dyDescent="0.2">
      <c r="Y16367" s="97"/>
    </row>
    <row r="16368" spans="25:25" x14ac:dyDescent="0.2">
      <c r="Y16368" s="97"/>
    </row>
    <row r="16369" spans="25:25" x14ac:dyDescent="0.2">
      <c r="Y16369" s="97"/>
    </row>
    <row r="16370" spans="25:25" x14ac:dyDescent="0.2">
      <c r="Y16370" s="97"/>
    </row>
    <row r="16371" spans="25:25" x14ac:dyDescent="0.2">
      <c r="Y16371" s="97"/>
    </row>
    <row r="16372" spans="25:25" x14ac:dyDescent="0.2">
      <c r="Y16372" s="97"/>
    </row>
    <row r="16373" spans="25:25" x14ac:dyDescent="0.2">
      <c r="Y16373" s="97"/>
    </row>
    <row r="16374" spans="25:25" x14ac:dyDescent="0.2">
      <c r="Y16374" s="97"/>
    </row>
    <row r="16375" spans="25:25" x14ac:dyDescent="0.2">
      <c r="Y16375" s="97"/>
    </row>
    <row r="16376" spans="25:25" x14ac:dyDescent="0.2">
      <c r="Y16376" s="97"/>
    </row>
    <row r="16377" spans="25:25" x14ac:dyDescent="0.2">
      <c r="Y16377" s="97"/>
    </row>
    <row r="16378" spans="25:25" x14ac:dyDescent="0.2">
      <c r="Y16378" s="97"/>
    </row>
    <row r="16379" spans="25:25" x14ac:dyDescent="0.2">
      <c r="Y16379" s="97"/>
    </row>
    <row r="16380" spans="25:25" x14ac:dyDescent="0.2">
      <c r="Y16380" s="97"/>
    </row>
    <row r="16381" spans="25:25" x14ac:dyDescent="0.2">
      <c r="Y16381" s="97"/>
    </row>
    <row r="16382" spans="25:25" x14ac:dyDescent="0.2">
      <c r="Y16382" s="97"/>
    </row>
    <row r="16383" spans="25:25" x14ac:dyDescent="0.2">
      <c r="Y16383" s="97"/>
    </row>
    <row r="16384" spans="25:25" x14ac:dyDescent="0.2">
      <c r="Y16384" s="97"/>
    </row>
    <row r="16385" spans="25:25" x14ac:dyDescent="0.2">
      <c r="Y16385" s="97"/>
    </row>
    <row r="16386" spans="25:25" x14ac:dyDescent="0.2">
      <c r="Y16386" s="97"/>
    </row>
    <row r="16387" spans="25:25" x14ac:dyDescent="0.2">
      <c r="Y16387" s="97"/>
    </row>
    <row r="16388" spans="25:25" x14ac:dyDescent="0.2">
      <c r="Y16388" s="97"/>
    </row>
    <row r="16389" spans="25:25" x14ac:dyDescent="0.2">
      <c r="Y16389" s="97"/>
    </row>
    <row r="16390" spans="25:25" x14ac:dyDescent="0.2">
      <c r="Y16390" s="97"/>
    </row>
    <row r="16391" spans="25:25" x14ac:dyDescent="0.2">
      <c r="Y16391" s="97"/>
    </row>
    <row r="16392" spans="25:25" x14ac:dyDescent="0.2">
      <c r="Y16392" s="97"/>
    </row>
    <row r="16393" spans="25:25" x14ac:dyDescent="0.2">
      <c r="Y16393" s="97"/>
    </row>
    <row r="16394" spans="25:25" x14ac:dyDescent="0.2">
      <c r="Y16394" s="97"/>
    </row>
    <row r="16395" spans="25:25" x14ac:dyDescent="0.2">
      <c r="Y16395" s="97"/>
    </row>
    <row r="16396" spans="25:25" x14ac:dyDescent="0.2">
      <c r="Y16396" s="97"/>
    </row>
    <row r="16397" spans="25:25" x14ac:dyDescent="0.2">
      <c r="Y16397" s="97"/>
    </row>
    <row r="16398" spans="25:25" x14ac:dyDescent="0.2">
      <c r="Y16398" s="97"/>
    </row>
    <row r="16399" spans="25:25" x14ac:dyDescent="0.2">
      <c r="Y16399" s="97"/>
    </row>
    <row r="16400" spans="25:25" x14ac:dyDescent="0.2">
      <c r="Y16400" s="97"/>
    </row>
    <row r="16401" spans="25:25" x14ac:dyDescent="0.2">
      <c r="Y16401" s="97"/>
    </row>
    <row r="16402" spans="25:25" x14ac:dyDescent="0.2">
      <c r="Y16402" s="97"/>
    </row>
    <row r="16403" spans="25:25" x14ac:dyDescent="0.2">
      <c r="Y16403" s="97"/>
    </row>
    <row r="16404" spans="25:25" x14ac:dyDescent="0.2">
      <c r="Y16404" s="97"/>
    </row>
    <row r="16405" spans="25:25" x14ac:dyDescent="0.2">
      <c r="Y16405" s="97"/>
    </row>
    <row r="16406" spans="25:25" x14ac:dyDescent="0.2">
      <c r="Y16406" s="97"/>
    </row>
    <row r="16407" spans="25:25" x14ac:dyDescent="0.2">
      <c r="Y16407" s="97"/>
    </row>
    <row r="16408" spans="25:25" x14ac:dyDescent="0.2">
      <c r="Y16408" s="97"/>
    </row>
    <row r="16409" spans="25:25" x14ac:dyDescent="0.2">
      <c r="Y16409" s="97"/>
    </row>
    <row r="16410" spans="25:25" x14ac:dyDescent="0.2">
      <c r="Y16410" s="97"/>
    </row>
    <row r="16411" spans="25:25" x14ac:dyDescent="0.2">
      <c r="Y16411" s="97"/>
    </row>
    <row r="16412" spans="25:25" x14ac:dyDescent="0.2">
      <c r="Y16412" s="97"/>
    </row>
    <row r="16413" spans="25:25" x14ac:dyDescent="0.2">
      <c r="Y16413" s="97"/>
    </row>
    <row r="16414" spans="25:25" x14ac:dyDescent="0.2">
      <c r="Y16414" s="97"/>
    </row>
    <row r="16415" spans="25:25" x14ac:dyDescent="0.2">
      <c r="Y16415" s="97"/>
    </row>
    <row r="16416" spans="25:25" x14ac:dyDescent="0.2">
      <c r="Y16416" s="97"/>
    </row>
    <row r="16417" spans="25:25" x14ac:dyDescent="0.2">
      <c r="Y16417" s="97"/>
    </row>
    <row r="16418" spans="25:25" x14ac:dyDescent="0.2">
      <c r="Y16418" s="97"/>
    </row>
    <row r="16419" spans="25:25" x14ac:dyDescent="0.2">
      <c r="Y16419" s="97"/>
    </row>
    <row r="16420" spans="25:25" x14ac:dyDescent="0.2">
      <c r="Y16420" s="97"/>
    </row>
    <row r="16421" spans="25:25" x14ac:dyDescent="0.2">
      <c r="Y16421" s="97"/>
    </row>
    <row r="16422" spans="25:25" x14ac:dyDescent="0.2">
      <c r="Y16422" s="97"/>
    </row>
    <row r="16423" spans="25:25" x14ac:dyDescent="0.2">
      <c r="Y16423" s="97"/>
    </row>
    <row r="16424" spans="25:25" x14ac:dyDescent="0.2">
      <c r="Y16424" s="97"/>
    </row>
    <row r="16425" spans="25:25" x14ac:dyDescent="0.2">
      <c r="Y16425" s="97"/>
    </row>
    <row r="16426" spans="25:25" x14ac:dyDescent="0.2">
      <c r="Y16426" s="97"/>
    </row>
    <row r="16427" spans="25:25" x14ac:dyDescent="0.2">
      <c r="Y16427" s="97"/>
    </row>
    <row r="16428" spans="25:25" x14ac:dyDescent="0.2">
      <c r="Y16428" s="97"/>
    </row>
    <row r="16429" spans="25:25" x14ac:dyDescent="0.2">
      <c r="Y16429" s="97"/>
    </row>
    <row r="16430" spans="25:25" x14ac:dyDescent="0.2">
      <c r="Y16430" s="97"/>
    </row>
    <row r="16431" spans="25:25" x14ac:dyDescent="0.2">
      <c r="Y16431" s="97"/>
    </row>
    <row r="16432" spans="25:25" x14ac:dyDescent="0.2">
      <c r="Y16432" s="97"/>
    </row>
    <row r="16433" spans="25:25" x14ac:dyDescent="0.2">
      <c r="Y16433" s="97"/>
    </row>
    <row r="16434" spans="25:25" x14ac:dyDescent="0.2">
      <c r="Y16434" s="97"/>
    </row>
    <row r="16435" spans="25:25" x14ac:dyDescent="0.2">
      <c r="Y16435" s="97"/>
    </row>
    <row r="16436" spans="25:25" x14ac:dyDescent="0.2">
      <c r="Y16436" s="97"/>
    </row>
    <row r="16437" spans="25:25" x14ac:dyDescent="0.2">
      <c r="Y16437" s="97"/>
    </row>
    <row r="16438" spans="25:25" x14ac:dyDescent="0.2">
      <c r="Y16438" s="97"/>
    </row>
    <row r="16439" spans="25:25" x14ac:dyDescent="0.2">
      <c r="Y16439" s="97"/>
    </row>
    <row r="16440" spans="25:25" x14ac:dyDescent="0.2">
      <c r="Y16440" s="97"/>
    </row>
    <row r="16441" spans="25:25" x14ac:dyDescent="0.2">
      <c r="Y16441" s="97"/>
    </row>
    <row r="16442" spans="25:25" x14ac:dyDescent="0.2">
      <c r="Y16442" s="97"/>
    </row>
    <row r="16443" spans="25:25" x14ac:dyDescent="0.2">
      <c r="Y16443" s="97"/>
    </row>
    <row r="16444" spans="25:25" x14ac:dyDescent="0.2">
      <c r="Y16444" s="97"/>
    </row>
    <row r="16445" spans="25:25" x14ac:dyDescent="0.2">
      <c r="Y16445" s="97"/>
    </row>
    <row r="16446" spans="25:25" x14ac:dyDescent="0.2">
      <c r="Y16446" s="97"/>
    </row>
    <row r="16447" spans="25:25" x14ac:dyDescent="0.2">
      <c r="Y16447" s="97"/>
    </row>
    <row r="16448" spans="25:25" x14ac:dyDescent="0.2">
      <c r="Y16448" s="97"/>
    </row>
    <row r="16449" spans="25:25" x14ac:dyDescent="0.2">
      <c r="Y16449" s="97"/>
    </row>
    <row r="16450" spans="25:25" x14ac:dyDescent="0.2">
      <c r="Y16450" s="97"/>
    </row>
    <row r="16451" spans="25:25" x14ac:dyDescent="0.2">
      <c r="Y16451" s="97"/>
    </row>
    <row r="16452" spans="25:25" x14ac:dyDescent="0.2">
      <c r="Y16452" s="97"/>
    </row>
    <row r="16453" spans="25:25" x14ac:dyDescent="0.2">
      <c r="Y16453" s="97"/>
    </row>
    <row r="16454" spans="25:25" x14ac:dyDescent="0.2">
      <c r="Y16454" s="97"/>
    </row>
    <row r="16455" spans="25:25" x14ac:dyDescent="0.2">
      <c r="Y16455" s="97"/>
    </row>
    <row r="16456" spans="25:25" x14ac:dyDescent="0.2">
      <c r="Y16456" s="97"/>
    </row>
    <row r="16457" spans="25:25" x14ac:dyDescent="0.2">
      <c r="Y16457" s="97"/>
    </row>
    <row r="16458" spans="25:25" x14ac:dyDescent="0.2">
      <c r="Y16458" s="97"/>
    </row>
    <row r="16459" spans="25:25" x14ac:dyDescent="0.2">
      <c r="Y16459" s="97"/>
    </row>
    <row r="16460" spans="25:25" x14ac:dyDescent="0.2">
      <c r="Y16460" s="97"/>
    </row>
    <row r="16461" spans="25:25" x14ac:dyDescent="0.2">
      <c r="Y16461" s="97"/>
    </row>
    <row r="16462" spans="25:25" x14ac:dyDescent="0.2">
      <c r="Y16462" s="97"/>
    </row>
    <row r="16463" spans="25:25" x14ac:dyDescent="0.2">
      <c r="Y16463" s="97"/>
    </row>
    <row r="16464" spans="25:25" x14ac:dyDescent="0.2">
      <c r="Y16464" s="97"/>
    </row>
    <row r="16465" spans="25:25" x14ac:dyDescent="0.2">
      <c r="Y16465" s="97"/>
    </row>
    <row r="16466" spans="25:25" x14ac:dyDescent="0.2">
      <c r="Y16466" s="97"/>
    </row>
    <row r="16467" spans="25:25" x14ac:dyDescent="0.2">
      <c r="Y16467" s="97"/>
    </row>
    <row r="16468" spans="25:25" x14ac:dyDescent="0.2">
      <c r="Y16468" s="97"/>
    </row>
    <row r="16469" spans="25:25" x14ac:dyDescent="0.2">
      <c r="Y16469" s="97"/>
    </row>
    <row r="16470" spans="25:25" x14ac:dyDescent="0.2">
      <c r="Y16470" s="97"/>
    </row>
    <row r="16471" spans="25:25" x14ac:dyDescent="0.2">
      <c r="Y16471" s="97"/>
    </row>
    <row r="16472" spans="25:25" x14ac:dyDescent="0.2">
      <c r="Y16472" s="97"/>
    </row>
    <row r="16473" spans="25:25" x14ac:dyDescent="0.2">
      <c r="Y16473" s="97"/>
    </row>
    <row r="16474" spans="25:25" x14ac:dyDescent="0.2">
      <c r="Y16474" s="97"/>
    </row>
    <row r="16475" spans="25:25" x14ac:dyDescent="0.2">
      <c r="Y16475" s="97"/>
    </row>
    <row r="16476" spans="25:25" x14ac:dyDescent="0.2">
      <c r="Y16476" s="97"/>
    </row>
    <row r="16477" spans="25:25" x14ac:dyDescent="0.2">
      <c r="Y16477" s="97"/>
    </row>
    <row r="16478" spans="25:25" x14ac:dyDescent="0.2">
      <c r="Y16478" s="97"/>
    </row>
    <row r="16479" spans="25:25" x14ac:dyDescent="0.2">
      <c r="Y16479" s="97"/>
    </row>
    <row r="16480" spans="25:25" x14ac:dyDescent="0.2">
      <c r="Y16480" s="97"/>
    </row>
    <row r="16481" spans="25:25" x14ac:dyDescent="0.2">
      <c r="Y16481" s="97"/>
    </row>
    <row r="16482" spans="25:25" x14ac:dyDescent="0.2">
      <c r="Y16482" s="97"/>
    </row>
    <row r="16483" spans="25:25" x14ac:dyDescent="0.2">
      <c r="Y16483" s="97"/>
    </row>
    <row r="16484" spans="25:25" x14ac:dyDescent="0.2">
      <c r="Y16484" s="97"/>
    </row>
    <row r="16485" spans="25:25" x14ac:dyDescent="0.2">
      <c r="Y16485" s="97"/>
    </row>
    <row r="16486" spans="25:25" x14ac:dyDescent="0.2">
      <c r="Y16486" s="97"/>
    </row>
    <row r="16487" spans="25:25" x14ac:dyDescent="0.2">
      <c r="Y16487" s="97"/>
    </row>
    <row r="16488" spans="25:25" x14ac:dyDescent="0.2">
      <c r="Y16488" s="97"/>
    </row>
    <row r="16489" spans="25:25" x14ac:dyDescent="0.2">
      <c r="Y16489" s="97"/>
    </row>
    <row r="16490" spans="25:25" x14ac:dyDescent="0.2">
      <c r="Y16490" s="97"/>
    </row>
    <row r="16491" spans="25:25" x14ac:dyDescent="0.2">
      <c r="Y16491" s="97"/>
    </row>
    <row r="16492" spans="25:25" x14ac:dyDescent="0.2">
      <c r="Y16492" s="97"/>
    </row>
    <row r="16493" spans="25:25" x14ac:dyDescent="0.2">
      <c r="Y16493" s="97"/>
    </row>
    <row r="16494" spans="25:25" x14ac:dyDescent="0.2">
      <c r="Y16494" s="97"/>
    </row>
    <row r="16495" spans="25:25" x14ac:dyDescent="0.2">
      <c r="Y16495" s="97"/>
    </row>
    <row r="16496" spans="25:25" x14ac:dyDescent="0.2">
      <c r="Y16496" s="97"/>
    </row>
    <row r="16497" spans="25:25" x14ac:dyDescent="0.2">
      <c r="Y16497" s="97"/>
    </row>
    <row r="16498" spans="25:25" x14ac:dyDescent="0.2">
      <c r="Y16498" s="97"/>
    </row>
    <row r="16499" spans="25:25" x14ac:dyDescent="0.2">
      <c r="Y16499" s="97"/>
    </row>
    <row r="16500" spans="25:25" x14ac:dyDescent="0.2">
      <c r="Y16500" s="97"/>
    </row>
    <row r="16501" spans="25:25" x14ac:dyDescent="0.2">
      <c r="Y16501" s="97"/>
    </row>
    <row r="16502" spans="25:25" x14ac:dyDescent="0.2">
      <c r="Y16502" s="97"/>
    </row>
    <row r="16503" spans="25:25" x14ac:dyDescent="0.2">
      <c r="Y16503" s="97"/>
    </row>
    <row r="16504" spans="25:25" x14ac:dyDescent="0.2">
      <c r="Y16504" s="97"/>
    </row>
    <row r="16505" spans="25:25" x14ac:dyDescent="0.2">
      <c r="Y16505" s="97"/>
    </row>
    <row r="16506" spans="25:25" x14ac:dyDescent="0.2">
      <c r="Y16506" s="97"/>
    </row>
    <row r="16507" spans="25:25" x14ac:dyDescent="0.2">
      <c r="Y16507" s="97"/>
    </row>
    <row r="16508" spans="25:25" x14ac:dyDescent="0.2">
      <c r="Y16508" s="97"/>
    </row>
    <row r="16509" spans="25:25" x14ac:dyDescent="0.2">
      <c r="Y16509" s="97"/>
    </row>
    <row r="16510" spans="25:25" x14ac:dyDescent="0.2">
      <c r="Y16510" s="97"/>
    </row>
    <row r="16511" spans="25:25" x14ac:dyDescent="0.2">
      <c r="Y16511" s="97"/>
    </row>
    <row r="16512" spans="25:25" x14ac:dyDescent="0.2">
      <c r="Y16512" s="97"/>
    </row>
    <row r="16513" spans="25:25" x14ac:dyDescent="0.2">
      <c r="Y16513" s="97"/>
    </row>
    <row r="16514" spans="25:25" x14ac:dyDescent="0.2">
      <c r="Y16514" s="97"/>
    </row>
    <row r="16515" spans="25:25" x14ac:dyDescent="0.2">
      <c r="Y16515" s="97"/>
    </row>
    <row r="16516" spans="25:25" x14ac:dyDescent="0.2">
      <c r="Y16516" s="97"/>
    </row>
    <row r="16517" spans="25:25" x14ac:dyDescent="0.2">
      <c r="Y16517" s="97"/>
    </row>
    <row r="16518" spans="25:25" x14ac:dyDescent="0.2">
      <c r="Y16518" s="97"/>
    </row>
    <row r="16519" spans="25:25" x14ac:dyDescent="0.2">
      <c r="Y16519" s="97"/>
    </row>
    <row r="16520" spans="25:25" x14ac:dyDescent="0.2">
      <c r="Y16520" s="97"/>
    </row>
    <row r="16521" spans="25:25" x14ac:dyDescent="0.2">
      <c r="Y16521" s="97"/>
    </row>
    <row r="16522" spans="25:25" x14ac:dyDescent="0.2">
      <c r="Y16522" s="97"/>
    </row>
    <row r="16523" spans="25:25" x14ac:dyDescent="0.2">
      <c r="Y16523" s="97"/>
    </row>
    <row r="16524" spans="25:25" x14ac:dyDescent="0.2">
      <c r="Y16524" s="97"/>
    </row>
    <row r="16525" spans="25:25" x14ac:dyDescent="0.2">
      <c r="Y16525" s="97"/>
    </row>
    <row r="16526" spans="25:25" x14ac:dyDescent="0.2">
      <c r="Y16526" s="97"/>
    </row>
    <row r="16527" spans="25:25" x14ac:dyDescent="0.2">
      <c r="Y16527" s="97"/>
    </row>
    <row r="16528" spans="25:25" x14ac:dyDescent="0.2">
      <c r="Y16528" s="97"/>
    </row>
    <row r="16529" spans="25:25" x14ac:dyDescent="0.2">
      <c r="Y16529" s="97"/>
    </row>
    <row r="16530" spans="25:25" x14ac:dyDescent="0.2">
      <c r="Y16530" s="97"/>
    </row>
    <row r="16531" spans="25:25" x14ac:dyDescent="0.2">
      <c r="Y16531" s="97"/>
    </row>
    <row r="16532" spans="25:25" x14ac:dyDescent="0.2">
      <c r="Y16532" s="97"/>
    </row>
    <row r="16533" spans="25:25" x14ac:dyDescent="0.2">
      <c r="Y16533" s="97"/>
    </row>
    <row r="16534" spans="25:25" x14ac:dyDescent="0.2">
      <c r="Y16534" s="97"/>
    </row>
    <row r="16535" spans="25:25" x14ac:dyDescent="0.2">
      <c r="Y16535" s="97"/>
    </row>
    <row r="16536" spans="25:25" x14ac:dyDescent="0.2">
      <c r="Y16536" s="97"/>
    </row>
    <row r="16537" spans="25:25" x14ac:dyDescent="0.2">
      <c r="Y16537" s="97"/>
    </row>
    <row r="16538" spans="25:25" x14ac:dyDescent="0.2">
      <c r="Y16538" s="97"/>
    </row>
    <row r="16539" spans="25:25" x14ac:dyDescent="0.2">
      <c r="Y16539" s="97"/>
    </row>
    <row r="16540" spans="25:25" x14ac:dyDescent="0.2">
      <c r="Y16540" s="97"/>
    </row>
    <row r="16541" spans="25:25" x14ac:dyDescent="0.2">
      <c r="Y16541" s="97"/>
    </row>
    <row r="16542" spans="25:25" x14ac:dyDescent="0.2">
      <c r="Y16542" s="97"/>
    </row>
    <row r="16543" spans="25:25" x14ac:dyDescent="0.2">
      <c r="Y16543" s="97"/>
    </row>
    <row r="16544" spans="25:25" x14ac:dyDescent="0.2">
      <c r="Y16544" s="97"/>
    </row>
    <row r="16545" spans="25:25" x14ac:dyDescent="0.2">
      <c r="Y16545" s="97"/>
    </row>
    <row r="16546" spans="25:25" x14ac:dyDescent="0.2">
      <c r="Y16546" s="97"/>
    </row>
    <row r="16547" spans="25:25" x14ac:dyDescent="0.2">
      <c r="Y16547" s="97"/>
    </row>
    <row r="16548" spans="25:25" x14ac:dyDescent="0.2">
      <c r="Y16548" s="97"/>
    </row>
    <row r="16549" spans="25:25" x14ac:dyDescent="0.2">
      <c r="Y16549" s="97"/>
    </row>
    <row r="16550" spans="25:25" x14ac:dyDescent="0.2">
      <c r="Y16550" s="97"/>
    </row>
    <row r="16551" spans="25:25" x14ac:dyDescent="0.2">
      <c r="Y16551" s="97"/>
    </row>
    <row r="16552" spans="25:25" x14ac:dyDescent="0.2">
      <c r="Y16552" s="97"/>
    </row>
    <row r="16553" spans="25:25" x14ac:dyDescent="0.2">
      <c r="Y16553" s="97"/>
    </row>
    <row r="16554" spans="25:25" x14ac:dyDescent="0.2">
      <c r="Y16554" s="97"/>
    </row>
    <row r="16555" spans="25:25" x14ac:dyDescent="0.2">
      <c r="Y16555" s="97"/>
    </row>
    <row r="16556" spans="25:25" x14ac:dyDescent="0.2">
      <c r="Y16556" s="97"/>
    </row>
    <row r="16557" spans="25:25" x14ac:dyDescent="0.2">
      <c r="Y16557" s="97"/>
    </row>
    <row r="16558" spans="25:25" x14ac:dyDescent="0.2">
      <c r="Y16558" s="97"/>
    </row>
    <row r="16559" spans="25:25" x14ac:dyDescent="0.2">
      <c r="Y16559" s="97"/>
    </row>
    <row r="16560" spans="25:25" x14ac:dyDescent="0.2">
      <c r="Y16560" s="97"/>
    </row>
    <row r="16561" spans="25:25" x14ac:dyDescent="0.2">
      <c r="Y16561" s="97"/>
    </row>
    <row r="16562" spans="25:25" x14ac:dyDescent="0.2">
      <c r="Y16562" s="97"/>
    </row>
    <row r="16563" spans="25:25" x14ac:dyDescent="0.2">
      <c r="Y16563" s="97"/>
    </row>
    <row r="16564" spans="25:25" x14ac:dyDescent="0.2">
      <c r="Y16564" s="97"/>
    </row>
    <row r="16565" spans="25:25" x14ac:dyDescent="0.2">
      <c r="Y16565" s="97"/>
    </row>
    <row r="16566" spans="25:25" x14ac:dyDescent="0.2">
      <c r="Y16566" s="97"/>
    </row>
    <row r="16567" spans="25:25" x14ac:dyDescent="0.2">
      <c r="Y16567" s="97"/>
    </row>
    <row r="16568" spans="25:25" x14ac:dyDescent="0.2">
      <c r="Y16568" s="97"/>
    </row>
    <row r="16569" spans="25:25" x14ac:dyDescent="0.2">
      <c r="Y16569" s="97"/>
    </row>
    <row r="16570" spans="25:25" x14ac:dyDescent="0.2">
      <c r="Y16570" s="97"/>
    </row>
    <row r="16571" spans="25:25" x14ac:dyDescent="0.2">
      <c r="Y16571" s="97"/>
    </row>
    <row r="16572" spans="25:25" x14ac:dyDescent="0.2">
      <c r="Y16572" s="97"/>
    </row>
    <row r="16573" spans="25:25" x14ac:dyDescent="0.2">
      <c r="Y16573" s="97"/>
    </row>
    <row r="16574" spans="25:25" x14ac:dyDescent="0.2">
      <c r="Y16574" s="97"/>
    </row>
    <row r="16575" spans="25:25" x14ac:dyDescent="0.2">
      <c r="Y16575" s="97"/>
    </row>
    <row r="16576" spans="25:25" x14ac:dyDescent="0.2">
      <c r="Y16576" s="97"/>
    </row>
    <row r="16577" spans="25:25" x14ac:dyDescent="0.2">
      <c r="Y16577" s="97"/>
    </row>
    <row r="16578" spans="25:25" x14ac:dyDescent="0.2">
      <c r="Y16578" s="97"/>
    </row>
    <row r="16579" spans="25:25" x14ac:dyDescent="0.2">
      <c r="Y16579" s="97"/>
    </row>
    <row r="16580" spans="25:25" x14ac:dyDescent="0.2">
      <c r="Y16580" s="97"/>
    </row>
    <row r="16581" spans="25:25" x14ac:dyDescent="0.2">
      <c r="Y16581" s="97"/>
    </row>
    <row r="16582" spans="25:25" x14ac:dyDescent="0.2">
      <c r="Y16582" s="97"/>
    </row>
    <row r="16583" spans="25:25" x14ac:dyDescent="0.2">
      <c r="Y16583" s="97"/>
    </row>
    <row r="16584" spans="25:25" x14ac:dyDescent="0.2">
      <c r="Y16584" s="97"/>
    </row>
    <row r="16585" spans="25:25" x14ac:dyDescent="0.2">
      <c r="Y16585" s="97"/>
    </row>
    <row r="16586" spans="25:25" x14ac:dyDescent="0.2">
      <c r="Y16586" s="97"/>
    </row>
    <row r="16587" spans="25:25" x14ac:dyDescent="0.2">
      <c r="Y16587" s="97"/>
    </row>
    <row r="16588" spans="25:25" x14ac:dyDescent="0.2">
      <c r="Y16588" s="97"/>
    </row>
    <row r="16589" spans="25:25" x14ac:dyDescent="0.2">
      <c r="Y16589" s="97"/>
    </row>
    <row r="16590" spans="25:25" x14ac:dyDescent="0.2">
      <c r="Y16590" s="97"/>
    </row>
    <row r="16591" spans="25:25" x14ac:dyDescent="0.2">
      <c r="Y16591" s="97"/>
    </row>
    <row r="16592" spans="25:25" x14ac:dyDescent="0.2">
      <c r="Y16592" s="97"/>
    </row>
    <row r="16593" spans="25:25" x14ac:dyDescent="0.2">
      <c r="Y16593" s="97"/>
    </row>
    <row r="16594" spans="25:25" x14ac:dyDescent="0.2">
      <c r="Y16594" s="97"/>
    </row>
    <row r="16595" spans="25:25" x14ac:dyDescent="0.2">
      <c r="Y16595" s="97"/>
    </row>
    <row r="16596" spans="25:25" x14ac:dyDescent="0.2">
      <c r="Y16596" s="97"/>
    </row>
    <row r="16597" spans="25:25" x14ac:dyDescent="0.2">
      <c r="Y16597" s="97"/>
    </row>
    <row r="16598" spans="25:25" x14ac:dyDescent="0.2">
      <c r="Y16598" s="97"/>
    </row>
    <row r="16599" spans="25:25" x14ac:dyDescent="0.2">
      <c r="Y16599" s="97"/>
    </row>
    <row r="16600" spans="25:25" x14ac:dyDescent="0.2">
      <c r="Y16600" s="97"/>
    </row>
    <row r="16601" spans="25:25" x14ac:dyDescent="0.2">
      <c r="Y16601" s="97"/>
    </row>
    <row r="16602" spans="25:25" x14ac:dyDescent="0.2">
      <c r="Y16602" s="97"/>
    </row>
    <row r="16603" spans="25:25" x14ac:dyDescent="0.2">
      <c r="Y16603" s="97"/>
    </row>
    <row r="16604" spans="25:25" x14ac:dyDescent="0.2">
      <c r="Y16604" s="97"/>
    </row>
    <row r="16605" spans="25:25" x14ac:dyDescent="0.2">
      <c r="Y16605" s="97"/>
    </row>
    <row r="16606" spans="25:25" x14ac:dyDescent="0.2">
      <c r="Y16606" s="97"/>
    </row>
    <row r="16607" spans="25:25" x14ac:dyDescent="0.2">
      <c r="Y16607" s="97"/>
    </row>
    <row r="16608" spans="25:25" x14ac:dyDescent="0.2">
      <c r="Y16608" s="97"/>
    </row>
    <row r="16609" spans="25:25" x14ac:dyDescent="0.2">
      <c r="Y16609" s="97"/>
    </row>
    <row r="16610" spans="25:25" x14ac:dyDescent="0.2">
      <c r="Y16610" s="97"/>
    </row>
    <row r="16611" spans="25:25" x14ac:dyDescent="0.2">
      <c r="Y16611" s="97"/>
    </row>
    <row r="16612" spans="25:25" x14ac:dyDescent="0.2">
      <c r="Y16612" s="97"/>
    </row>
    <row r="16613" spans="25:25" x14ac:dyDescent="0.2">
      <c r="Y16613" s="97"/>
    </row>
    <row r="16614" spans="25:25" x14ac:dyDescent="0.2">
      <c r="Y16614" s="97"/>
    </row>
    <row r="16615" spans="25:25" x14ac:dyDescent="0.2">
      <c r="Y16615" s="97"/>
    </row>
    <row r="16616" spans="25:25" x14ac:dyDescent="0.2">
      <c r="Y16616" s="97"/>
    </row>
    <row r="16617" spans="25:25" x14ac:dyDescent="0.2">
      <c r="Y16617" s="97"/>
    </row>
    <row r="16618" spans="25:25" x14ac:dyDescent="0.2">
      <c r="Y16618" s="97"/>
    </row>
    <row r="16619" spans="25:25" x14ac:dyDescent="0.2">
      <c r="Y16619" s="97"/>
    </row>
    <row r="16620" spans="25:25" x14ac:dyDescent="0.2">
      <c r="Y16620" s="97"/>
    </row>
    <row r="16621" spans="25:25" x14ac:dyDescent="0.2">
      <c r="Y16621" s="97"/>
    </row>
    <row r="16622" spans="25:25" x14ac:dyDescent="0.2">
      <c r="Y16622" s="97"/>
    </row>
    <row r="16623" spans="25:25" x14ac:dyDescent="0.2">
      <c r="Y16623" s="97"/>
    </row>
    <row r="16624" spans="25:25" x14ac:dyDescent="0.2">
      <c r="Y16624" s="97"/>
    </row>
    <row r="16625" spans="25:25" x14ac:dyDescent="0.2">
      <c r="Y16625" s="97"/>
    </row>
    <row r="16626" spans="25:25" x14ac:dyDescent="0.2">
      <c r="Y16626" s="97"/>
    </row>
    <row r="16627" spans="25:25" x14ac:dyDescent="0.2">
      <c r="Y16627" s="97"/>
    </row>
    <row r="16628" spans="25:25" x14ac:dyDescent="0.2">
      <c r="Y16628" s="97"/>
    </row>
    <row r="16629" spans="25:25" x14ac:dyDescent="0.2">
      <c r="Y16629" s="97"/>
    </row>
    <row r="16630" spans="25:25" x14ac:dyDescent="0.2">
      <c r="Y16630" s="97"/>
    </row>
    <row r="16631" spans="25:25" x14ac:dyDescent="0.2">
      <c r="Y16631" s="97"/>
    </row>
    <row r="16632" spans="25:25" x14ac:dyDescent="0.2">
      <c r="Y16632" s="97"/>
    </row>
    <row r="16633" spans="25:25" x14ac:dyDescent="0.2">
      <c r="Y16633" s="97"/>
    </row>
    <row r="16634" spans="25:25" x14ac:dyDescent="0.2">
      <c r="Y16634" s="97"/>
    </row>
    <row r="16635" spans="25:25" x14ac:dyDescent="0.2">
      <c r="Y16635" s="97"/>
    </row>
    <row r="16636" spans="25:25" x14ac:dyDescent="0.2">
      <c r="Y16636" s="97"/>
    </row>
    <row r="16637" spans="25:25" x14ac:dyDescent="0.2">
      <c r="Y16637" s="97"/>
    </row>
    <row r="16638" spans="25:25" x14ac:dyDescent="0.2">
      <c r="Y16638" s="97"/>
    </row>
    <row r="16639" spans="25:25" x14ac:dyDescent="0.2">
      <c r="Y16639" s="97"/>
    </row>
    <row r="16640" spans="25:25" x14ac:dyDescent="0.2">
      <c r="Y16640" s="97"/>
    </row>
    <row r="16641" spans="25:25" x14ac:dyDescent="0.2">
      <c r="Y16641" s="97"/>
    </row>
    <row r="16642" spans="25:25" x14ac:dyDescent="0.2">
      <c r="Y16642" s="97"/>
    </row>
    <row r="16643" spans="25:25" x14ac:dyDescent="0.2">
      <c r="Y16643" s="97"/>
    </row>
    <row r="16644" spans="25:25" x14ac:dyDescent="0.2">
      <c r="Y16644" s="97"/>
    </row>
    <row r="16645" spans="25:25" x14ac:dyDescent="0.2">
      <c r="Y16645" s="97"/>
    </row>
    <row r="16646" spans="25:25" x14ac:dyDescent="0.2">
      <c r="Y16646" s="97"/>
    </row>
    <row r="16647" spans="25:25" x14ac:dyDescent="0.2">
      <c r="Y16647" s="97"/>
    </row>
    <row r="16648" spans="25:25" x14ac:dyDescent="0.2">
      <c r="Y16648" s="97"/>
    </row>
    <row r="16649" spans="25:25" x14ac:dyDescent="0.2">
      <c r="Y16649" s="97"/>
    </row>
    <row r="16650" spans="25:25" x14ac:dyDescent="0.2">
      <c r="Y16650" s="97"/>
    </row>
    <row r="16651" spans="25:25" x14ac:dyDescent="0.2">
      <c r="Y16651" s="97"/>
    </row>
    <row r="16652" spans="25:25" x14ac:dyDescent="0.2">
      <c r="Y16652" s="97"/>
    </row>
    <row r="16653" spans="25:25" x14ac:dyDescent="0.2">
      <c r="Y16653" s="97"/>
    </row>
    <row r="16654" spans="25:25" x14ac:dyDescent="0.2">
      <c r="Y16654" s="97"/>
    </row>
    <row r="16655" spans="25:25" x14ac:dyDescent="0.2">
      <c r="Y16655" s="97"/>
    </row>
    <row r="16656" spans="25:25" x14ac:dyDescent="0.2">
      <c r="Y16656" s="97"/>
    </row>
    <row r="16657" spans="25:25" x14ac:dyDescent="0.2">
      <c r="Y16657" s="97"/>
    </row>
    <row r="16658" spans="25:25" x14ac:dyDescent="0.2">
      <c r="Y16658" s="97"/>
    </row>
    <row r="16659" spans="25:25" x14ac:dyDescent="0.2">
      <c r="Y16659" s="97"/>
    </row>
    <row r="16660" spans="25:25" x14ac:dyDescent="0.2">
      <c r="Y16660" s="97"/>
    </row>
    <row r="16661" spans="25:25" x14ac:dyDescent="0.2">
      <c r="Y16661" s="97"/>
    </row>
    <row r="16662" spans="25:25" x14ac:dyDescent="0.2">
      <c r="Y16662" s="97"/>
    </row>
    <row r="16663" spans="25:25" x14ac:dyDescent="0.2">
      <c r="Y16663" s="97"/>
    </row>
    <row r="16664" spans="25:25" x14ac:dyDescent="0.2">
      <c r="Y16664" s="97"/>
    </row>
    <row r="16665" spans="25:25" x14ac:dyDescent="0.2">
      <c r="Y16665" s="97"/>
    </row>
    <row r="16666" spans="25:25" x14ac:dyDescent="0.2">
      <c r="Y16666" s="97"/>
    </row>
    <row r="16667" spans="25:25" x14ac:dyDescent="0.2">
      <c r="Y16667" s="97"/>
    </row>
    <row r="16668" spans="25:25" x14ac:dyDescent="0.2">
      <c r="Y16668" s="97"/>
    </row>
    <row r="16669" spans="25:25" x14ac:dyDescent="0.2">
      <c r="Y16669" s="97"/>
    </row>
    <row r="16670" spans="25:25" x14ac:dyDescent="0.2">
      <c r="Y16670" s="97"/>
    </row>
    <row r="16671" spans="25:25" x14ac:dyDescent="0.2">
      <c r="Y16671" s="97"/>
    </row>
    <row r="16672" spans="25:25" x14ac:dyDescent="0.2">
      <c r="Y16672" s="97"/>
    </row>
    <row r="16673" spans="25:25" x14ac:dyDescent="0.2">
      <c r="Y16673" s="97"/>
    </row>
    <row r="16674" spans="25:25" x14ac:dyDescent="0.2">
      <c r="Y16674" s="97"/>
    </row>
    <row r="16675" spans="25:25" x14ac:dyDescent="0.2">
      <c r="Y16675" s="97"/>
    </row>
    <row r="16676" spans="25:25" x14ac:dyDescent="0.2">
      <c r="Y16676" s="97"/>
    </row>
    <row r="16677" spans="25:25" x14ac:dyDescent="0.2">
      <c r="Y16677" s="97"/>
    </row>
    <row r="16678" spans="25:25" x14ac:dyDescent="0.2">
      <c r="Y16678" s="97"/>
    </row>
    <row r="16679" spans="25:25" x14ac:dyDescent="0.2">
      <c r="Y16679" s="97"/>
    </row>
    <row r="16680" spans="25:25" x14ac:dyDescent="0.2">
      <c r="Y16680" s="97"/>
    </row>
    <row r="16681" spans="25:25" x14ac:dyDescent="0.2">
      <c r="Y16681" s="97"/>
    </row>
    <row r="16682" spans="25:25" x14ac:dyDescent="0.2">
      <c r="Y16682" s="97"/>
    </row>
    <row r="16683" spans="25:25" x14ac:dyDescent="0.2">
      <c r="Y16683" s="97"/>
    </row>
    <row r="16684" spans="25:25" x14ac:dyDescent="0.2">
      <c r="Y16684" s="97"/>
    </row>
    <row r="16685" spans="25:25" x14ac:dyDescent="0.2">
      <c r="Y16685" s="97"/>
    </row>
    <row r="16686" spans="25:25" x14ac:dyDescent="0.2">
      <c r="Y16686" s="97"/>
    </row>
    <row r="16687" spans="25:25" x14ac:dyDescent="0.2">
      <c r="Y16687" s="97"/>
    </row>
    <row r="16688" spans="25:25" x14ac:dyDescent="0.2">
      <c r="Y16688" s="97"/>
    </row>
    <row r="16689" spans="25:25" x14ac:dyDescent="0.2">
      <c r="Y16689" s="97"/>
    </row>
    <row r="16690" spans="25:25" x14ac:dyDescent="0.2">
      <c r="Y16690" s="97"/>
    </row>
    <row r="16691" spans="25:25" x14ac:dyDescent="0.2">
      <c r="Y16691" s="97"/>
    </row>
    <row r="16692" spans="25:25" x14ac:dyDescent="0.2">
      <c r="Y16692" s="97"/>
    </row>
    <row r="16693" spans="25:25" x14ac:dyDescent="0.2">
      <c r="Y16693" s="97"/>
    </row>
    <row r="16694" spans="25:25" x14ac:dyDescent="0.2">
      <c r="Y16694" s="97"/>
    </row>
    <row r="16695" spans="25:25" x14ac:dyDescent="0.2">
      <c r="Y16695" s="97"/>
    </row>
    <row r="16696" spans="25:25" x14ac:dyDescent="0.2">
      <c r="Y16696" s="97"/>
    </row>
    <row r="16697" spans="25:25" x14ac:dyDescent="0.2">
      <c r="Y16697" s="97"/>
    </row>
    <row r="16698" spans="25:25" x14ac:dyDescent="0.2">
      <c r="Y16698" s="97"/>
    </row>
    <row r="16699" spans="25:25" x14ac:dyDescent="0.2">
      <c r="Y16699" s="97"/>
    </row>
    <row r="16700" spans="25:25" x14ac:dyDescent="0.2">
      <c r="Y16700" s="97"/>
    </row>
    <row r="16701" spans="25:25" x14ac:dyDescent="0.2">
      <c r="Y16701" s="97"/>
    </row>
    <row r="16702" spans="25:25" x14ac:dyDescent="0.2">
      <c r="Y16702" s="97"/>
    </row>
    <row r="16703" spans="25:25" x14ac:dyDescent="0.2">
      <c r="Y16703" s="97"/>
    </row>
    <row r="16704" spans="25:25" x14ac:dyDescent="0.2">
      <c r="Y16704" s="97"/>
    </row>
    <row r="16705" spans="25:25" x14ac:dyDescent="0.2">
      <c r="Y16705" s="97"/>
    </row>
    <row r="16706" spans="25:25" x14ac:dyDescent="0.2">
      <c r="Y16706" s="97"/>
    </row>
    <row r="16707" spans="25:25" x14ac:dyDescent="0.2">
      <c r="Y16707" s="97"/>
    </row>
    <row r="16708" spans="25:25" x14ac:dyDescent="0.2">
      <c r="Y16708" s="97"/>
    </row>
    <row r="16709" spans="25:25" x14ac:dyDescent="0.2">
      <c r="Y16709" s="97"/>
    </row>
    <row r="16710" spans="25:25" x14ac:dyDescent="0.2">
      <c r="Y16710" s="97"/>
    </row>
    <row r="16711" spans="25:25" x14ac:dyDescent="0.2">
      <c r="Y16711" s="97"/>
    </row>
    <row r="16712" spans="25:25" x14ac:dyDescent="0.2">
      <c r="Y16712" s="97"/>
    </row>
    <row r="16713" spans="25:25" x14ac:dyDescent="0.2">
      <c r="Y16713" s="97"/>
    </row>
    <row r="16714" spans="25:25" x14ac:dyDescent="0.2">
      <c r="Y16714" s="97"/>
    </row>
    <row r="16715" spans="25:25" x14ac:dyDescent="0.2">
      <c r="Y16715" s="97"/>
    </row>
    <row r="16716" spans="25:25" x14ac:dyDescent="0.2">
      <c r="Y16716" s="97"/>
    </row>
    <row r="16717" spans="25:25" x14ac:dyDescent="0.2">
      <c r="Y16717" s="97"/>
    </row>
    <row r="16718" spans="25:25" x14ac:dyDescent="0.2">
      <c r="Y16718" s="97"/>
    </row>
    <row r="16719" spans="25:25" x14ac:dyDescent="0.2">
      <c r="Y16719" s="97"/>
    </row>
    <row r="16720" spans="25:25" x14ac:dyDescent="0.2">
      <c r="Y16720" s="97"/>
    </row>
    <row r="16721" spans="25:25" x14ac:dyDescent="0.2">
      <c r="Y16721" s="97"/>
    </row>
    <row r="16722" spans="25:25" x14ac:dyDescent="0.2">
      <c r="Y16722" s="97"/>
    </row>
    <row r="16723" spans="25:25" x14ac:dyDescent="0.2">
      <c r="Y16723" s="97"/>
    </row>
    <row r="16724" spans="25:25" x14ac:dyDescent="0.2">
      <c r="Y16724" s="97"/>
    </row>
    <row r="16725" spans="25:25" x14ac:dyDescent="0.2">
      <c r="Y16725" s="97"/>
    </row>
    <row r="16726" spans="25:25" x14ac:dyDescent="0.2">
      <c r="Y16726" s="97"/>
    </row>
    <row r="16727" spans="25:25" x14ac:dyDescent="0.2">
      <c r="Y16727" s="97"/>
    </row>
    <row r="16728" spans="25:25" x14ac:dyDescent="0.2">
      <c r="Y16728" s="97"/>
    </row>
    <row r="16729" spans="25:25" x14ac:dyDescent="0.2">
      <c r="Y16729" s="97"/>
    </row>
    <row r="16730" spans="25:25" x14ac:dyDescent="0.2">
      <c r="Y16730" s="97"/>
    </row>
    <row r="16731" spans="25:25" x14ac:dyDescent="0.2">
      <c r="Y16731" s="97"/>
    </row>
    <row r="16732" spans="25:25" x14ac:dyDescent="0.2">
      <c r="Y16732" s="97"/>
    </row>
    <row r="16733" spans="25:25" x14ac:dyDescent="0.2">
      <c r="Y16733" s="97"/>
    </row>
    <row r="16734" spans="25:25" x14ac:dyDescent="0.2">
      <c r="Y16734" s="97"/>
    </row>
    <row r="16735" spans="25:25" x14ac:dyDescent="0.2">
      <c r="Y16735" s="97"/>
    </row>
    <row r="16736" spans="25:25" x14ac:dyDescent="0.2">
      <c r="Y16736" s="97"/>
    </row>
    <row r="16737" spans="25:25" x14ac:dyDescent="0.2">
      <c r="Y16737" s="97"/>
    </row>
    <row r="16738" spans="25:25" x14ac:dyDescent="0.2">
      <c r="Y16738" s="97"/>
    </row>
    <row r="16739" spans="25:25" x14ac:dyDescent="0.2">
      <c r="Y16739" s="97"/>
    </row>
    <row r="16740" spans="25:25" x14ac:dyDescent="0.2">
      <c r="Y16740" s="97"/>
    </row>
    <row r="16741" spans="25:25" x14ac:dyDescent="0.2">
      <c r="Y16741" s="97"/>
    </row>
    <row r="16742" spans="25:25" x14ac:dyDescent="0.2">
      <c r="Y16742" s="97"/>
    </row>
    <row r="16743" spans="25:25" x14ac:dyDescent="0.2">
      <c r="Y16743" s="97"/>
    </row>
    <row r="16744" spans="25:25" x14ac:dyDescent="0.2">
      <c r="Y16744" s="97"/>
    </row>
    <row r="16745" spans="25:25" x14ac:dyDescent="0.2">
      <c r="Y16745" s="97"/>
    </row>
    <row r="16746" spans="25:25" x14ac:dyDescent="0.2">
      <c r="Y16746" s="97"/>
    </row>
    <row r="16747" spans="25:25" x14ac:dyDescent="0.2">
      <c r="Y16747" s="97"/>
    </row>
    <row r="16748" spans="25:25" x14ac:dyDescent="0.2">
      <c r="Y16748" s="97"/>
    </row>
    <row r="16749" spans="25:25" x14ac:dyDescent="0.2">
      <c r="Y16749" s="97"/>
    </row>
    <row r="16750" spans="25:25" x14ac:dyDescent="0.2">
      <c r="Y16750" s="97"/>
    </row>
    <row r="16751" spans="25:25" x14ac:dyDescent="0.2">
      <c r="Y16751" s="97"/>
    </row>
    <row r="16752" spans="25:25" x14ac:dyDescent="0.2">
      <c r="Y16752" s="97"/>
    </row>
    <row r="16753" spans="25:25" x14ac:dyDescent="0.2">
      <c r="Y16753" s="97"/>
    </row>
    <row r="16754" spans="25:25" x14ac:dyDescent="0.2">
      <c r="Y16754" s="97"/>
    </row>
    <row r="16755" spans="25:25" x14ac:dyDescent="0.2">
      <c r="Y16755" s="97"/>
    </row>
    <row r="16756" spans="25:25" x14ac:dyDescent="0.2">
      <c r="Y16756" s="97"/>
    </row>
    <row r="16757" spans="25:25" x14ac:dyDescent="0.2">
      <c r="Y16757" s="97"/>
    </row>
    <row r="16758" spans="25:25" x14ac:dyDescent="0.2">
      <c r="Y16758" s="97"/>
    </row>
    <row r="16759" spans="25:25" x14ac:dyDescent="0.2">
      <c r="Y16759" s="97"/>
    </row>
    <row r="16760" spans="25:25" x14ac:dyDescent="0.2">
      <c r="Y16760" s="97"/>
    </row>
    <row r="16761" spans="25:25" x14ac:dyDescent="0.2">
      <c r="Y16761" s="97"/>
    </row>
    <row r="16762" spans="25:25" x14ac:dyDescent="0.2">
      <c r="Y16762" s="97"/>
    </row>
    <row r="16763" spans="25:25" x14ac:dyDescent="0.2">
      <c r="Y16763" s="97"/>
    </row>
    <row r="16764" spans="25:25" x14ac:dyDescent="0.2">
      <c r="Y16764" s="97"/>
    </row>
    <row r="16765" spans="25:25" x14ac:dyDescent="0.2">
      <c r="Y16765" s="97"/>
    </row>
    <row r="16766" spans="25:25" x14ac:dyDescent="0.2">
      <c r="Y16766" s="97"/>
    </row>
    <row r="16767" spans="25:25" x14ac:dyDescent="0.2">
      <c r="Y16767" s="97"/>
    </row>
    <row r="16768" spans="25:25" x14ac:dyDescent="0.2">
      <c r="Y16768" s="97"/>
    </row>
    <row r="16769" spans="25:25" x14ac:dyDescent="0.2">
      <c r="Y16769" s="97"/>
    </row>
    <row r="16770" spans="25:25" x14ac:dyDescent="0.2">
      <c r="Y16770" s="97"/>
    </row>
    <row r="16771" spans="25:25" x14ac:dyDescent="0.2">
      <c r="Y16771" s="97"/>
    </row>
    <row r="16772" spans="25:25" x14ac:dyDescent="0.2">
      <c r="Y16772" s="97"/>
    </row>
    <row r="16773" spans="25:25" x14ac:dyDescent="0.2">
      <c r="Y16773" s="97"/>
    </row>
    <row r="16774" spans="25:25" x14ac:dyDescent="0.2">
      <c r="Y16774" s="97"/>
    </row>
    <row r="16775" spans="25:25" x14ac:dyDescent="0.2">
      <c r="Y16775" s="97"/>
    </row>
    <row r="16776" spans="25:25" x14ac:dyDescent="0.2">
      <c r="Y16776" s="97"/>
    </row>
    <row r="16777" spans="25:25" x14ac:dyDescent="0.2">
      <c r="Y16777" s="97"/>
    </row>
    <row r="16778" spans="25:25" x14ac:dyDescent="0.2">
      <c r="Y16778" s="97"/>
    </row>
    <row r="16779" spans="25:25" x14ac:dyDescent="0.2">
      <c r="Y16779" s="97"/>
    </row>
    <row r="16780" spans="25:25" x14ac:dyDescent="0.2">
      <c r="Y16780" s="97"/>
    </row>
    <row r="16781" spans="25:25" x14ac:dyDescent="0.2">
      <c r="Y16781" s="97"/>
    </row>
    <row r="16782" spans="25:25" x14ac:dyDescent="0.2">
      <c r="Y16782" s="97"/>
    </row>
    <row r="16783" spans="25:25" x14ac:dyDescent="0.2">
      <c r="Y16783" s="97"/>
    </row>
    <row r="16784" spans="25:25" x14ac:dyDescent="0.2">
      <c r="Y16784" s="97"/>
    </row>
    <row r="16785" spans="25:25" x14ac:dyDescent="0.2">
      <c r="Y16785" s="97"/>
    </row>
    <row r="16786" spans="25:25" x14ac:dyDescent="0.2">
      <c r="Y16786" s="97"/>
    </row>
    <row r="16787" spans="25:25" x14ac:dyDescent="0.2">
      <c r="Y16787" s="97"/>
    </row>
    <row r="16788" spans="25:25" x14ac:dyDescent="0.2">
      <c r="Y16788" s="97"/>
    </row>
    <row r="16789" spans="25:25" x14ac:dyDescent="0.2">
      <c r="Y16789" s="97"/>
    </row>
    <row r="16790" spans="25:25" x14ac:dyDescent="0.2">
      <c r="Y16790" s="97"/>
    </row>
    <row r="16791" spans="25:25" x14ac:dyDescent="0.2">
      <c r="Y16791" s="97"/>
    </row>
    <row r="16792" spans="25:25" x14ac:dyDescent="0.2">
      <c r="Y16792" s="97"/>
    </row>
    <row r="16793" spans="25:25" x14ac:dyDescent="0.2">
      <c r="Y16793" s="97"/>
    </row>
    <row r="16794" spans="25:25" x14ac:dyDescent="0.2">
      <c r="Y16794" s="97"/>
    </row>
    <row r="16795" spans="25:25" x14ac:dyDescent="0.2">
      <c r="Y16795" s="97"/>
    </row>
    <row r="16796" spans="25:25" x14ac:dyDescent="0.2">
      <c r="Y16796" s="97"/>
    </row>
    <row r="16797" spans="25:25" x14ac:dyDescent="0.2">
      <c r="Y16797" s="97"/>
    </row>
    <row r="16798" spans="25:25" x14ac:dyDescent="0.2">
      <c r="Y16798" s="97"/>
    </row>
    <row r="16799" spans="25:25" x14ac:dyDescent="0.2">
      <c r="Y16799" s="97"/>
    </row>
    <row r="16800" spans="25:25" x14ac:dyDescent="0.2">
      <c r="Y16800" s="97"/>
    </row>
    <row r="16801" spans="25:25" x14ac:dyDescent="0.2">
      <c r="Y16801" s="97"/>
    </row>
    <row r="16802" spans="25:25" x14ac:dyDescent="0.2">
      <c r="Y16802" s="97"/>
    </row>
    <row r="16803" spans="25:25" x14ac:dyDescent="0.2">
      <c r="Y16803" s="97"/>
    </row>
    <row r="16804" spans="25:25" x14ac:dyDescent="0.2">
      <c r="Y16804" s="97"/>
    </row>
    <row r="16805" spans="25:25" x14ac:dyDescent="0.2">
      <c r="Y16805" s="97"/>
    </row>
    <row r="16806" spans="25:25" x14ac:dyDescent="0.2">
      <c r="Y16806" s="97"/>
    </row>
    <row r="16807" spans="25:25" x14ac:dyDescent="0.2">
      <c r="Y16807" s="97"/>
    </row>
    <row r="16808" spans="25:25" x14ac:dyDescent="0.2">
      <c r="Y16808" s="97"/>
    </row>
    <row r="16809" spans="25:25" x14ac:dyDescent="0.2">
      <c r="Y16809" s="97"/>
    </row>
    <row r="16810" spans="25:25" x14ac:dyDescent="0.2">
      <c r="Y16810" s="97"/>
    </row>
    <row r="16811" spans="25:25" x14ac:dyDescent="0.2">
      <c r="Y16811" s="97"/>
    </row>
    <row r="16812" spans="25:25" x14ac:dyDescent="0.2">
      <c r="Y16812" s="97"/>
    </row>
    <row r="16813" spans="25:25" x14ac:dyDescent="0.2">
      <c r="Y16813" s="97"/>
    </row>
    <row r="16814" spans="25:25" x14ac:dyDescent="0.2">
      <c r="Y16814" s="97"/>
    </row>
    <row r="16815" spans="25:25" x14ac:dyDescent="0.2">
      <c r="Y16815" s="97"/>
    </row>
    <row r="16816" spans="25:25" x14ac:dyDescent="0.2">
      <c r="Y16816" s="97"/>
    </row>
    <row r="16817" spans="25:25" x14ac:dyDescent="0.2">
      <c r="Y16817" s="97"/>
    </row>
    <row r="16818" spans="25:25" x14ac:dyDescent="0.2">
      <c r="Y16818" s="97"/>
    </row>
    <row r="16819" spans="25:25" x14ac:dyDescent="0.2">
      <c r="Y16819" s="97"/>
    </row>
    <row r="16820" spans="25:25" x14ac:dyDescent="0.2">
      <c r="Y16820" s="97"/>
    </row>
    <row r="16821" spans="25:25" x14ac:dyDescent="0.2">
      <c r="Y16821" s="97"/>
    </row>
    <row r="16822" spans="25:25" x14ac:dyDescent="0.2">
      <c r="Y16822" s="97"/>
    </row>
    <row r="16823" spans="25:25" x14ac:dyDescent="0.2">
      <c r="Y16823" s="97"/>
    </row>
    <row r="16824" spans="25:25" x14ac:dyDescent="0.2">
      <c r="Y16824" s="97"/>
    </row>
    <row r="16825" spans="25:25" x14ac:dyDescent="0.2">
      <c r="Y16825" s="97"/>
    </row>
    <row r="16826" spans="25:25" x14ac:dyDescent="0.2">
      <c r="Y16826" s="97"/>
    </row>
    <row r="16827" spans="25:25" x14ac:dyDescent="0.2">
      <c r="Y16827" s="97"/>
    </row>
    <row r="16828" spans="25:25" x14ac:dyDescent="0.2">
      <c r="Y16828" s="97"/>
    </row>
    <row r="16829" spans="25:25" x14ac:dyDescent="0.2">
      <c r="Y16829" s="97"/>
    </row>
    <row r="16830" spans="25:25" x14ac:dyDescent="0.2">
      <c r="Y16830" s="97"/>
    </row>
    <row r="16831" spans="25:25" x14ac:dyDescent="0.2">
      <c r="Y16831" s="97"/>
    </row>
    <row r="16832" spans="25:25" x14ac:dyDescent="0.2">
      <c r="Y16832" s="97"/>
    </row>
    <row r="16833" spans="25:25" x14ac:dyDescent="0.2">
      <c r="Y16833" s="97"/>
    </row>
    <row r="16834" spans="25:25" x14ac:dyDescent="0.2">
      <c r="Y16834" s="97"/>
    </row>
    <row r="16835" spans="25:25" x14ac:dyDescent="0.2">
      <c r="Y16835" s="97"/>
    </row>
    <row r="16836" spans="25:25" x14ac:dyDescent="0.2">
      <c r="Y16836" s="97"/>
    </row>
    <row r="16837" spans="25:25" x14ac:dyDescent="0.2">
      <c r="Y16837" s="97"/>
    </row>
    <row r="16838" spans="25:25" x14ac:dyDescent="0.2">
      <c r="Y16838" s="97"/>
    </row>
    <row r="16839" spans="25:25" x14ac:dyDescent="0.2">
      <c r="Y16839" s="97"/>
    </row>
    <row r="16840" spans="25:25" x14ac:dyDescent="0.2">
      <c r="Y16840" s="97"/>
    </row>
    <row r="16841" spans="25:25" x14ac:dyDescent="0.2">
      <c r="Y16841" s="97"/>
    </row>
    <row r="16842" spans="25:25" x14ac:dyDescent="0.2">
      <c r="Y16842" s="97"/>
    </row>
    <row r="16843" spans="25:25" x14ac:dyDescent="0.2">
      <c r="Y16843" s="97"/>
    </row>
    <row r="16844" spans="25:25" x14ac:dyDescent="0.2">
      <c r="Y16844" s="97"/>
    </row>
    <row r="16845" spans="25:25" x14ac:dyDescent="0.2">
      <c r="Y16845" s="97"/>
    </row>
    <row r="16846" spans="25:25" x14ac:dyDescent="0.2">
      <c r="Y16846" s="97"/>
    </row>
    <row r="16847" spans="25:25" x14ac:dyDescent="0.2">
      <c r="Y16847" s="97"/>
    </row>
    <row r="16848" spans="25:25" x14ac:dyDescent="0.2">
      <c r="Y16848" s="97"/>
    </row>
    <row r="16849" spans="25:25" x14ac:dyDescent="0.2">
      <c r="Y16849" s="97"/>
    </row>
    <row r="16850" spans="25:25" x14ac:dyDescent="0.2">
      <c r="Y16850" s="97"/>
    </row>
    <row r="16851" spans="25:25" x14ac:dyDescent="0.2">
      <c r="Y16851" s="97"/>
    </row>
    <row r="16852" spans="25:25" x14ac:dyDescent="0.2">
      <c r="Y16852" s="97"/>
    </row>
    <row r="16853" spans="25:25" x14ac:dyDescent="0.2">
      <c r="Y16853" s="97"/>
    </row>
    <row r="16854" spans="25:25" x14ac:dyDescent="0.2">
      <c r="Y16854" s="97"/>
    </row>
    <row r="16855" spans="25:25" x14ac:dyDescent="0.2">
      <c r="Y16855" s="97"/>
    </row>
    <row r="16856" spans="25:25" x14ac:dyDescent="0.2">
      <c r="Y16856" s="97"/>
    </row>
    <row r="16857" spans="25:25" x14ac:dyDescent="0.2">
      <c r="Y16857" s="97"/>
    </row>
    <row r="16858" spans="25:25" x14ac:dyDescent="0.2">
      <c r="Y16858" s="97"/>
    </row>
    <row r="16859" spans="25:25" x14ac:dyDescent="0.2">
      <c r="Y16859" s="97"/>
    </row>
    <row r="16860" spans="25:25" x14ac:dyDescent="0.2">
      <c r="Y16860" s="97"/>
    </row>
    <row r="16861" spans="25:25" x14ac:dyDescent="0.2">
      <c r="Y16861" s="97"/>
    </row>
    <row r="16862" spans="25:25" x14ac:dyDescent="0.2">
      <c r="Y16862" s="97"/>
    </row>
    <row r="16863" spans="25:25" x14ac:dyDescent="0.2">
      <c r="Y16863" s="97"/>
    </row>
    <row r="16864" spans="25:25" x14ac:dyDescent="0.2">
      <c r="Y16864" s="97"/>
    </row>
    <row r="16865" spans="25:25" x14ac:dyDescent="0.2">
      <c r="Y16865" s="97"/>
    </row>
    <row r="16866" spans="25:25" x14ac:dyDescent="0.2">
      <c r="Y16866" s="97"/>
    </row>
    <row r="16867" spans="25:25" x14ac:dyDescent="0.2">
      <c r="Y16867" s="97"/>
    </row>
    <row r="16868" spans="25:25" x14ac:dyDescent="0.2">
      <c r="Y16868" s="97"/>
    </row>
    <row r="16869" spans="25:25" x14ac:dyDescent="0.2">
      <c r="Y16869" s="97"/>
    </row>
    <row r="16870" spans="25:25" x14ac:dyDescent="0.2">
      <c r="Y16870" s="97"/>
    </row>
    <row r="16871" spans="25:25" x14ac:dyDescent="0.2">
      <c r="Y16871" s="97"/>
    </row>
    <row r="16872" spans="25:25" x14ac:dyDescent="0.2">
      <c r="Y16872" s="97"/>
    </row>
    <row r="16873" spans="25:25" x14ac:dyDescent="0.2">
      <c r="Y16873" s="97"/>
    </row>
    <row r="16874" spans="25:25" x14ac:dyDescent="0.2">
      <c r="Y16874" s="97"/>
    </row>
    <row r="16875" spans="25:25" x14ac:dyDescent="0.2">
      <c r="Y16875" s="97"/>
    </row>
    <row r="16876" spans="25:25" x14ac:dyDescent="0.2">
      <c r="Y16876" s="97"/>
    </row>
    <row r="16877" spans="25:25" x14ac:dyDescent="0.2">
      <c r="Y16877" s="97"/>
    </row>
    <row r="16878" spans="25:25" x14ac:dyDescent="0.2">
      <c r="Y16878" s="97"/>
    </row>
    <row r="16879" spans="25:25" x14ac:dyDescent="0.2">
      <c r="Y16879" s="97"/>
    </row>
    <row r="16880" spans="25:25" x14ac:dyDescent="0.2">
      <c r="Y16880" s="97"/>
    </row>
    <row r="16881" spans="25:25" x14ac:dyDescent="0.2">
      <c r="Y16881" s="97"/>
    </row>
    <row r="16882" spans="25:25" x14ac:dyDescent="0.2">
      <c r="Y16882" s="97"/>
    </row>
    <row r="16883" spans="25:25" x14ac:dyDescent="0.2">
      <c r="Y16883" s="97"/>
    </row>
    <row r="16884" spans="25:25" x14ac:dyDescent="0.2">
      <c r="Y16884" s="97"/>
    </row>
    <row r="16885" spans="25:25" x14ac:dyDescent="0.2">
      <c r="Y16885" s="97"/>
    </row>
    <row r="16886" spans="25:25" x14ac:dyDescent="0.2">
      <c r="Y16886" s="97"/>
    </row>
    <row r="16887" spans="25:25" x14ac:dyDescent="0.2">
      <c r="Y16887" s="97"/>
    </row>
    <row r="16888" spans="25:25" x14ac:dyDescent="0.2">
      <c r="Y16888" s="97"/>
    </row>
    <row r="16889" spans="25:25" x14ac:dyDescent="0.2">
      <c r="Y16889" s="97"/>
    </row>
    <row r="16890" spans="25:25" x14ac:dyDescent="0.2">
      <c r="Y16890" s="97"/>
    </row>
    <row r="16891" spans="25:25" x14ac:dyDescent="0.2">
      <c r="Y16891" s="97"/>
    </row>
    <row r="16892" spans="25:25" x14ac:dyDescent="0.2">
      <c r="Y16892" s="97"/>
    </row>
    <row r="16893" spans="25:25" x14ac:dyDescent="0.2">
      <c r="Y16893" s="97"/>
    </row>
    <row r="16894" spans="25:25" x14ac:dyDescent="0.2">
      <c r="Y16894" s="97"/>
    </row>
    <row r="16895" spans="25:25" x14ac:dyDescent="0.2">
      <c r="Y16895" s="97"/>
    </row>
    <row r="16896" spans="25:25" x14ac:dyDescent="0.2">
      <c r="Y16896" s="97"/>
    </row>
    <row r="16897" spans="25:25" x14ac:dyDescent="0.2">
      <c r="Y16897" s="97"/>
    </row>
    <row r="16898" spans="25:25" x14ac:dyDescent="0.2">
      <c r="Y16898" s="97"/>
    </row>
    <row r="16899" spans="25:25" x14ac:dyDescent="0.2">
      <c r="Y16899" s="97"/>
    </row>
    <row r="16900" spans="25:25" x14ac:dyDescent="0.2">
      <c r="Y16900" s="97"/>
    </row>
    <row r="16901" spans="25:25" x14ac:dyDescent="0.2">
      <c r="Y16901" s="97"/>
    </row>
    <row r="16902" spans="25:25" x14ac:dyDescent="0.2">
      <c r="Y16902" s="97"/>
    </row>
    <row r="16903" spans="25:25" x14ac:dyDescent="0.2">
      <c r="Y16903" s="97"/>
    </row>
    <row r="16904" spans="25:25" x14ac:dyDescent="0.2">
      <c r="Y16904" s="97"/>
    </row>
    <row r="16905" spans="25:25" x14ac:dyDescent="0.2">
      <c r="Y16905" s="97"/>
    </row>
    <row r="16906" spans="25:25" x14ac:dyDescent="0.2">
      <c r="Y16906" s="97"/>
    </row>
    <row r="16907" spans="25:25" x14ac:dyDescent="0.2">
      <c r="Y16907" s="97"/>
    </row>
    <row r="16908" spans="25:25" x14ac:dyDescent="0.2">
      <c r="Y16908" s="97"/>
    </row>
    <row r="16909" spans="25:25" x14ac:dyDescent="0.2">
      <c r="Y16909" s="97"/>
    </row>
    <row r="16910" spans="25:25" x14ac:dyDescent="0.2">
      <c r="Y16910" s="97"/>
    </row>
    <row r="16911" spans="25:25" x14ac:dyDescent="0.2">
      <c r="Y16911" s="97"/>
    </row>
    <row r="16912" spans="25:25" x14ac:dyDescent="0.2">
      <c r="Y16912" s="97"/>
    </row>
    <row r="16913" spans="25:25" x14ac:dyDescent="0.2">
      <c r="Y16913" s="97"/>
    </row>
    <row r="16914" spans="25:25" x14ac:dyDescent="0.2">
      <c r="Y16914" s="97"/>
    </row>
    <row r="16915" spans="25:25" x14ac:dyDescent="0.2">
      <c r="Y16915" s="97"/>
    </row>
    <row r="16916" spans="25:25" x14ac:dyDescent="0.2">
      <c r="Y16916" s="97"/>
    </row>
    <row r="16917" spans="25:25" x14ac:dyDescent="0.2">
      <c r="Y16917" s="97"/>
    </row>
    <row r="16918" spans="25:25" x14ac:dyDescent="0.2">
      <c r="Y16918" s="97"/>
    </row>
    <row r="16919" spans="25:25" x14ac:dyDescent="0.2">
      <c r="Y16919" s="97"/>
    </row>
    <row r="16920" spans="25:25" x14ac:dyDescent="0.2">
      <c r="Y16920" s="97"/>
    </row>
    <row r="16921" spans="25:25" x14ac:dyDescent="0.2">
      <c r="Y16921" s="97"/>
    </row>
    <row r="16922" spans="25:25" x14ac:dyDescent="0.2">
      <c r="Y16922" s="97"/>
    </row>
    <row r="16923" spans="25:25" x14ac:dyDescent="0.2">
      <c r="Y16923" s="97"/>
    </row>
    <row r="16924" spans="25:25" x14ac:dyDescent="0.2">
      <c r="Y16924" s="97"/>
    </row>
    <row r="16925" spans="25:25" x14ac:dyDescent="0.2">
      <c r="Y16925" s="97"/>
    </row>
    <row r="16926" spans="25:25" x14ac:dyDescent="0.2">
      <c r="Y16926" s="97"/>
    </row>
    <row r="16927" spans="25:25" x14ac:dyDescent="0.2">
      <c r="Y16927" s="97"/>
    </row>
    <row r="16928" spans="25:25" x14ac:dyDescent="0.2">
      <c r="Y16928" s="97"/>
    </row>
    <row r="16929" spans="25:25" x14ac:dyDescent="0.2">
      <c r="Y16929" s="97"/>
    </row>
    <row r="16930" spans="25:25" x14ac:dyDescent="0.2">
      <c r="Y16930" s="97"/>
    </row>
    <row r="16931" spans="25:25" x14ac:dyDescent="0.2">
      <c r="Y16931" s="97"/>
    </row>
    <row r="16932" spans="25:25" x14ac:dyDescent="0.2">
      <c r="Y16932" s="97"/>
    </row>
    <row r="16933" spans="25:25" x14ac:dyDescent="0.2">
      <c r="Y16933" s="97"/>
    </row>
    <row r="16934" spans="25:25" x14ac:dyDescent="0.2">
      <c r="Y16934" s="97"/>
    </row>
    <row r="16935" spans="25:25" x14ac:dyDescent="0.2">
      <c r="Y16935" s="97"/>
    </row>
    <row r="16936" spans="25:25" x14ac:dyDescent="0.2">
      <c r="Y16936" s="97"/>
    </row>
    <row r="16937" spans="25:25" x14ac:dyDescent="0.2">
      <c r="Y16937" s="97"/>
    </row>
    <row r="16938" spans="25:25" x14ac:dyDescent="0.2">
      <c r="Y16938" s="97"/>
    </row>
    <row r="16939" spans="25:25" x14ac:dyDescent="0.2">
      <c r="Y16939" s="97"/>
    </row>
    <row r="16940" spans="25:25" x14ac:dyDescent="0.2">
      <c r="Y16940" s="97"/>
    </row>
    <row r="16941" spans="25:25" x14ac:dyDescent="0.2">
      <c r="Y16941" s="97"/>
    </row>
    <row r="16942" spans="25:25" x14ac:dyDescent="0.2">
      <c r="Y16942" s="97"/>
    </row>
    <row r="16943" spans="25:25" x14ac:dyDescent="0.2">
      <c r="Y16943" s="97"/>
    </row>
    <row r="16944" spans="25:25" x14ac:dyDescent="0.2">
      <c r="Y16944" s="97"/>
    </row>
    <row r="16945" spans="25:25" x14ac:dyDescent="0.2">
      <c r="Y16945" s="97"/>
    </row>
    <row r="16946" spans="25:25" x14ac:dyDescent="0.2">
      <c r="Y16946" s="97"/>
    </row>
    <row r="16947" spans="25:25" x14ac:dyDescent="0.2">
      <c r="Y16947" s="97"/>
    </row>
    <row r="16948" spans="25:25" x14ac:dyDescent="0.2">
      <c r="Y16948" s="97"/>
    </row>
    <row r="16949" spans="25:25" x14ac:dyDescent="0.2">
      <c r="Y16949" s="97"/>
    </row>
    <row r="16950" spans="25:25" x14ac:dyDescent="0.2">
      <c r="Y16950" s="97"/>
    </row>
    <row r="16951" spans="25:25" x14ac:dyDescent="0.2">
      <c r="Y16951" s="97"/>
    </row>
    <row r="16952" spans="25:25" x14ac:dyDescent="0.2">
      <c r="Y16952" s="97"/>
    </row>
    <row r="16953" spans="25:25" x14ac:dyDescent="0.2">
      <c r="Y16953" s="97"/>
    </row>
    <row r="16954" spans="25:25" x14ac:dyDescent="0.2">
      <c r="Y16954" s="97"/>
    </row>
    <row r="16955" spans="25:25" x14ac:dyDescent="0.2">
      <c r="Y16955" s="97"/>
    </row>
    <row r="16956" spans="25:25" x14ac:dyDescent="0.2">
      <c r="Y16956" s="97"/>
    </row>
    <row r="16957" spans="25:25" x14ac:dyDescent="0.2">
      <c r="Y16957" s="97"/>
    </row>
    <row r="16958" spans="25:25" x14ac:dyDescent="0.2">
      <c r="Y16958" s="97"/>
    </row>
    <row r="16959" spans="25:25" x14ac:dyDescent="0.2">
      <c r="Y16959" s="97"/>
    </row>
    <row r="16960" spans="25:25" x14ac:dyDescent="0.2">
      <c r="Y16960" s="97"/>
    </row>
    <row r="16961" spans="25:25" x14ac:dyDescent="0.2">
      <c r="Y16961" s="97"/>
    </row>
    <row r="16962" spans="25:25" x14ac:dyDescent="0.2">
      <c r="Y16962" s="97"/>
    </row>
    <row r="16963" spans="25:25" x14ac:dyDescent="0.2">
      <c r="Y16963" s="97"/>
    </row>
    <row r="16964" spans="25:25" x14ac:dyDescent="0.2">
      <c r="Y16964" s="97"/>
    </row>
    <row r="16965" spans="25:25" x14ac:dyDescent="0.2">
      <c r="Y16965" s="97"/>
    </row>
    <row r="16966" spans="25:25" x14ac:dyDescent="0.2">
      <c r="Y16966" s="97"/>
    </row>
    <row r="16967" spans="25:25" x14ac:dyDescent="0.2">
      <c r="Y16967" s="97"/>
    </row>
    <row r="16968" spans="25:25" x14ac:dyDescent="0.2">
      <c r="Y16968" s="97"/>
    </row>
    <row r="16969" spans="25:25" x14ac:dyDescent="0.2">
      <c r="Y16969" s="97"/>
    </row>
    <row r="16970" spans="25:25" x14ac:dyDescent="0.2">
      <c r="Y16970" s="97"/>
    </row>
    <row r="16971" spans="25:25" x14ac:dyDescent="0.2">
      <c r="Y16971" s="97"/>
    </row>
    <row r="16972" spans="25:25" x14ac:dyDescent="0.2">
      <c r="Y16972" s="97"/>
    </row>
    <row r="16973" spans="25:25" x14ac:dyDescent="0.2">
      <c r="Y16973" s="97"/>
    </row>
    <row r="16974" spans="25:25" x14ac:dyDescent="0.2">
      <c r="Y16974" s="97"/>
    </row>
    <row r="16975" spans="25:25" x14ac:dyDescent="0.2">
      <c r="Y16975" s="97"/>
    </row>
    <row r="16976" spans="25:25" x14ac:dyDescent="0.2">
      <c r="Y16976" s="97"/>
    </row>
    <row r="16977" spans="25:25" x14ac:dyDescent="0.2">
      <c r="Y16977" s="97"/>
    </row>
    <row r="16978" spans="25:25" x14ac:dyDescent="0.2">
      <c r="Y16978" s="97"/>
    </row>
    <row r="16979" spans="25:25" x14ac:dyDescent="0.2">
      <c r="Y16979" s="97"/>
    </row>
    <row r="16980" spans="25:25" x14ac:dyDescent="0.2">
      <c r="Y16980" s="97"/>
    </row>
    <row r="16981" spans="25:25" x14ac:dyDescent="0.2">
      <c r="Y16981" s="97"/>
    </row>
    <row r="16982" spans="25:25" x14ac:dyDescent="0.2">
      <c r="Y16982" s="97"/>
    </row>
    <row r="16983" spans="25:25" x14ac:dyDescent="0.2">
      <c r="Y16983" s="97"/>
    </row>
    <row r="16984" spans="25:25" x14ac:dyDescent="0.2">
      <c r="Y16984" s="97"/>
    </row>
    <row r="16985" spans="25:25" x14ac:dyDescent="0.2">
      <c r="Y16985" s="97"/>
    </row>
    <row r="16986" spans="25:25" x14ac:dyDescent="0.2">
      <c r="Y16986" s="97"/>
    </row>
    <row r="16987" spans="25:25" x14ac:dyDescent="0.2">
      <c r="Y16987" s="97"/>
    </row>
    <row r="16988" spans="25:25" x14ac:dyDescent="0.2">
      <c r="Y16988" s="97"/>
    </row>
    <row r="16989" spans="25:25" x14ac:dyDescent="0.2">
      <c r="Y16989" s="97"/>
    </row>
    <row r="16990" spans="25:25" x14ac:dyDescent="0.2">
      <c r="Y16990" s="97"/>
    </row>
    <row r="16991" spans="25:25" x14ac:dyDescent="0.2">
      <c r="Y16991" s="97"/>
    </row>
    <row r="16992" spans="25:25" x14ac:dyDescent="0.2">
      <c r="Y16992" s="97"/>
    </row>
    <row r="16993" spans="25:25" x14ac:dyDescent="0.2">
      <c r="Y16993" s="97"/>
    </row>
    <row r="16994" spans="25:25" x14ac:dyDescent="0.2">
      <c r="Y16994" s="97"/>
    </row>
    <row r="16995" spans="25:25" x14ac:dyDescent="0.2">
      <c r="Y16995" s="97"/>
    </row>
    <row r="16996" spans="25:25" x14ac:dyDescent="0.2">
      <c r="Y16996" s="97"/>
    </row>
    <row r="16997" spans="25:25" x14ac:dyDescent="0.2">
      <c r="Y16997" s="97"/>
    </row>
    <row r="16998" spans="25:25" x14ac:dyDescent="0.2">
      <c r="Y16998" s="97"/>
    </row>
    <row r="16999" spans="25:25" x14ac:dyDescent="0.2">
      <c r="Y16999" s="97"/>
    </row>
    <row r="17000" spans="25:25" x14ac:dyDescent="0.2">
      <c r="Y17000" s="97"/>
    </row>
    <row r="17001" spans="25:25" x14ac:dyDescent="0.2">
      <c r="Y17001" s="97"/>
    </row>
    <row r="17002" spans="25:25" x14ac:dyDescent="0.2">
      <c r="Y17002" s="97"/>
    </row>
    <row r="17003" spans="25:25" x14ac:dyDescent="0.2">
      <c r="Y17003" s="97"/>
    </row>
    <row r="17004" spans="25:25" x14ac:dyDescent="0.2">
      <c r="Y17004" s="97"/>
    </row>
    <row r="17005" spans="25:25" x14ac:dyDescent="0.2">
      <c r="Y17005" s="97"/>
    </row>
    <row r="17006" spans="25:25" x14ac:dyDescent="0.2">
      <c r="Y17006" s="97"/>
    </row>
    <row r="17007" spans="25:25" x14ac:dyDescent="0.2">
      <c r="Y17007" s="97"/>
    </row>
    <row r="17008" spans="25:25" x14ac:dyDescent="0.2">
      <c r="Y17008" s="97"/>
    </row>
    <row r="17009" spans="25:25" x14ac:dyDescent="0.2">
      <c r="Y17009" s="97"/>
    </row>
    <row r="17010" spans="25:25" x14ac:dyDescent="0.2">
      <c r="Y17010" s="97"/>
    </row>
    <row r="17011" spans="25:25" x14ac:dyDescent="0.2">
      <c r="Y17011" s="97"/>
    </row>
    <row r="17012" spans="25:25" x14ac:dyDescent="0.2">
      <c r="Y17012" s="97"/>
    </row>
    <row r="17013" spans="25:25" x14ac:dyDescent="0.2">
      <c r="Y17013" s="97"/>
    </row>
    <row r="17014" spans="25:25" x14ac:dyDescent="0.2">
      <c r="Y17014" s="97"/>
    </row>
    <row r="17015" spans="25:25" x14ac:dyDescent="0.2">
      <c r="Y17015" s="97"/>
    </row>
    <row r="17016" spans="25:25" x14ac:dyDescent="0.2">
      <c r="Y17016" s="97"/>
    </row>
    <row r="17017" spans="25:25" x14ac:dyDescent="0.2">
      <c r="Y17017" s="97"/>
    </row>
    <row r="17018" spans="25:25" x14ac:dyDescent="0.2">
      <c r="Y17018" s="97"/>
    </row>
    <row r="17019" spans="25:25" x14ac:dyDescent="0.2">
      <c r="Y17019" s="97"/>
    </row>
    <row r="17020" spans="25:25" x14ac:dyDescent="0.2">
      <c r="Y17020" s="97"/>
    </row>
    <row r="17021" spans="25:25" x14ac:dyDescent="0.2">
      <c r="Y17021" s="97"/>
    </row>
    <row r="17022" spans="25:25" x14ac:dyDescent="0.2">
      <c r="Y17022" s="97"/>
    </row>
    <row r="17023" spans="25:25" x14ac:dyDescent="0.2">
      <c r="Y17023" s="97"/>
    </row>
    <row r="17024" spans="25:25" x14ac:dyDescent="0.2">
      <c r="Y17024" s="97"/>
    </row>
    <row r="17025" spans="25:25" x14ac:dyDescent="0.2">
      <c r="Y17025" s="97"/>
    </row>
    <row r="17026" spans="25:25" x14ac:dyDescent="0.2">
      <c r="Y17026" s="97"/>
    </row>
    <row r="17027" spans="25:25" x14ac:dyDescent="0.2">
      <c r="Y17027" s="97"/>
    </row>
    <row r="17028" spans="25:25" x14ac:dyDescent="0.2">
      <c r="Y17028" s="97"/>
    </row>
    <row r="17029" spans="25:25" x14ac:dyDescent="0.2">
      <c r="Y17029" s="97"/>
    </row>
    <row r="17030" spans="25:25" x14ac:dyDescent="0.2">
      <c r="Y17030" s="97"/>
    </row>
    <row r="17031" spans="25:25" x14ac:dyDescent="0.2">
      <c r="Y17031" s="97"/>
    </row>
    <row r="17032" spans="25:25" x14ac:dyDescent="0.2">
      <c r="Y17032" s="97"/>
    </row>
    <row r="17033" spans="25:25" x14ac:dyDescent="0.2">
      <c r="Y17033" s="97"/>
    </row>
    <row r="17034" spans="25:25" x14ac:dyDescent="0.2">
      <c r="Y17034" s="97"/>
    </row>
    <row r="17035" spans="25:25" x14ac:dyDescent="0.2">
      <c r="Y17035" s="97"/>
    </row>
    <row r="17036" spans="25:25" x14ac:dyDescent="0.2">
      <c r="Y17036" s="97"/>
    </row>
    <row r="17037" spans="25:25" x14ac:dyDescent="0.2">
      <c r="Y17037" s="97"/>
    </row>
    <row r="17038" spans="25:25" x14ac:dyDescent="0.2">
      <c r="Y17038" s="97"/>
    </row>
    <row r="17039" spans="25:25" x14ac:dyDescent="0.2">
      <c r="Y17039" s="97"/>
    </row>
    <row r="17040" spans="25:25" x14ac:dyDescent="0.2">
      <c r="Y17040" s="97"/>
    </row>
    <row r="17041" spans="25:25" x14ac:dyDescent="0.2">
      <c r="Y17041" s="97"/>
    </row>
    <row r="17042" spans="25:25" x14ac:dyDescent="0.2">
      <c r="Y17042" s="97"/>
    </row>
    <row r="17043" spans="25:25" x14ac:dyDescent="0.2">
      <c r="Y17043" s="97"/>
    </row>
    <row r="17044" spans="25:25" x14ac:dyDescent="0.2">
      <c r="Y17044" s="97"/>
    </row>
    <row r="17045" spans="25:25" x14ac:dyDescent="0.2">
      <c r="Y17045" s="97"/>
    </row>
    <row r="17046" spans="25:25" x14ac:dyDescent="0.2">
      <c r="Y17046" s="97"/>
    </row>
    <row r="17047" spans="25:25" x14ac:dyDescent="0.2">
      <c r="Y17047" s="97"/>
    </row>
    <row r="17048" spans="25:25" x14ac:dyDescent="0.2">
      <c r="Y17048" s="97"/>
    </row>
    <row r="17049" spans="25:25" x14ac:dyDescent="0.2">
      <c r="Y17049" s="97"/>
    </row>
    <row r="17050" spans="25:25" x14ac:dyDescent="0.2">
      <c r="Y17050" s="97"/>
    </row>
    <row r="17051" spans="25:25" x14ac:dyDescent="0.2">
      <c r="Y17051" s="97"/>
    </row>
    <row r="17052" spans="25:25" x14ac:dyDescent="0.2">
      <c r="Y17052" s="97"/>
    </row>
    <row r="17053" spans="25:25" x14ac:dyDescent="0.2">
      <c r="Y17053" s="97"/>
    </row>
    <row r="17054" spans="25:25" x14ac:dyDescent="0.2">
      <c r="Y17054" s="97"/>
    </row>
    <row r="17055" spans="25:25" x14ac:dyDescent="0.2">
      <c r="Y17055" s="97"/>
    </row>
    <row r="17056" spans="25:25" x14ac:dyDescent="0.2">
      <c r="Y17056" s="97"/>
    </row>
    <row r="17057" spans="25:25" x14ac:dyDescent="0.2">
      <c r="Y17057" s="97"/>
    </row>
    <row r="17058" spans="25:25" x14ac:dyDescent="0.2">
      <c r="Y17058" s="97"/>
    </row>
    <row r="17059" spans="25:25" x14ac:dyDescent="0.2">
      <c r="Y17059" s="97"/>
    </row>
    <row r="17060" spans="25:25" x14ac:dyDescent="0.2">
      <c r="Y17060" s="97"/>
    </row>
    <row r="17061" spans="25:25" x14ac:dyDescent="0.2">
      <c r="Y17061" s="97"/>
    </row>
    <row r="17062" spans="25:25" x14ac:dyDescent="0.2">
      <c r="Y17062" s="97"/>
    </row>
    <row r="17063" spans="25:25" x14ac:dyDescent="0.2">
      <c r="Y17063" s="97"/>
    </row>
    <row r="17064" spans="25:25" x14ac:dyDescent="0.2">
      <c r="Y17064" s="97"/>
    </row>
    <row r="17065" spans="25:25" x14ac:dyDescent="0.2">
      <c r="Y17065" s="97"/>
    </row>
    <row r="17066" spans="25:25" x14ac:dyDescent="0.2">
      <c r="Y17066" s="97"/>
    </row>
    <row r="17067" spans="25:25" x14ac:dyDescent="0.2">
      <c r="Y17067" s="97"/>
    </row>
    <row r="17068" spans="25:25" x14ac:dyDescent="0.2">
      <c r="Y17068" s="97"/>
    </row>
    <row r="17069" spans="25:25" x14ac:dyDescent="0.2">
      <c r="Y17069" s="97"/>
    </row>
    <row r="17070" spans="25:25" x14ac:dyDescent="0.2">
      <c r="Y17070" s="97"/>
    </row>
    <row r="17071" spans="25:25" x14ac:dyDescent="0.2">
      <c r="Y17071" s="97"/>
    </row>
    <row r="17072" spans="25:25" x14ac:dyDescent="0.2">
      <c r="Y17072" s="97"/>
    </row>
    <row r="17073" spans="25:25" x14ac:dyDescent="0.2">
      <c r="Y17073" s="97"/>
    </row>
    <row r="17074" spans="25:25" x14ac:dyDescent="0.2">
      <c r="Y17074" s="97"/>
    </row>
    <row r="17075" spans="25:25" x14ac:dyDescent="0.2">
      <c r="Y17075" s="97"/>
    </row>
    <row r="17076" spans="25:25" x14ac:dyDescent="0.2">
      <c r="Y17076" s="97"/>
    </row>
    <row r="17077" spans="25:25" x14ac:dyDescent="0.2">
      <c r="Y17077" s="97"/>
    </row>
    <row r="17078" spans="25:25" x14ac:dyDescent="0.2">
      <c r="Y17078" s="97"/>
    </row>
    <row r="17079" spans="25:25" x14ac:dyDescent="0.2">
      <c r="Y17079" s="97"/>
    </row>
    <row r="17080" spans="25:25" x14ac:dyDescent="0.2">
      <c r="Y17080" s="97"/>
    </row>
    <row r="17081" spans="25:25" x14ac:dyDescent="0.2">
      <c r="Y17081" s="97"/>
    </row>
    <row r="17082" spans="25:25" x14ac:dyDescent="0.2">
      <c r="Y17082" s="97"/>
    </row>
    <row r="17083" spans="25:25" x14ac:dyDescent="0.2">
      <c r="Y17083" s="97"/>
    </row>
    <row r="17084" spans="25:25" x14ac:dyDescent="0.2">
      <c r="Y17084" s="97"/>
    </row>
    <row r="17085" spans="25:25" x14ac:dyDescent="0.2">
      <c r="Y17085" s="97"/>
    </row>
    <row r="17086" spans="25:25" x14ac:dyDescent="0.2">
      <c r="Y17086" s="97"/>
    </row>
    <row r="17087" spans="25:25" x14ac:dyDescent="0.2">
      <c r="Y17087" s="97"/>
    </row>
    <row r="17088" spans="25:25" x14ac:dyDescent="0.2">
      <c r="Y17088" s="97"/>
    </row>
    <row r="17089" spans="25:25" x14ac:dyDescent="0.2">
      <c r="Y17089" s="97"/>
    </row>
    <row r="17090" spans="25:25" x14ac:dyDescent="0.2">
      <c r="Y17090" s="97"/>
    </row>
    <row r="17091" spans="25:25" x14ac:dyDescent="0.2">
      <c r="Y17091" s="97"/>
    </row>
    <row r="17092" spans="25:25" x14ac:dyDescent="0.2">
      <c r="Y17092" s="97"/>
    </row>
    <row r="17093" spans="25:25" x14ac:dyDescent="0.2">
      <c r="Y17093" s="97"/>
    </row>
    <row r="17094" spans="25:25" x14ac:dyDescent="0.2">
      <c r="Y17094" s="97"/>
    </row>
    <row r="17095" spans="25:25" x14ac:dyDescent="0.2">
      <c r="Y17095" s="97"/>
    </row>
    <row r="17096" spans="25:25" x14ac:dyDescent="0.2">
      <c r="Y17096" s="97"/>
    </row>
    <row r="17097" spans="25:25" x14ac:dyDescent="0.2">
      <c r="Y17097" s="97"/>
    </row>
    <row r="17098" spans="25:25" x14ac:dyDescent="0.2">
      <c r="Y17098" s="97"/>
    </row>
    <row r="17099" spans="25:25" x14ac:dyDescent="0.2">
      <c r="Y17099" s="97"/>
    </row>
    <row r="17100" spans="25:25" x14ac:dyDescent="0.2">
      <c r="Y17100" s="97"/>
    </row>
    <row r="17101" spans="25:25" x14ac:dyDescent="0.2">
      <c r="Y17101" s="97"/>
    </row>
    <row r="17102" spans="25:25" x14ac:dyDescent="0.2">
      <c r="Y17102" s="97"/>
    </row>
    <row r="17103" spans="25:25" x14ac:dyDescent="0.2">
      <c r="Y17103" s="97"/>
    </row>
    <row r="17104" spans="25:25" x14ac:dyDescent="0.2">
      <c r="Y17104" s="97"/>
    </row>
    <row r="17105" spans="25:25" x14ac:dyDescent="0.2">
      <c r="Y17105" s="97"/>
    </row>
    <row r="17106" spans="25:25" x14ac:dyDescent="0.2">
      <c r="Y17106" s="97"/>
    </row>
    <row r="17107" spans="25:25" x14ac:dyDescent="0.2">
      <c r="Y17107" s="97"/>
    </row>
    <row r="17108" spans="25:25" x14ac:dyDescent="0.2">
      <c r="Y17108" s="97"/>
    </row>
    <row r="17109" spans="25:25" x14ac:dyDescent="0.2">
      <c r="Y17109" s="97"/>
    </row>
    <row r="17110" spans="25:25" x14ac:dyDescent="0.2">
      <c r="Y17110" s="97"/>
    </row>
    <row r="17111" spans="25:25" x14ac:dyDescent="0.2">
      <c r="Y17111" s="97"/>
    </row>
    <row r="17112" spans="25:25" x14ac:dyDescent="0.2">
      <c r="Y17112" s="97"/>
    </row>
    <row r="17113" spans="25:25" x14ac:dyDescent="0.2">
      <c r="Y17113" s="97"/>
    </row>
    <row r="17114" spans="25:25" x14ac:dyDescent="0.2">
      <c r="Y17114" s="97"/>
    </row>
    <row r="17115" spans="25:25" x14ac:dyDescent="0.2">
      <c r="Y17115" s="97"/>
    </row>
    <row r="17116" spans="25:25" x14ac:dyDescent="0.2">
      <c r="Y17116" s="97"/>
    </row>
    <row r="17117" spans="25:25" x14ac:dyDescent="0.2">
      <c r="Y17117" s="97"/>
    </row>
    <row r="17118" spans="25:25" x14ac:dyDescent="0.2">
      <c r="Y17118" s="97"/>
    </row>
    <row r="17119" spans="25:25" x14ac:dyDescent="0.2">
      <c r="Y17119" s="97"/>
    </row>
    <row r="17120" spans="25:25" x14ac:dyDescent="0.2">
      <c r="Y17120" s="97"/>
    </row>
    <row r="17121" spans="25:25" x14ac:dyDescent="0.2">
      <c r="Y17121" s="97"/>
    </row>
    <row r="17122" spans="25:25" x14ac:dyDescent="0.2">
      <c r="Y17122" s="97"/>
    </row>
    <row r="17123" spans="25:25" x14ac:dyDescent="0.2">
      <c r="Y17123" s="97"/>
    </row>
    <row r="17124" spans="25:25" x14ac:dyDescent="0.2">
      <c r="Y17124" s="97"/>
    </row>
    <row r="17125" spans="25:25" x14ac:dyDescent="0.2">
      <c r="Y17125" s="97"/>
    </row>
    <row r="17126" spans="25:25" x14ac:dyDescent="0.2">
      <c r="Y17126" s="97"/>
    </row>
    <row r="17127" spans="25:25" x14ac:dyDescent="0.2">
      <c r="Y17127" s="97"/>
    </row>
    <row r="17128" spans="25:25" x14ac:dyDescent="0.2">
      <c r="Y17128" s="97"/>
    </row>
    <row r="17129" spans="25:25" x14ac:dyDescent="0.2">
      <c r="Y17129" s="97"/>
    </row>
    <row r="17130" spans="25:25" x14ac:dyDescent="0.2">
      <c r="Y17130" s="97"/>
    </row>
    <row r="17131" spans="25:25" x14ac:dyDescent="0.2">
      <c r="Y17131" s="97"/>
    </row>
    <row r="17132" spans="25:25" x14ac:dyDescent="0.2">
      <c r="Y17132" s="97"/>
    </row>
    <row r="17133" spans="25:25" x14ac:dyDescent="0.2">
      <c r="Y17133" s="97"/>
    </row>
    <row r="17134" spans="25:25" x14ac:dyDescent="0.2">
      <c r="Y17134" s="97"/>
    </row>
    <row r="17135" spans="25:25" x14ac:dyDescent="0.2">
      <c r="Y17135" s="97"/>
    </row>
    <row r="17136" spans="25:25" x14ac:dyDescent="0.2">
      <c r="Y17136" s="97"/>
    </row>
    <row r="17137" spans="25:25" x14ac:dyDescent="0.2">
      <c r="Y17137" s="97"/>
    </row>
    <row r="17138" spans="25:25" x14ac:dyDescent="0.2">
      <c r="Y17138" s="97"/>
    </row>
    <row r="17139" spans="25:25" x14ac:dyDescent="0.2">
      <c r="Y17139" s="97"/>
    </row>
    <row r="17140" spans="25:25" x14ac:dyDescent="0.2">
      <c r="Y17140" s="97"/>
    </row>
    <row r="17141" spans="25:25" x14ac:dyDescent="0.2">
      <c r="Y17141" s="97"/>
    </row>
    <row r="17142" spans="25:25" x14ac:dyDescent="0.2">
      <c r="Y17142" s="97"/>
    </row>
    <row r="17143" spans="25:25" x14ac:dyDescent="0.2">
      <c r="Y17143" s="97"/>
    </row>
    <row r="17144" spans="25:25" x14ac:dyDescent="0.2">
      <c r="Y17144" s="97"/>
    </row>
    <row r="17145" spans="25:25" x14ac:dyDescent="0.2">
      <c r="Y17145" s="97"/>
    </row>
    <row r="17146" spans="25:25" x14ac:dyDescent="0.2">
      <c r="Y17146" s="97"/>
    </row>
    <row r="17147" spans="25:25" x14ac:dyDescent="0.2">
      <c r="Y17147" s="97"/>
    </row>
    <row r="17148" spans="25:25" x14ac:dyDescent="0.2">
      <c r="Y17148" s="97"/>
    </row>
    <row r="17149" spans="25:25" x14ac:dyDescent="0.2">
      <c r="Y17149" s="97"/>
    </row>
    <row r="17150" spans="25:25" x14ac:dyDescent="0.2">
      <c r="Y17150" s="97"/>
    </row>
    <row r="17151" spans="25:25" x14ac:dyDescent="0.2">
      <c r="Y17151" s="97"/>
    </row>
    <row r="17152" spans="25:25" x14ac:dyDescent="0.2">
      <c r="Y17152" s="97"/>
    </row>
    <row r="17153" spans="25:25" x14ac:dyDescent="0.2">
      <c r="Y17153" s="97"/>
    </row>
    <row r="17154" spans="25:25" x14ac:dyDescent="0.2">
      <c r="Y17154" s="97"/>
    </row>
    <row r="17155" spans="25:25" x14ac:dyDescent="0.2">
      <c r="Y17155" s="97"/>
    </row>
    <row r="17156" spans="25:25" x14ac:dyDescent="0.2">
      <c r="Y17156" s="97"/>
    </row>
    <row r="17157" spans="25:25" x14ac:dyDescent="0.2">
      <c r="Y17157" s="97"/>
    </row>
    <row r="17158" spans="25:25" x14ac:dyDescent="0.2">
      <c r="Y17158" s="97"/>
    </row>
    <row r="17159" spans="25:25" x14ac:dyDescent="0.2">
      <c r="Y17159" s="97"/>
    </row>
    <row r="17160" spans="25:25" x14ac:dyDescent="0.2">
      <c r="Y17160" s="97"/>
    </row>
    <row r="17161" spans="25:25" x14ac:dyDescent="0.2">
      <c r="Y17161" s="97"/>
    </row>
    <row r="17162" spans="25:25" x14ac:dyDescent="0.2">
      <c r="Y17162" s="97"/>
    </row>
    <row r="17163" spans="25:25" x14ac:dyDescent="0.2">
      <c r="Y17163" s="97"/>
    </row>
    <row r="17164" spans="25:25" x14ac:dyDescent="0.2">
      <c r="Y17164" s="97"/>
    </row>
    <row r="17165" spans="25:25" x14ac:dyDescent="0.2">
      <c r="Y17165" s="97"/>
    </row>
    <row r="17166" spans="25:25" x14ac:dyDescent="0.2">
      <c r="Y17166" s="97"/>
    </row>
    <row r="17167" spans="25:25" x14ac:dyDescent="0.2">
      <c r="Y17167" s="97"/>
    </row>
    <row r="17168" spans="25:25" x14ac:dyDescent="0.2">
      <c r="Y17168" s="97"/>
    </row>
    <row r="17169" spans="25:25" x14ac:dyDescent="0.2">
      <c r="Y17169" s="97"/>
    </row>
    <row r="17170" spans="25:25" x14ac:dyDescent="0.2">
      <c r="Y17170" s="97"/>
    </row>
    <row r="17171" spans="25:25" x14ac:dyDescent="0.2">
      <c r="Y17171" s="97"/>
    </row>
    <row r="17172" spans="25:25" x14ac:dyDescent="0.2">
      <c r="Y17172" s="97"/>
    </row>
    <row r="17173" spans="25:25" x14ac:dyDescent="0.2">
      <c r="Y17173" s="97"/>
    </row>
    <row r="17174" spans="25:25" x14ac:dyDescent="0.2">
      <c r="Y17174" s="97"/>
    </row>
    <row r="17175" spans="25:25" x14ac:dyDescent="0.2">
      <c r="Y17175" s="97"/>
    </row>
    <row r="17176" spans="25:25" x14ac:dyDescent="0.2">
      <c r="Y17176" s="97"/>
    </row>
    <row r="17177" spans="25:25" x14ac:dyDescent="0.2">
      <c r="Y17177" s="97"/>
    </row>
    <row r="17178" spans="25:25" x14ac:dyDescent="0.2">
      <c r="Y17178" s="97"/>
    </row>
    <row r="17179" spans="25:25" x14ac:dyDescent="0.2">
      <c r="Y17179" s="97"/>
    </row>
    <row r="17180" spans="25:25" x14ac:dyDescent="0.2">
      <c r="Y17180" s="97"/>
    </row>
    <row r="17181" spans="25:25" x14ac:dyDescent="0.2">
      <c r="Y17181" s="97"/>
    </row>
    <row r="17182" spans="25:25" x14ac:dyDescent="0.2">
      <c r="Y17182" s="97"/>
    </row>
    <row r="17183" spans="25:25" x14ac:dyDescent="0.2">
      <c r="Y17183" s="97"/>
    </row>
    <row r="17184" spans="25:25" x14ac:dyDescent="0.2">
      <c r="Y17184" s="97"/>
    </row>
    <row r="17185" spans="25:25" x14ac:dyDescent="0.2">
      <c r="Y17185" s="97"/>
    </row>
    <row r="17186" spans="25:25" x14ac:dyDescent="0.2">
      <c r="Y17186" s="97"/>
    </row>
    <row r="17187" spans="25:25" x14ac:dyDescent="0.2">
      <c r="Y17187" s="97"/>
    </row>
    <row r="17188" spans="25:25" x14ac:dyDescent="0.2">
      <c r="Y17188" s="97"/>
    </row>
    <row r="17189" spans="25:25" x14ac:dyDescent="0.2">
      <c r="Y17189" s="97"/>
    </row>
    <row r="17190" spans="25:25" x14ac:dyDescent="0.2">
      <c r="Y17190" s="97"/>
    </row>
    <row r="17191" spans="25:25" x14ac:dyDescent="0.2">
      <c r="Y17191" s="97"/>
    </row>
    <row r="17192" spans="25:25" x14ac:dyDescent="0.2">
      <c r="Y17192" s="97"/>
    </row>
    <row r="17193" spans="25:25" x14ac:dyDescent="0.2">
      <c r="Y17193" s="97"/>
    </row>
    <row r="17194" spans="25:25" x14ac:dyDescent="0.2">
      <c r="Y17194" s="97"/>
    </row>
    <row r="17195" spans="25:25" x14ac:dyDescent="0.2">
      <c r="Y17195" s="97"/>
    </row>
    <row r="17196" spans="25:25" x14ac:dyDescent="0.2">
      <c r="Y17196" s="97"/>
    </row>
    <row r="17197" spans="25:25" x14ac:dyDescent="0.2">
      <c r="Y17197" s="97"/>
    </row>
    <row r="17198" spans="25:25" x14ac:dyDescent="0.2">
      <c r="Y17198" s="97"/>
    </row>
    <row r="17199" spans="25:25" x14ac:dyDescent="0.2">
      <c r="Y17199" s="97"/>
    </row>
    <row r="17200" spans="25:25" x14ac:dyDescent="0.2">
      <c r="Y17200" s="97"/>
    </row>
    <row r="17201" spans="25:25" x14ac:dyDescent="0.2">
      <c r="Y17201" s="97"/>
    </row>
    <row r="17202" spans="25:25" x14ac:dyDescent="0.2">
      <c r="Y17202" s="97"/>
    </row>
    <row r="17203" spans="25:25" x14ac:dyDescent="0.2">
      <c r="Y17203" s="97"/>
    </row>
    <row r="17204" spans="25:25" x14ac:dyDescent="0.2">
      <c r="Y17204" s="97"/>
    </row>
    <row r="17205" spans="25:25" x14ac:dyDescent="0.2">
      <c r="Y17205" s="97"/>
    </row>
    <row r="17206" spans="25:25" x14ac:dyDescent="0.2">
      <c r="Y17206" s="97"/>
    </row>
    <row r="17207" spans="25:25" x14ac:dyDescent="0.2">
      <c r="Y17207" s="97"/>
    </row>
    <row r="17208" spans="25:25" x14ac:dyDescent="0.2">
      <c r="Y17208" s="97"/>
    </row>
    <row r="17209" spans="25:25" x14ac:dyDescent="0.2">
      <c r="Y17209" s="97"/>
    </row>
    <row r="17210" spans="25:25" x14ac:dyDescent="0.2">
      <c r="Y17210" s="97"/>
    </row>
    <row r="17211" spans="25:25" x14ac:dyDescent="0.2">
      <c r="Y17211" s="97"/>
    </row>
    <row r="17212" spans="25:25" x14ac:dyDescent="0.2">
      <c r="Y17212" s="97"/>
    </row>
    <row r="17213" spans="25:25" x14ac:dyDescent="0.2">
      <c r="Y17213" s="97"/>
    </row>
    <row r="17214" spans="25:25" x14ac:dyDescent="0.2">
      <c r="Y17214" s="97"/>
    </row>
    <row r="17215" spans="25:25" x14ac:dyDescent="0.2">
      <c r="Y17215" s="97"/>
    </row>
    <row r="17216" spans="25:25" x14ac:dyDescent="0.2">
      <c r="Y17216" s="97"/>
    </row>
    <row r="17217" spans="25:25" x14ac:dyDescent="0.2">
      <c r="Y17217" s="97"/>
    </row>
    <row r="17218" spans="25:25" x14ac:dyDescent="0.2">
      <c r="Y17218" s="97"/>
    </row>
    <row r="17219" spans="25:25" x14ac:dyDescent="0.2">
      <c r="Y17219" s="97"/>
    </row>
    <row r="17220" spans="25:25" x14ac:dyDescent="0.2">
      <c r="Y17220" s="97"/>
    </row>
    <row r="17221" spans="25:25" x14ac:dyDescent="0.2">
      <c r="Y17221" s="97"/>
    </row>
    <row r="17222" spans="25:25" x14ac:dyDescent="0.2">
      <c r="Y17222" s="97"/>
    </row>
    <row r="17223" spans="25:25" x14ac:dyDescent="0.2">
      <c r="Y17223" s="97"/>
    </row>
    <row r="17224" spans="25:25" x14ac:dyDescent="0.2">
      <c r="Y17224" s="97"/>
    </row>
    <row r="17225" spans="25:25" x14ac:dyDescent="0.2">
      <c r="Y17225" s="97"/>
    </row>
    <row r="17226" spans="25:25" x14ac:dyDescent="0.2">
      <c r="Y17226" s="97"/>
    </row>
    <row r="17227" spans="25:25" x14ac:dyDescent="0.2">
      <c r="Y17227" s="97"/>
    </row>
    <row r="17228" spans="25:25" x14ac:dyDescent="0.2">
      <c r="Y17228" s="97"/>
    </row>
    <row r="17229" spans="25:25" x14ac:dyDescent="0.2">
      <c r="Y17229" s="97"/>
    </row>
    <row r="17230" spans="25:25" x14ac:dyDescent="0.2">
      <c r="Y17230" s="97"/>
    </row>
    <row r="17231" spans="25:25" x14ac:dyDescent="0.2">
      <c r="Y17231" s="97"/>
    </row>
    <row r="17232" spans="25:25" x14ac:dyDescent="0.2">
      <c r="Y17232" s="97"/>
    </row>
    <row r="17233" spans="25:25" x14ac:dyDescent="0.2">
      <c r="Y17233" s="97"/>
    </row>
    <row r="17234" spans="25:25" x14ac:dyDescent="0.2">
      <c r="Y17234" s="97"/>
    </row>
    <row r="17235" spans="25:25" x14ac:dyDescent="0.2">
      <c r="Y17235" s="97"/>
    </row>
    <row r="17236" spans="25:25" x14ac:dyDescent="0.2">
      <c r="Y17236" s="97"/>
    </row>
    <row r="17237" spans="25:25" x14ac:dyDescent="0.2">
      <c r="Y17237" s="97"/>
    </row>
    <row r="17238" spans="25:25" x14ac:dyDescent="0.2">
      <c r="Y17238" s="97"/>
    </row>
    <row r="17239" spans="25:25" x14ac:dyDescent="0.2">
      <c r="Y17239" s="97"/>
    </row>
    <row r="17240" spans="25:25" x14ac:dyDescent="0.2">
      <c r="Y17240" s="97"/>
    </row>
    <row r="17241" spans="25:25" x14ac:dyDescent="0.2">
      <c r="Y17241" s="97"/>
    </row>
    <row r="17242" spans="25:25" x14ac:dyDescent="0.2">
      <c r="Y17242" s="97"/>
    </row>
    <row r="17243" spans="25:25" x14ac:dyDescent="0.2">
      <c r="Y17243" s="97"/>
    </row>
    <row r="17244" spans="25:25" x14ac:dyDescent="0.2">
      <c r="Y17244" s="97"/>
    </row>
    <row r="17245" spans="25:25" x14ac:dyDescent="0.2">
      <c r="Y17245" s="97"/>
    </row>
    <row r="17246" spans="25:25" x14ac:dyDescent="0.2">
      <c r="Y17246" s="97"/>
    </row>
    <row r="17247" spans="25:25" x14ac:dyDescent="0.2">
      <c r="Y17247" s="97"/>
    </row>
    <row r="17248" spans="25:25" x14ac:dyDescent="0.2">
      <c r="Y17248" s="97"/>
    </row>
    <row r="17249" spans="25:25" x14ac:dyDescent="0.2">
      <c r="Y17249" s="97"/>
    </row>
    <row r="17250" spans="25:25" x14ac:dyDescent="0.2">
      <c r="Y17250" s="97"/>
    </row>
    <row r="17251" spans="25:25" x14ac:dyDescent="0.2">
      <c r="Y17251" s="97"/>
    </row>
    <row r="17252" spans="25:25" x14ac:dyDescent="0.2">
      <c r="Y17252" s="97"/>
    </row>
    <row r="17253" spans="25:25" x14ac:dyDescent="0.2">
      <c r="Y17253" s="97"/>
    </row>
    <row r="17254" spans="25:25" x14ac:dyDescent="0.2">
      <c r="Y17254" s="97"/>
    </row>
    <row r="17255" spans="25:25" x14ac:dyDescent="0.2">
      <c r="Y17255" s="97"/>
    </row>
    <row r="17256" spans="25:25" x14ac:dyDescent="0.2">
      <c r="Y17256" s="97"/>
    </row>
    <row r="17257" spans="25:25" x14ac:dyDescent="0.2">
      <c r="Y17257" s="97"/>
    </row>
    <row r="17258" spans="25:25" x14ac:dyDescent="0.2">
      <c r="Y17258" s="97"/>
    </row>
    <row r="17259" spans="25:25" x14ac:dyDescent="0.2">
      <c r="Y17259" s="97"/>
    </row>
    <row r="17260" spans="25:25" x14ac:dyDescent="0.2">
      <c r="Y17260" s="97"/>
    </row>
    <row r="17261" spans="25:25" x14ac:dyDescent="0.2">
      <c r="Y17261" s="97"/>
    </row>
    <row r="17262" spans="25:25" x14ac:dyDescent="0.2">
      <c r="Y17262" s="97"/>
    </row>
    <row r="17263" spans="25:25" x14ac:dyDescent="0.2">
      <c r="Y17263" s="97"/>
    </row>
    <row r="17264" spans="25:25" x14ac:dyDescent="0.2">
      <c r="Y17264" s="97"/>
    </row>
    <row r="17265" spans="25:25" x14ac:dyDescent="0.2">
      <c r="Y17265" s="97"/>
    </row>
    <row r="17266" spans="25:25" x14ac:dyDescent="0.2">
      <c r="Y17266" s="97"/>
    </row>
    <row r="17267" spans="25:25" x14ac:dyDescent="0.2">
      <c r="Y17267" s="97"/>
    </row>
    <row r="17268" spans="25:25" x14ac:dyDescent="0.2">
      <c r="Y17268" s="97"/>
    </row>
    <row r="17269" spans="25:25" x14ac:dyDescent="0.2">
      <c r="Y17269" s="97"/>
    </row>
    <row r="17270" spans="25:25" x14ac:dyDescent="0.2">
      <c r="Y17270" s="97"/>
    </row>
    <row r="17271" spans="25:25" x14ac:dyDescent="0.2">
      <c r="Y17271" s="97"/>
    </row>
    <row r="17272" spans="25:25" x14ac:dyDescent="0.2">
      <c r="Y17272" s="97"/>
    </row>
    <row r="17273" spans="25:25" x14ac:dyDescent="0.2">
      <c r="Y17273" s="97"/>
    </row>
    <row r="17274" spans="25:25" x14ac:dyDescent="0.2">
      <c r="Y17274" s="97"/>
    </row>
    <row r="17275" spans="25:25" x14ac:dyDescent="0.2">
      <c r="Y17275" s="97"/>
    </row>
    <row r="17276" spans="25:25" x14ac:dyDescent="0.2">
      <c r="Y17276" s="97"/>
    </row>
    <row r="17277" spans="25:25" x14ac:dyDescent="0.2">
      <c r="Y17277" s="97"/>
    </row>
    <row r="17278" spans="25:25" x14ac:dyDescent="0.2">
      <c r="Y17278" s="97"/>
    </row>
    <row r="17279" spans="25:25" x14ac:dyDescent="0.2">
      <c r="Y17279" s="97"/>
    </row>
    <row r="17280" spans="25:25" x14ac:dyDescent="0.2">
      <c r="Y17280" s="97"/>
    </row>
    <row r="17281" spans="25:25" x14ac:dyDescent="0.2">
      <c r="Y17281" s="97"/>
    </row>
    <row r="17282" spans="25:25" x14ac:dyDescent="0.2">
      <c r="Y17282" s="97"/>
    </row>
    <row r="17283" spans="25:25" x14ac:dyDescent="0.2">
      <c r="Y17283" s="97"/>
    </row>
    <row r="17284" spans="25:25" x14ac:dyDescent="0.2">
      <c r="Y17284" s="97"/>
    </row>
    <row r="17285" spans="25:25" x14ac:dyDescent="0.2">
      <c r="Y17285" s="97"/>
    </row>
    <row r="17286" spans="25:25" x14ac:dyDescent="0.2">
      <c r="Y17286" s="97"/>
    </row>
    <row r="17287" spans="25:25" x14ac:dyDescent="0.2">
      <c r="Y17287" s="97"/>
    </row>
    <row r="17288" spans="25:25" x14ac:dyDescent="0.2">
      <c r="Y17288" s="97"/>
    </row>
    <row r="17289" spans="25:25" x14ac:dyDescent="0.2">
      <c r="Y17289" s="97"/>
    </row>
    <row r="17290" spans="25:25" x14ac:dyDescent="0.2">
      <c r="Y17290" s="97"/>
    </row>
    <row r="17291" spans="25:25" x14ac:dyDescent="0.2">
      <c r="Y17291" s="97"/>
    </row>
    <row r="17292" spans="25:25" x14ac:dyDescent="0.2">
      <c r="Y17292" s="97"/>
    </row>
    <row r="17293" spans="25:25" x14ac:dyDescent="0.2">
      <c r="Y17293" s="97"/>
    </row>
    <row r="17294" spans="25:25" x14ac:dyDescent="0.2">
      <c r="Y17294" s="97"/>
    </row>
    <row r="17295" spans="25:25" x14ac:dyDescent="0.2">
      <c r="Y17295" s="97"/>
    </row>
    <row r="17296" spans="25:25" x14ac:dyDescent="0.2">
      <c r="Y17296" s="97"/>
    </row>
    <row r="17297" spans="25:25" x14ac:dyDescent="0.2">
      <c r="Y17297" s="97"/>
    </row>
    <row r="17298" spans="25:25" x14ac:dyDescent="0.2">
      <c r="Y17298" s="97"/>
    </row>
    <row r="17299" spans="25:25" x14ac:dyDescent="0.2">
      <c r="Y17299" s="97"/>
    </row>
    <row r="17300" spans="25:25" x14ac:dyDescent="0.2">
      <c r="Y17300" s="97"/>
    </row>
    <row r="17301" spans="25:25" x14ac:dyDescent="0.2">
      <c r="Y17301" s="97"/>
    </row>
    <row r="17302" spans="25:25" x14ac:dyDescent="0.2">
      <c r="Y17302" s="97"/>
    </row>
    <row r="17303" spans="25:25" x14ac:dyDescent="0.2">
      <c r="Y17303" s="97"/>
    </row>
    <row r="17304" spans="25:25" x14ac:dyDescent="0.2">
      <c r="Y17304" s="97"/>
    </row>
    <row r="17305" spans="25:25" x14ac:dyDescent="0.2">
      <c r="Y17305" s="97"/>
    </row>
    <row r="17306" spans="25:25" x14ac:dyDescent="0.2">
      <c r="Y17306" s="97"/>
    </row>
    <row r="17307" spans="25:25" x14ac:dyDescent="0.2">
      <c r="Y17307" s="97"/>
    </row>
    <row r="17308" spans="25:25" x14ac:dyDescent="0.2">
      <c r="Y17308" s="97"/>
    </row>
    <row r="17309" spans="25:25" x14ac:dyDescent="0.2">
      <c r="Y17309" s="97"/>
    </row>
    <row r="17310" spans="25:25" x14ac:dyDescent="0.2">
      <c r="Y17310" s="97"/>
    </row>
    <row r="17311" spans="25:25" x14ac:dyDescent="0.2">
      <c r="Y17311" s="97"/>
    </row>
    <row r="17312" spans="25:25" x14ac:dyDescent="0.2">
      <c r="Y17312" s="97"/>
    </row>
    <row r="17313" spans="25:25" x14ac:dyDescent="0.2">
      <c r="Y17313" s="97"/>
    </row>
    <row r="17314" spans="25:25" x14ac:dyDescent="0.2">
      <c r="Y17314" s="97"/>
    </row>
    <row r="17315" spans="25:25" x14ac:dyDescent="0.2">
      <c r="Y17315" s="97"/>
    </row>
    <row r="17316" spans="25:25" x14ac:dyDescent="0.2">
      <c r="Y17316" s="97"/>
    </row>
    <row r="17317" spans="25:25" x14ac:dyDescent="0.2">
      <c r="Y17317" s="97"/>
    </row>
    <row r="17318" spans="25:25" x14ac:dyDescent="0.2">
      <c r="Y17318" s="97"/>
    </row>
    <row r="17319" spans="25:25" x14ac:dyDescent="0.2">
      <c r="Y17319" s="97"/>
    </row>
    <row r="17320" spans="25:25" x14ac:dyDescent="0.2">
      <c r="Y17320" s="97"/>
    </row>
    <row r="17321" spans="25:25" x14ac:dyDescent="0.2">
      <c r="Y17321" s="97"/>
    </row>
    <row r="17322" spans="25:25" x14ac:dyDescent="0.2">
      <c r="Y17322" s="97"/>
    </row>
    <row r="17323" spans="25:25" x14ac:dyDescent="0.2">
      <c r="Y17323" s="97"/>
    </row>
    <row r="17324" spans="25:25" x14ac:dyDescent="0.2">
      <c r="Y17324" s="97"/>
    </row>
    <row r="17325" spans="25:25" x14ac:dyDescent="0.2">
      <c r="Y17325" s="97"/>
    </row>
    <row r="17326" spans="25:25" x14ac:dyDescent="0.2">
      <c r="Y17326" s="97"/>
    </row>
    <row r="17327" spans="25:25" x14ac:dyDescent="0.2">
      <c r="Y17327" s="97"/>
    </row>
    <row r="17328" spans="25:25" x14ac:dyDescent="0.2">
      <c r="Y17328" s="97"/>
    </row>
    <row r="17329" spans="25:25" x14ac:dyDescent="0.2">
      <c r="Y17329" s="97"/>
    </row>
    <row r="17330" spans="25:25" x14ac:dyDescent="0.2">
      <c r="Y17330" s="97"/>
    </row>
    <row r="17331" spans="25:25" x14ac:dyDescent="0.2">
      <c r="Y17331" s="97"/>
    </row>
    <row r="17332" spans="25:25" x14ac:dyDescent="0.2">
      <c r="Y17332" s="97"/>
    </row>
    <row r="17333" spans="25:25" x14ac:dyDescent="0.2">
      <c r="Y17333" s="97"/>
    </row>
    <row r="17334" spans="25:25" x14ac:dyDescent="0.2">
      <c r="Y17334" s="97"/>
    </row>
    <row r="17335" spans="25:25" x14ac:dyDescent="0.2">
      <c r="Y17335" s="97"/>
    </row>
    <row r="17336" spans="25:25" x14ac:dyDescent="0.2">
      <c r="Y17336" s="97"/>
    </row>
    <row r="17337" spans="25:25" x14ac:dyDescent="0.2">
      <c r="Y17337" s="97"/>
    </row>
    <row r="17338" spans="25:25" x14ac:dyDescent="0.2">
      <c r="Y17338" s="97"/>
    </row>
    <row r="17339" spans="25:25" x14ac:dyDescent="0.2">
      <c r="Y17339" s="97"/>
    </row>
    <row r="17340" spans="25:25" x14ac:dyDescent="0.2">
      <c r="Y17340" s="97"/>
    </row>
    <row r="17341" spans="25:25" x14ac:dyDescent="0.2">
      <c r="Y17341" s="97"/>
    </row>
    <row r="17342" spans="25:25" x14ac:dyDescent="0.2">
      <c r="Y17342" s="97"/>
    </row>
    <row r="17343" spans="25:25" x14ac:dyDescent="0.2">
      <c r="Y17343" s="97"/>
    </row>
    <row r="17344" spans="25:25" x14ac:dyDescent="0.2">
      <c r="Y17344" s="97"/>
    </row>
    <row r="17345" spans="25:25" x14ac:dyDescent="0.2">
      <c r="Y17345" s="97"/>
    </row>
    <row r="17346" spans="25:25" x14ac:dyDescent="0.2">
      <c r="Y17346" s="97"/>
    </row>
    <row r="17347" spans="25:25" x14ac:dyDescent="0.2">
      <c r="Y17347" s="97"/>
    </row>
    <row r="17348" spans="25:25" x14ac:dyDescent="0.2">
      <c r="Y17348" s="97"/>
    </row>
    <row r="17349" spans="25:25" x14ac:dyDescent="0.2">
      <c r="Y17349" s="97"/>
    </row>
    <row r="17350" spans="25:25" x14ac:dyDescent="0.2">
      <c r="Y17350" s="97"/>
    </row>
    <row r="17351" spans="25:25" x14ac:dyDescent="0.2">
      <c r="Y17351" s="97"/>
    </row>
    <row r="17352" spans="25:25" x14ac:dyDescent="0.2">
      <c r="Y17352" s="97"/>
    </row>
    <row r="17353" spans="25:25" x14ac:dyDescent="0.2">
      <c r="Y17353" s="97"/>
    </row>
    <row r="17354" spans="25:25" x14ac:dyDescent="0.2">
      <c r="Y17354" s="97"/>
    </row>
    <row r="17355" spans="25:25" x14ac:dyDescent="0.2">
      <c r="Y17355" s="97"/>
    </row>
    <row r="17356" spans="25:25" x14ac:dyDescent="0.2">
      <c r="Y17356" s="97"/>
    </row>
    <row r="17357" spans="25:25" x14ac:dyDescent="0.2">
      <c r="Y17357" s="97"/>
    </row>
    <row r="17358" spans="25:25" x14ac:dyDescent="0.2">
      <c r="Y17358" s="97"/>
    </row>
    <row r="17359" spans="25:25" x14ac:dyDescent="0.2">
      <c r="Y17359" s="97"/>
    </row>
    <row r="17360" spans="25:25" x14ac:dyDescent="0.2">
      <c r="Y17360" s="97"/>
    </row>
    <row r="17361" spans="25:25" x14ac:dyDescent="0.2">
      <c r="Y17361" s="97"/>
    </row>
    <row r="17362" spans="25:25" x14ac:dyDescent="0.2">
      <c r="Y17362" s="97"/>
    </row>
    <row r="17363" spans="25:25" x14ac:dyDescent="0.2">
      <c r="Y17363" s="97"/>
    </row>
    <row r="17364" spans="25:25" x14ac:dyDescent="0.2">
      <c r="Y17364" s="97"/>
    </row>
    <row r="17365" spans="25:25" x14ac:dyDescent="0.2">
      <c r="Y17365" s="97"/>
    </row>
    <row r="17366" spans="25:25" x14ac:dyDescent="0.2">
      <c r="Y17366" s="97"/>
    </row>
    <row r="17367" spans="25:25" x14ac:dyDescent="0.2">
      <c r="Y17367" s="97"/>
    </row>
    <row r="17368" spans="25:25" x14ac:dyDescent="0.2">
      <c r="Y17368" s="97"/>
    </row>
    <row r="17369" spans="25:25" x14ac:dyDescent="0.2">
      <c r="Y17369" s="97"/>
    </row>
    <row r="17370" spans="25:25" x14ac:dyDescent="0.2">
      <c r="Y17370" s="97"/>
    </row>
    <row r="17371" spans="25:25" x14ac:dyDescent="0.2">
      <c r="Y17371" s="97"/>
    </row>
    <row r="17372" spans="25:25" x14ac:dyDescent="0.2">
      <c r="Y17372" s="97"/>
    </row>
    <row r="17373" spans="25:25" x14ac:dyDescent="0.2">
      <c r="Y17373" s="97"/>
    </row>
    <row r="17374" spans="25:25" x14ac:dyDescent="0.2">
      <c r="Y17374" s="97"/>
    </row>
    <row r="17375" spans="25:25" x14ac:dyDescent="0.2">
      <c r="Y17375" s="97"/>
    </row>
    <row r="17376" spans="25:25" x14ac:dyDescent="0.2">
      <c r="Y17376" s="97"/>
    </row>
    <row r="17377" spans="25:25" x14ac:dyDescent="0.2">
      <c r="Y17377" s="97"/>
    </row>
    <row r="17378" spans="25:25" x14ac:dyDescent="0.2">
      <c r="Y17378" s="97"/>
    </row>
    <row r="17379" spans="25:25" x14ac:dyDescent="0.2">
      <c r="Y17379" s="97"/>
    </row>
    <row r="17380" spans="25:25" x14ac:dyDescent="0.2">
      <c r="Y17380" s="97"/>
    </row>
    <row r="17381" spans="25:25" x14ac:dyDescent="0.2">
      <c r="Y17381" s="97"/>
    </row>
    <row r="17382" spans="25:25" x14ac:dyDescent="0.2">
      <c r="Y17382" s="97"/>
    </row>
    <row r="17383" spans="25:25" x14ac:dyDescent="0.2">
      <c r="Y17383" s="97"/>
    </row>
    <row r="17384" spans="25:25" x14ac:dyDescent="0.2">
      <c r="Y17384" s="97"/>
    </row>
    <row r="17385" spans="25:25" x14ac:dyDescent="0.2">
      <c r="Y17385" s="97"/>
    </row>
    <row r="17386" spans="25:25" x14ac:dyDescent="0.2">
      <c r="Y17386" s="97"/>
    </row>
    <row r="17387" spans="25:25" x14ac:dyDescent="0.2">
      <c r="Y17387" s="97"/>
    </row>
    <row r="17388" spans="25:25" x14ac:dyDescent="0.2">
      <c r="Y17388" s="97"/>
    </row>
    <row r="17389" spans="25:25" x14ac:dyDescent="0.2">
      <c r="Y17389" s="97"/>
    </row>
    <row r="17390" spans="25:25" x14ac:dyDescent="0.2">
      <c r="Y17390" s="97"/>
    </row>
    <row r="17391" spans="25:25" x14ac:dyDescent="0.2">
      <c r="Y17391" s="97"/>
    </row>
    <row r="17392" spans="25:25" x14ac:dyDescent="0.2">
      <c r="Y17392" s="97"/>
    </row>
    <row r="17393" spans="25:25" x14ac:dyDescent="0.2">
      <c r="Y17393" s="97"/>
    </row>
    <row r="17394" spans="25:25" x14ac:dyDescent="0.2">
      <c r="Y17394" s="97"/>
    </row>
    <row r="17395" spans="25:25" x14ac:dyDescent="0.2">
      <c r="Y17395" s="97"/>
    </row>
    <row r="17396" spans="25:25" x14ac:dyDescent="0.2">
      <c r="Y17396" s="97"/>
    </row>
    <row r="17397" spans="25:25" x14ac:dyDescent="0.2">
      <c r="Y17397" s="97"/>
    </row>
    <row r="17398" spans="25:25" x14ac:dyDescent="0.2">
      <c r="Y17398" s="97"/>
    </row>
    <row r="17399" spans="25:25" x14ac:dyDescent="0.2">
      <c r="Y17399" s="97"/>
    </row>
    <row r="17400" spans="25:25" x14ac:dyDescent="0.2">
      <c r="Y17400" s="97"/>
    </row>
    <row r="17401" spans="25:25" x14ac:dyDescent="0.2">
      <c r="Y17401" s="97"/>
    </row>
    <row r="17402" spans="25:25" x14ac:dyDescent="0.2">
      <c r="Y17402" s="97"/>
    </row>
    <row r="17403" spans="25:25" x14ac:dyDescent="0.2">
      <c r="Y17403" s="97"/>
    </row>
    <row r="17404" spans="25:25" x14ac:dyDescent="0.2">
      <c r="Y17404" s="97"/>
    </row>
    <row r="17405" spans="25:25" x14ac:dyDescent="0.2">
      <c r="Y17405" s="97"/>
    </row>
    <row r="17406" spans="25:25" x14ac:dyDescent="0.2">
      <c r="Y17406" s="97"/>
    </row>
    <row r="17407" spans="25:25" x14ac:dyDescent="0.2">
      <c r="Y17407" s="97"/>
    </row>
    <row r="17408" spans="25:25" x14ac:dyDescent="0.2">
      <c r="Y17408" s="97"/>
    </row>
    <row r="17409" spans="25:25" x14ac:dyDescent="0.2">
      <c r="Y17409" s="97"/>
    </row>
    <row r="17410" spans="25:25" x14ac:dyDescent="0.2">
      <c r="Y17410" s="97"/>
    </row>
    <row r="17411" spans="25:25" x14ac:dyDescent="0.2">
      <c r="Y17411" s="97"/>
    </row>
    <row r="17412" spans="25:25" x14ac:dyDescent="0.2">
      <c r="Y17412" s="97"/>
    </row>
    <row r="17413" spans="25:25" x14ac:dyDescent="0.2">
      <c r="Y17413" s="97"/>
    </row>
    <row r="17414" spans="25:25" x14ac:dyDescent="0.2">
      <c r="Y17414" s="97"/>
    </row>
    <row r="17415" spans="25:25" x14ac:dyDescent="0.2">
      <c r="Y17415" s="97"/>
    </row>
    <row r="17416" spans="25:25" x14ac:dyDescent="0.2">
      <c r="Y17416" s="97"/>
    </row>
    <row r="17417" spans="25:25" x14ac:dyDescent="0.2">
      <c r="Y17417" s="97"/>
    </row>
    <row r="17418" spans="25:25" x14ac:dyDescent="0.2">
      <c r="Y17418" s="97"/>
    </row>
    <row r="17419" spans="25:25" x14ac:dyDescent="0.2">
      <c r="Y17419" s="97"/>
    </row>
    <row r="17420" spans="25:25" x14ac:dyDescent="0.2">
      <c r="Y17420" s="97"/>
    </row>
    <row r="17421" spans="25:25" x14ac:dyDescent="0.2">
      <c r="Y17421" s="97"/>
    </row>
    <row r="17422" spans="25:25" x14ac:dyDescent="0.2">
      <c r="Y17422" s="97"/>
    </row>
    <row r="17423" spans="25:25" x14ac:dyDescent="0.2">
      <c r="Y17423" s="97"/>
    </row>
    <row r="17424" spans="25:25" x14ac:dyDescent="0.2">
      <c r="Y17424" s="97"/>
    </row>
    <row r="17425" spans="25:25" x14ac:dyDescent="0.2">
      <c r="Y17425" s="97"/>
    </row>
    <row r="17426" spans="25:25" x14ac:dyDescent="0.2">
      <c r="Y17426" s="97"/>
    </row>
    <row r="17427" spans="25:25" x14ac:dyDescent="0.2">
      <c r="Y17427" s="97"/>
    </row>
    <row r="17428" spans="25:25" x14ac:dyDescent="0.2">
      <c r="Y17428" s="97"/>
    </row>
    <row r="17429" spans="25:25" x14ac:dyDescent="0.2">
      <c r="Y17429" s="97"/>
    </row>
    <row r="17430" spans="25:25" x14ac:dyDescent="0.2">
      <c r="Y17430" s="97"/>
    </row>
    <row r="17431" spans="25:25" x14ac:dyDescent="0.2">
      <c r="Y17431" s="97"/>
    </row>
    <row r="17432" spans="25:25" x14ac:dyDescent="0.2">
      <c r="Y17432" s="97"/>
    </row>
    <row r="17433" spans="25:25" x14ac:dyDescent="0.2">
      <c r="Y17433" s="97"/>
    </row>
    <row r="17434" spans="25:25" x14ac:dyDescent="0.2">
      <c r="Y17434" s="97"/>
    </row>
    <row r="17435" spans="25:25" x14ac:dyDescent="0.2">
      <c r="Y17435" s="97"/>
    </row>
    <row r="17436" spans="25:25" x14ac:dyDescent="0.2">
      <c r="Y17436" s="97"/>
    </row>
    <row r="17437" spans="25:25" x14ac:dyDescent="0.2">
      <c r="Y17437" s="97"/>
    </row>
    <row r="17438" spans="25:25" x14ac:dyDescent="0.2">
      <c r="Y17438" s="97"/>
    </row>
    <row r="17439" spans="25:25" x14ac:dyDescent="0.2">
      <c r="Y17439" s="97"/>
    </row>
    <row r="17440" spans="25:25" x14ac:dyDescent="0.2">
      <c r="Y17440" s="97"/>
    </row>
    <row r="17441" spans="25:25" x14ac:dyDescent="0.2">
      <c r="Y17441" s="97"/>
    </row>
    <row r="17442" spans="25:25" x14ac:dyDescent="0.2">
      <c r="Y17442" s="97"/>
    </row>
    <row r="17443" spans="25:25" x14ac:dyDescent="0.2">
      <c r="Y17443" s="97"/>
    </row>
    <row r="17444" spans="25:25" x14ac:dyDescent="0.2">
      <c r="Y17444" s="97"/>
    </row>
    <row r="17445" spans="25:25" x14ac:dyDescent="0.2">
      <c r="Y17445" s="97"/>
    </row>
    <row r="17446" spans="25:25" x14ac:dyDescent="0.2">
      <c r="Y17446" s="97"/>
    </row>
    <row r="17447" spans="25:25" x14ac:dyDescent="0.2">
      <c r="Y17447" s="97"/>
    </row>
    <row r="17448" spans="25:25" x14ac:dyDescent="0.2">
      <c r="Y17448" s="97"/>
    </row>
    <row r="17449" spans="25:25" x14ac:dyDescent="0.2">
      <c r="Y17449" s="97"/>
    </row>
    <row r="17450" spans="25:25" x14ac:dyDescent="0.2">
      <c r="Y17450" s="97"/>
    </row>
    <row r="17451" spans="25:25" x14ac:dyDescent="0.2">
      <c r="Y17451" s="97"/>
    </row>
    <row r="17452" spans="25:25" x14ac:dyDescent="0.2">
      <c r="Y17452" s="97"/>
    </row>
    <row r="17453" spans="25:25" x14ac:dyDescent="0.2">
      <c r="Y17453" s="97"/>
    </row>
    <row r="17454" spans="25:25" x14ac:dyDescent="0.2">
      <c r="Y17454" s="97"/>
    </row>
    <row r="17455" spans="25:25" x14ac:dyDescent="0.2">
      <c r="Y17455" s="97"/>
    </row>
    <row r="17456" spans="25:25" x14ac:dyDescent="0.2">
      <c r="Y17456" s="97"/>
    </row>
    <row r="17457" spans="25:25" x14ac:dyDescent="0.2">
      <c r="Y17457" s="97"/>
    </row>
    <row r="17458" spans="25:25" x14ac:dyDescent="0.2">
      <c r="Y17458" s="97"/>
    </row>
    <row r="17459" spans="25:25" x14ac:dyDescent="0.2">
      <c r="Y17459" s="97"/>
    </row>
    <row r="17460" spans="25:25" x14ac:dyDescent="0.2">
      <c r="Y17460" s="97"/>
    </row>
    <row r="17461" spans="25:25" x14ac:dyDescent="0.2">
      <c r="Y17461" s="97"/>
    </row>
    <row r="17462" spans="25:25" x14ac:dyDescent="0.2">
      <c r="Y17462" s="97"/>
    </row>
    <row r="17463" spans="25:25" x14ac:dyDescent="0.2">
      <c r="Y17463" s="97"/>
    </row>
    <row r="17464" spans="25:25" x14ac:dyDescent="0.2">
      <c r="Y17464" s="97"/>
    </row>
    <row r="17465" spans="25:25" x14ac:dyDescent="0.2">
      <c r="Y17465" s="97"/>
    </row>
    <row r="17466" spans="25:25" x14ac:dyDescent="0.2">
      <c r="Y17466" s="97"/>
    </row>
    <row r="17467" spans="25:25" x14ac:dyDescent="0.2">
      <c r="Y17467" s="97"/>
    </row>
    <row r="17468" spans="25:25" x14ac:dyDescent="0.2">
      <c r="Y17468" s="97"/>
    </row>
    <row r="17469" spans="25:25" x14ac:dyDescent="0.2">
      <c r="Y17469" s="97"/>
    </row>
    <row r="17470" spans="25:25" x14ac:dyDescent="0.2">
      <c r="Y17470" s="97"/>
    </row>
    <row r="17471" spans="25:25" x14ac:dyDescent="0.2">
      <c r="Y17471" s="97"/>
    </row>
    <row r="17472" spans="25:25" x14ac:dyDescent="0.2">
      <c r="Y17472" s="97"/>
    </row>
    <row r="17473" spans="25:25" x14ac:dyDescent="0.2">
      <c r="Y17473" s="97"/>
    </row>
    <row r="17474" spans="25:25" x14ac:dyDescent="0.2">
      <c r="Y17474" s="97"/>
    </row>
    <row r="17475" spans="25:25" x14ac:dyDescent="0.2">
      <c r="Y17475" s="97"/>
    </row>
    <row r="17476" spans="25:25" x14ac:dyDescent="0.2">
      <c r="Y17476" s="97"/>
    </row>
    <row r="17477" spans="25:25" x14ac:dyDescent="0.2">
      <c r="Y17477" s="97"/>
    </row>
    <row r="17478" spans="25:25" x14ac:dyDescent="0.2">
      <c r="Y17478" s="97"/>
    </row>
    <row r="17479" spans="25:25" x14ac:dyDescent="0.2">
      <c r="Y17479" s="97"/>
    </row>
    <row r="17480" spans="25:25" x14ac:dyDescent="0.2">
      <c r="Y17480" s="97"/>
    </row>
    <row r="17481" spans="25:25" x14ac:dyDescent="0.2">
      <c r="Y17481" s="97"/>
    </row>
    <row r="17482" spans="25:25" x14ac:dyDescent="0.2">
      <c r="Y17482" s="97"/>
    </row>
    <row r="17483" spans="25:25" x14ac:dyDescent="0.2">
      <c r="Y17483" s="97"/>
    </row>
    <row r="17484" spans="25:25" x14ac:dyDescent="0.2">
      <c r="Y17484" s="97"/>
    </row>
    <row r="17485" spans="25:25" x14ac:dyDescent="0.2">
      <c r="Y17485" s="97"/>
    </row>
    <row r="17486" spans="25:25" x14ac:dyDescent="0.2">
      <c r="Y17486" s="97"/>
    </row>
    <row r="17487" spans="25:25" x14ac:dyDescent="0.2">
      <c r="Y17487" s="97"/>
    </row>
    <row r="17488" spans="25:25" x14ac:dyDescent="0.2">
      <c r="Y17488" s="97"/>
    </row>
    <row r="17489" spans="25:25" x14ac:dyDescent="0.2">
      <c r="Y17489" s="97"/>
    </row>
    <row r="17490" spans="25:25" x14ac:dyDescent="0.2">
      <c r="Y17490" s="97"/>
    </row>
    <row r="17491" spans="25:25" x14ac:dyDescent="0.2">
      <c r="Y17491" s="97"/>
    </row>
    <row r="17492" spans="25:25" x14ac:dyDescent="0.2">
      <c r="Y17492" s="97"/>
    </row>
    <row r="17493" spans="25:25" x14ac:dyDescent="0.2">
      <c r="Y17493" s="97"/>
    </row>
    <row r="17494" spans="25:25" x14ac:dyDescent="0.2">
      <c r="Y17494" s="97"/>
    </row>
    <row r="17495" spans="25:25" x14ac:dyDescent="0.2">
      <c r="Y17495" s="97"/>
    </row>
    <row r="17496" spans="25:25" x14ac:dyDescent="0.2">
      <c r="Y17496" s="97"/>
    </row>
    <row r="17497" spans="25:25" x14ac:dyDescent="0.2">
      <c r="Y17497" s="97"/>
    </row>
    <row r="17498" spans="25:25" x14ac:dyDescent="0.2">
      <c r="Y17498" s="97"/>
    </row>
    <row r="17499" spans="25:25" x14ac:dyDescent="0.2">
      <c r="Y17499" s="97"/>
    </row>
    <row r="17500" spans="25:25" x14ac:dyDescent="0.2">
      <c r="Y17500" s="97"/>
    </row>
    <row r="17501" spans="25:25" x14ac:dyDescent="0.2">
      <c r="Y17501" s="97"/>
    </row>
    <row r="17502" spans="25:25" x14ac:dyDescent="0.2">
      <c r="Y17502" s="97"/>
    </row>
    <row r="17503" spans="25:25" x14ac:dyDescent="0.2">
      <c r="Y17503" s="97"/>
    </row>
    <row r="17504" spans="25:25" x14ac:dyDescent="0.2">
      <c r="Y17504" s="97"/>
    </row>
    <row r="17505" spans="25:25" x14ac:dyDescent="0.2">
      <c r="Y17505" s="97"/>
    </row>
    <row r="17506" spans="25:25" x14ac:dyDescent="0.2">
      <c r="Y17506" s="97"/>
    </row>
    <row r="17507" spans="25:25" x14ac:dyDescent="0.2">
      <c r="Y17507" s="97"/>
    </row>
    <row r="17508" spans="25:25" x14ac:dyDescent="0.2">
      <c r="Y17508" s="97"/>
    </row>
    <row r="17509" spans="25:25" x14ac:dyDescent="0.2">
      <c r="Y17509" s="97"/>
    </row>
    <row r="17510" spans="25:25" x14ac:dyDescent="0.2">
      <c r="Y17510" s="97"/>
    </row>
    <row r="17511" spans="25:25" x14ac:dyDescent="0.2">
      <c r="Y17511" s="97"/>
    </row>
    <row r="17512" spans="25:25" x14ac:dyDescent="0.2">
      <c r="Y17512" s="97"/>
    </row>
    <row r="17513" spans="25:25" x14ac:dyDescent="0.2">
      <c r="Y17513" s="97"/>
    </row>
    <row r="17514" spans="25:25" x14ac:dyDescent="0.2">
      <c r="Y17514" s="97"/>
    </row>
    <row r="17515" spans="25:25" x14ac:dyDescent="0.2">
      <c r="Y17515" s="97"/>
    </row>
    <row r="17516" spans="25:25" x14ac:dyDescent="0.2">
      <c r="Y17516" s="97"/>
    </row>
    <row r="17517" spans="25:25" x14ac:dyDescent="0.2">
      <c r="Y17517" s="97"/>
    </row>
    <row r="17518" spans="25:25" x14ac:dyDescent="0.2">
      <c r="Y17518" s="97"/>
    </row>
    <row r="17519" spans="25:25" x14ac:dyDescent="0.2">
      <c r="Y17519" s="97"/>
    </row>
    <row r="17520" spans="25:25" x14ac:dyDescent="0.2">
      <c r="Y17520" s="97"/>
    </row>
    <row r="17521" spans="25:25" x14ac:dyDescent="0.2">
      <c r="Y17521" s="97"/>
    </row>
    <row r="17522" spans="25:25" x14ac:dyDescent="0.2">
      <c r="Y17522" s="97"/>
    </row>
    <row r="17523" spans="25:25" x14ac:dyDescent="0.2">
      <c r="Y17523" s="97"/>
    </row>
    <row r="17524" spans="25:25" x14ac:dyDescent="0.2">
      <c r="Y17524" s="97"/>
    </row>
    <row r="17525" spans="25:25" x14ac:dyDescent="0.2">
      <c r="Y17525" s="97"/>
    </row>
    <row r="17526" spans="25:25" x14ac:dyDescent="0.2">
      <c r="Y17526" s="97"/>
    </row>
    <row r="17527" spans="25:25" x14ac:dyDescent="0.2">
      <c r="Y17527" s="97"/>
    </row>
    <row r="17528" spans="25:25" x14ac:dyDescent="0.2">
      <c r="Y17528" s="97"/>
    </row>
    <row r="17529" spans="25:25" x14ac:dyDescent="0.2">
      <c r="Y17529" s="97"/>
    </row>
    <row r="17530" spans="25:25" x14ac:dyDescent="0.2">
      <c r="Y17530" s="97"/>
    </row>
    <row r="17531" spans="25:25" x14ac:dyDescent="0.2">
      <c r="Y17531" s="97"/>
    </row>
    <row r="17532" spans="25:25" x14ac:dyDescent="0.2">
      <c r="Y17532" s="97"/>
    </row>
    <row r="17533" spans="25:25" x14ac:dyDescent="0.2">
      <c r="Y17533" s="97"/>
    </row>
    <row r="17534" spans="25:25" x14ac:dyDescent="0.2">
      <c r="Y17534" s="97"/>
    </row>
    <row r="17535" spans="25:25" x14ac:dyDescent="0.2">
      <c r="Y17535" s="97"/>
    </row>
    <row r="17536" spans="25:25" x14ac:dyDescent="0.2">
      <c r="Y17536" s="97"/>
    </row>
    <row r="17537" spans="25:25" x14ac:dyDescent="0.2">
      <c r="Y17537" s="97"/>
    </row>
    <row r="17538" spans="25:25" x14ac:dyDescent="0.2">
      <c r="Y17538" s="97"/>
    </row>
    <row r="17539" spans="25:25" x14ac:dyDescent="0.2">
      <c r="Y17539" s="97"/>
    </row>
    <row r="17540" spans="25:25" x14ac:dyDescent="0.2">
      <c r="Y17540" s="97"/>
    </row>
    <row r="17541" spans="25:25" x14ac:dyDescent="0.2">
      <c r="Y17541" s="97"/>
    </row>
    <row r="17542" spans="25:25" x14ac:dyDescent="0.2">
      <c r="Y17542" s="97"/>
    </row>
    <row r="17543" spans="25:25" x14ac:dyDescent="0.2">
      <c r="Y17543" s="97"/>
    </row>
    <row r="17544" spans="25:25" x14ac:dyDescent="0.2">
      <c r="Y17544" s="97"/>
    </row>
    <row r="17545" spans="25:25" x14ac:dyDescent="0.2">
      <c r="Y17545" s="97"/>
    </row>
    <row r="17546" spans="25:25" x14ac:dyDescent="0.2">
      <c r="Y17546" s="97"/>
    </row>
    <row r="17547" spans="25:25" x14ac:dyDescent="0.2">
      <c r="Y17547" s="97"/>
    </row>
    <row r="17548" spans="25:25" x14ac:dyDescent="0.2">
      <c r="Y17548" s="97"/>
    </row>
    <row r="17549" spans="25:25" x14ac:dyDescent="0.2">
      <c r="Y17549" s="97"/>
    </row>
    <row r="17550" spans="25:25" x14ac:dyDescent="0.2">
      <c r="Y17550" s="97"/>
    </row>
    <row r="17551" spans="25:25" x14ac:dyDescent="0.2">
      <c r="Y17551" s="97"/>
    </row>
    <row r="17552" spans="25:25" x14ac:dyDescent="0.2">
      <c r="Y17552" s="97"/>
    </row>
    <row r="17553" spans="25:25" x14ac:dyDescent="0.2">
      <c r="Y17553" s="97"/>
    </row>
    <row r="17554" spans="25:25" x14ac:dyDescent="0.2">
      <c r="Y17554" s="97"/>
    </row>
    <row r="17555" spans="25:25" x14ac:dyDescent="0.2">
      <c r="Y17555" s="97"/>
    </row>
    <row r="17556" spans="25:25" x14ac:dyDescent="0.2">
      <c r="Y17556" s="97"/>
    </row>
    <row r="17557" spans="25:25" x14ac:dyDescent="0.2">
      <c r="Y17557" s="97"/>
    </row>
    <row r="17558" spans="25:25" x14ac:dyDescent="0.2">
      <c r="Y17558" s="97"/>
    </row>
    <row r="17559" spans="25:25" x14ac:dyDescent="0.2">
      <c r="Y17559" s="97"/>
    </row>
    <row r="17560" spans="25:25" x14ac:dyDescent="0.2">
      <c r="Y17560" s="97"/>
    </row>
    <row r="17561" spans="25:25" x14ac:dyDescent="0.2">
      <c r="Y17561" s="97"/>
    </row>
    <row r="17562" spans="25:25" x14ac:dyDescent="0.2">
      <c r="Y17562" s="97"/>
    </row>
    <row r="17563" spans="25:25" x14ac:dyDescent="0.2">
      <c r="Y17563" s="97"/>
    </row>
    <row r="17564" spans="25:25" x14ac:dyDescent="0.2">
      <c r="Y17564" s="97"/>
    </row>
    <row r="17565" spans="25:25" x14ac:dyDescent="0.2">
      <c r="Y17565" s="97"/>
    </row>
    <row r="17566" spans="25:25" x14ac:dyDescent="0.2">
      <c r="Y17566" s="97"/>
    </row>
    <row r="17567" spans="25:25" x14ac:dyDescent="0.2">
      <c r="Y17567" s="97"/>
    </row>
    <row r="17568" spans="25:25" x14ac:dyDescent="0.2">
      <c r="Y17568" s="97"/>
    </row>
    <row r="17569" spans="25:25" x14ac:dyDescent="0.2">
      <c r="Y17569" s="97"/>
    </row>
    <row r="17570" spans="25:25" x14ac:dyDescent="0.2">
      <c r="Y17570" s="97"/>
    </row>
    <row r="17571" spans="25:25" x14ac:dyDescent="0.2">
      <c r="Y17571" s="97"/>
    </row>
    <row r="17572" spans="25:25" x14ac:dyDescent="0.2">
      <c r="Y17572" s="97"/>
    </row>
    <row r="17573" spans="25:25" x14ac:dyDescent="0.2">
      <c r="Y17573" s="97"/>
    </row>
    <row r="17574" spans="25:25" x14ac:dyDescent="0.2">
      <c r="Y17574" s="97"/>
    </row>
    <row r="17575" spans="25:25" x14ac:dyDescent="0.2">
      <c r="Y17575" s="97"/>
    </row>
    <row r="17576" spans="25:25" x14ac:dyDescent="0.2">
      <c r="Y17576" s="97"/>
    </row>
    <row r="17577" spans="25:25" x14ac:dyDescent="0.2">
      <c r="Y17577" s="97"/>
    </row>
    <row r="17578" spans="25:25" x14ac:dyDescent="0.2">
      <c r="Y17578" s="97"/>
    </row>
    <row r="17579" spans="25:25" x14ac:dyDescent="0.2">
      <c r="Y17579" s="97"/>
    </row>
    <row r="17580" spans="25:25" x14ac:dyDescent="0.2">
      <c r="Y17580" s="97"/>
    </row>
    <row r="17581" spans="25:25" x14ac:dyDescent="0.2">
      <c r="Y17581" s="97"/>
    </row>
    <row r="17582" spans="25:25" x14ac:dyDescent="0.2">
      <c r="Y17582" s="97"/>
    </row>
    <row r="17583" spans="25:25" x14ac:dyDescent="0.2">
      <c r="Y17583" s="97"/>
    </row>
    <row r="17584" spans="25:25" x14ac:dyDescent="0.2">
      <c r="Y17584" s="97"/>
    </row>
    <row r="17585" spans="25:25" x14ac:dyDescent="0.2">
      <c r="Y17585" s="97"/>
    </row>
    <row r="17586" spans="25:25" x14ac:dyDescent="0.2">
      <c r="Y17586" s="97"/>
    </row>
    <row r="17587" spans="25:25" x14ac:dyDescent="0.2">
      <c r="Y17587" s="97"/>
    </row>
    <row r="17588" spans="25:25" x14ac:dyDescent="0.2">
      <c r="Y17588" s="97"/>
    </row>
    <row r="17589" spans="25:25" x14ac:dyDescent="0.2">
      <c r="Y17589" s="97"/>
    </row>
    <row r="17590" spans="25:25" x14ac:dyDescent="0.2">
      <c r="Y17590" s="97"/>
    </row>
    <row r="17591" spans="25:25" x14ac:dyDescent="0.2">
      <c r="Y17591" s="97"/>
    </row>
    <row r="17592" spans="25:25" x14ac:dyDescent="0.2">
      <c r="Y17592" s="97"/>
    </row>
    <row r="17593" spans="25:25" x14ac:dyDescent="0.2">
      <c r="Y17593" s="97"/>
    </row>
    <row r="17594" spans="25:25" x14ac:dyDescent="0.2">
      <c r="Y17594" s="97"/>
    </row>
    <row r="17595" spans="25:25" x14ac:dyDescent="0.2">
      <c r="Y17595" s="97"/>
    </row>
    <row r="17596" spans="25:25" x14ac:dyDescent="0.2">
      <c r="Y17596" s="97"/>
    </row>
    <row r="17597" spans="25:25" x14ac:dyDescent="0.2">
      <c r="Y17597" s="97"/>
    </row>
    <row r="17598" spans="25:25" x14ac:dyDescent="0.2">
      <c r="Y17598" s="97"/>
    </row>
    <row r="17599" spans="25:25" x14ac:dyDescent="0.2">
      <c r="Y17599" s="97"/>
    </row>
    <row r="17600" spans="25:25" x14ac:dyDescent="0.2">
      <c r="Y17600" s="97"/>
    </row>
    <row r="17601" spans="25:25" x14ac:dyDescent="0.2">
      <c r="Y17601" s="97"/>
    </row>
    <row r="17602" spans="25:25" x14ac:dyDescent="0.2">
      <c r="Y17602" s="97"/>
    </row>
    <row r="17603" spans="25:25" x14ac:dyDescent="0.2">
      <c r="Y17603" s="97"/>
    </row>
    <row r="17604" spans="25:25" x14ac:dyDescent="0.2">
      <c r="Y17604" s="97"/>
    </row>
    <row r="17605" spans="25:25" x14ac:dyDescent="0.2">
      <c r="Y17605" s="97"/>
    </row>
    <row r="17606" spans="25:25" x14ac:dyDescent="0.2">
      <c r="Y17606" s="97"/>
    </row>
    <row r="17607" spans="25:25" x14ac:dyDescent="0.2">
      <c r="Y17607" s="97"/>
    </row>
    <row r="17608" spans="25:25" x14ac:dyDescent="0.2">
      <c r="Y17608" s="97"/>
    </row>
    <row r="17609" spans="25:25" x14ac:dyDescent="0.2">
      <c r="Y17609" s="97"/>
    </row>
    <row r="17610" spans="25:25" x14ac:dyDescent="0.2">
      <c r="Y17610" s="97"/>
    </row>
    <row r="17611" spans="25:25" x14ac:dyDescent="0.2">
      <c r="Y17611" s="97"/>
    </row>
    <row r="17612" spans="25:25" x14ac:dyDescent="0.2">
      <c r="Y17612" s="97"/>
    </row>
    <row r="17613" spans="25:25" x14ac:dyDescent="0.2">
      <c r="Y17613" s="97"/>
    </row>
    <row r="17614" spans="25:25" x14ac:dyDescent="0.2">
      <c r="Y17614" s="97"/>
    </row>
    <row r="17615" spans="25:25" x14ac:dyDescent="0.2">
      <c r="Y17615" s="97"/>
    </row>
    <row r="17616" spans="25:25" x14ac:dyDescent="0.2">
      <c r="Y17616" s="97"/>
    </row>
    <row r="17617" spans="25:25" x14ac:dyDescent="0.2">
      <c r="Y17617" s="97"/>
    </row>
    <row r="17618" spans="25:25" x14ac:dyDescent="0.2">
      <c r="Y17618" s="97"/>
    </row>
    <row r="17619" spans="25:25" x14ac:dyDescent="0.2">
      <c r="Y17619" s="97"/>
    </row>
    <row r="17620" spans="25:25" x14ac:dyDescent="0.2">
      <c r="Y17620" s="97"/>
    </row>
    <row r="17621" spans="25:25" x14ac:dyDescent="0.2">
      <c r="Y17621" s="97"/>
    </row>
    <row r="17622" spans="25:25" x14ac:dyDescent="0.2">
      <c r="Y17622" s="97"/>
    </row>
    <row r="17623" spans="25:25" x14ac:dyDescent="0.2">
      <c r="Y17623" s="97"/>
    </row>
    <row r="17624" spans="25:25" x14ac:dyDescent="0.2">
      <c r="Y17624" s="97"/>
    </row>
    <row r="17625" spans="25:25" x14ac:dyDescent="0.2">
      <c r="Y17625" s="97"/>
    </row>
    <row r="17626" spans="25:25" x14ac:dyDescent="0.2">
      <c r="Y17626" s="97"/>
    </row>
    <row r="17627" spans="25:25" x14ac:dyDescent="0.2">
      <c r="Y17627" s="97"/>
    </row>
    <row r="17628" spans="25:25" x14ac:dyDescent="0.2">
      <c r="Y17628" s="97"/>
    </row>
    <row r="17629" spans="25:25" x14ac:dyDescent="0.2">
      <c r="Y17629" s="97"/>
    </row>
    <row r="17630" spans="25:25" x14ac:dyDescent="0.2">
      <c r="Y17630" s="97"/>
    </row>
    <row r="17631" spans="25:25" x14ac:dyDescent="0.2">
      <c r="Y17631" s="97"/>
    </row>
    <row r="17632" spans="25:25" x14ac:dyDescent="0.2">
      <c r="Y17632" s="97"/>
    </row>
    <row r="17633" spans="25:25" x14ac:dyDescent="0.2">
      <c r="Y17633" s="97"/>
    </row>
    <row r="17634" spans="25:25" x14ac:dyDescent="0.2">
      <c r="Y17634" s="97"/>
    </row>
    <row r="17635" spans="25:25" x14ac:dyDescent="0.2">
      <c r="Y17635" s="97"/>
    </row>
    <row r="17636" spans="25:25" x14ac:dyDescent="0.2">
      <c r="Y17636" s="97"/>
    </row>
    <row r="17637" spans="25:25" x14ac:dyDescent="0.2">
      <c r="Y17637" s="97"/>
    </row>
    <row r="17638" spans="25:25" x14ac:dyDescent="0.2">
      <c r="Y17638" s="97"/>
    </row>
    <row r="17639" spans="25:25" x14ac:dyDescent="0.2">
      <c r="Y17639" s="97"/>
    </row>
    <row r="17640" spans="25:25" x14ac:dyDescent="0.2">
      <c r="Y17640" s="97"/>
    </row>
    <row r="17641" spans="25:25" x14ac:dyDescent="0.2">
      <c r="Y17641" s="97"/>
    </row>
    <row r="17642" spans="25:25" x14ac:dyDescent="0.2">
      <c r="Y17642" s="97"/>
    </row>
    <row r="17643" spans="25:25" x14ac:dyDescent="0.2">
      <c r="Y17643" s="97"/>
    </row>
    <row r="17644" spans="25:25" x14ac:dyDescent="0.2">
      <c r="Y17644" s="97"/>
    </row>
    <row r="17645" spans="25:25" x14ac:dyDescent="0.2">
      <c r="Y17645" s="97"/>
    </row>
    <row r="17646" spans="25:25" x14ac:dyDescent="0.2">
      <c r="Y17646" s="97"/>
    </row>
    <row r="17647" spans="25:25" x14ac:dyDescent="0.2">
      <c r="Y17647" s="97"/>
    </row>
    <row r="17648" spans="25:25" x14ac:dyDescent="0.2">
      <c r="Y17648" s="97"/>
    </row>
    <row r="17649" spans="25:25" x14ac:dyDescent="0.2">
      <c r="Y17649" s="97"/>
    </row>
    <row r="17650" spans="25:25" x14ac:dyDescent="0.2">
      <c r="Y17650" s="97"/>
    </row>
    <row r="17651" spans="25:25" x14ac:dyDescent="0.2">
      <c r="Y17651" s="97"/>
    </row>
    <row r="17652" spans="25:25" x14ac:dyDescent="0.2">
      <c r="Y17652" s="97"/>
    </row>
    <row r="17653" spans="25:25" x14ac:dyDescent="0.2">
      <c r="Y17653" s="97"/>
    </row>
    <row r="17654" spans="25:25" x14ac:dyDescent="0.2">
      <c r="Y17654" s="97"/>
    </row>
    <row r="17655" spans="25:25" x14ac:dyDescent="0.2">
      <c r="Y17655" s="97"/>
    </row>
    <row r="17656" spans="25:25" x14ac:dyDescent="0.2">
      <c r="Y17656" s="97"/>
    </row>
    <row r="17657" spans="25:25" x14ac:dyDescent="0.2">
      <c r="Y17657" s="97"/>
    </row>
    <row r="17658" spans="25:25" x14ac:dyDescent="0.2">
      <c r="Y17658" s="97"/>
    </row>
    <row r="17659" spans="25:25" x14ac:dyDescent="0.2">
      <c r="Y17659" s="97"/>
    </row>
    <row r="17660" spans="25:25" x14ac:dyDescent="0.2">
      <c r="Y17660" s="97"/>
    </row>
    <row r="17661" spans="25:25" x14ac:dyDescent="0.2">
      <c r="Y17661" s="97"/>
    </row>
    <row r="17662" spans="25:25" x14ac:dyDescent="0.2">
      <c r="Y17662" s="97"/>
    </row>
    <row r="17663" spans="25:25" x14ac:dyDescent="0.2">
      <c r="Y17663" s="97"/>
    </row>
    <row r="17664" spans="25:25" x14ac:dyDescent="0.2">
      <c r="Y17664" s="97"/>
    </row>
    <row r="17665" spans="25:25" x14ac:dyDescent="0.2">
      <c r="Y17665" s="97"/>
    </row>
    <row r="17666" spans="25:25" x14ac:dyDescent="0.2">
      <c r="Y17666" s="97"/>
    </row>
    <row r="17667" spans="25:25" x14ac:dyDescent="0.2">
      <c r="Y17667" s="97"/>
    </row>
    <row r="17668" spans="25:25" x14ac:dyDescent="0.2">
      <c r="Y17668" s="97"/>
    </row>
    <row r="17669" spans="25:25" x14ac:dyDescent="0.2">
      <c r="Y17669" s="97"/>
    </row>
    <row r="17670" spans="25:25" x14ac:dyDescent="0.2">
      <c r="Y17670" s="97"/>
    </row>
    <row r="17671" spans="25:25" x14ac:dyDescent="0.2">
      <c r="Y17671" s="97"/>
    </row>
    <row r="17672" spans="25:25" x14ac:dyDescent="0.2">
      <c r="Y17672" s="97"/>
    </row>
    <row r="17673" spans="25:25" x14ac:dyDescent="0.2">
      <c r="Y17673" s="97"/>
    </row>
    <row r="17674" spans="25:25" x14ac:dyDescent="0.2">
      <c r="Y17674" s="97"/>
    </row>
    <row r="17675" spans="25:25" x14ac:dyDescent="0.2">
      <c r="Y17675" s="97"/>
    </row>
    <row r="17676" spans="25:25" x14ac:dyDescent="0.2">
      <c r="Y17676" s="97"/>
    </row>
    <row r="17677" spans="25:25" x14ac:dyDescent="0.2">
      <c r="Y17677" s="97"/>
    </row>
    <row r="17678" spans="25:25" x14ac:dyDescent="0.2">
      <c r="Y17678" s="97"/>
    </row>
    <row r="17679" spans="25:25" x14ac:dyDescent="0.2">
      <c r="Y17679" s="97"/>
    </row>
    <row r="17680" spans="25:25" x14ac:dyDescent="0.2">
      <c r="Y17680" s="97"/>
    </row>
    <row r="17681" spans="25:25" x14ac:dyDescent="0.2">
      <c r="Y17681" s="97"/>
    </row>
    <row r="17682" spans="25:25" x14ac:dyDescent="0.2">
      <c r="Y17682" s="97"/>
    </row>
    <row r="17683" spans="25:25" x14ac:dyDescent="0.2">
      <c r="Y17683" s="97"/>
    </row>
    <row r="17684" spans="25:25" x14ac:dyDescent="0.2">
      <c r="Y17684" s="97"/>
    </row>
    <row r="17685" spans="25:25" x14ac:dyDescent="0.2">
      <c r="Y17685" s="97"/>
    </row>
    <row r="17686" spans="25:25" x14ac:dyDescent="0.2">
      <c r="Y17686" s="97"/>
    </row>
    <row r="17687" spans="25:25" x14ac:dyDescent="0.2">
      <c r="Y17687" s="97"/>
    </row>
    <row r="17688" spans="25:25" x14ac:dyDescent="0.2">
      <c r="Y17688" s="97"/>
    </row>
    <row r="17689" spans="25:25" x14ac:dyDescent="0.2">
      <c r="Y17689" s="97"/>
    </row>
    <row r="17690" spans="25:25" x14ac:dyDescent="0.2">
      <c r="Y17690" s="97"/>
    </row>
    <row r="17691" spans="25:25" x14ac:dyDescent="0.2">
      <c r="Y17691" s="97"/>
    </row>
    <row r="17692" spans="25:25" x14ac:dyDescent="0.2">
      <c r="Y17692" s="97"/>
    </row>
    <row r="17693" spans="25:25" x14ac:dyDescent="0.2">
      <c r="Y17693" s="97"/>
    </row>
    <row r="17694" spans="25:25" x14ac:dyDescent="0.2">
      <c r="Y17694" s="97"/>
    </row>
    <row r="17695" spans="25:25" x14ac:dyDescent="0.2">
      <c r="Y17695" s="97"/>
    </row>
    <row r="17696" spans="25:25" x14ac:dyDescent="0.2">
      <c r="Y17696" s="97"/>
    </row>
    <row r="17697" spans="25:25" x14ac:dyDescent="0.2">
      <c r="Y17697" s="97"/>
    </row>
    <row r="17698" spans="25:25" x14ac:dyDescent="0.2">
      <c r="Y17698" s="97"/>
    </row>
    <row r="17699" spans="25:25" x14ac:dyDescent="0.2">
      <c r="Y17699" s="97"/>
    </row>
    <row r="17700" spans="25:25" x14ac:dyDescent="0.2">
      <c r="Y17700" s="97"/>
    </row>
    <row r="17701" spans="25:25" x14ac:dyDescent="0.2">
      <c r="Y17701" s="97"/>
    </row>
    <row r="17702" spans="25:25" x14ac:dyDescent="0.2">
      <c r="Y17702" s="97"/>
    </row>
    <row r="17703" spans="25:25" x14ac:dyDescent="0.2">
      <c r="Y17703" s="97"/>
    </row>
    <row r="17704" spans="25:25" x14ac:dyDescent="0.2">
      <c r="Y17704" s="97"/>
    </row>
    <row r="17705" spans="25:25" x14ac:dyDescent="0.2">
      <c r="Y17705" s="97"/>
    </row>
    <row r="17706" spans="25:25" x14ac:dyDescent="0.2">
      <c r="Y17706" s="97"/>
    </row>
    <row r="17707" spans="25:25" x14ac:dyDescent="0.2">
      <c r="Y17707" s="97"/>
    </row>
    <row r="17708" spans="25:25" x14ac:dyDescent="0.2">
      <c r="Y17708" s="97"/>
    </row>
    <row r="17709" spans="25:25" x14ac:dyDescent="0.2">
      <c r="Y17709" s="97"/>
    </row>
    <row r="17710" spans="25:25" x14ac:dyDescent="0.2">
      <c r="Y17710" s="97"/>
    </row>
    <row r="17711" spans="25:25" x14ac:dyDescent="0.2">
      <c r="Y17711" s="97"/>
    </row>
    <row r="17712" spans="25:25" x14ac:dyDescent="0.2">
      <c r="Y17712" s="97"/>
    </row>
    <row r="17713" spans="25:25" x14ac:dyDescent="0.2">
      <c r="Y17713" s="97"/>
    </row>
    <row r="17714" spans="25:25" x14ac:dyDescent="0.2">
      <c r="Y17714" s="97"/>
    </row>
    <row r="17715" spans="25:25" x14ac:dyDescent="0.2">
      <c r="Y17715" s="97"/>
    </row>
    <row r="17716" spans="25:25" x14ac:dyDescent="0.2">
      <c r="Y17716" s="97"/>
    </row>
    <row r="17717" spans="25:25" x14ac:dyDescent="0.2">
      <c r="Y17717" s="97"/>
    </row>
    <row r="17718" spans="25:25" x14ac:dyDescent="0.2">
      <c r="Y17718" s="97"/>
    </row>
    <row r="17719" spans="25:25" x14ac:dyDescent="0.2">
      <c r="Y17719" s="97"/>
    </row>
    <row r="17720" spans="25:25" x14ac:dyDescent="0.2">
      <c r="Y17720" s="97"/>
    </row>
    <row r="17721" spans="25:25" x14ac:dyDescent="0.2">
      <c r="Y17721" s="97"/>
    </row>
    <row r="17722" spans="25:25" x14ac:dyDescent="0.2">
      <c r="Y17722" s="97"/>
    </row>
    <row r="17723" spans="25:25" x14ac:dyDescent="0.2">
      <c r="Y17723" s="97"/>
    </row>
    <row r="17724" spans="25:25" x14ac:dyDescent="0.2">
      <c r="Y17724" s="97"/>
    </row>
    <row r="17725" spans="25:25" x14ac:dyDescent="0.2">
      <c r="Y17725" s="97"/>
    </row>
    <row r="17726" spans="25:25" x14ac:dyDescent="0.2">
      <c r="Y17726" s="97"/>
    </row>
    <row r="17727" spans="25:25" x14ac:dyDescent="0.2">
      <c r="Y17727" s="97"/>
    </row>
    <row r="17728" spans="25:25" x14ac:dyDescent="0.2">
      <c r="Y17728" s="97"/>
    </row>
    <row r="17729" spans="25:25" x14ac:dyDescent="0.2">
      <c r="Y17729" s="97"/>
    </row>
    <row r="17730" spans="25:25" x14ac:dyDescent="0.2">
      <c r="Y17730" s="97"/>
    </row>
    <row r="17731" spans="25:25" x14ac:dyDescent="0.2">
      <c r="Y17731" s="97"/>
    </row>
    <row r="17732" spans="25:25" x14ac:dyDescent="0.2">
      <c r="Y17732" s="97"/>
    </row>
    <row r="17733" spans="25:25" x14ac:dyDescent="0.2">
      <c r="Y17733" s="97"/>
    </row>
    <row r="17734" spans="25:25" x14ac:dyDescent="0.2">
      <c r="Y17734" s="97"/>
    </row>
    <row r="17735" spans="25:25" x14ac:dyDescent="0.2">
      <c r="Y17735" s="97"/>
    </row>
    <row r="17736" spans="25:25" x14ac:dyDescent="0.2">
      <c r="Y17736" s="97"/>
    </row>
    <row r="17737" spans="25:25" x14ac:dyDescent="0.2">
      <c r="Y17737" s="97"/>
    </row>
    <row r="17738" spans="25:25" x14ac:dyDescent="0.2">
      <c r="Y17738" s="97"/>
    </row>
    <row r="17739" spans="25:25" x14ac:dyDescent="0.2">
      <c r="Y17739" s="97"/>
    </row>
    <row r="17740" spans="25:25" x14ac:dyDescent="0.2">
      <c r="Y17740" s="97"/>
    </row>
    <row r="17741" spans="25:25" x14ac:dyDescent="0.2">
      <c r="Y17741" s="97"/>
    </row>
    <row r="17742" spans="25:25" x14ac:dyDescent="0.2">
      <c r="Y17742" s="97"/>
    </row>
    <row r="17743" spans="25:25" x14ac:dyDescent="0.2">
      <c r="Y17743" s="97"/>
    </row>
    <row r="17744" spans="25:25" x14ac:dyDescent="0.2">
      <c r="Y17744" s="97"/>
    </row>
    <row r="17745" spans="25:25" x14ac:dyDescent="0.2">
      <c r="Y17745" s="97"/>
    </row>
    <row r="17746" spans="25:25" x14ac:dyDescent="0.2">
      <c r="Y17746" s="97"/>
    </row>
    <row r="17747" spans="25:25" x14ac:dyDescent="0.2">
      <c r="Y17747" s="97"/>
    </row>
    <row r="17748" spans="25:25" x14ac:dyDescent="0.2">
      <c r="Y17748" s="97"/>
    </row>
    <row r="17749" spans="25:25" x14ac:dyDescent="0.2">
      <c r="Y17749" s="97"/>
    </row>
    <row r="17750" spans="25:25" x14ac:dyDescent="0.2">
      <c r="Y17750" s="97"/>
    </row>
    <row r="17751" spans="25:25" x14ac:dyDescent="0.2">
      <c r="Y17751" s="97"/>
    </row>
    <row r="17752" spans="25:25" x14ac:dyDescent="0.2">
      <c r="Y17752" s="97"/>
    </row>
    <row r="17753" spans="25:25" x14ac:dyDescent="0.2">
      <c r="Y17753" s="97"/>
    </row>
    <row r="17754" spans="25:25" x14ac:dyDescent="0.2">
      <c r="Y17754" s="97"/>
    </row>
    <row r="17755" spans="25:25" x14ac:dyDescent="0.2">
      <c r="Y17755" s="97"/>
    </row>
    <row r="17756" spans="25:25" x14ac:dyDescent="0.2">
      <c r="Y17756" s="97"/>
    </row>
    <row r="17757" spans="25:25" x14ac:dyDescent="0.2">
      <c r="Y17757" s="97"/>
    </row>
    <row r="17758" spans="25:25" x14ac:dyDescent="0.2">
      <c r="Y17758" s="97"/>
    </row>
    <row r="17759" spans="25:25" x14ac:dyDescent="0.2">
      <c r="Y17759" s="97"/>
    </row>
    <row r="17760" spans="25:25" x14ac:dyDescent="0.2">
      <c r="Y17760" s="97"/>
    </row>
    <row r="17761" spans="25:25" x14ac:dyDescent="0.2">
      <c r="Y17761" s="97"/>
    </row>
    <row r="17762" spans="25:25" x14ac:dyDescent="0.2">
      <c r="Y17762" s="97"/>
    </row>
    <row r="17763" spans="25:25" x14ac:dyDescent="0.2">
      <c r="Y17763" s="97"/>
    </row>
    <row r="17764" spans="25:25" x14ac:dyDescent="0.2">
      <c r="Y17764" s="97"/>
    </row>
    <row r="17765" spans="25:25" x14ac:dyDescent="0.2">
      <c r="Y17765" s="97"/>
    </row>
    <row r="17766" spans="25:25" x14ac:dyDescent="0.2">
      <c r="Y17766" s="97"/>
    </row>
    <row r="17767" spans="25:25" x14ac:dyDescent="0.2">
      <c r="Y17767" s="97"/>
    </row>
    <row r="17768" spans="25:25" x14ac:dyDescent="0.2">
      <c r="Y17768" s="97"/>
    </row>
    <row r="17769" spans="25:25" x14ac:dyDescent="0.2">
      <c r="Y17769" s="97"/>
    </row>
    <row r="17770" spans="25:25" x14ac:dyDescent="0.2">
      <c r="Y17770" s="97"/>
    </row>
    <row r="17771" spans="25:25" x14ac:dyDescent="0.2">
      <c r="Y17771" s="97"/>
    </row>
    <row r="17772" spans="25:25" x14ac:dyDescent="0.2">
      <c r="Y17772" s="97"/>
    </row>
    <row r="17773" spans="25:25" x14ac:dyDescent="0.2">
      <c r="Y17773" s="97"/>
    </row>
    <row r="17774" spans="25:25" x14ac:dyDescent="0.2">
      <c r="Y17774" s="97"/>
    </row>
    <row r="17775" spans="25:25" x14ac:dyDescent="0.2">
      <c r="Y17775" s="97"/>
    </row>
    <row r="17776" spans="25:25" x14ac:dyDescent="0.2">
      <c r="Y17776" s="97"/>
    </row>
    <row r="17777" spans="25:25" x14ac:dyDescent="0.2">
      <c r="Y17777" s="97"/>
    </row>
    <row r="17778" spans="25:25" x14ac:dyDescent="0.2">
      <c r="Y17778" s="97"/>
    </row>
    <row r="17779" spans="25:25" x14ac:dyDescent="0.2">
      <c r="Y17779" s="97"/>
    </row>
    <row r="17780" spans="25:25" x14ac:dyDescent="0.2">
      <c r="Y17780" s="97"/>
    </row>
    <row r="17781" spans="25:25" x14ac:dyDescent="0.2">
      <c r="Y17781" s="97"/>
    </row>
    <row r="17782" spans="25:25" x14ac:dyDescent="0.2">
      <c r="Y17782" s="97"/>
    </row>
    <row r="17783" spans="25:25" x14ac:dyDescent="0.2">
      <c r="Y17783" s="97"/>
    </row>
    <row r="17784" spans="25:25" x14ac:dyDescent="0.2">
      <c r="Y17784" s="97"/>
    </row>
    <row r="17785" spans="25:25" x14ac:dyDescent="0.2">
      <c r="Y17785" s="97"/>
    </row>
    <row r="17786" spans="25:25" x14ac:dyDescent="0.2">
      <c r="Y17786" s="97"/>
    </row>
    <row r="17787" spans="25:25" x14ac:dyDescent="0.2">
      <c r="Y17787" s="97"/>
    </row>
    <row r="17788" spans="25:25" x14ac:dyDescent="0.2">
      <c r="Y17788" s="97"/>
    </row>
    <row r="17789" spans="25:25" x14ac:dyDescent="0.2">
      <c r="Y17789" s="97"/>
    </row>
    <row r="17790" spans="25:25" x14ac:dyDescent="0.2">
      <c r="Y17790" s="97"/>
    </row>
    <row r="17791" spans="25:25" x14ac:dyDescent="0.2">
      <c r="Y17791" s="97"/>
    </row>
    <row r="17792" spans="25:25" x14ac:dyDescent="0.2">
      <c r="Y17792" s="97"/>
    </row>
    <row r="17793" spans="25:25" x14ac:dyDescent="0.2">
      <c r="Y17793" s="97"/>
    </row>
    <row r="17794" spans="25:25" x14ac:dyDescent="0.2">
      <c r="Y17794" s="97"/>
    </row>
    <row r="17795" spans="25:25" x14ac:dyDescent="0.2">
      <c r="Y17795" s="97"/>
    </row>
    <row r="17796" spans="25:25" x14ac:dyDescent="0.2">
      <c r="Y17796" s="97"/>
    </row>
    <row r="17797" spans="25:25" x14ac:dyDescent="0.2">
      <c r="Y17797" s="97"/>
    </row>
    <row r="17798" spans="25:25" x14ac:dyDescent="0.2">
      <c r="Y17798" s="97"/>
    </row>
    <row r="17799" spans="25:25" x14ac:dyDescent="0.2">
      <c r="Y17799" s="97"/>
    </row>
    <row r="17800" spans="25:25" x14ac:dyDescent="0.2">
      <c r="Y17800" s="97"/>
    </row>
    <row r="17801" spans="25:25" x14ac:dyDescent="0.2">
      <c r="Y17801" s="97"/>
    </row>
    <row r="17802" spans="25:25" x14ac:dyDescent="0.2">
      <c r="Y17802" s="97"/>
    </row>
    <row r="17803" spans="25:25" x14ac:dyDescent="0.2">
      <c r="Y17803" s="97"/>
    </row>
    <row r="17804" spans="25:25" x14ac:dyDescent="0.2">
      <c r="Y17804" s="97"/>
    </row>
    <row r="17805" spans="25:25" x14ac:dyDescent="0.2">
      <c r="Y17805" s="97"/>
    </row>
    <row r="17806" spans="25:25" x14ac:dyDescent="0.2">
      <c r="Y17806" s="97"/>
    </row>
    <row r="17807" spans="25:25" x14ac:dyDescent="0.2">
      <c r="Y17807" s="97"/>
    </row>
    <row r="17808" spans="25:25" x14ac:dyDescent="0.2">
      <c r="Y17808" s="97"/>
    </row>
    <row r="17809" spans="25:25" x14ac:dyDescent="0.2">
      <c r="Y17809" s="97"/>
    </row>
    <row r="17810" spans="25:25" x14ac:dyDescent="0.2">
      <c r="Y17810" s="97"/>
    </row>
    <row r="17811" spans="25:25" x14ac:dyDescent="0.2">
      <c r="Y17811" s="97"/>
    </row>
    <row r="17812" spans="25:25" x14ac:dyDescent="0.2">
      <c r="Y17812" s="97"/>
    </row>
    <row r="17813" spans="25:25" x14ac:dyDescent="0.2">
      <c r="Y17813" s="97"/>
    </row>
    <row r="17814" spans="25:25" x14ac:dyDescent="0.2">
      <c r="Y17814" s="97"/>
    </row>
    <row r="17815" spans="25:25" x14ac:dyDescent="0.2">
      <c r="Y17815" s="97"/>
    </row>
    <row r="17816" spans="25:25" x14ac:dyDescent="0.2">
      <c r="Y17816" s="97"/>
    </row>
    <row r="17817" spans="25:25" x14ac:dyDescent="0.2">
      <c r="Y17817" s="97"/>
    </row>
    <row r="17818" spans="25:25" x14ac:dyDescent="0.2">
      <c r="Y17818" s="97"/>
    </row>
    <row r="17819" spans="25:25" x14ac:dyDescent="0.2">
      <c r="Y17819" s="97"/>
    </row>
    <row r="17820" spans="25:25" x14ac:dyDescent="0.2">
      <c r="Y17820" s="97"/>
    </row>
    <row r="17821" spans="25:25" x14ac:dyDescent="0.2">
      <c r="Y17821" s="97"/>
    </row>
    <row r="17822" spans="25:25" x14ac:dyDescent="0.2">
      <c r="Y17822" s="97"/>
    </row>
    <row r="17823" spans="25:25" x14ac:dyDescent="0.2">
      <c r="Y17823" s="97"/>
    </row>
    <row r="17824" spans="25:25" x14ac:dyDescent="0.2">
      <c r="Y17824" s="97"/>
    </row>
    <row r="17825" spans="25:25" x14ac:dyDescent="0.2">
      <c r="Y17825" s="97"/>
    </row>
    <row r="17826" spans="25:25" x14ac:dyDescent="0.2">
      <c r="Y17826" s="97"/>
    </row>
    <row r="17827" spans="25:25" x14ac:dyDescent="0.2">
      <c r="Y17827" s="97"/>
    </row>
    <row r="17828" spans="25:25" x14ac:dyDescent="0.2">
      <c r="Y17828" s="97"/>
    </row>
    <row r="17829" spans="25:25" x14ac:dyDescent="0.2">
      <c r="Y17829" s="97"/>
    </row>
    <row r="17830" spans="25:25" x14ac:dyDescent="0.2">
      <c r="Y17830" s="97"/>
    </row>
    <row r="17831" spans="25:25" x14ac:dyDescent="0.2">
      <c r="Y17831" s="97"/>
    </row>
    <row r="17832" spans="25:25" x14ac:dyDescent="0.2">
      <c r="Y17832" s="97"/>
    </row>
    <row r="17833" spans="25:25" x14ac:dyDescent="0.2">
      <c r="Y17833" s="97"/>
    </row>
    <row r="17834" spans="25:25" x14ac:dyDescent="0.2">
      <c r="Y17834" s="97"/>
    </row>
    <row r="17835" spans="25:25" x14ac:dyDescent="0.2">
      <c r="Y17835" s="97"/>
    </row>
    <row r="17836" spans="25:25" x14ac:dyDescent="0.2">
      <c r="Y17836" s="97"/>
    </row>
    <row r="17837" spans="25:25" x14ac:dyDescent="0.2">
      <c r="Y17837" s="97"/>
    </row>
    <row r="17838" spans="25:25" x14ac:dyDescent="0.2">
      <c r="Y17838" s="97"/>
    </row>
    <row r="17839" spans="25:25" x14ac:dyDescent="0.2">
      <c r="Y17839" s="97"/>
    </row>
    <row r="17840" spans="25:25" x14ac:dyDescent="0.2">
      <c r="Y17840" s="97"/>
    </row>
    <row r="17841" spans="25:25" x14ac:dyDescent="0.2">
      <c r="Y17841" s="97"/>
    </row>
    <row r="17842" spans="25:25" x14ac:dyDescent="0.2">
      <c r="Y17842" s="97"/>
    </row>
    <row r="17843" spans="25:25" x14ac:dyDescent="0.2">
      <c r="Y17843" s="97"/>
    </row>
    <row r="17844" spans="25:25" x14ac:dyDescent="0.2">
      <c r="Y17844" s="97"/>
    </row>
    <row r="17845" spans="25:25" x14ac:dyDescent="0.2">
      <c r="Y17845" s="97"/>
    </row>
    <row r="17846" spans="25:25" x14ac:dyDescent="0.2">
      <c r="Y17846" s="97"/>
    </row>
    <row r="17847" spans="25:25" x14ac:dyDescent="0.2">
      <c r="Y17847" s="97"/>
    </row>
    <row r="17848" spans="25:25" x14ac:dyDescent="0.2">
      <c r="Y17848" s="97"/>
    </row>
    <row r="17849" spans="25:25" x14ac:dyDescent="0.2">
      <c r="Y17849" s="97"/>
    </row>
    <row r="17850" spans="25:25" x14ac:dyDescent="0.2">
      <c r="Y17850" s="97"/>
    </row>
    <row r="17851" spans="25:25" x14ac:dyDescent="0.2">
      <c r="Y17851" s="97"/>
    </row>
    <row r="17852" spans="25:25" x14ac:dyDescent="0.2">
      <c r="Y17852" s="97"/>
    </row>
    <row r="17853" spans="25:25" x14ac:dyDescent="0.2">
      <c r="Y17853" s="97"/>
    </row>
    <row r="17854" spans="25:25" x14ac:dyDescent="0.2">
      <c r="Y17854" s="97"/>
    </row>
    <row r="17855" spans="25:25" x14ac:dyDescent="0.2">
      <c r="Y17855" s="97"/>
    </row>
    <row r="17856" spans="25:25" x14ac:dyDescent="0.2">
      <c r="Y17856" s="97"/>
    </row>
    <row r="17857" spans="25:25" x14ac:dyDescent="0.2">
      <c r="Y17857" s="97"/>
    </row>
    <row r="17858" spans="25:25" x14ac:dyDescent="0.2">
      <c r="Y17858" s="97"/>
    </row>
    <row r="17859" spans="25:25" x14ac:dyDescent="0.2">
      <c r="Y17859" s="97"/>
    </row>
    <row r="17860" spans="25:25" x14ac:dyDescent="0.2">
      <c r="Y17860" s="97"/>
    </row>
    <row r="17861" spans="25:25" x14ac:dyDescent="0.2">
      <c r="Y17861" s="97"/>
    </row>
    <row r="17862" spans="25:25" x14ac:dyDescent="0.2">
      <c r="Y17862" s="97"/>
    </row>
    <row r="17863" spans="25:25" x14ac:dyDescent="0.2">
      <c r="Y17863" s="97"/>
    </row>
    <row r="17864" spans="25:25" x14ac:dyDescent="0.2">
      <c r="Y17864" s="97"/>
    </row>
    <row r="17865" spans="25:25" x14ac:dyDescent="0.2">
      <c r="Y17865" s="97"/>
    </row>
    <row r="17866" spans="25:25" x14ac:dyDescent="0.2">
      <c r="Y17866" s="97"/>
    </row>
    <row r="17867" spans="25:25" x14ac:dyDescent="0.2">
      <c r="Y17867" s="97"/>
    </row>
    <row r="17868" spans="25:25" x14ac:dyDescent="0.2">
      <c r="Y17868" s="97"/>
    </row>
    <row r="17869" spans="25:25" x14ac:dyDescent="0.2">
      <c r="Y17869" s="97"/>
    </row>
    <row r="17870" spans="25:25" x14ac:dyDescent="0.2">
      <c r="Y17870" s="97"/>
    </row>
    <row r="17871" spans="25:25" x14ac:dyDescent="0.2">
      <c r="Y17871" s="97"/>
    </row>
    <row r="17872" spans="25:25" x14ac:dyDescent="0.2">
      <c r="Y17872" s="97"/>
    </row>
    <row r="17873" spans="25:25" x14ac:dyDescent="0.2">
      <c r="Y17873" s="97"/>
    </row>
    <row r="17874" spans="25:25" x14ac:dyDescent="0.2">
      <c r="Y17874" s="97"/>
    </row>
    <row r="17875" spans="25:25" x14ac:dyDescent="0.2">
      <c r="Y17875" s="97"/>
    </row>
    <row r="17876" spans="25:25" x14ac:dyDescent="0.2">
      <c r="Y17876" s="97"/>
    </row>
    <row r="17877" spans="25:25" x14ac:dyDescent="0.2">
      <c r="Y17877" s="97"/>
    </row>
    <row r="17878" spans="25:25" x14ac:dyDescent="0.2">
      <c r="Y17878" s="97"/>
    </row>
    <row r="17879" spans="25:25" x14ac:dyDescent="0.2">
      <c r="Y17879" s="97"/>
    </row>
    <row r="17880" spans="25:25" x14ac:dyDescent="0.2">
      <c r="Y17880" s="97"/>
    </row>
    <row r="17881" spans="25:25" x14ac:dyDescent="0.2">
      <c r="Y17881" s="97"/>
    </row>
    <row r="17882" spans="25:25" x14ac:dyDescent="0.2">
      <c r="Y17882" s="97"/>
    </row>
    <row r="17883" spans="25:25" x14ac:dyDescent="0.2">
      <c r="Y17883" s="97"/>
    </row>
    <row r="17884" spans="25:25" x14ac:dyDescent="0.2">
      <c r="Y17884" s="97"/>
    </row>
    <row r="17885" spans="25:25" x14ac:dyDescent="0.2">
      <c r="Y17885" s="97"/>
    </row>
    <row r="17886" spans="25:25" x14ac:dyDescent="0.2">
      <c r="Y17886" s="97"/>
    </row>
    <row r="17887" spans="25:25" x14ac:dyDescent="0.2">
      <c r="Y17887" s="97"/>
    </row>
    <row r="17888" spans="25:25" x14ac:dyDescent="0.2">
      <c r="Y17888" s="97"/>
    </row>
    <row r="17889" spans="25:25" x14ac:dyDescent="0.2">
      <c r="Y17889" s="97"/>
    </row>
    <row r="17890" spans="25:25" x14ac:dyDescent="0.2">
      <c r="Y17890" s="97"/>
    </row>
    <row r="17891" spans="25:25" x14ac:dyDescent="0.2">
      <c r="Y17891" s="97"/>
    </row>
    <row r="17892" spans="25:25" x14ac:dyDescent="0.2">
      <c r="Y17892" s="97"/>
    </row>
    <row r="17893" spans="25:25" x14ac:dyDescent="0.2">
      <c r="Y17893" s="97"/>
    </row>
    <row r="17894" spans="25:25" x14ac:dyDescent="0.2">
      <c r="Y17894" s="97"/>
    </row>
    <row r="17895" spans="25:25" x14ac:dyDescent="0.2">
      <c r="Y17895" s="97"/>
    </row>
    <row r="17896" spans="25:25" x14ac:dyDescent="0.2">
      <c r="Y17896" s="97"/>
    </row>
    <row r="17897" spans="25:25" x14ac:dyDescent="0.2">
      <c r="Y17897" s="97"/>
    </row>
    <row r="17898" spans="25:25" x14ac:dyDescent="0.2">
      <c r="Y17898" s="97"/>
    </row>
    <row r="17899" spans="25:25" x14ac:dyDescent="0.2">
      <c r="Y17899" s="97"/>
    </row>
    <row r="17900" spans="25:25" x14ac:dyDescent="0.2">
      <c r="Y17900" s="97"/>
    </row>
    <row r="17901" spans="25:25" x14ac:dyDescent="0.2">
      <c r="Y17901" s="97"/>
    </row>
    <row r="17902" spans="25:25" x14ac:dyDescent="0.2">
      <c r="Y17902" s="97"/>
    </row>
    <row r="17903" spans="25:25" x14ac:dyDescent="0.2">
      <c r="Y17903" s="97"/>
    </row>
    <row r="17904" spans="25:25" x14ac:dyDescent="0.2">
      <c r="Y17904" s="97"/>
    </row>
    <row r="17905" spans="25:25" x14ac:dyDescent="0.2">
      <c r="Y17905" s="97"/>
    </row>
    <row r="17906" spans="25:25" x14ac:dyDescent="0.2">
      <c r="Y17906" s="97"/>
    </row>
    <row r="17907" spans="25:25" x14ac:dyDescent="0.2">
      <c r="Y17907" s="97"/>
    </row>
    <row r="17908" spans="25:25" x14ac:dyDescent="0.2">
      <c r="Y17908" s="97"/>
    </row>
    <row r="17909" spans="25:25" x14ac:dyDescent="0.2">
      <c r="Y17909" s="97"/>
    </row>
    <row r="17910" spans="25:25" x14ac:dyDescent="0.2">
      <c r="Y17910" s="97"/>
    </row>
    <row r="17911" spans="25:25" x14ac:dyDescent="0.2">
      <c r="Y17911" s="97"/>
    </row>
    <row r="17912" spans="25:25" x14ac:dyDescent="0.2">
      <c r="Y17912" s="97"/>
    </row>
    <row r="17913" spans="25:25" x14ac:dyDescent="0.2">
      <c r="Y17913" s="97"/>
    </row>
    <row r="17914" spans="25:25" x14ac:dyDescent="0.2">
      <c r="Y17914" s="97"/>
    </row>
    <row r="17915" spans="25:25" x14ac:dyDescent="0.2">
      <c r="Y17915" s="97"/>
    </row>
    <row r="17916" spans="25:25" x14ac:dyDescent="0.2">
      <c r="Y17916" s="97"/>
    </row>
    <row r="17917" spans="25:25" x14ac:dyDescent="0.2">
      <c r="Y17917" s="97"/>
    </row>
    <row r="17918" spans="25:25" x14ac:dyDescent="0.2">
      <c r="Y17918" s="97"/>
    </row>
    <row r="17919" spans="25:25" x14ac:dyDescent="0.2">
      <c r="Y17919" s="97"/>
    </row>
    <row r="17920" spans="25:25" x14ac:dyDescent="0.2">
      <c r="Y17920" s="97"/>
    </row>
    <row r="17921" spans="25:25" x14ac:dyDescent="0.2">
      <c r="Y17921" s="97"/>
    </row>
    <row r="17922" spans="25:25" x14ac:dyDescent="0.2">
      <c r="Y17922" s="97"/>
    </row>
    <row r="17923" spans="25:25" x14ac:dyDescent="0.2">
      <c r="Y17923" s="97"/>
    </row>
    <row r="17924" spans="25:25" x14ac:dyDescent="0.2">
      <c r="Y17924" s="97"/>
    </row>
    <row r="17925" spans="25:25" x14ac:dyDescent="0.2">
      <c r="Y17925" s="97"/>
    </row>
    <row r="17926" spans="25:25" x14ac:dyDescent="0.2">
      <c r="Y17926" s="97"/>
    </row>
    <row r="17927" spans="25:25" x14ac:dyDescent="0.2">
      <c r="Y17927" s="97"/>
    </row>
    <row r="17928" spans="25:25" x14ac:dyDescent="0.2">
      <c r="Y17928" s="97"/>
    </row>
    <row r="17929" spans="25:25" x14ac:dyDescent="0.2">
      <c r="Y17929" s="97"/>
    </row>
    <row r="17930" spans="25:25" x14ac:dyDescent="0.2">
      <c r="Y17930" s="97"/>
    </row>
    <row r="17931" spans="25:25" x14ac:dyDescent="0.2">
      <c r="Y17931" s="97"/>
    </row>
    <row r="17932" spans="25:25" x14ac:dyDescent="0.2">
      <c r="Y17932" s="97"/>
    </row>
    <row r="17933" spans="25:25" x14ac:dyDescent="0.2">
      <c r="Y17933" s="97"/>
    </row>
    <row r="17934" spans="25:25" x14ac:dyDescent="0.2">
      <c r="Y17934" s="97"/>
    </row>
    <row r="17935" spans="25:25" x14ac:dyDescent="0.2">
      <c r="Y17935" s="97"/>
    </row>
    <row r="17936" spans="25:25" x14ac:dyDescent="0.2">
      <c r="Y17936" s="97"/>
    </row>
    <row r="17937" spans="25:25" x14ac:dyDescent="0.2">
      <c r="Y17937" s="97"/>
    </row>
    <row r="17938" spans="25:25" x14ac:dyDescent="0.2">
      <c r="Y17938" s="97"/>
    </row>
    <row r="17939" spans="25:25" x14ac:dyDescent="0.2">
      <c r="Y17939" s="97"/>
    </row>
    <row r="17940" spans="25:25" x14ac:dyDescent="0.2">
      <c r="Y17940" s="97"/>
    </row>
    <row r="17941" spans="25:25" x14ac:dyDescent="0.2">
      <c r="Y17941" s="97"/>
    </row>
    <row r="17942" spans="25:25" x14ac:dyDescent="0.2">
      <c r="Y17942" s="97"/>
    </row>
    <row r="17943" spans="25:25" x14ac:dyDescent="0.2">
      <c r="Y17943" s="97"/>
    </row>
    <row r="17944" spans="25:25" x14ac:dyDescent="0.2">
      <c r="Y17944" s="97"/>
    </row>
    <row r="17945" spans="25:25" x14ac:dyDescent="0.2">
      <c r="Y17945" s="97"/>
    </row>
    <row r="17946" spans="25:25" x14ac:dyDescent="0.2">
      <c r="Y17946" s="97"/>
    </row>
    <row r="17947" spans="25:25" x14ac:dyDescent="0.2">
      <c r="Y17947" s="97"/>
    </row>
    <row r="17948" spans="25:25" x14ac:dyDescent="0.2">
      <c r="Y17948" s="97"/>
    </row>
    <row r="17949" spans="25:25" x14ac:dyDescent="0.2">
      <c r="Y17949" s="97"/>
    </row>
    <row r="17950" spans="25:25" x14ac:dyDescent="0.2">
      <c r="Y17950" s="97"/>
    </row>
    <row r="17951" spans="25:25" x14ac:dyDescent="0.2">
      <c r="Y17951" s="97"/>
    </row>
    <row r="17952" spans="25:25" x14ac:dyDescent="0.2">
      <c r="Y17952" s="97"/>
    </row>
    <row r="17953" spans="25:25" x14ac:dyDescent="0.2">
      <c r="Y17953" s="97"/>
    </row>
    <row r="17954" spans="25:25" x14ac:dyDescent="0.2">
      <c r="Y17954" s="97"/>
    </row>
    <row r="17955" spans="25:25" x14ac:dyDescent="0.2">
      <c r="Y17955" s="97"/>
    </row>
    <row r="17956" spans="25:25" x14ac:dyDescent="0.2">
      <c r="Y17956" s="97"/>
    </row>
    <row r="17957" spans="25:25" x14ac:dyDescent="0.2">
      <c r="Y17957" s="97"/>
    </row>
    <row r="17958" spans="25:25" x14ac:dyDescent="0.2">
      <c r="Y17958" s="97"/>
    </row>
    <row r="17959" spans="25:25" x14ac:dyDescent="0.2">
      <c r="Y17959" s="97"/>
    </row>
    <row r="17960" spans="25:25" x14ac:dyDescent="0.2">
      <c r="Y17960" s="97"/>
    </row>
    <row r="17961" spans="25:25" x14ac:dyDescent="0.2">
      <c r="Y17961" s="97"/>
    </row>
    <row r="17962" spans="25:25" x14ac:dyDescent="0.2">
      <c r="Y17962" s="97"/>
    </row>
    <row r="17963" spans="25:25" x14ac:dyDescent="0.2">
      <c r="Y17963" s="97"/>
    </row>
    <row r="17964" spans="25:25" x14ac:dyDescent="0.2">
      <c r="Y17964" s="97"/>
    </row>
    <row r="17965" spans="25:25" x14ac:dyDescent="0.2">
      <c r="Y17965" s="97"/>
    </row>
    <row r="17966" spans="25:25" x14ac:dyDescent="0.2">
      <c r="Y17966" s="97"/>
    </row>
    <row r="17967" spans="25:25" x14ac:dyDescent="0.2">
      <c r="Y17967" s="97"/>
    </row>
    <row r="17968" spans="25:25" x14ac:dyDescent="0.2">
      <c r="Y17968" s="97"/>
    </row>
    <row r="17969" spans="25:25" x14ac:dyDescent="0.2">
      <c r="Y17969" s="97"/>
    </row>
    <row r="17970" spans="25:25" x14ac:dyDescent="0.2">
      <c r="Y17970" s="97"/>
    </row>
    <row r="17971" spans="25:25" x14ac:dyDescent="0.2">
      <c r="Y17971" s="97"/>
    </row>
    <row r="17972" spans="25:25" x14ac:dyDescent="0.2">
      <c r="Y17972" s="97"/>
    </row>
    <row r="17973" spans="25:25" x14ac:dyDescent="0.2">
      <c r="Y17973" s="97"/>
    </row>
    <row r="17974" spans="25:25" x14ac:dyDescent="0.2">
      <c r="Y17974" s="97"/>
    </row>
    <row r="17975" spans="25:25" x14ac:dyDescent="0.2">
      <c r="Y17975" s="97"/>
    </row>
    <row r="17976" spans="25:25" x14ac:dyDescent="0.2">
      <c r="Y17976" s="97"/>
    </row>
    <row r="17977" spans="25:25" x14ac:dyDescent="0.2">
      <c r="Y17977" s="97"/>
    </row>
    <row r="17978" spans="25:25" x14ac:dyDescent="0.2">
      <c r="Y17978" s="97"/>
    </row>
    <row r="17979" spans="25:25" x14ac:dyDescent="0.2">
      <c r="Y17979" s="97"/>
    </row>
    <row r="17980" spans="25:25" x14ac:dyDescent="0.2">
      <c r="Y17980" s="97"/>
    </row>
    <row r="17981" spans="25:25" x14ac:dyDescent="0.2">
      <c r="Y17981" s="97"/>
    </row>
    <row r="17982" spans="25:25" x14ac:dyDescent="0.2">
      <c r="Y17982" s="97"/>
    </row>
    <row r="17983" spans="25:25" x14ac:dyDescent="0.2">
      <c r="Y17983" s="97"/>
    </row>
    <row r="17984" spans="25:25" x14ac:dyDescent="0.2">
      <c r="Y17984" s="97"/>
    </row>
    <row r="17985" spans="25:25" x14ac:dyDescent="0.2">
      <c r="Y17985" s="97"/>
    </row>
    <row r="17986" spans="25:25" x14ac:dyDescent="0.2">
      <c r="Y17986" s="97"/>
    </row>
    <row r="17987" spans="25:25" x14ac:dyDescent="0.2">
      <c r="Y17987" s="97"/>
    </row>
    <row r="17988" spans="25:25" x14ac:dyDescent="0.2">
      <c r="Y17988" s="97"/>
    </row>
    <row r="17989" spans="25:25" x14ac:dyDescent="0.2">
      <c r="Y17989" s="97"/>
    </row>
    <row r="17990" spans="25:25" x14ac:dyDescent="0.2">
      <c r="Y17990" s="97"/>
    </row>
    <row r="17991" spans="25:25" x14ac:dyDescent="0.2">
      <c r="Y17991" s="97"/>
    </row>
    <row r="17992" spans="25:25" x14ac:dyDescent="0.2">
      <c r="Y17992" s="97"/>
    </row>
    <row r="17993" spans="25:25" x14ac:dyDescent="0.2">
      <c r="Y17993" s="97"/>
    </row>
    <row r="17994" spans="25:25" x14ac:dyDescent="0.2">
      <c r="Y17994" s="97"/>
    </row>
    <row r="17995" spans="25:25" x14ac:dyDescent="0.2">
      <c r="Y17995" s="97"/>
    </row>
    <row r="17996" spans="25:25" x14ac:dyDescent="0.2">
      <c r="Y17996" s="97"/>
    </row>
    <row r="17997" spans="25:25" x14ac:dyDescent="0.2">
      <c r="Y17997" s="97"/>
    </row>
    <row r="17998" spans="25:25" x14ac:dyDescent="0.2">
      <c r="Y17998" s="97"/>
    </row>
    <row r="17999" spans="25:25" x14ac:dyDescent="0.2">
      <c r="Y17999" s="97"/>
    </row>
    <row r="18000" spans="25:25" x14ac:dyDescent="0.2">
      <c r="Y18000" s="97"/>
    </row>
    <row r="18001" spans="25:25" x14ac:dyDescent="0.2">
      <c r="Y18001" s="97"/>
    </row>
    <row r="18002" spans="25:25" x14ac:dyDescent="0.2">
      <c r="Y18002" s="97"/>
    </row>
    <row r="18003" spans="25:25" x14ac:dyDescent="0.2">
      <c r="Y18003" s="97"/>
    </row>
    <row r="18004" spans="25:25" x14ac:dyDescent="0.2">
      <c r="Y18004" s="97"/>
    </row>
    <row r="18005" spans="25:25" x14ac:dyDescent="0.2">
      <c r="Y18005" s="97"/>
    </row>
    <row r="18006" spans="25:25" x14ac:dyDescent="0.2">
      <c r="Y18006" s="97"/>
    </row>
    <row r="18007" spans="25:25" x14ac:dyDescent="0.2">
      <c r="Y18007" s="97"/>
    </row>
    <row r="18008" spans="25:25" x14ac:dyDescent="0.2">
      <c r="Y18008" s="97"/>
    </row>
    <row r="18009" spans="25:25" x14ac:dyDescent="0.2">
      <c r="Y18009" s="97"/>
    </row>
    <row r="18010" spans="25:25" x14ac:dyDescent="0.2">
      <c r="Y18010" s="97"/>
    </row>
    <row r="18011" spans="25:25" x14ac:dyDescent="0.2">
      <c r="Y18011" s="97"/>
    </row>
    <row r="18012" spans="25:25" x14ac:dyDescent="0.2">
      <c r="Y18012" s="97"/>
    </row>
    <row r="18013" spans="25:25" x14ac:dyDescent="0.2">
      <c r="Y18013" s="97"/>
    </row>
    <row r="18014" spans="25:25" x14ac:dyDescent="0.2">
      <c r="Y18014" s="97"/>
    </row>
    <row r="18015" spans="25:25" x14ac:dyDescent="0.2">
      <c r="Y18015" s="97"/>
    </row>
    <row r="18016" spans="25:25" x14ac:dyDescent="0.2">
      <c r="Y18016" s="97"/>
    </row>
    <row r="18017" spans="25:25" x14ac:dyDescent="0.2">
      <c r="Y18017" s="97"/>
    </row>
    <row r="18018" spans="25:25" x14ac:dyDescent="0.2">
      <c r="Y18018" s="97"/>
    </row>
    <row r="18019" spans="25:25" x14ac:dyDescent="0.2">
      <c r="Y18019" s="97"/>
    </row>
    <row r="18020" spans="25:25" x14ac:dyDescent="0.2">
      <c r="Y18020" s="97"/>
    </row>
    <row r="18021" spans="25:25" x14ac:dyDescent="0.2">
      <c r="Y18021" s="97"/>
    </row>
    <row r="18022" spans="25:25" x14ac:dyDescent="0.2">
      <c r="Y18022" s="97"/>
    </row>
    <row r="18023" spans="25:25" x14ac:dyDescent="0.2">
      <c r="Y18023" s="97"/>
    </row>
    <row r="18024" spans="25:25" x14ac:dyDescent="0.2">
      <c r="Y18024" s="97"/>
    </row>
    <row r="18025" spans="25:25" x14ac:dyDescent="0.2">
      <c r="Y18025" s="97"/>
    </row>
    <row r="18026" spans="25:25" x14ac:dyDescent="0.2">
      <c r="Y18026" s="97"/>
    </row>
    <row r="18027" spans="25:25" x14ac:dyDescent="0.2">
      <c r="Y18027" s="97"/>
    </row>
    <row r="18028" spans="25:25" x14ac:dyDescent="0.2">
      <c r="Y18028" s="97"/>
    </row>
    <row r="18029" spans="25:25" x14ac:dyDescent="0.2">
      <c r="Y18029" s="97"/>
    </row>
    <row r="18030" spans="25:25" x14ac:dyDescent="0.2">
      <c r="Y18030" s="97"/>
    </row>
    <row r="18031" spans="25:25" x14ac:dyDescent="0.2">
      <c r="Y18031" s="97"/>
    </row>
    <row r="18032" spans="25:25" x14ac:dyDescent="0.2">
      <c r="Y18032" s="97"/>
    </row>
    <row r="18033" spans="25:25" x14ac:dyDescent="0.2">
      <c r="Y18033" s="97"/>
    </row>
    <row r="18034" spans="25:25" x14ac:dyDescent="0.2">
      <c r="Y18034" s="97"/>
    </row>
    <row r="18035" spans="25:25" x14ac:dyDescent="0.2">
      <c r="Y18035" s="97"/>
    </row>
    <row r="18036" spans="25:25" x14ac:dyDescent="0.2">
      <c r="Y18036" s="97"/>
    </row>
    <row r="18037" spans="25:25" x14ac:dyDescent="0.2">
      <c r="Y18037" s="97"/>
    </row>
    <row r="18038" spans="25:25" x14ac:dyDescent="0.2">
      <c r="Y18038" s="97"/>
    </row>
    <row r="18039" spans="25:25" x14ac:dyDescent="0.2">
      <c r="Y18039" s="97"/>
    </row>
    <row r="18040" spans="25:25" x14ac:dyDescent="0.2">
      <c r="Y18040" s="97"/>
    </row>
    <row r="18041" spans="25:25" x14ac:dyDescent="0.2">
      <c r="Y18041" s="97"/>
    </row>
    <row r="18042" spans="25:25" x14ac:dyDescent="0.2">
      <c r="Y18042" s="97"/>
    </row>
    <row r="18043" spans="25:25" x14ac:dyDescent="0.2">
      <c r="Y18043" s="97"/>
    </row>
    <row r="18044" spans="25:25" x14ac:dyDescent="0.2">
      <c r="Y18044" s="97"/>
    </row>
    <row r="18045" spans="25:25" x14ac:dyDescent="0.2">
      <c r="Y18045" s="97"/>
    </row>
    <row r="18046" spans="25:25" x14ac:dyDescent="0.2">
      <c r="Y18046" s="97"/>
    </row>
    <row r="18047" spans="25:25" x14ac:dyDescent="0.2">
      <c r="Y18047" s="97"/>
    </row>
    <row r="18048" spans="25:25" x14ac:dyDescent="0.2">
      <c r="Y18048" s="97"/>
    </row>
    <row r="18049" spans="25:25" x14ac:dyDescent="0.2">
      <c r="Y18049" s="97"/>
    </row>
    <row r="18050" spans="25:25" x14ac:dyDescent="0.2">
      <c r="Y18050" s="97"/>
    </row>
    <row r="18051" spans="25:25" x14ac:dyDescent="0.2">
      <c r="Y18051" s="97"/>
    </row>
    <row r="18052" spans="25:25" x14ac:dyDescent="0.2">
      <c r="Y18052" s="97"/>
    </row>
    <row r="18053" spans="25:25" x14ac:dyDescent="0.2">
      <c r="Y18053" s="97"/>
    </row>
    <row r="18054" spans="25:25" x14ac:dyDescent="0.2">
      <c r="Y18054" s="97"/>
    </row>
    <row r="18055" spans="25:25" x14ac:dyDescent="0.2">
      <c r="Y18055" s="97"/>
    </row>
    <row r="18056" spans="25:25" x14ac:dyDescent="0.2">
      <c r="Y18056" s="97"/>
    </row>
    <row r="18057" spans="25:25" x14ac:dyDescent="0.2">
      <c r="Y18057" s="97"/>
    </row>
    <row r="18058" spans="25:25" x14ac:dyDescent="0.2">
      <c r="Y18058" s="97"/>
    </row>
    <row r="18059" spans="25:25" x14ac:dyDescent="0.2">
      <c r="Y18059" s="97"/>
    </row>
    <row r="18060" spans="25:25" x14ac:dyDescent="0.2">
      <c r="Y18060" s="97"/>
    </row>
    <row r="18061" spans="25:25" x14ac:dyDescent="0.2">
      <c r="Y18061" s="97"/>
    </row>
    <row r="18062" spans="25:25" x14ac:dyDescent="0.2">
      <c r="Y18062" s="97"/>
    </row>
    <row r="18063" spans="25:25" x14ac:dyDescent="0.2">
      <c r="Y18063" s="97"/>
    </row>
    <row r="18064" spans="25:25" x14ac:dyDescent="0.2">
      <c r="Y18064" s="97"/>
    </row>
    <row r="18065" spans="25:25" x14ac:dyDescent="0.2">
      <c r="Y18065" s="97"/>
    </row>
    <row r="18066" spans="25:25" x14ac:dyDescent="0.2">
      <c r="Y18066" s="97"/>
    </row>
    <row r="18067" spans="25:25" x14ac:dyDescent="0.2">
      <c r="Y18067" s="97"/>
    </row>
    <row r="18068" spans="25:25" x14ac:dyDescent="0.2">
      <c r="Y18068" s="97"/>
    </row>
    <row r="18069" spans="25:25" x14ac:dyDescent="0.2">
      <c r="Y18069" s="97"/>
    </row>
    <row r="18070" spans="25:25" x14ac:dyDescent="0.2">
      <c r="Y18070" s="97"/>
    </row>
    <row r="18071" spans="25:25" x14ac:dyDescent="0.2">
      <c r="Y18071" s="97"/>
    </row>
    <row r="18072" spans="25:25" x14ac:dyDescent="0.2">
      <c r="Y18072" s="97"/>
    </row>
    <row r="18073" spans="25:25" x14ac:dyDescent="0.2">
      <c r="Y18073" s="97"/>
    </row>
    <row r="18074" spans="25:25" x14ac:dyDescent="0.2">
      <c r="Y18074" s="97"/>
    </row>
    <row r="18075" spans="25:25" x14ac:dyDescent="0.2">
      <c r="Y18075" s="97"/>
    </row>
    <row r="18076" spans="25:25" x14ac:dyDescent="0.2">
      <c r="Y18076" s="97"/>
    </row>
    <row r="18077" spans="25:25" x14ac:dyDescent="0.2">
      <c r="Y18077" s="97"/>
    </row>
    <row r="18078" spans="25:25" x14ac:dyDescent="0.2">
      <c r="Y18078" s="97"/>
    </row>
    <row r="18079" spans="25:25" x14ac:dyDescent="0.2">
      <c r="Y18079" s="97"/>
    </row>
    <row r="18080" spans="25:25" x14ac:dyDescent="0.2">
      <c r="Y18080" s="97"/>
    </row>
    <row r="18081" spans="25:25" x14ac:dyDescent="0.2">
      <c r="Y18081" s="97"/>
    </row>
    <row r="18082" spans="25:25" x14ac:dyDescent="0.2">
      <c r="Y18082" s="97"/>
    </row>
    <row r="18083" spans="25:25" x14ac:dyDescent="0.2">
      <c r="Y18083" s="97"/>
    </row>
    <row r="18084" spans="25:25" x14ac:dyDescent="0.2">
      <c r="Y18084" s="97"/>
    </row>
    <row r="18085" spans="25:25" x14ac:dyDescent="0.2">
      <c r="Y18085" s="97"/>
    </row>
    <row r="18086" spans="25:25" x14ac:dyDescent="0.2">
      <c r="Y18086" s="97"/>
    </row>
    <row r="18087" spans="25:25" x14ac:dyDescent="0.2">
      <c r="Y18087" s="97"/>
    </row>
    <row r="18088" spans="25:25" x14ac:dyDescent="0.2">
      <c r="Y18088" s="97"/>
    </row>
    <row r="18089" spans="25:25" x14ac:dyDescent="0.2">
      <c r="Y18089" s="97"/>
    </row>
    <row r="18090" spans="25:25" x14ac:dyDescent="0.2">
      <c r="Y18090" s="97"/>
    </row>
    <row r="18091" spans="25:25" x14ac:dyDescent="0.2">
      <c r="Y18091" s="97"/>
    </row>
    <row r="18092" spans="25:25" x14ac:dyDescent="0.2">
      <c r="Y18092" s="97"/>
    </row>
    <row r="18093" spans="25:25" x14ac:dyDescent="0.2">
      <c r="Y18093" s="97"/>
    </row>
    <row r="18094" spans="25:25" x14ac:dyDescent="0.2">
      <c r="Y18094" s="97"/>
    </row>
    <row r="18095" spans="25:25" x14ac:dyDescent="0.2">
      <c r="Y18095" s="97"/>
    </row>
    <row r="18096" spans="25:25" x14ac:dyDescent="0.2">
      <c r="Y18096" s="97"/>
    </row>
    <row r="18097" spans="25:25" x14ac:dyDescent="0.2">
      <c r="Y18097" s="97"/>
    </row>
    <row r="18098" spans="25:25" x14ac:dyDescent="0.2">
      <c r="Y18098" s="97"/>
    </row>
    <row r="18099" spans="25:25" x14ac:dyDescent="0.2">
      <c r="Y18099" s="97"/>
    </row>
    <row r="18100" spans="25:25" x14ac:dyDescent="0.2">
      <c r="Y18100" s="97"/>
    </row>
    <row r="18101" spans="25:25" x14ac:dyDescent="0.2">
      <c r="Y18101" s="97"/>
    </row>
    <row r="18102" spans="25:25" x14ac:dyDescent="0.2">
      <c r="Y18102" s="97"/>
    </row>
    <row r="18103" spans="25:25" x14ac:dyDescent="0.2">
      <c r="Y18103" s="97"/>
    </row>
    <row r="18104" spans="25:25" x14ac:dyDescent="0.2">
      <c r="Y18104" s="97"/>
    </row>
    <row r="18105" spans="25:25" x14ac:dyDescent="0.2">
      <c r="Y18105" s="97"/>
    </row>
    <row r="18106" spans="25:25" x14ac:dyDescent="0.2">
      <c r="Y18106" s="97"/>
    </row>
    <row r="18107" spans="25:25" x14ac:dyDescent="0.2">
      <c r="Y18107" s="97"/>
    </row>
    <row r="18108" spans="25:25" x14ac:dyDescent="0.2">
      <c r="Y18108" s="97"/>
    </row>
    <row r="18109" spans="25:25" x14ac:dyDescent="0.2">
      <c r="Y18109" s="97"/>
    </row>
    <row r="18110" spans="25:25" x14ac:dyDescent="0.2">
      <c r="Y18110" s="97"/>
    </row>
    <row r="18111" spans="25:25" x14ac:dyDescent="0.2">
      <c r="Y18111" s="97"/>
    </row>
    <row r="18112" spans="25:25" x14ac:dyDescent="0.2">
      <c r="Y18112" s="97"/>
    </row>
    <row r="18113" spans="25:25" x14ac:dyDescent="0.2">
      <c r="Y18113" s="97"/>
    </row>
    <row r="18114" spans="25:25" x14ac:dyDescent="0.2">
      <c r="Y18114" s="97"/>
    </row>
    <row r="18115" spans="25:25" x14ac:dyDescent="0.2">
      <c r="Y18115" s="97"/>
    </row>
    <row r="18116" spans="25:25" x14ac:dyDescent="0.2">
      <c r="Y18116" s="97"/>
    </row>
    <row r="18117" spans="25:25" x14ac:dyDescent="0.2">
      <c r="Y18117" s="97"/>
    </row>
    <row r="18118" spans="25:25" x14ac:dyDescent="0.2">
      <c r="Y18118" s="97"/>
    </row>
    <row r="18119" spans="25:25" x14ac:dyDescent="0.2">
      <c r="Y18119" s="97"/>
    </row>
    <row r="18120" spans="25:25" x14ac:dyDescent="0.2">
      <c r="Y18120" s="97"/>
    </row>
    <row r="18121" spans="25:25" x14ac:dyDescent="0.2">
      <c r="Y18121" s="97"/>
    </row>
    <row r="18122" spans="25:25" x14ac:dyDescent="0.2">
      <c r="Y18122" s="97"/>
    </row>
    <row r="18123" spans="25:25" x14ac:dyDescent="0.2">
      <c r="Y18123" s="97"/>
    </row>
    <row r="18124" spans="25:25" x14ac:dyDescent="0.2">
      <c r="Y18124" s="97"/>
    </row>
    <row r="18125" spans="25:25" x14ac:dyDescent="0.2">
      <c r="Y18125" s="97"/>
    </row>
    <row r="18126" spans="25:25" x14ac:dyDescent="0.2">
      <c r="Y18126" s="97"/>
    </row>
    <row r="18127" spans="25:25" x14ac:dyDescent="0.2">
      <c r="Y18127" s="97"/>
    </row>
    <row r="18128" spans="25:25" x14ac:dyDescent="0.2">
      <c r="Y18128" s="97"/>
    </row>
    <row r="18129" spans="25:25" x14ac:dyDescent="0.2">
      <c r="Y18129" s="97"/>
    </row>
    <row r="18130" spans="25:25" x14ac:dyDescent="0.2">
      <c r="Y18130" s="97"/>
    </row>
    <row r="18131" spans="25:25" x14ac:dyDescent="0.2">
      <c r="Y18131" s="97"/>
    </row>
    <row r="18132" spans="25:25" x14ac:dyDescent="0.2">
      <c r="Y18132" s="97"/>
    </row>
    <row r="18133" spans="25:25" x14ac:dyDescent="0.2">
      <c r="Y18133" s="97"/>
    </row>
    <row r="18134" spans="25:25" x14ac:dyDescent="0.2">
      <c r="Y18134" s="97"/>
    </row>
    <row r="18135" spans="25:25" x14ac:dyDescent="0.2">
      <c r="Y18135" s="97"/>
    </row>
    <row r="18136" spans="25:25" x14ac:dyDescent="0.2">
      <c r="Y18136" s="97"/>
    </row>
    <row r="18137" spans="25:25" x14ac:dyDescent="0.2">
      <c r="Y18137" s="97"/>
    </row>
    <row r="18138" spans="25:25" x14ac:dyDescent="0.2">
      <c r="Y18138" s="97"/>
    </row>
    <row r="18139" spans="25:25" x14ac:dyDescent="0.2">
      <c r="Y18139" s="97"/>
    </row>
    <row r="18140" spans="25:25" x14ac:dyDescent="0.2">
      <c r="Y18140" s="97"/>
    </row>
    <row r="18141" spans="25:25" x14ac:dyDescent="0.2">
      <c r="Y18141" s="97"/>
    </row>
    <row r="18142" spans="25:25" x14ac:dyDescent="0.2">
      <c r="Y18142" s="97"/>
    </row>
    <row r="18143" spans="25:25" x14ac:dyDescent="0.2">
      <c r="Y18143" s="97"/>
    </row>
    <row r="18144" spans="25:25" x14ac:dyDescent="0.2">
      <c r="Y18144" s="97"/>
    </row>
    <row r="18145" spans="25:25" x14ac:dyDescent="0.2">
      <c r="Y18145" s="97"/>
    </row>
    <row r="18146" spans="25:25" x14ac:dyDescent="0.2">
      <c r="Y18146" s="97"/>
    </row>
    <row r="18147" spans="25:25" x14ac:dyDescent="0.2">
      <c r="Y18147" s="97"/>
    </row>
    <row r="18148" spans="25:25" x14ac:dyDescent="0.2">
      <c r="Y18148" s="97"/>
    </row>
    <row r="18149" spans="25:25" x14ac:dyDescent="0.2">
      <c r="Y18149" s="97"/>
    </row>
    <row r="18150" spans="25:25" x14ac:dyDescent="0.2">
      <c r="Y18150" s="97"/>
    </row>
    <row r="18151" spans="25:25" x14ac:dyDescent="0.2">
      <c r="Y18151" s="97"/>
    </row>
    <row r="18152" spans="25:25" x14ac:dyDescent="0.2">
      <c r="Y18152" s="97"/>
    </row>
    <row r="18153" spans="25:25" x14ac:dyDescent="0.2">
      <c r="Y18153" s="97"/>
    </row>
    <row r="18154" spans="25:25" x14ac:dyDescent="0.2">
      <c r="Y18154" s="97"/>
    </row>
    <row r="18155" spans="25:25" x14ac:dyDescent="0.2">
      <c r="Y18155" s="97"/>
    </row>
    <row r="18156" spans="25:25" x14ac:dyDescent="0.2">
      <c r="Y18156" s="97"/>
    </row>
    <row r="18157" spans="25:25" x14ac:dyDescent="0.2">
      <c r="Y18157" s="97"/>
    </row>
    <row r="18158" spans="25:25" x14ac:dyDescent="0.2">
      <c r="Y18158" s="97"/>
    </row>
    <row r="18159" spans="25:25" x14ac:dyDescent="0.2">
      <c r="Y18159" s="97"/>
    </row>
    <row r="18160" spans="25:25" x14ac:dyDescent="0.2">
      <c r="Y18160" s="97"/>
    </row>
    <row r="18161" spans="25:25" x14ac:dyDescent="0.2">
      <c r="Y18161" s="97"/>
    </row>
    <row r="18162" spans="25:25" x14ac:dyDescent="0.2">
      <c r="Y18162" s="97"/>
    </row>
    <row r="18163" spans="25:25" x14ac:dyDescent="0.2">
      <c r="Y18163" s="97"/>
    </row>
    <row r="18164" spans="25:25" x14ac:dyDescent="0.2">
      <c r="Y18164" s="97"/>
    </row>
    <row r="18165" spans="25:25" x14ac:dyDescent="0.2">
      <c r="Y18165" s="97"/>
    </row>
    <row r="18166" spans="25:25" x14ac:dyDescent="0.2">
      <c r="Y18166" s="97"/>
    </row>
    <row r="18167" spans="25:25" x14ac:dyDescent="0.2">
      <c r="Y18167" s="97"/>
    </row>
    <row r="18168" spans="25:25" x14ac:dyDescent="0.2">
      <c r="Y18168" s="97"/>
    </row>
    <row r="18169" spans="25:25" x14ac:dyDescent="0.2">
      <c r="Y18169" s="97"/>
    </row>
    <row r="18170" spans="25:25" x14ac:dyDescent="0.2">
      <c r="Y18170" s="97"/>
    </row>
    <row r="18171" spans="25:25" x14ac:dyDescent="0.2">
      <c r="Y18171" s="97"/>
    </row>
    <row r="18172" spans="25:25" x14ac:dyDescent="0.2">
      <c r="Y18172" s="97"/>
    </row>
    <row r="18173" spans="25:25" x14ac:dyDescent="0.2">
      <c r="Y18173" s="97"/>
    </row>
    <row r="18174" spans="25:25" x14ac:dyDescent="0.2">
      <c r="Y18174" s="97"/>
    </row>
    <row r="18175" spans="25:25" x14ac:dyDescent="0.2">
      <c r="Y18175" s="97"/>
    </row>
    <row r="18176" spans="25:25" x14ac:dyDescent="0.2">
      <c r="Y18176" s="97"/>
    </row>
    <row r="18177" spans="25:25" x14ac:dyDescent="0.2">
      <c r="Y18177" s="97"/>
    </row>
    <row r="18178" spans="25:25" x14ac:dyDescent="0.2">
      <c r="Y18178" s="97"/>
    </row>
    <row r="18179" spans="25:25" x14ac:dyDescent="0.2">
      <c r="Y18179" s="97"/>
    </row>
    <row r="18180" spans="25:25" x14ac:dyDescent="0.2">
      <c r="Y18180" s="97"/>
    </row>
    <row r="18181" spans="25:25" x14ac:dyDescent="0.2">
      <c r="Y18181" s="97"/>
    </row>
    <row r="18182" spans="25:25" x14ac:dyDescent="0.2">
      <c r="Y18182" s="97"/>
    </row>
    <row r="18183" spans="25:25" x14ac:dyDescent="0.2">
      <c r="Y18183" s="97"/>
    </row>
    <row r="18184" spans="25:25" x14ac:dyDescent="0.2">
      <c r="Y18184" s="97"/>
    </row>
    <row r="18185" spans="25:25" x14ac:dyDescent="0.2">
      <c r="Y18185" s="97"/>
    </row>
    <row r="18186" spans="25:25" x14ac:dyDescent="0.2">
      <c r="Y18186" s="97"/>
    </row>
    <row r="18187" spans="25:25" x14ac:dyDescent="0.2">
      <c r="Y18187" s="97"/>
    </row>
    <row r="18188" spans="25:25" x14ac:dyDescent="0.2">
      <c r="Y18188" s="97"/>
    </row>
    <row r="18189" spans="25:25" x14ac:dyDescent="0.2">
      <c r="Y18189" s="97"/>
    </row>
    <row r="18190" spans="25:25" x14ac:dyDescent="0.2">
      <c r="Y18190" s="97"/>
    </row>
    <row r="18191" spans="25:25" x14ac:dyDescent="0.2">
      <c r="Y18191" s="97"/>
    </row>
    <row r="18192" spans="25:25" x14ac:dyDescent="0.2">
      <c r="Y18192" s="97"/>
    </row>
    <row r="18193" spans="25:25" x14ac:dyDescent="0.2">
      <c r="Y18193" s="97"/>
    </row>
    <row r="18194" spans="25:25" x14ac:dyDescent="0.2">
      <c r="Y18194" s="97"/>
    </row>
    <row r="18195" spans="25:25" x14ac:dyDescent="0.2">
      <c r="Y18195" s="97"/>
    </row>
    <row r="18196" spans="25:25" x14ac:dyDescent="0.2">
      <c r="Y18196" s="97"/>
    </row>
    <row r="18197" spans="25:25" x14ac:dyDescent="0.2">
      <c r="Y18197" s="97"/>
    </row>
    <row r="18198" spans="25:25" x14ac:dyDescent="0.2">
      <c r="Y18198" s="97"/>
    </row>
    <row r="18199" spans="25:25" x14ac:dyDescent="0.2">
      <c r="Y18199" s="97"/>
    </row>
    <row r="18200" spans="25:25" x14ac:dyDescent="0.2">
      <c r="Y18200" s="97"/>
    </row>
    <row r="18201" spans="25:25" x14ac:dyDescent="0.2">
      <c r="Y18201" s="97"/>
    </row>
    <row r="18202" spans="25:25" x14ac:dyDescent="0.2">
      <c r="Y18202" s="97"/>
    </row>
    <row r="18203" spans="25:25" x14ac:dyDescent="0.2">
      <c r="Y18203" s="97"/>
    </row>
    <row r="18204" spans="25:25" x14ac:dyDescent="0.2">
      <c r="Y18204" s="97"/>
    </row>
    <row r="18205" spans="25:25" x14ac:dyDescent="0.2">
      <c r="Y18205" s="97"/>
    </row>
    <row r="18206" spans="25:25" x14ac:dyDescent="0.2">
      <c r="Y18206" s="97"/>
    </row>
    <row r="18207" spans="25:25" x14ac:dyDescent="0.2">
      <c r="Y18207" s="97"/>
    </row>
    <row r="18208" spans="25:25" x14ac:dyDescent="0.2">
      <c r="Y18208" s="97"/>
    </row>
    <row r="18209" spans="25:25" x14ac:dyDescent="0.2">
      <c r="Y18209" s="97"/>
    </row>
    <row r="18210" spans="25:25" x14ac:dyDescent="0.2">
      <c r="Y18210" s="97"/>
    </row>
    <row r="18211" spans="25:25" x14ac:dyDescent="0.2">
      <c r="Y18211" s="97"/>
    </row>
    <row r="18212" spans="25:25" x14ac:dyDescent="0.2">
      <c r="Y18212" s="97"/>
    </row>
    <row r="18213" spans="25:25" x14ac:dyDescent="0.2">
      <c r="Y18213" s="97"/>
    </row>
    <row r="18214" spans="25:25" x14ac:dyDescent="0.2">
      <c r="Y18214" s="97"/>
    </row>
    <row r="18215" spans="25:25" x14ac:dyDescent="0.2">
      <c r="Y18215" s="97"/>
    </row>
    <row r="18216" spans="25:25" x14ac:dyDescent="0.2">
      <c r="Y18216" s="97"/>
    </row>
    <row r="18217" spans="25:25" x14ac:dyDescent="0.2">
      <c r="Y18217" s="97"/>
    </row>
    <row r="18218" spans="25:25" x14ac:dyDescent="0.2">
      <c r="Y18218" s="97"/>
    </row>
    <row r="18219" spans="25:25" x14ac:dyDescent="0.2">
      <c r="Y18219" s="97"/>
    </row>
    <row r="18220" spans="25:25" x14ac:dyDescent="0.2">
      <c r="Y18220" s="97"/>
    </row>
    <row r="18221" spans="25:25" x14ac:dyDescent="0.2">
      <c r="Y18221" s="97"/>
    </row>
    <row r="18222" spans="25:25" x14ac:dyDescent="0.2">
      <c r="Y18222" s="97"/>
    </row>
    <row r="18223" spans="25:25" x14ac:dyDescent="0.2">
      <c r="Y18223" s="97"/>
    </row>
    <row r="18224" spans="25:25" x14ac:dyDescent="0.2">
      <c r="Y18224" s="97"/>
    </row>
    <row r="18225" spans="25:25" x14ac:dyDescent="0.2">
      <c r="Y18225" s="97"/>
    </row>
    <row r="18226" spans="25:25" x14ac:dyDescent="0.2">
      <c r="Y18226" s="97"/>
    </row>
    <row r="18227" spans="25:25" x14ac:dyDescent="0.2">
      <c r="Y18227" s="97"/>
    </row>
    <row r="18228" spans="25:25" x14ac:dyDescent="0.2">
      <c r="Y18228" s="97"/>
    </row>
    <row r="18229" spans="25:25" x14ac:dyDescent="0.2">
      <c r="Y18229" s="97"/>
    </row>
    <row r="18230" spans="25:25" x14ac:dyDescent="0.2">
      <c r="Y18230" s="97"/>
    </row>
    <row r="18231" spans="25:25" x14ac:dyDescent="0.2">
      <c r="Y18231" s="97"/>
    </row>
    <row r="18232" spans="25:25" x14ac:dyDescent="0.2">
      <c r="Y18232" s="97"/>
    </row>
    <row r="18233" spans="25:25" x14ac:dyDescent="0.2">
      <c r="Y18233" s="97"/>
    </row>
    <row r="18234" spans="25:25" x14ac:dyDescent="0.2">
      <c r="Y18234" s="97"/>
    </row>
    <row r="18235" spans="25:25" x14ac:dyDescent="0.2">
      <c r="Y18235" s="97"/>
    </row>
    <row r="18236" spans="25:25" x14ac:dyDescent="0.2">
      <c r="Y18236" s="97"/>
    </row>
    <row r="18237" spans="25:25" x14ac:dyDescent="0.2">
      <c r="Y18237" s="97"/>
    </row>
    <row r="18238" spans="25:25" x14ac:dyDescent="0.2">
      <c r="Y18238" s="97"/>
    </row>
    <row r="18239" spans="25:25" x14ac:dyDescent="0.2">
      <c r="Y18239" s="97"/>
    </row>
    <row r="18240" spans="25:25" x14ac:dyDescent="0.2">
      <c r="Y18240" s="97"/>
    </row>
    <row r="18241" spans="25:25" x14ac:dyDescent="0.2">
      <c r="Y18241" s="97"/>
    </row>
    <row r="18242" spans="25:25" x14ac:dyDescent="0.2">
      <c r="Y18242" s="97"/>
    </row>
    <row r="18243" spans="25:25" x14ac:dyDescent="0.2">
      <c r="Y18243" s="97"/>
    </row>
    <row r="18244" spans="25:25" x14ac:dyDescent="0.2">
      <c r="Y18244" s="97"/>
    </row>
    <row r="18245" spans="25:25" x14ac:dyDescent="0.2">
      <c r="Y18245" s="97"/>
    </row>
    <row r="18246" spans="25:25" x14ac:dyDescent="0.2">
      <c r="Y18246" s="97"/>
    </row>
    <row r="18247" spans="25:25" x14ac:dyDescent="0.2">
      <c r="Y18247" s="97"/>
    </row>
    <row r="18248" spans="25:25" x14ac:dyDescent="0.2">
      <c r="Y18248" s="97"/>
    </row>
    <row r="18249" spans="25:25" x14ac:dyDescent="0.2">
      <c r="Y18249" s="97"/>
    </row>
    <row r="18250" spans="25:25" x14ac:dyDescent="0.2">
      <c r="Y18250" s="97"/>
    </row>
    <row r="18251" spans="25:25" x14ac:dyDescent="0.2">
      <c r="Y18251" s="97"/>
    </row>
    <row r="18252" spans="25:25" x14ac:dyDescent="0.2">
      <c r="Y18252" s="97"/>
    </row>
    <row r="18253" spans="25:25" x14ac:dyDescent="0.2">
      <c r="Y18253" s="97"/>
    </row>
    <row r="18254" spans="25:25" x14ac:dyDescent="0.2">
      <c r="Y18254" s="97"/>
    </row>
    <row r="18255" spans="25:25" x14ac:dyDescent="0.2">
      <c r="Y18255" s="97"/>
    </row>
    <row r="18256" spans="25:25" x14ac:dyDescent="0.2">
      <c r="Y18256" s="97"/>
    </row>
    <row r="18257" spans="25:25" x14ac:dyDescent="0.2">
      <c r="Y18257" s="97"/>
    </row>
    <row r="18258" spans="25:25" x14ac:dyDescent="0.2">
      <c r="Y18258" s="97"/>
    </row>
    <row r="18259" spans="25:25" x14ac:dyDescent="0.2">
      <c r="Y18259" s="97"/>
    </row>
    <row r="18260" spans="25:25" x14ac:dyDescent="0.2">
      <c r="Y18260" s="97"/>
    </row>
    <row r="18261" spans="25:25" x14ac:dyDescent="0.2">
      <c r="Y18261" s="97"/>
    </row>
    <row r="18262" spans="25:25" x14ac:dyDescent="0.2">
      <c r="Y18262" s="97"/>
    </row>
    <row r="18263" spans="25:25" x14ac:dyDescent="0.2">
      <c r="Y18263" s="97"/>
    </row>
    <row r="18264" spans="25:25" x14ac:dyDescent="0.2">
      <c r="Y18264" s="97"/>
    </row>
    <row r="18265" spans="25:25" x14ac:dyDescent="0.2">
      <c r="Y18265" s="97"/>
    </row>
    <row r="18266" spans="25:25" x14ac:dyDescent="0.2">
      <c r="Y18266" s="97"/>
    </row>
    <row r="18267" spans="25:25" x14ac:dyDescent="0.2">
      <c r="Y18267" s="97"/>
    </row>
    <row r="18268" spans="25:25" x14ac:dyDescent="0.2">
      <c r="Y18268" s="97"/>
    </row>
    <row r="18269" spans="25:25" x14ac:dyDescent="0.2">
      <c r="Y18269" s="97"/>
    </row>
    <row r="18270" spans="25:25" x14ac:dyDescent="0.2">
      <c r="Y18270" s="97"/>
    </row>
    <row r="18271" spans="25:25" x14ac:dyDescent="0.2">
      <c r="Y18271" s="97"/>
    </row>
    <row r="18272" spans="25:25" x14ac:dyDescent="0.2">
      <c r="Y18272" s="97"/>
    </row>
    <row r="18273" spans="25:25" x14ac:dyDescent="0.2">
      <c r="Y18273" s="97"/>
    </row>
    <row r="18274" spans="25:25" x14ac:dyDescent="0.2">
      <c r="Y18274" s="97"/>
    </row>
    <row r="18275" spans="25:25" x14ac:dyDescent="0.2">
      <c r="Y18275" s="97"/>
    </row>
    <row r="18276" spans="25:25" x14ac:dyDescent="0.2">
      <c r="Y18276" s="97"/>
    </row>
    <row r="18277" spans="25:25" x14ac:dyDescent="0.2">
      <c r="Y18277" s="97"/>
    </row>
    <row r="18278" spans="25:25" x14ac:dyDescent="0.2">
      <c r="Y18278" s="97"/>
    </row>
    <row r="18279" spans="25:25" x14ac:dyDescent="0.2">
      <c r="Y18279" s="97"/>
    </row>
    <row r="18280" spans="25:25" x14ac:dyDescent="0.2">
      <c r="Y18280" s="97"/>
    </row>
    <row r="18281" spans="25:25" x14ac:dyDescent="0.2">
      <c r="Y18281" s="97"/>
    </row>
    <row r="18282" spans="25:25" x14ac:dyDescent="0.2">
      <c r="Y18282" s="97"/>
    </row>
    <row r="18283" spans="25:25" x14ac:dyDescent="0.2">
      <c r="Y18283" s="97"/>
    </row>
    <row r="18284" spans="25:25" x14ac:dyDescent="0.2">
      <c r="Y18284" s="97"/>
    </row>
    <row r="18285" spans="25:25" x14ac:dyDescent="0.2">
      <c r="Y18285" s="97"/>
    </row>
    <row r="18286" spans="25:25" x14ac:dyDescent="0.2">
      <c r="Y18286" s="97"/>
    </row>
    <row r="18287" spans="25:25" x14ac:dyDescent="0.2">
      <c r="Y18287" s="97"/>
    </row>
    <row r="18288" spans="25:25" x14ac:dyDescent="0.2">
      <c r="Y18288" s="97"/>
    </row>
    <row r="18289" spans="25:25" x14ac:dyDescent="0.2">
      <c r="Y18289" s="97"/>
    </row>
    <row r="18290" spans="25:25" x14ac:dyDescent="0.2">
      <c r="Y18290" s="97"/>
    </row>
    <row r="18291" spans="25:25" x14ac:dyDescent="0.2">
      <c r="Y18291" s="97"/>
    </row>
    <row r="18292" spans="25:25" x14ac:dyDescent="0.2">
      <c r="Y18292" s="97"/>
    </row>
    <row r="18293" spans="25:25" x14ac:dyDescent="0.2">
      <c r="Y18293" s="97"/>
    </row>
    <row r="18294" spans="25:25" x14ac:dyDescent="0.2">
      <c r="Y18294" s="97"/>
    </row>
    <row r="18295" spans="25:25" x14ac:dyDescent="0.2">
      <c r="Y18295" s="97"/>
    </row>
    <row r="18296" spans="25:25" x14ac:dyDescent="0.2">
      <c r="Y18296" s="97"/>
    </row>
    <row r="18297" spans="25:25" x14ac:dyDescent="0.2">
      <c r="Y18297" s="97"/>
    </row>
    <row r="18298" spans="25:25" x14ac:dyDescent="0.2">
      <c r="Y18298" s="97"/>
    </row>
    <row r="18299" spans="25:25" x14ac:dyDescent="0.2">
      <c r="Y18299" s="97"/>
    </row>
    <row r="18300" spans="25:25" x14ac:dyDescent="0.2">
      <c r="Y18300" s="97"/>
    </row>
    <row r="18301" spans="25:25" x14ac:dyDescent="0.2">
      <c r="Y18301" s="97"/>
    </row>
    <row r="18302" spans="25:25" x14ac:dyDescent="0.2">
      <c r="Y18302" s="97"/>
    </row>
    <row r="18303" spans="25:25" x14ac:dyDescent="0.2">
      <c r="Y18303" s="97"/>
    </row>
    <row r="18304" spans="25:25" x14ac:dyDescent="0.2">
      <c r="Y18304" s="97"/>
    </row>
    <row r="18305" spans="25:25" x14ac:dyDescent="0.2">
      <c r="Y18305" s="97"/>
    </row>
    <row r="18306" spans="25:25" x14ac:dyDescent="0.2">
      <c r="Y18306" s="97"/>
    </row>
    <row r="18307" spans="25:25" x14ac:dyDescent="0.2">
      <c r="Y18307" s="97"/>
    </row>
    <row r="18308" spans="25:25" x14ac:dyDescent="0.2">
      <c r="Y18308" s="97"/>
    </row>
    <row r="18309" spans="25:25" x14ac:dyDescent="0.2">
      <c r="Y18309" s="97"/>
    </row>
    <row r="18310" spans="25:25" x14ac:dyDescent="0.2">
      <c r="Y18310" s="97"/>
    </row>
    <row r="18311" spans="25:25" x14ac:dyDescent="0.2">
      <c r="Y18311" s="97"/>
    </row>
    <row r="18312" spans="25:25" x14ac:dyDescent="0.2">
      <c r="Y18312" s="97"/>
    </row>
    <row r="18313" spans="25:25" x14ac:dyDescent="0.2">
      <c r="Y18313" s="97"/>
    </row>
    <row r="18314" spans="25:25" x14ac:dyDescent="0.2">
      <c r="Y18314" s="97"/>
    </row>
    <row r="18315" spans="25:25" x14ac:dyDescent="0.2">
      <c r="Y18315" s="97"/>
    </row>
    <row r="18316" spans="25:25" x14ac:dyDescent="0.2">
      <c r="Y18316" s="97"/>
    </row>
    <row r="18317" spans="25:25" x14ac:dyDescent="0.2">
      <c r="Y18317" s="97"/>
    </row>
    <row r="18318" spans="25:25" x14ac:dyDescent="0.2">
      <c r="Y18318" s="97"/>
    </row>
    <row r="18319" spans="25:25" x14ac:dyDescent="0.2">
      <c r="Y18319" s="97"/>
    </row>
    <row r="18320" spans="25:25" x14ac:dyDescent="0.2">
      <c r="Y18320" s="97"/>
    </row>
    <row r="18321" spans="25:25" x14ac:dyDescent="0.2">
      <c r="Y18321" s="97"/>
    </row>
    <row r="18322" spans="25:25" x14ac:dyDescent="0.2">
      <c r="Y18322" s="97"/>
    </row>
    <row r="18323" spans="25:25" x14ac:dyDescent="0.2">
      <c r="Y18323" s="97"/>
    </row>
    <row r="18324" spans="25:25" x14ac:dyDescent="0.2">
      <c r="Y18324" s="97"/>
    </row>
    <row r="18325" spans="25:25" x14ac:dyDescent="0.2">
      <c r="Y18325" s="97"/>
    </row>
    <row r="18326" spans="25:25" x14ac:dyDescent="0.2">
      <c r="Y18326" s="97"/>
    </row>
    <row r="18327" spans="25:25" x14ac:dyDescent="0.2">
      <c r="Y18327" s="97"/>
    </row>
    <row r="18328" spans="25:25" x14ac:dyDescent="0.2">
      <c r="Y18328" s="97"/>
    </row>
    <row r="18329" spans="25:25" x14ac:dyDescent="0.2">
      <c r="Y18329" s="97"/>
    </row>
    <row r="18330" spans="25:25" x14ac:dyDescent="0.2">
      <c r="Y18330" s="97"/>
    </row>
    <row r="18331" spans="25:25" x14ac:dyDescent="0.2">
      <c r="Y18331" s="97"/>
    </row>
    <row r="18332" spans="25:25" x14ac:dyDescent="0.2">
      <c r="Y18332" s="97"/>
    </row>
    <row r="18333" spans="25:25" x14ac:dyDescent="0.2">
      <c r="Y18333" s="97"/>
    </row>
    <row r="18334" spans="25:25" x14ac:dyDescent="0.2">
      <c r="Y18334" s="97"/>
    </row>
    <row r="18335" spans="25:25" x14ac:dyDescent="0.2">
      <c r="Y18335" s="97"/>
    </row>
    <row r="18336" spans="25:25" x14ac:dyDescent="0.2">
      <c r="Y18336" s="97"/>
    </row>
    <row r="18337" spans="25:25" x14ac:dyDescent="0.2">
      <c r="Y18337" s="97"/>
    </row>
    <row r="18338" spans="25:25" x14ac:dyDescent="0.2">
      <c r="Y18338" s="97"/>
    </row>
    <row r="18339" spans="25:25" x14ac:dyDescent="0.2">
      <c r="Y18339" s="97"/>
    </row>
    <row r="18340" spans="25:25" x14ac:dyDescent="0.2">
      <c r="Y18340" s="97"/>
    </row>
    <row r="18341" spans="25:25" x14ac:dyDescent="0.2">
      <c r="Y18341" s="97"/>
    </row>
    <row r="18342" spans="25:25" x14ac:dyDescent="0.2">
      <c r="Y18342" s="97"/>
    </row>
    <row r="18343" spans="25:25" x14ac:dyDescent="0.2">
      <c r="Y18343" s="97"/>
    </row>
    <row r="18344" spans="25:25" x14ac:dyDescent="0.2">
      <c r="Y18344" s="97"/>
    </row>
    <row r="18345" spans="25:25" x14ac:dyDescent="0.2">
      <c r="Y18345" s="97"/>
    </row>
    <row r="18346" spans="25:25" x14ac:dyDescent="0.2">
      <c r="Y18346" s="97"/>
    </row>
    <row r="18347" spans="25:25" x14ac:dyDescent="0.2">
      <c r="Y18347" s="97"/>
    </row>
    <row r="18348" spans="25:25" x14ac:dyDescent="0.2">
      <c r="Y18348" s="97"/>
    </row>
    <row r="18349" spans="25:25" x14ac:dyDescent="0.2">
      <c r="Y18349" s="97"/>
    </row>
    <row r="18350" spans="25:25" x14ac:dyDescent="0.2">
      <c r="Y18350" s="97"/>
    </row>
    <row r="18351" spans="25:25" x14ac:dyDescent="0.2">
      <c r="Y18351" s="97"/>
    </row>
    <row r="18352" spans="25:25" x14ac:dyDescent="0.2">
      <c r="Y18352" s="97"/>
    </row>
    <row r="18353" spans="25:25" x14ac:dyDescent="0.2">
      <c r="Y18353" s="97"/>
    </row>
    <row r="18354" spans="25:25" x14ac:dyDescent="0.2">
      <c r="Y18354" s="97"/>
    </row>
    <row r="18355" spans="25:25" x14ac:dyDescent="0.2">
      <c r="Y18355" s="97"/>
    </row>
    <row r="18356" spans="25:25" x14ac:dyDescent="0.2">
      <c r="Y18356" s="97"/>
    </row>
    <row r="18357" spans="25:25" x14ac:dyDescent="0.2">
      <c r="Y18357" s="97"/>
    </row>
    <row r="18358" spans="25:25" x14ac:dyDescent="0.2">
      <c r="Y18358" s="97"/>
    </row>
    <row r="18359" spans="25:25" x14ac:dyDescent="0.2">
      <c r="Y18359" s="97"/>
    </row>
    <row r="18360" spans="25:25" x14ac:dyDescent="0.2">
      <c r="Y18360" s="97"/>
    </row>
    <row r="18361" spans="25:25" x14ac:dyDescent="0.2">
      <c r="Y18361" s="97"/>
    </row>
    <row r="18362" spans="25:25" x14ac:dyDescent="0.2">
      <c r="Y18362" s="97"/>
    </row>
    <row r="18363" spans="25:25" x14ac:dyDescent="0.2">
      <c r="Y18363" s="97"/>
    </row>
    <row r="18364" spans="25:25" x14ac:dyDescent="0.2">
      <c r="Y18364" s="97"/>
    </row>
    <row r="18365" spans="25:25" x14ac:dyDescent="0.2">
      <c r="Y18365" s="97"/>
    </row>
    <row r="18366" spans="25:25" x14ac:dyDescent="0.2">
      <c r="Y18366" s="97"/>
    </row>
    <row r="18367" spans="25:25" x14ac:dyDescent="0.2">
      <c r="Y18367" s="97"/>
    </row>
    <row r="18368" spans="25:25" x14ac:dyDescent="0.2">
      <c r="Y18368" s="97"/>
    </row>
    <row r="18369" spans="25:25" x14ac:dyDescent="0.2">
      <c r="Y18369" s="97"/>
    </row>
    <row r="18370" spans="25:25" x14ac:dyDescent="0.2">
      <c r="Y18370" s="97"/>
    </row>
    <row r="18371" spans="25:25" x14ac:dyDescent="0.2">
      <c r="Y18371" s="97"/>
    </row>
    <row r="18372" spans="25:25" x14ac:dyDescent="0.2">
      <c r="Y18372" s="97"/>
    </row>
    <row r="18373" spans="25:25" x14ac:dyDescent="0.2">
      <c r="Y18373" s="97"/>
    </row>
    <row r="18374" spans="25:25" x14ac:dyDescent="0.2">
      <c r="Y18374" s="97"/>
    </row>
    <row r="18375" spans="25:25" x14ac:dyDescent="0.2">
      <c r="Y18375" s="97"/>
    </row>
    <row r="18376" spans="25:25" x14ac:dyDescent="0.2">
      <c r="Y18376" s="97"/>
    </row>
    <row r="18377" spans="25:25" x14ac:dyDescent="0.2">
      <c r="Y18377" s="97"/>
    </row>
    <row r="18378" spans="25:25" x14ac:dyDescent="0.2">
      <c r="Y18378" s="97"/>
    </row>
    <row r="18379" spans="25:25" x14ac:dyDescent="0.2">
      <c r="Y18379" s="97"/>
    </row>
    <row r="18380" spans="25:25" x14ac:dyDescent="0.2">
      <c r="Y18380" s="97"/>
    </row>
    <row r="18381" spans="25:25" x14ac:dyDescent="0.2">
      <c r="Y18381" s="97"/>
    </row>
    <row r="18382" spans="25:25" x14ac:dyDescent="0.2">
      <c r="Y18382" s="97"/>
    </row>
    <row r="18383" spans="25:25" x14ac:dyDescent="0.2">
      <c r="Y18383" s="97"/>
    </row>
    <row r="18384" spans="25:25" x14ac:dyDescent="0.2">
      <c r="Y18384" s="97"/>
    </row>
    <row r="18385" spans="25:25" x14ac:dyDescent="0.2">
      <c r="Y18385" s="97"/>
    </row>
    <row r="18386" spans="25:25" x14ac:dyDescent="0.2">
      <c r="Y18386" s="97"/>
    </row>
    <row r="18387" spans="25:25" x14ac:dyDescent="0.2">
      <c r="Y18387" s="97"/>
    </row>
    <row r="18388" spans="25:25" x14ac:dyDescent="0.2">
      <c r="Y18388" s="97"/>
    </row>
    <row r="18389" spans="25:25" x14ac:dyDescent="0.2">
      <c r="Y18389" s="97"/>
    </row>
    <row r="18390" spans="25:25" x14ac:dyDescent="0.2">
      <c r="Y18390" s="97"/>
    </row>
    <row r="18391" spans="25:25" x14ac:dyDescent="0.2">
      <c r="Y18391" s="97"/>
    </row>
    <row r="18392" spans="25:25" x14ac:dyDescent="0.2">
      <c r="Y18392" s="97"/>
    </row>
    <row r="18393" spans="25:25" x14ac:dyDescent="0.2">
      <c r="Y18393" s="97"/>
    </row>
    <row r="18394" spans="25:25" x14ac:dyDescent="0.2">
      <c r="Y18394" s="97"/>
    </row>
    <row r="18395" spans="25:25" x14ac:dyDescent="0.2">
      <c r="Y18395" s="97"/>
    </row>
    <row r="18396" spans="25:25" x14ac:dyDescent="0.2">
      <c r="Y18396" s="97"/>
    </row>
    <row r="18397" spans="25:25" x14ac:dyDescent="0.2">
      <c r="Y18397" s="97"/>
    </row>
    <row r="18398" spans="25:25" x14ac:dyDescent="0.2">
      <c r="Y18398" s="97"/>
    </row>
    <row r="18399" spans="25:25" x14ac:dyDescent="0.2">
      <c r="Y18399" s="97"/>
    </row>
    <row r="18400" spans="25:25" x14ac:dyDescent="0.2">
      <c r="Y18400" s="97"/>
    </row>
    <row r="18401" spans="25:25" x14ac:dyDescent="0.2">
      <c r="Y18401" s="97"/>
    </row>
    <row r="18402" spans="25:25" x14ac:dyDescent="0.2">
      <c r="Y18402" s="97"/>
    </row>
    <row r="18403" spans="25:25" x14ac:dyDescent="0.2">
      <c r="Y18403" s="97"/>
    </row>
    <row r="18404" spans="25:25" x14ac:dyDescent="0.2">
      <c r="Y18404" s="97"/>
    </row>
    <row r="18405" spans="25:25" x14ac:dyDescent="0.2">
      <c r="Y18405" s="97"/>
    </row>
    <row r="18406" spans="25:25" x14ac:dyDescent="0.2">
      <c r="Y18406" s="97"/>
    </row>
    <row r="18407" spans="25:25" x14ac:dyDescent="0.2">
      <c r="Y18407" s="97"/>
    </row>
    <row r="18408" spans="25:25" x14ac:dyDescent="0.2">
      <c r="Y18408" s="97"/>
    </row>
    <row r="18409" spans="25:25" x14ac:dyDescent="0.2">
      <c r="Y18409" s="97"/>
    </row>
    <row r="18410" spans="25:25" x14ac:dyDescent="0.2">
      <c r="Y18410" s="97"/>
    </row>
    <row r="18411" spans="25:25" x14ac:dyDescent="0.2">
      <c r="Y18411" s="97"/>
    </row>
    <row r="18412" spans="25:25" x14ac:dyDescent="0.2">
      <c r="Y18412" s="97"/>
    </row>
    <row r="18413" spans="25:25" x14ac:dyDescent="0.2">
      <c r="Y18413" s="97"/>
    </row>
    <row r="18414" spans="25:25" x14ac:dyDescent="0.2">
      <c r="Y18414" s="97"/>
    </row>
    <row r="18415" spans="25:25" x14ac:dyDescent="0.2">
      <c r="Y18415" s="97"/>
    </row>
    <row r="18416" spans="25:25" x14ac:dyDescent="0.2">
      <c r="Y18416" s="97"/>
    </row>
    <row r="18417" spans="25:25" x14ac:dyDescent="0.2">
      <c r="Y18417" s="97"/>
    </row>
    <row r="18418" spans="25:25" x14ac:dyDescent="0.2">
      <c r="Y18418" s="97"/>
    </row>
    <row r="18419" spans="25:25" x14ac:dyDescent="0.2">
      <c r="Y18419" s="97"/>
    </row>
    <row r="18420" spans="25:25" x14ac:dyDescent="0.2">
      <c r="Y18420" s="97"/>
    </row>
    <row r="18421" spans="25:25" x14ac:dyDescent="0.2">
      <c r="Y18421" s="97"/>
    </row>
    <row r="18422" spans="25:25" x14ac:dyDescent="0.2">
      <c r="Y18422" s="97"/>
    </row>
    <row r="18423" spans="25:25" x14ac:dyDescent="0.2">
      <c r="Y18423" s="97"/>
    </row>
    <row r="18424" spans="25:25" x14ac:dyDescent="0.2">
      <c r="Y18424" s="97"/>
    </row>
    <row r="18425" spans="25:25" x14ac:dyDescent="0.2">
      <c r="Y18425" s="97"/>
    </row>
    <row r="18426" spans="25:25" x14ac:dyDescent="0.2">
      <c r="Y18426" s="97"/>
    </row>
    <row r="18427" spans="25:25" x14ac:dyDescent="0.2">
      <c r="Y18427" s="97"/>
    </row>
    <row r="18428" spans="25:25" x14ac:dyDescent="0.2">
      <c r="Y18428" s="97"/>
    </row>
    <row r="18429" spans="25:25" x14ac:dyDescent="0.2">
      <c r="Y18429" s="97"/>
    </row>
    <row r="18430" spans="25:25" x14ac:dyDescent="0.2">
      <c r="Y18430" s="97"/>
    </row>
    <row r="18431" spans="25:25" x14ac:dyDescent="0.2">
      <c r="Y18431" s="97"/>
    </row>
    <row r="18432" spans="25:25" x14ac:dyDescent="0.2">
      <c r="Y18432" s="97"/>
    </row>
    <row r="18433" spans="25:25" x14ac:dyDescent="0.2">
      <c r="Y18433" s="97"/>
    </row>
    <row r="18434" spans="25:25" x14ac:dyDescent="0.2">
      <c r="Y18434" s="97"/>
    </row>
    <row r="18435" spans="25:25" x14ac:dyDescent="0.2">
      <c r="Y18435" s="97"/>
    </row>
    <row r="18436" spans="25:25" x14ac:dyDescent="0.2">
      <c r="Y18436" s="97"/>
    </row>
    <row r="18437" spans="25:25" x14ac:dyDescent="0.2">
      <c r="Y18437" s="97"/>
    </row>
    <row r="18438" spans="25:25" x14ac:dyDescent="0.2">
      <c r="Y18438" s="97"/>
    </row>
    <row r="18439" spans="25:25" x14ac:dyDescent="0.2">
      <c r="Y18439" s="97"/>
    </row>
    <row r="18440" spans="25:25" x14ac:dyDescent="0.2">
      <c r="Y18440" s="97"/>
    </row>
    <row r="18441" spans="25:25" x14ac:dyDescent="0.2">
      <c r="Y18441" s="97"/>
    </row>
    <row r="18442" spans="25:25" x14ac:dyDescent="0.2">
      <c r="Y18442" s="97"/>
    </row>
    <row r="18443" spans="25:25" x14ac:dyDescent="0.2">
      <c r="Y18443" s="97"/>
    </row>
    <row r="18444" spans="25:25" x14ac:dyDescent="0.2">
      <c r="Y18444" s="97"/>
    </row>
    <row r="18445" spans="25:25" x14ac:dyDescent="0.2">
      <c r="Y18445" s="97"/>
    </row>
    <row r="18446" spans="25:25" x14ac:dyDescent="0.2">
      <c r="Y18446" s="97"/>
    </row>
    <row r="18447" spans="25:25" x14ac:dyDescent="0.2">
      <c r="Y18447" s="97"/>
    </row>
    <row r="18448" spans="25:25" x14ac:dyDescent="0.2">
      <c r="Y18448" s="97"/>
    </row>
    <row r="18449" spans="25:25" x14ac:dyDescent="0.2">
      <c r="Y18449" s="97"/>
    </row>
    <row r="18450" spans="25:25" x14ac:dyDescent="0.2">
      <c r="Y18450" s="97"/>
    </row>
    <row r="18451" spans="25:25" x14ac:dyDescent="0.2">
      <c r="Y18451" s="97"/>
    </row>
    <row r="18452" spans="25:25" x14ac:dyDescent="0.2">
      <c r="Y18452" s="97"/>
    </row>
    <row r="18453" spans="25:25" x14ac:dyDescent="0.2">
      <c r="Y18453" s="97"/>
    </row>
    <row r="18454" spans="25:25" x14ac:dyDescent="0.2">
      <c r="Y18454" s="97"/>
    </row>
    <row r="18455" spans="25:25" x14ac:dyDescent="0.2">
      <c r="Y18455" s="97"/>
    </row>
    <row r="18456" spans="25:25" x14ac:dyDescent="0.2">
      <c r="Y18456" s="97"/>
    </row>
    <row r="18457" spans="25:25" x14ac:dyDescent="0.2">
      <c r="Y18457" s="97"/>
    </row>
    <row r="18458" spans="25:25" x14ac:dyDescent="0.2">
      <c r="Y18458" s="97"/>
    </row>
    <row r="18459" spans="25:25" x14ac:dyDescent="0.2">
      <c r="Y18459" s="97"/>
    </row>
    <row r="18460" spans="25:25" x14ac:dyDescent="0.2">
      <c r="Y18460" s="97"/>
    </row>
    <row r="18461" spans="25:25" x14ac:dyDescent="0.2">
      <c r="Y18461" s="97"/>
    </row>
    <row r="18462" spans="25:25" x14ac:dyDescent="0.2">
      <c r="Y18462" s="97"/>
    </row>
    <row r="18463" spans="25:25" x14ac:dyDescent="0.2">
      <c r="Y18463" s="97"/>
    </row>
    <row r="18464" spans="25:25" x14ac:dyDescent="0.2">
      <c r="Y18464" s="97"/>
    </row>
    <row r="18465" spans="25:25" x14ac:dyDescent="0.2">
      <c r="Y18465" s="97"/>
    </row>
    <row r="18466" spans="25:25" x14ac:dyDescent="0.2">
      <c r="Y18466" s="97"/>
    </row>
    <row r="18467" spans="25:25" x14ac:dyDescent="0.2">
      <c r="Y18467" s="97"/>
    </row>
    <row r="18468" spans="25:25" x14ac:dyDescent="0.2">
      <c r="Y18468" s="97"/>
    </row>
    <row r="18469" spans="25:25" x14ac:dyDescent="0.2">
      <c r="Y18469" s="97"/>
    </row>
    <row r="18470" spans="25:25" x14ac:dyDescent="0.2">
      <c r="Y18470" s="97"/>
    </row>
    <row r="18471" spans="25:25" x14ac:dyDescent="0.2">
      <c r="Y18471" s="97"/>
    </row>
    <row r="18472" spans="25:25" x14ac:dyDescent="0.2">
      <c r="Y18472" s="97"/>
    </row>
    <row r="18473" spans="25:25" x14ac:dyDescent="0.2">
      <c r="Y18473" s="97"/>
    </row>
    <row r="18474" spans="25:25" x14ac:dyDescent="0.2">
      <c r="Y18474" s="97"/>
    </row>
    <row r="18475" spans="25:25" x14ac:dyDescent="0.2">
      <c r="Y18475" s="97"/>
    </row>
    <row r="18476" spans="25:25" x14ac:dyDescent="0.2">
      <c r="Y18476" s="97"/>
    </row>
    <row r="18477" spans="25:25" x14ac:dyDescent="0.2">
      <c r="Y18477" s="97"/>
    </row>
    <row r="18478" spans="25:25" x14ac:dyDescent="0.2">
      <c r="Y18478" s="97"/>
    </row>
    <row r="18479" spans="25:25" x14ac:dyDescent="0.2">
      <c r="Y18479" s="97"/>
    </row>
    <row r="18480" spans="25:25" x14ac:dyDescent="0.2">
      <c r="Y18480" s="97"/>
    </row>
    <row r="18481" spans="25:25" x14ac:dyDescent="0.2">
      <c r="Y18481" s="97"/>
    </row>
    <row r="18482" spans="25:25" x14ac:dyDescent="0.2">
      <c r="Y18482" s="97"/>
    </row>
    <row r="18483" spans="25:25" x14ac:dyDescent="0.2">
      <c r="Y18483" s="97"/>
    </row>
    <row r="18484" spans="25:25" x14ac:dyDescent="0.2">
      <c r="Y18484" s="97"/>
    </row>
    <row r="18485" spans="25:25" x14ac:dyDescent="0.2">
      <c r="Y18485" s="97"/>
    </row>
    <row r="18486" spans="25:25" x14ac:dyDescent="0.2">
      <c r="Y18486" s="97"/>
    </row>
    <row r="18487" spans="25:25" x14ac:dyDescent="0.2">
      <c r="Y18487" s="97"/>
    </row>
    <row r="18488" spans="25:25" x14ac:dyDescent="0.2">
      <c r="Y18488" s="97"/>
    </row>
    <row r="18489" spans="25:25" x14ac:dyDescent="0.2">
      <c r="Y18489" s="97"/>
    </row>
    <row r="18490" spans="25:25" x14ac:dyDescent="0.2">
      <c r="Y18490" s="97"/>
    </row>
    <row r="18491" spans="25:25" x14ac:dyDescent="0.2">
      <c r="Y18491" s="97"/>
    </row>
    <row r="18492" spans="25:25" x14ac:dyDescent="0.2">
      <c r="Y18492" s="97"/>
    </row>
    <row r="18493" spans="25:25" x14ac:dyDescent="0.2">
      <c r="Y18493" s="97"/>
    </row>
    <row r="18494" spans="25:25" x14ac:dyDescent="0.2">
      <c r="Y18494" s="97"/>
    </row>
    <row r="18495" spans="25:25" x14ac:dyDescent="0.2">
      <c r="Y18495" s="97"/>
    </row>
    <row r="18496" spans="25:25" x14ac:dyDescent="0.2">
      <c r="Y18496" s="97"/>
    </row>
    <row r="18497" spans="25:25" x14ac:dyDescent="0.2">
      <c r="Y18497" s="97"/>
    </row>
    <row r="18498" spans="25:25" x14ac:dyDescent="0.2">
      <c r="Y18498" s="97"/>
    </row>
    <row r="18499" spans="25:25" x14ac:dyDescent="0.2">
      <c r="Y18499" s="97"/>
    </row>
    <row r="18500" spans="25:25" x14ac:dyDescent="0.2">
      <c r="Y18500" s="97"/>
    </row>
    <row r="18501" spans="25:25" x14ac:dyDescent="0.2">
      <c r="Y18501" s="97"/>
    </row>
    <row r="18502" spans="25:25" x14ac:dyDescent="0.2">
      <c r="Y18502" s="97"/>
    </row>
    <row r="18503" spans="25:25" x14ac:dyDescent="0.2">
      <c r="Y18503" s="97"/>
    </row>
    <row r="18504" spans="25:25" x14ac:dyDescent="0.2">
      <c r="Y18504" s="97"/>
    </row>
    <row r="18505" spans="25:25" x14ac:dyDescent="0.2">
      <c r="Y18505" s="97"/>
    </row>
    <row r="18506" spans="25:25" x14ac:dyDescent="0.2">
      <c r="Y18506" s="97"/>
    </row>
    <row r="18507" spans="25:25" x14ac:dyDescent="0.2">
      <c r="Y18507" s="97"/>
    </row>
    <row r="18508" spans="25:25" x14ac:dyDescent="0.2">
      <c r="Y18508" s="97"/>
    </row>
    <row r="18509" spans="25:25" x14ac:dyDescent="0.2">
      <c r="Y18509" s="97"/>
    </row>
    <row r="18510" spans="25:25" x14ac:dyDescent="0.2">
      <c r="Y18510" s="97"/>
    </row>
    <row r="18511" spans="25:25" x14ac:dyDescent="0.2">
      <c r="Y18511" s="97"/>
    </row>
    <row r="18512" spans="25:25" x14ac:dyDescent="0.2">
      <c r="Y18512" s="97"/>
    </row>
    <row r="18513" spans="25:25" x14ac:dyDescent="0.2">
      <c r="Y18513" s="97"/>
    </row>
    <row r="18514" spans="25:25" x14ac:dyDescent="0.2">
      <c r="Y18514" s="97"/>
    </row>
    <row r="18515" spans="25:25" x14ac:dyDescent="0.2">
      <c r="Y18515" s="97"/>
    </row>
    <row r="18516" spans="25:25" x14ac:dyDescent="0.2">
      <c r="Y18516" s="97"/>
    </row>
    <row r="18517" spans="25:25" x14ac:dyDescent="0.2">
      <c r="Y18517" s="97"/>
    </row>
    <row r="18518" spans="25:25" x14ac:dyDescent="0.2">
      <c r="Y18518" s="97"/>
    </row>
    <row r="18519" spans="25:25" x14ac:dyDescent="0.2">
      <c r="Y18519" s="97"/>
    </row>
    <row r="18520" spans="25:25" x14ac:dyDescent="0.2">
      <c r="Y18520" s="97"/>
    </row>
    <row r="18521" spans="25:25" x14ac:dyDescent="0.2">
      <c r="Y18521" s="97"/>
    </row>
    <row r="18522" spans="25:25" x14ac:dyDescent="0.2">
      <c r="Y18522" s="97"/>
    </row>
    <row r="18523" spans="25:25" x14ac:dyDescent="0.2">
      <c r="Y18523" s="97"/>
    </row>
    <row r="18524" spans="25:25" x14ac:dyDescent="0.2">
      <c r="Y18524" s="97"/>
    </row>
    <row r="18525" spans="25:25" x14ac:dyDescent="0.2">
      <c r="Y18525" s="97"/>
    </row>
    <row r="18526" spans="25:25" x14ac:dyDescent="0.2">
      <c r="Y18526" s="97"/>
    </row>
    <row r="18527" spans="25:25" x14ac:dyDescent="0.2">
      <c r="Y18527" s="97"/>
    </row>
    <row r="18528" spans="25:25" x14ac:dyDescent="0.2">
      <c r="Y18528" s="97"/>
    </row>
    <row r="18529" spans="25:25" x14ac:dyDescent="0.2">
      <c r="Y18529" s="97"/>
    </row>
    <row r="18530" spans="25:25" x14ac:dyDescent="0.2">
      <c r="Y18530" s="97"/>
    </row>
    <row r="18531" spans="25:25" x14ac:dyDescent="0.2">
      <c r="Y18531" s="97"/>
    </row>
    <row r="18532" spans="25:25" x14ac:dyDescent="0.2">
      <c r="Y18532" s="97"/>
    </row>
    <row r="18533" spans="25:25" x14ac:dyDescent="0.2">
      <c r="Y18533" s="97"/>
    </row>
    <row r="18534" spans="25:25" x14ac:dyDescent="0.2">
      <c r="Y18534" s="97"/>
    </row>
    <row r="18535" spans="25:25" x14ac:dyDescent="0.2">
      <c r="Y18535" s="97"/>
    </row>
    <row r="18536" spans="25:25" x14ac:dyDescent="0.2">
      <c r="Y18536" s="97"/>
    </row>
    <row r="18537" spans="25:25" x14ac:dyDescent="0.2">
      <c r="Y18537" s="97"/>
    </row>
    <row r="18538" spans="25:25" x14ac:dyDescent="0.2">
      <c r="Y18538" s="97"/>
    </row>
    <row r="18539" spans="25:25" x14ac:dyDescent="0.2">
      <c r="Y18539" s="97"/>
    </row>
    <row r="18540" spans="25:25" x14ac:dyDescent="0.2">
      <c r="Y18540" s="97"/>
    </row>
    <row r="18541" spans="25:25" x14ac:dyDescent="0.2">
      <c r="Y18541" s="97"/>
    </row>
    <row r="18542" spans="25:25" x14ac:dyDescent="0.2">
      <c r="Y18542" s="97"/>
    </row>
    <row r="18543" spans="25:25" x14ac:dyDescent="0.2">
      <c r="Y18543" s="97"/>
    </row>
    <row r="18544" spans="25:25" x14ac:dyDescent="0.2">
      <c r="Y18544" s="97"/>
    </row>
    <row r="18545" spans="25:25" x14ac:dyDescent="0.2">
      <c r="Y18545" s="97"/>
    </row>
    <row r="18546" spans="25:25" x14ac:dyDescent="0.2">
      <c r="Y18546" s="97"/>
    </row>
    <row r="18547" spans="25:25" x14ac:dyDescent="0.2">
      <c r="Y18547" s="97"/>
    </row>
    <row r="18548" spans="25:25" x14ac:dyDescent="0.2">
      <c r="Y18548" s="97"/>
    </row>
    <row r="18549" spans="25:25" x14ac:dyDescent="0.2">
      <c r="Y18549" s="97"/>
    </row>
    <row r="18550" spans="25:25" x14ac:dyDescent="0.2">
      <c r="Y18550" s="97"/>
    </row>
    <row r="18551" spans="25:25" x14ac:dyDescent="0.2">
      <c r="Y18551" s="97"/>
    </row>
    <row r="18552" spans="25:25" x14ac:dyDescent="0.2">
      <c r="Y18552" s="97"/>
    </row>
    <row r="18553" spans="25:25" x14ac:dyDescent="0.2">
      <c r="Y18553" s="97"/>
    </row>
    <row r="18554" spans="25:25" x14ac:dyDescent="0.2">
      <c r="Y18554" s="97"/>
    </row>
    <row r="18555" spans="25:25" x14ac:dyDescent="0.2">
      <c r="Y18555" s="97"/>
    </row>
    <row r="18556" spans="25:25" x14ac:dyDescent="0.2">
      <c r="Y18556" s="97"/>
    </row>
    <row r="18557" spans="25:25" x14ac:dyDescent="0.2">
      <c r="Y18557" s="97"/>
    </row>
    <row r="18558" spans="25:25" x14ac:dyDescent="0.2">
      <c r="Y18558" s="97"/>
    </row>
    <row r="18559" spans="25:25" x14ac:dyDescent="0.2">
      <c r="Y18559" s="97"/>
    </row>
    <row r="18560" spans="25:25" x14ac:dyDescent="0.2">
      <c r="Y18560" s="97"/>
    </row>
    <row r="18561" spans="25:25" x14ac:dyDescent="0.2">
      <c r="Y18561" s="97"/>
    </row>
    <row r="18562" spans="25:25" x14ac:dyDescent="0.2">
      <c r="Y18562" s="97"/>
    </row>
    <row r="18563" spans="25:25" x14ac:dyDescent="0.2">
      <c r="Y18563" s="97"/>
    </row>
    <row r="18564" spans="25:25" x14ac:dyDescent="0.2">
      <c r="Y18564" s="97"/>
    </row>
    <row r="18565" spans="25:25" x14ac:dyDescent="0.2">
      <c r="Y18565" s="97"/>
    </row>
    <row r="18566" spans="25:25" x14ac:dyDescent="0.2">
      <c r="Y18566" s="97"/>
    </row>
    <row r="18567" spans="25:25" x14ac:dyDescent="0.2">
      <c r="Y18567" s="97"/>
    </row>
    <row r="18568" spans="25:25" x14ac:dyDescent="0.2">
      <c r="Y18568" s="97"/>
    </row>
    <row r="18569" spans="25:25" x14ac:dyDescent="0.2">
      <c r="Y18569" s="97"/>
    </row>
    <row r="18570" spans="25:25" x14ac:dyDescent="0.2">
      <c r="Y18570" s="97"/>
    </row>
    <row r="18571" spans="25:25" x14ac:dyDescent="0.2">
      <c r="Y18571" s="97"/>
    </row>
    <row r="18572" spans="25:25" x14ac:dyDescent="0.2">
      <c r="Y18572" s="97"/>
    </row>
    <row r="18573" spans="25:25" x14ac:dyDescent="0.2">
      <c r="Y18573" s="97"/>
    </row>
    <row r="18574" spans="25:25" x14ac:dyDescent="0.2">
      <c r="Y18574" s="97"/>
    </row>
    <row r="18575" spans="25:25" x14ac:dyDescent="0.2">
      <c r="Y18575" s="97"/>
    </row>
    <row r="18576" spans="25:25" x14ac:dyDescent="0.2">
      <c r="Y18576" s="97"/>
    </row>
    <row r="18577" spans="25:25" x14ac:dyDescent="0.2">
      <c r="Y18577" s="97"/>
    </row>
    <row r="18578" spans="25:25" x14ac:dyDescent="0.2">
      <c r="Y18578" s="97"/>
    </row>
    <row r="18579" spans="25:25" x14ac:dyDescent="0.2">
      <c r="Y18579" s="97"/>
    </row>
    <row r="18580" spans="25:25" x14ac:dyDescent="0.2">
      <c r="Y18580" s="97"/>
    </row>
    <row r="18581" spans="25:25" x14ac:dyDescent="0.2">
      <c r="Y18581" s="97"/>
    </row>
    <row r="18582" spans="25:25" x14ac:dyDescent="0.2">
      <c r="Y18582" s="97"/>
    </row>
    <row r="18583" spans="25:25" x14ac:dyDescent="0.2">
      <c r="Y18583" s="97"/>
    </row>
    <row r="18584" spans="25:25" x14ac:dyDescent="0.2">
      <c r="Y18584" s="97"/>
    </row>
    <row r="18585" spans="25:25" x14ac:dyDescent="0.2">
      <c r="Y18585" s="97"/>
    </row>
    <row r="18586" spans="25:25" x14ac:dyDescent="0.2">
      <c r="Y18586" s="97"/>
    </row>
    <row r="18587" spans="25:25" x14ac:dyDescent="0.2">
      <c r="Y18587" s="97"/>
    </row>
    <row r="18588" spans="25:25" x14ac:dyDescent="0.2">
      <c r="Y18588" s="97"/>
    </row>
    <row r="18589" spans="25:25" x14ac:dyDescent="0.2">
      <c r="Y18589" s="97"/>
    </row>
    <row r="18590" spans="25:25" x14ac:dyDescent="0.2">
      <c r="Y18590" s="97"/>
    </row>
    <row r="18591" spans="25:25" x14ac:dyDescent="0.2">
      <c r="Y18591" s="97"/>
    </row>
    <row r="18592" spans="25:25" x14ac:dyDescent="0.2">
      <c r="Y18592" s="97"/>
    </row>
    <row r="18593" spans="25:25" x14ac:dyDescent="0.2">
      <c r="Y18593" s="97"/>
    </row>
    <row r="18594" spans="25:25" x14ac:dyDescent="0.2">
      <c r="Y18594" s="97"/>
    </row>
    <row r="18595" spans="25:25" x14ac:dyDescent="0.2">
      <c r="Y18595" s="97"/>
    </row>
    <row r="18596" spans="25:25" x14ac:dyDescent="0.2">
      <c r="Y18596" s="97"/>
    </row>
    <row r="18597" spans="25:25" x14ac:dyDescent="0.2">
      <c r="Y18597" s="97"/>
    </row>
    <row r="18598" spans="25:25" x14ac:dyDescent="0.2">
      <c r="Y18598" s="97"/>
    </row>
    <row r="18599" spans="25:25" x14ac:dyDescent="0.2">
      <c r="Y18599" s="97"/>
    </row>
    <row r="18600" spans="25:25" x14ac:dyDescent="0.2">
      <c r="Y18600" s="97"/>
    </row>
    <row r="18601" spans="25:25" x14ac:dyDescent="0.2">
      <c r="Y18601" s="97"/>
    </row>
    <row r="18602" spans="25:25" x14ac:dyDescent="0.2">
      <c r="Y18602" s="97"/>
    </row>
    <row r="18603" spans="25:25" x14ac:dyDescent="0.2">
      <c r="Y18603" s="97"/>
    </row>
    <row r="18604" spans="25:25" x14ac:dyDescent="0.2">
      <c r="Y18604" s="97"/>
    </row>
    <row r="18605" spans="25:25" x14ac:dyDescent="0.2">
      <c r="Y18605" s="97"/>
    </row>
    <row r="18606" spans="25:25" x14ac:dyDescent="0.2">
      <c r="Y18606" s="97"/>
    </row>
    <row r="18607" spans="25:25" x14ac:dyDescent="0.2">
      <c r="Y18607" s="97"/>
    </row>
    <row r="18608" spans="25:25" x14ac:dyDescent="0.2">
      <c r="Y18608" s="97"/>
    </row>
    <row r="18609" spans="25:25" x14ac:dyDescent="0.2">
      <c r="Y18609" s="97"/>
    </row>
    <row r="18610" spans="25:25" x14ac:dyDescent="0.2">
      <c r="Y18610" s="97"/>
    </row>
    <row r="18611" spans="25:25" x14ac:dyDescent="0.2">
      <c r="Y18611" s="97"/>
    </row>
    <row r="18612" spans="25:25" x14ac:dyDescent="0.2">
      <c r="Y18612" s="97"/>
    </row>
    <row r="18613" spans="25:25" x14ac:dyDescent="0.2">
      <c r="Y18613" s="97"/>
    </row>
    <row r="18614" spans="25:25" x14ac:dyDescent="0.2">
      <c r="Y18614" s="97"/>
    </row>
    <row r="18615" spans="25:25" x14ac:dyDescent="0.2">
      <c r="Y18615" s="97"/>
    </row>
    <row r="18616" spans="25:25" x14ac:dyDescent="0.2">
      <c r="Y18616" s="97"/>
    </row>
    <row r="18617" spans="25:25" x14ac:dyDescent="0.2">
      <c r="Y18617" s="97"/>
    </row>
    <row r="18618" spans="25:25" x14ac:dyDescent="0.2">
      <c r="Y18618" s="97"/>
    </row>
    <row r="18619" spans="25:25" x14ac:dyDescent="0.2">
      <c r="Y18619" s="97"/>
    </row>
    <row r="18620" spans="25:25" x14ac:dyDescent="0.2">
      <c r="Y18620" s="97"/>
    </row>
    <row r="18621" spans="25:25" x14ac:dyDescent="0.2">
      <c r="Y18621" s="97"/>
    </row>
    <row r="18622" spans="25:25" x14ac:dyDescent="0.2">
      <c r="Y18622" s="97"/>
    </row>
    <row r="18623" spans="25:25" x14ac:dyDescent="0.2">
      <c r="Y18623" s="97"/>
    </row>
    <row r="18624" spans="25:25" x14ac:dyDescent="0.2">
      <c r="Y18624" s="97"/>
    </row>
    <row r="18625" spans="25:25" x14ac:dyDescent="0.2">
      <c r="Y18625" s="97"/>
    </row>
    <row r="18626" spans="25:25" x14ac:dyDescent="0.2">
      <c r="Y18626" s="97"/>
    </row>
    <row r="18627" spans="25:25" x14ac:dyDescent="0.2">
      <c r="Y18627" s="97"/>
    </row>
    <row r="18628" spans="25:25" x14ac:dyDescent="0.2">
      <c r="Y18628" s="97"/>
    </row>
    <row r="18629" spans="25:25" x14ac:dyDescent="0.2">
      <c r="Y18629" s="97"/>
    </row>
    <row r="18630" spans="25:25" x14ac:dyDescent="0.2">
      <c r="Y18630" s="97"/>
    </row>
    <row r="18631" spans="25:25" x14ac:dyDescent="0.2">
      <c r="Y18631" s="97"/>
    </row>
    <row r="18632" spans="25:25" x14ac:dyDescent="0.2">
      <c r="Y18632" s="97"/>
    </row>
    <row r="18633" spans="25:25" x14ac:dyDescent="0.2">
      <c r="Y18633" s="97"/>
    </row>
    <row r="18634" spans="25:25" x14ac:dyDescent="0.2">
      <c r="Y18634" s="97"/>
    </row>
    <row r="18635" spans="25:25" x14ac:dyDescent="0.2">
      <c r="Y18635" s="97"/>
    </row>
    <row r="18636" spans="25:25" x14ac:dyDescent="0.2">
      <c r="Y18636" s="97"/>
    </row>
    <row r="18637" spans="25:25" x14ac:dyDescent="0.2">
      <c r="Y18637" s="97"/>
    </row>
    <row r="18638" spans="25:25" x14ac:dyDescent="0.2">
      <c r="Y18638" s="97"/>
    </row>
    <row r="18639" spans="25:25" x14ac:dyDescent="0.2">
      <c r="Y18639" s="97"/>
    </row>
    <row r="18640" spans="25:25" x14ac:dyDescent="0.2">
      <c r="Y18640" s="97"/>
    </row>
    <row r="18641" spans="25:25" x14ac:dyDescent="0.2">
      <c r="Y18641" s="97"/>
    </row>
    <row r="18642" spans="25:25" x14ac:dyDescent="0.2">
      <c r="Y18642" s="97"/>
    </row>
    <row r="18643" spans="25:25" x14ac:dyDescent="0.2">
      <c r="Y18643" s="97"/>
    </row>
    <row r="18644" spans="25:25" x14ac:dyDescent="0.2">
      <c r="Y18644" s="97"/>
    </row>
    <row r="18645" spans="25:25" x14ac:dyDescent="0.2">
      <c r="Y18645" s="97"/>
    </row>
    <row r="18646" spans="25:25" x14ac:dyDescent="0.2">
      <c r="Y18646" s="97"/>
    </row>
    <row r="18647" spans="25:25" x14ac:dyDescent="0.2">
      <c r="Y18647" s="97"/>
    </row>
    <row r="18648" spans="25:25" x14ac:dyDescent="0.2">
      <c r="Y18648" s="97"/>
    </row>
    <row r="18649" spans="25:25" x14ac:dyDescent="0.2">
      <c r="Y18649" s="97"/>
    </row>
    <row r="18650" spans="25:25" x14ac:dyDescent="0.2">
      <c r="Y18650" s="97"/>
    </row>
    <row r="18651" spans="25:25" x14ac:dyDescent="0.2">
      <c r="Y18651" s="97"/>
    </row>
    <row r="18652" spans="25:25" x14ac:dyDescent="0.2">
      <c r="Y18652" s="97"/>
    </row>
    <row r="18653" spans="25:25" x14ac:dyDescent="0.2">
      <c r="Y18653" s="97"/>
    </row>
    <row r="18654" spans="25:25" x14ac:dyDescent="0.2">
      <c r="Y18654" s="97"/>
    </row>
    <row r="18655" spans="25:25" x14ac:dyDescent="0.2">
      <c r="Y18655" s="97"/>
    </row>
    <row r="18656" spans="25:25" x14ac:dyDescent="0.2">
      <c r="Y18656" s="97"/>
    </row>
    <row r="18657" spans="25:25" x14ac:dyDescent="0.2">
      <c r="Y18657" s="97"/>
    </row>
    <row r="18658" spans="25:25" x14ac:dyDescent="0.2">
      <c r="Y18658" s="97"/>
    </row>
    <row r="18659" spans="25:25" x14ac:dyDescent="0.2">
      <c r="Y18659" s="97"/>
    </row>
    <row r="18660" spans="25:25" x14ac:dyDescent="0.2">
      <c r="Y18660" s="97"/>
    </row>
    <row r="18661" spans="25:25" x14ac:dyDescent="0.2">
      <c r="Y18661" s="97"/>
    </row>
    <row r="18662" spans="25:25" x14ac:dyDescent="0.2">
      <c r="Y18662" s="97"/>
    </row>
    <row r="18663" spans="25:25" x14ac:dyDescent="0.2">
      <c r="Y18663" s="97"/>
    </row>
    <row r="18664" spans="25:25" x14ac:dyDescent="0.2">
      <c r="Y18664" s="97"/>
    </row>
    <row r="18665" spans="25:25" x14ac:dyDescent="0.2">
      <c r="Y18665" s="97"/>
    </row>
    <row r="18666" spans="25:25" x14ac:dyDescent="0.2">
      <c r="Y18666" s="97"/>
    </row>
    <row r="18667" spans="25:25" x14ac:dyDescent="0.2">
      <c r="Y18667" s="97"/>
    </row>
    <row r="18668" spans="25:25" x14ac:dyDescent="0.2">
      <c r="Y18668" s="97"/>
    </row>
    <row r="18669" spans="25:25" x14ac:dyDescent="0.2">
      <c r="Y18669" s="97"/>
    </row>
    <row r="18670" spans="25:25" x14ac:dyDescent="0.2">
      <c r="Y18670" s="97"/>
    </row>
    <row r="18671" spans="25:25" x14ac:dyDescent="0.2">
      <c r="Y18671" s="97"/>
    </row>
    <row r="18672" spans="25:25" x14ac:dyDescent="0.2">
      <c r="Y18672" s="97"/>
    </row>
    <row r="18673" spans="25:25" x14ac:dyDescent="0.2">
      <c r="Y18673" s="97"/>
    </row>
    <row r="18674" spans="25:25" x14ac:dyDescent="0.2">
      <c r="Y18674" s="97"/>
    </row>
    <row r="18675" spans="25:25" x14ac:dyDescent="0.2">
      <c r="Y18675" s="97"/>
    </row>
    <row r="18676" spans="25:25" x14ac:dyDescent="0.2">
      <c r="Y18676" s="97"/>
    </row>
    <row r="18677" spans="25:25" x14ac:dyDescent="0.2">
      <c r="Y18677" s="97"/>
    </row>
    <row r="18678" spans="25:25" x14ac:dyDescent="0.2">
      <c r="Y18678" s="97"/>
    </row>
    <row r="18679" spans="25:25" x14ac:dyDescent="0.2">
      <c r="Y18679" s="97"/>
    </row>
    <row r="18680" spans="25:25" x14ac:dyDescent="0.2">
      <c r="Y18680" s="97"/>
    </row>
    <row r="18681" spans="25:25" x14ac:dyDescent="0.2">
      <c r="Y18681" s="97"/>
    </row>
    <row r="18682" spans="25:25" x14ac:dyDescent="0.2">
      <c r="Y18682" s="97"/>
    </row>
    <row r="18683" spans="25:25" x14ac:dyDescent="0.2">
      <c r="Y18683" s="97"/>
    </row>
    <row r="18684" spans="25:25" x14ac:dyDescent="0.2">
      <c r="Y18684" s="97"/>
    </row>
    <row r="18685" spans="25:25" x14ac:dyDescent="0.2">
      <c r="Y18685" s="97"/>
    </row>
    <row r="18686" spans="25:25" x14ac:dyDescent="0.2">
      <c r="Y18686" s="97"/>
    </row>
    <row r="18687" spans="25:25" x14ac:dyDescent="0.2">
      <c r="Y18687" s="97"/>
    </row>
    <row r="18688" spans="25:25" x14ac:dyDescent="0.2">
      <c r="Y18688" s="97"/>
    </row>
    <row r="18689" spans="25:25" x14ac:dyDescent="0.2">
      <c r="Y18689" s="97"/>
    </row>
    <row r="18690" spans="25:25" x14ac:dyDescent="0.2">
      <c r="Y18690" s="97"/>
    </row>
    <row r="18691" spans="25:25" x14ac:dyDescent="0.2">
      <c r="Y18691" s="97"/>
    </row>
    <row r="18692" spans="25:25" x14ac:dyDescent="0.2">
      <c r="Y18692" s="97"/>
    </row>
    <row r="18693" spans="25:25" x14ac:dyDescent="0.2">
      <c r="Y18693" s="97"/>
    </row>
    <row r="18694" spans="25:25" x14ac:dyDescent="0.2">
      <c r="Y18694" s="97"/>
    </row>
    <row r="18695" spans="25:25" x14ac:dyDescent="0.2">
      <c r="Y18695" s="97"/>
    </row>
    <row r="18696" spans="25:25" x14ac:dyDescent="0.2">
      <c r="Y18696" s="97"/>
    </row>
    <row r="18697" spans="25:25" x14ac:dyDescent="0.2">
      <c r="Y18697" s="97"/>
    </row>
    <row r="18698" spans="25:25" x14ac:dyDescent="0.2">
      <c r="Y18698" s="97"/>
    </row>
    <row r="18699" spans="25:25" x14ac:dyDescent="0.2">
      <c r="Y18699" s="97"/>
    </row>
    <row r="18700" spans="25:25" x14ac:dyDescent="0.2">
      <c r="Y18700" s="97"/>
    </row>
    <row r="18701" spans="25:25" x14ac:dyDescent="0.2">
      <c r="Y18701" s="97"/>
    </row>
    <row r="18702" spans="25:25" x14ac:dyDescent="0.2">
      <c r="Y18702" s="97"/>
    </row>
    <row r="18703" spans="25:25" x14ac:dyDescent="0.2">
      <c r="Y18703" s="97"/>
    </row>
    <row r="18704" spans="25:25" x14ac:dyDescent="0.2">
      <c r="Y18704" s="97"/>
    </row>
    <row r="18705" spans="25:25" x14ac:dyDescent="0.2">
      <c r="Y18705" s="97"/>
    </row>
    <row r="18706" spans="25:25" x14ac:dyDescent="0.2">
      <c r="Y18706" s="97"/>
    </row>
    <row r="18707" spans="25:25" x14ac:dyDescent="0.2">
      <c r="Y18707" s="97"/>
    </row>
    <row r="18708" spans="25:25" x14ac:dyDescent="0.2">
      <c r="Y18708" s="97"/>
    </row>
    <row r="18709" spans="25:25" x14ac:dyDescent="0.2">
      <c r="Y18709" s="97"/>
    </row>
    <row r="18710" spans="25:25" x14ac:dyDescent="0.2">
      <c r="Y18710" s="97"/>
    </row>
    <row r="18711" spans="25:25" x14ac:dyDescent="0.2">
      <c r="Y18711" s="97"/>
    </row>
    <row r="18712" spans="25:25" x14ac:dyDescent="0.2">
      <c r="Y18712" s="97"/>
    </row>
    <row r="18713" spans="25:25" x14ac:dyDescent="0.2">
      <c r="Y18713" s="97"/>
    </row>
    <row r="18714" spans="25:25" x14ac:dyDescent="0.2">
      <c r="Y18714" s="97"/>
    </row>
    <row r="18715" spans="25:25" x14ac:dyDescent="0.2">
      <c r="Y18715" s="97"/>
    </row>
    <row r="18716" spans="25:25" x14ac:dyDescent="0.2">
      <c r="Y18716" s="97"/>
    </row>
    <row r="18717" spans="25:25" x14ac:dyDescent="0.2">
      <c r="Y18717" s="97"/>
    </row>
    <row r="18718" spans="25:25" x14ac:dyDescent="0.2">
      <c r="Y18718" s="97"/>
    </row>
    <row r="18719" spans="25:25" x14ac:dyDescent="0.2">
      <c r="Y18719" s="97"/>
    </row>
    <row r="18720" spans="25:25" x14ac:dyDescent="0.2">
      <c r="Y18720" s="97"/>
    </row>
    <row r="18721" spans="25:25" x14ac:dyDescent="0.2">
      <c r="Y18721" s="97"/>
    </row>
    <row r="18722" spans="25:25" x14ac:dyDescent="0.2">
      <c r="Y18722" s="97"/>
    </row>
    <row r="18723" spans="25:25" x14ac:dyDescent="0.2">
      <c r="Y18723" s="97"/>
    </row>
    <row r="18724" spans="25:25" x14ac:dyDescent="0.2">
      <c r="Y18724" s="97"/>
    </row>
    <row r="18725" spans="25:25" x14ac:dyDescent="0.2">
      <c r="Y18725" s="97"/>
    </row>
    <row r="18726" spans="25:25" x14ac:dyDescent="0.2">
      <c r="Y18726" s="97"/>
    </row>
    <row r="18727" spans="25:25" x14ac:dyDescent="0.2">
      <c r="Y18727" s="97"/>
    </row>
    <row r="18728" spans="25:25" x14ac:dyDescent="0.2">
      <c r="Y18728" s="97"/>
    </row>
    <row r="18729" spans="25:25" x14ac:dyDescent="0.2">
      <c r="Y18729" s="97"/>
    </row>
    <row r="18730" spans="25:25" x14ac:dyDescent="0.2">
      <c r="Y18730" s="97"/>
    </row>
    <row r="18731" spans="25:25" x14ac:dyDescent="0.2">
      <c r="Y18731" s="97"/>
    </row>
    <row r="18732" spans="25:25" x14ac:dyDescent="0.2">
      <c r="Y18732" s="97"/>
    </row>
    <row r="18733" spans="25:25" x14ac:dyDescent="0.2">
      <c r="Y18733" s="97"/>
    </row>
    <row r="18734" spans="25:25" x14ac:dyDescent="0.2">
      <c r="Y18734" s="97"/>
    </row>
    <row r="18735" spans="25:25" x14ac:dyDescent="0.2">
      <c r="Y18735" s="97"/>
    </row>
    <row r="18736" spans="25:25" x14ac:dyDescent="0.2">
      <c r="Y18736" s="97"/>
    </row>
    <row r="18737" spans="25:25" x14ac:dyDescent="0.2">
      <c r="Y18737" s="97"/>
    </row>
    <row r="18738" spans="25:25" x14ac:dyDescent="0.2">
      <c r="Y18738" s="97"/>
    </row>
    <row r="18739" spans="25:25" x14ac:dyDescent="0.2">
      <c r="Y18739" s="97"/>
    </row>
    <row r="18740" spans="25:25" x14ac:dyDescent="0.2">
      <c r="Y18740" s="97"/>
    </row>
    <row r="18741" spans="25:25" x14ac:dyDescent="0.2">
      <c r="Y18741" s="97"/>
    </row>
    <row r="18742" spans="25:25" x14ac:dyDescent="0.2">
      <c r="Y18742" s="97"/>
    </row>
    <row r="18743" spans="25:25" x14ac:dyDescent="0.2">
      <c r="Y18743" s="97"/>
    </row>
    <row r="18744" spans="25:25" x14ac:dyDescent="0.2">
      <c r="Y18744" s="97"/>
    </row>
    <row r="18745" spans="25:25" x14ac:dyDescent="0.2">
      <c r="Y18745" s="97"/>
    </row>
    <row r="18746" spans="25:25" x14ac:dyDescent="0.2">
      <c r="Y18746" s="97"/>
    </row>
    <row r="18747" spans="25:25" x14ac:dyDescent="0.2">
      <c r="Y18747" s="97"/>
    </row>
    <row r="18748" spans="25:25" x14ac:dyDescent="0.2">
      <c r="Y18748" s="97"/>
    </row>
    <row r="18749" spans="25:25" x14ac:dyDescent="0.2">
      <c r="Y18749" s="97"/>
    </row>
    <row r="18750" spans="25:25" x14ac:dyDescent="0.2">
      <c r="Y18750" s="97"/>
    </row>
    <row r="18751" spans="25:25" x14ac:dyDescent="0.2">
      <c r="Y18751" s="97"/>
    </row>
    <row r="18752" spans="25:25" x14ac:dyDescent="0.2">
      <c r="Y18752" s="97"/>
    </row>
    <row r="18753" spans="25:25" x14ac:dyDescent="0.2">
      <c r="Y18753" s="97"/>
    </row>
    <row r="18754" spans="25:25" x14ac:dyDescent="0.2">
      <c r="Y18754" s="97"/>
    </row>
    <row r="18755" spans="25:25" x14ac:dyDescent="0.2">
      <c r="Y18755" s="97"/>
    </row>
    <row r="18756" spans="25:25" x14ac:dyDescent="0.2">
      <c r="Y18756" s="97"/>
    </row>
    <row r="18757" spans="25:25" x14ac:dyDescent="0.2">
      <c r="Y18757" s="97"/>
    </row>
    <row r="18758" spans="25:25" x14ac:dyDescent="0.2">
      <c r="Y18758" s="97"/>
    </row>
    <row r="18759" spans="25:25" x14ac:dyDescent="0.2">
      <c r="Y18759" s="97"/>
    </row>
    <row r="18760" spans="25:25" x14ac:dyDescent="0.2">
      <c r="Y18760" s="97"/>
    </row>
    <row r="18761" spans="25:25" x14ac:dyDescent="0.2">
      <c r="Y18761" s="97"/>
    </row>
    <row r="18762" spans="25:25" x14ac:dyDescent="0.2">
      <c r="Y18762" s="97"/>
    </row>
    <row r="18763" spans="25:25" x14ac:dyDescent="0.2">
      <c r="Y18763" s="97"/>
    </row>
    <row r="18764" spans="25:25" x14ac:dyDescent="0.2">
      <c r="Y18764" s="97"/>
    </row>
    <row r="18765" spans="25:25" x14ac:dyDescent="0.2">
      <c r="Y18765" s="97"/>
    </row>
    <row r="18766" spans="25:25" x14ac:dyDescent="0.2">
      <c r="Y18766" s="97"/>
    </row>
    <row r="18767" spans="25:25" x14ac:dyDescent="0.2">
      <c r="Y18767" s="97"/>
    </row>
    <row r="18768" spans="25:25" x14ac:dyDescent="0.2">
      <c r="Y18768" s="97"/>
    </row>
    <row r="18769" spans="25:25" x14ac:dyDescent="0.2">
      <c r="Y18769" s="97"/>
    </row>
    <row r="18770" spans="25:25" x14ac:dyDescent="0.2">
      <c r="Y18770" s="97"/>
    </row>
    <row r="18771" spans="25:25" x14ac:dyDescent="0.2">
      <c r="Y18771" s="97"/>
    </row>
    <row r="18772" spans="25:25" x14ac:dyDescent="0.2">
      <c r="Y18772" s="97"/>
    </row>
    <row r="18773" spans="25:25" x14ac:dyDescent="0.2">
      <c r="Y18773" s="97"/>
    </row>
    <row r="18774" spans="25:25" x14ac:dyDescent="0.2">
      <c r="Y18774" s="97"/>
    </row>
    <row r="18775" spans="25:25" x14ac:dyDescent="0.2">
      <c r="Y18775" s="97"/>
    </row>
    <row r="18776" spans="25:25" x14ac:dyDescent="0.2">
      <c r="Y18776" s="97"/>
    </row>
    <row r="18777" spans="25:25" x14ac:dyDescent="0.2">
      <c r="Y18777" s="97"/>
    </row>
    <row r="18778" spans="25:25" x14ac:dyDescent="0.2">
      <c r="Y18778" s="97"/>
    </row>
    <row r="18779" spans="25:25" x14ac:dyDescent="0.2">
      <c r="Y18779" s="97"/>
    </row>
    <row r="18780" spans="25:25" x14ac:dyDescent="0.2">
      <c r="Y18780" s="97"/>
    </row>
    <row r="18781" spans="25:25" x14ac:dyDescent="0.2">
      <c r="Y18781" s="97"/>
    </row>
    <row r="18782" spans="25:25" x14ac:dyDescent="0.2">
      <c r="Y18782" s="97"/>
    </row>
    <row r="18783" spans="25:25" x14ac:dyDescent="0.2">
      <c r="Y18783" s="97"/>
    </row>
    <row r="18784" spans="25:25" x14ac:dyDescent="0.2">
      <c r="Y18784" s="97"/>
    </row>
    <row r="18785" spans="25:25" x14ac:dyDescent="0.2">
      <c r="Y18785" s="97"/>
    </row>
    <row r="18786" spans="25:25" x14ac:dyDescent="0.2">
      <c r="Y18786" s="97"/>
    </row>
    <row r="18787" spans="25:25" x14ac:dyDescent="0.2">
      <c r="Y18787" s="97"/>
    </row>
    <row r="18788" spans="25:25" x14ac:dyDescent="0.2">
      <c r="Y18788" s="97"/>
    </row>
    <row r="18789" spans="25:25" x14ac:dyDescent="0.2">
      <c r="Y18789" s="97"/>
    </row>
    <row r="18790" spans="25:25" x14ac:dyDescent="0.2">
      <c r="Y18790" s="97"/>
    </row>
    <row r="18791" spans="25:25" x14ac:dyDescent="0.2">
      <c r="Y18791" s="97"/>
    </row>
    <row r="18792" spans="25:25" x14ac:dyDescent="0.2">
      <c r="Y18792" s="97"/>
    </row>
    <row r="18793" spans="25:25" x14ac:dyDescent="0.2">
      <c r="Y18793" s="97"/>
    </row>
    <row r="18794" spans="25:25" x14ac:dyDescent="0.2">
      <c r="Y18794" s="97"/>
    </row>
    <row r="18795" spans="25:25" x14ac:dyDescent="0.2">
      <c r="Y18795" s="97"/>
    </row>
    <row r="18796" spans="25:25" x14ac:dyDescent="0.2">
      <c r="Y18796" s="97"/>
    </row>
    <row r="18797" spans="25:25" x14ac:dyDescent="0.2">
      <c r="Y18797" s="97"/>
    </row>
    <row r="18798" spans="25:25" x14ac:dyDescent="0.2">
      <c r="Y18798" s="97"/>
    </row>
    <row r="18799" spans="25:25" x14ac:dyDescent="0.2">
      <c r="Y18799" s="97"/>
    </row>
    <row r="18800" spans="25:25" x14ac:dyDescent="0.2">
      <c r="Y18800" s="97"/>
    </row>
    <row r="18801" spans="25:25" x14ac:dyDescent="0.2">
      <c r="Y18801" s="97"/>
    </row>
    <row r="18802" spans="25:25" x14ac:dyDescent="0.2">
      <c r="Y18802" s="97"/>
    </row>
    <row r="18803" spans="25:25" x14ac:dyDescent="0.2">
      <c r="Y18803" s="97"/>
    </row>
    <row r="18804" spans="25:25" x14ac:dyDescent="0.2">
      <c r="Y18804" s="97"/>
    </row>
    <row r="18805" spans="25:25" x14ac:dyDescent="0.2">
      <c r="Y18805" s="97"/>
    </row>
    <row r="18806" spans="25:25" x14ac:dyDescent="0.2">
      <c r="Y18806" s="97"/>
    </row>
    <row r="18807" spans="25:25" x14ac:dyDescent="0.2">
      <c r="Y18807" s="97"/>
    </row>
    <row r="18808" spans="25:25" x14ac:dyDescent="0.2">
      <c r="Y18808" s="97"/>
    </row>
    <row r="18809" spans="25:25" x14ac:dyDescent="0.2">
      <c r="Y18809" s="97"/>
    </row>
    <row r="18810" spans="25:25" x14ac:dyDescent="0.2">
      <c r="Y18810" s="97"/>
    </row>
    <row r="18811" spans="25:25" x14ac:dyDescent="0.2">
      <c r="Y18811" s="97"/>
    </row>
    <row r="18812" spans="25:25" x14ac:dyDescent="0.2">
      <c r="Y18812" s="97"/>
    </row>
    <row r="18813" spans="25:25" x14ac:dyDescent="0.2">
      <c r="Y18813" s="97"/>
    </row>
    <row r="18814" spans="25:25" x14ac:dyDescent="0.2">
      <c r="Y18814" s="97"/>
    </row>
    <row r="18815" spans="25:25" x14ac:dyDescent="0.2">
      <c r="Y18815" s="97"/>
    </row>
    <row r="18816" spans="25:25" x14ac:dyDescent="0.2">
      <c r="Y18816" s="97"/>
    </row>
    <row r="18817" spans="25:25" x14ac:dyDescent="0.2">
      <c r="Y18817" s="97"/>
    </row>
    <row r="18818" spans="25:25" x14ac:dyDescent="0.2">
      <c r="Y18818" s="97"/>
    </row>
    <row r="18819" spans="25:25" x14ac:dyDescent="0.2">
      <c r="Y18819" s="97"/>
    </row>
    <row r="18820" spans="25:25" x14ac:dyDescent="0.2">
      <c r="Y18820" s="97"/>
    </row>
    <row r="18821" spans="25:25" x14ac:dyDescent="0.2">
      <c r="Y18821" s="97"/>
    </row>
    <row r="18822" spans="25:25" x14ac:dyDescent="0.2">
      <c r="Y18822" s="97"/>
    </row>
    <row r="18823" spans="25:25" x14ac:dyDescent="0.2">
      <c r="Y18823" s="97"/>
    </row>
    <row r="18824" spans="25:25" x14ac:dyDescent="0.2">
      <c r="Y18824" s="97"/>
    </row>
    <row r="18825" spans="25:25" x14ac:dyDescent="0.2">
      <c r="Y18825" s="97"/>
    </row>
    <row r="18826" spans="25:25" x14ac:dyDescent="0.2">
      <c r="Y18826" s="97"/>
    </row>
    <row r="18827" spans="25:25" x14ac:dyDescent="0.2">
      <c r="Y18827" s="97"/>
    </row>
    <row r="18828" spans="25:25" x14ac:dyDescent="0.2">
      <c r="Y18828" s="97"/>
    </row>
    <row r="18829" spans="25:25" x14ac:dyDescent="0.2">
      <c r="Y18829" s="97"/>
    </row>
    <row r="18830" spans="25:25" x14ac:dyDescent="0.2">
      <c r="Y18830" s="97"/>
    </row>
    <row r="18831" spans="25:25" x14ac:dyDescent="0.2">
      <c r="Y18831" s="97"/>
    </row>
    <row r="18832" spans="25:25" x14ac:dyDescent="0.2">
      <c r="Y18832" s="97"/>
    </row>
    <row r="18833" spans="25:25" x14ac:dyDescent="0.2">
      <c r="Y18833" s="97"/>
    </row>
    <row r="18834" spans="25:25" x14ac:dyDescent="0.2">
      <c r="Y18834" s="97"/>
    </row>
    <row r="18835" spans="25:25" x14ac:dyDescent="0.2">
      <c r="Y18835" s="97"/>
    </row>
    <row r="18836" spans="25:25" x14ac:dyDescent="0.2">
      <c r="Y18836" s="97"/>
    </row>
    <row r="18837" spans="25:25" x14ac:dyDescent="0.2">
      <c r="Y18837" s="97"/>
    </row>
    <row r="18838" spans="25:25" x14ac:dyDescent="0.2">
      <c r="Y18838" s="97"/>
    </row>
    <row r="18839" spans="25:25" x14ac:dyDescent="0.2">
      <c r="Y18839" s="97"/>
    </row>
    <row r="18840" spans="25:25" x14ac:dyDescent="0.2">
      <c r="Y18840" s="97"/>
    </row>
    <row r="18841" spans="25:25" x14ac:dyDescent="0.2">
      <c r="Y18841" s="97"/>
    </row>
    <row r="18842" spans="25:25" x14ac:dyDescent="0.2">
      <c r="Y18842" s="97"/>
    </row>
    <row r="18843" spans="25:25" x14ac:dyDescent="0.2">
      <c r="Y18843" s="97"/>
    </row>
    <row r="18844" spans="25:25" x14ac:dyDescent="0.2">
      <c r="Y18844" s="97"/>
    </row>
    <row r="18845" spans="25:25" x14ac:dyDescent="0.2">
      <c r="Y18845" s="97"/>
    </row>
    <row r="18846" spans="25:25" x14ac:dyDescent="0.2">
      <c r="Y18846" s="97"/>
    </row>
    <row r="18847" spans="25:25" x14ac:dyDescent="0.2">
      <c r="Y18847" s="97"/>
    </row>
    <row r="18848" spans="25:25" x14ac:dyDescent="0.2">
      <c r="Y18848" s="97"/>
    </row>
    <row r="18849" spans="25:25" x14ac:dyDescent="0.2">
      <c r="Y18849" s="97"/>
    </row>
    <row r="18850" spans="25:25" x14ac:dyDescent="0.2">
      <c r="Y18850" s="97"/>
    </row>
    <row r="18851" spans="25:25" x14ac:dyDescent="0.2">
      <c r="Y18851" s="97"/>
    </row>
    <row r="18852" spans="25:25" x14ac:dyDescent="0.2">
      <c r="Y18852" s="97"/>
    </row>
    <row r="18853" spans="25:25" x14ac:dyDescent="0.2">
      <c r="Y18853" s="97"/>
    </row>
    <row r="18854" spans="25:25" x14ac:dyDescent="0.2">
      <c r="Y18854" s="97"/>
    </row>
    <row r="18855" spans="25:25" x14ac:dyDescent="0.2">
      <c r="Y18855" s="97"/>
    </row>
    <row r="18856" spans="25:25" x14ac:dyDescent="0.2">
      <c r="Y18856" s="97"/>
    </row>
    <row r="18857" spans="25:25" x14ac:dyDescent="0.2">
      <c r="Y18857" s="97"/>
    </row>
    <row r="18858" spans="25:25" x14ac:dyDescent="0.2">
      <c r="Y18858" s="97"/>
    </row>
    <row r="18859" spans="25:25" x14ac:dyDescent="0.2">
      <c r="Y18859" s="97"/>
    </row>
    <row r="18860" spans="25:25" x14ac:dyDescent="0.2">
      <c r="Y18860" s="97"/>
    </row>
    <row r="18861" spans="25:25" x14ac:dyDescent="0.2">
      <c r="Y18861" s="97"/>
    </row>
    <row r="18862" spans="25:25" x14ac:dyDescent="0.2">
      <c r="Y18862" s="97"/>
    </row>
    <row r="18863" spans="25:25" x14ac:dyDescent="0.2">
      <c r="Y18863" s="97"/>
    </row>
    <row r="18864" spans="25:25" x14ac:dyDescent="0.2">
      <c r="Y18864" s="97"/>
    </row>
    <row r="18865" spans="25:25" x14ac:dyDescent="0.2">
      <c r="Y18865" s="97"/>
    </row>
    <row r="18866" spans="25:25" x14ac:dyDescent="0.2">
      <c r="Y18866" s="97"/>
    </row>
    <row r="18867" spans="25:25" x14ac:dyDescent="0.2">
      <c r="Y18867" s="97"/>
    </row>
    <row r="18868" spans="25:25" x14ac:dyDescent="0.2">
      <c r="Y18868" s="97"/>
    </row>
    <row r="18869" spans="25:25" x14ac:dyDescent="0.2">
      <c r="Y18869" s="97"/>
    </row>
    <row r="18870" spans="25:25" x14ac:dyDescent="0.2">
      <c r="Y18870" s="97"/>
    </row>
    <row r="18871" spans="25:25" x14ac:dyDescent="0.2">
      <c r="Y18871" s="97"/>
    </row>
    <row r="18872" spans="25:25" x14ac:dyDescent="0.2">
      <c r="Y18872" s="97"/>
    </row>
    <row r="18873" spans="25:25" x14ac:dyDescent="0.2">
      <c r="Y18873" s="97"/>
    </row>
    <row r="18874" spans="25:25" x14ac:dyDescent="0.2">
      <c r="Y18874" s="97"/>
    </row>
    <row r="18875" spans="25:25" x14ac:dyDescent="0.2">
      <c r="Y18875" s="97"/>
    </row>
    <row r="18876" spans="25:25" x14ac:dyDescent="0.2">
      <c r="Y18876" s="97"/>
    </row>
    <row r="18877" spans="25:25" x14ac:dyDescent="0.2">
      <c r="Y18877" s="97"/>
    </row>
    <row r="18878" spans="25:25" x14ac:dyDescent="0.2">
      <c r="Y18878" s="97"/>
    </row>
    <row r="18879" spans="25:25" x14ac:dyDescent="0.2">
      <c r="Y18879" s="97"/>
    </row>
    <row r="18880" spans="25:25" x14ac:dyDescent="0.2">
      <c r="Y18880" s="97"/>
    </row>
    <row r="18881" spans="25:25" x14ac:dyDescent="0.2">
      <c r="Y18881" s="97"/>
    </row>
    <row r="18882" spans="25:25" x14ac:dyDescent="0.2">
      <c r="Y18882" s="97"/>
    </row>
    <row r="18883" spans="25:25" x14ac:dyDescent="0.2">
      <c r="Y18883" s="97"/>
    </row>
    <row r="18884" spans="25:25" x14ac:dyDescent="0.2">
      <c r="Y18884" s="97"/>
    </row>
    <row r="18885" spans="25:25" x14ac:dyDescent="0.2">
      <c r="Y18885" s="97"/>
    </row>
    <row r="18886" spans="25:25" x14ac:dyDescent="0.2">
      <c r="Y18886" s="97"/>
    </row>
    <row r="18887" spans="25:25" x14ac:dyDescent="0.2">
      <c r="Y18887" s="97"/>
    </row>
    <row r="18888" spans="25:25" x14ac:dyDescent="0.2">
      <c r="Y18888" s="97"/>
    </row>
    <row r="18889" spans="25:25" x14ac:dyDescent="0.2">
      <c r="Y18889" s="97"/>
    </row>
    <row r="18890" spans="25:25" x14ac:dyDescent="0.2">
      <c r="Y18890" s="97"/>
    </row>
    <row r="18891" spans="25:25" x14ac:dyDescent="0.2">
      <c r="Y18891" s="97"/>
    </row>
    <row r="18892" spans="25:25" x14ac:dyDescent="0.2">
      <c r="Y18892" s="97"/>
    </row>
    <row r="18893" spans="25:25" x14ac:dyDescent="0.2">
      <c r="Y18893" s="97"/>
    </row>
    <row r="18894" spans="25:25" x14ac:dyDescent="0.2">
      <c r="Y18894" s="97"/>
    </row>
    <row r="18895" spans="25:25" x14ac:dyDescent="0.2">
      <c r="Y18895" s="97"/>
    </row>
    <row r="18896" spans="25:25" x14ac:dyDescent="0.2">
      <c r="Y18896" s="97"/>
    </row>
    <row r="18897" spans="25:25" x14ac:dyDescent="0.2">
      <c r="Y18897" s="97"/>
    </row>
    <row r="18898" spans="25:25" x14ac:dyDescent="0.2">
      <c r="Y18898" s="97"/>
    </row>
    <row r="18899" spans="25:25" x14ac:dyDescent="0.2">
      <c r="Y18899" s="97"/>
    </row>
    <row r="18900" spans="25:25" x14ac:dyDescent="0.2">
      <c r="Y18900" s="97"/>
    </row>
    <row r="18901" spans="25:25" x14ac:dyDescent="0.2">
      <c r="Y18901" s="97"/>
    </row>
    <row r="18902" spans="25:25" x14ac:dyDescent="0.2">
      <c r="Y18902" s="97"/>
    </row>
    <row r="18903" spans="25:25" x14ac:dyDescent="0.2">
      <c r="Y18903" s="97"/>
    </row>
    <row r="18904" spans="25:25" x14ac:dyDescent="0.2">
      <c r="Y18904" s="97"/>
    </row>
    <row r="18905" spans="25:25" x14ac:dyDescent="0.2">
      <c r="Y18905" s="97"/>
    </row>
    <row r="18906" spans="25:25" x14ac:dyDescent="0.2">
      <c r="Y18906" s="97"/>
    </row>
    <row r="18907" spans="25:25" x14ac:dyDescent="0.2">
      <c r="Y18907" s="97"/>
    </row>
    <row r="18908" spans="25:25" x14ac:dyDescent="0.2">
      <c r="Y18908" s="97"/>
    </row>
    <row r="18909" spans="25:25" x14ac:dyDescent="0.2">
      <c r="Y18909" s="97"/>
    </row>
    <row r="18910" spans="25:25" x14ac:dyDescent="0.2">
      <c r="Y18910" s="97"/>
    </row>
    <row r="18911" spans="25:25" x14ac:dyDescent="0.2">
      <c r="Y18911" s="97"/>
    </row>
    <row r="18912" spans="25:25" x14ac:dyDescent="0.2">
      <c r="Y18912" s="97"/>
    </row>
    <row r="18913" spans="25:25" x14ac:dyDescent="0.2">
      <c r="Y18913" s="97"/>
    </row>
    <row r="18914" spans="25:25" x14ac:dyDescent="0.2">
      <c r="Y18914" s="97"/>
    </row>
    <row r="18915" spans="25:25" x14ac:dyDescent="0.2">
      <c r="Y18915" s="97"/>
    </row>
    <row r="18916" spans="25:25" x14ac:dyDescent="0.2">
      <c r="Y18916" s="97"/>
    </row>
    <row r="18917" spans="25:25" x14ac:dyDescent="0.2">
      <c r="Y18917" s="97"/>
    </row>
    <row r="18918" spans="25:25" x14ac:dyDescent="0.2">
      <c r="Y18918" s="97"/>
    </row>
    <row r="18919" spans="25:25" x14ac:dyDescent="0.2">
      <c r="Y18919" s="97"/>
    </row>
    <row r="18920" spans="25:25" x14ac:dyDescent="0.2">
      <c r="Y18920" s="97"/>
    </row>
    <row r="18921" spans="25:25" x14ac:dyDescent="0.2">
      <c r="Y18921" s="97"/>
    </row>
    <row r="18922" spans="25:25" x14ac:dyDescent="0.2">
      <c r="Y18922" s="97"/>
    </row>
    <row r="18923" spans="25:25" x14ac:dyDescent="0.2">
      <c r="Y18923" s="97"/>
    </row>
    <row r="18924" spans="25:25" x14ac:dyDescent="0.2">
      <c r="Y18924" s="97"/>
    </row>
    <row r="18925" spans="25:25" x14ac:dyDescent="0.2">
      <c r="Y18925" s="97"/>
    </row>
    <row r="18926" spans="25:25" x14ac:dyDescent="0.2">
      <c r="Y18926" s="97"/>
    </row>
    <row r="18927" spans="25:25" x14ac:dyDescent="0.2">
      <c r="Y18927" s="97"/>
    </row>
    <row r="18928" spans="25:25" x14ac:dyDescent="0.2">
      <c r="Y18928" s="97"/>
    </row>
    <row r="18929" spans="25:25" x14ac:dyDescent="0.2">
      <c r="Y18929" s="97"/>
    </row>
    <row r="18930" spans="25:25" x14ac:dyDescent="0.2">
      <c r="Y18930" s="97"/>
    </row>
    <row r="18931" spans="25:25" x14ac:dyDescent="0.2">
      <c r="Y18931" s="97"/>
    </row>
    <row r="18932" spans="25:25" x14ac:dyDescent="0.2">
      <c r="Y18932" s="97"/>
    </row>
    <row r="18933" spans="25:25" x14ac:dyDescent="0.2">
      <c r="Y18933" s="97"/>
    </row>
    <row r="18934" spans="25:25" x14ac:dyDescent="0.2">
      <c r="Y18934" s="97"/>
    </row>
    <row r="18935" spans="25:25" x14ac:dyDescent="0.2">
      <c r="Y18935" s="97"/>
    </row>
    <row r="18936" spans="25:25" x14ac:dyDescent="0.2">
      <c r="Y18936" s="97"/>
    </row>
    <row r="18937" spans="25:25" x14ac:dyDescent="0.2">
      <c r="Y18937" s="97"/>
    </row>
    <row r="18938" spans="25:25" x14ac:dyDescent="0.2">
      <c r="Y18938" s="97"/>
    </row>
    <row r="18939" spans="25:25" x14ac:dyDescent="0.2">
      <c r="Y18939" s="97"/>
    </row>
    <row r="18940" spans="25:25" x14ac:dyDescent="0.2">
      <c r="Y18940" s="97"/>
    </row>
    <row r="18941" spans="25:25" x14ac:dyDescent="0.2">
      <c r="Y18941" s="97"/>
    </row>
    <row r="18942" spans="25:25" x14ac:dyDescent="0.2">
      <c r="Y18942" s="97"/>
    </row>
    <row r="18943" spans="25:25" x14ac:dyDescent="0.2">
      <c r="Y18943" s="97"/>
    </row>
    <row r="18944" spans="25:25" x14ac:dyDescent="0.2">
      <c r="Y18944" s="97"/>
    </row>
    <row r="18945" spans="25:25" x14ac:dyDescent="0.2">
      <c r="Y18945" s="97"/>
    </row>
    <row r="18946" spans="25:25" x14ac:dyDescent="0.2">
      <c r="Y18946" s="97"/>
    </row>
    <row r="18947" spans="25:25" x14ac:dyDescent="0.2">
      <c r="Y18947" s="97"/>
    </row>
    <row r="18948" spans="25:25" x14ac:dyDescent="0.2">
      <c r="Y18948" s="97"/>
    </row>
    <row r="18949" spans="25:25" x14ac:dyDescent="0.2">
      <c r="Y18949" s="97"/>
    </row>
    <row r="18950" spans="25:25" x14ac:dyDescent="0.2">
      <c r="Y18950" s="97"/>
    </row>
    <row r="18951" spans="25:25" x14ac:dyDescent="0.2">
      <c r="Y18951" s="97"/>
    </row>
    <row r="18952" spans="25:25" x14ac:dyDescent="0.2">
      <c r="Y18952" s="97"/>
    </row>
    <row r="18953" spans="25:25" x14ac:dyDescent="0.2">
      <c r="Y18953" s="97"/>
    </row>
    <row r="18954" spans="25:25" x14ac:dyDescent="0.2">
      <c r="Y18954" s="97"/>
    </row>
    <row r="18955" spans="25:25" x14ac:dyDescent="0.2">
      <c r="Y18955" s="97"/>
    </row>
    <row r="18956" spans="25:25" x14ac:dyDescent="0.2">
      <c r="Y18956" s="97"/>
    </row>
    <row r="18957" spans="25:25" x14ac:dyDescent="0.2">
      <c r="Y18957" s="97"/>
    </row>
    <row r="18958" spans="25:25" x14ac:dyDescent="0.2">
      <c r="Y18958" s="97"/>
    </row>
    <row r="18959" spans="25:25" x14ac:dyDescent="0.2">
      <c r="Y18959" s="97"/>
    </row>
    <row r="18960" spans="25:25" x14ac:dyDescent="0.2">
      <c r="Y18960" s="97"/>
    </row>
    <row r="18961" spans="25:25" x14ac:dyDescent="0.2">
      <c r="Y18961" s="97"/>
    </row>
    <row r="18962" spans="25:25" x14ac:dyDescent="0.2">
      <c r="Y18962" s="97"/>
    </row>
    <row r="18963" spans="25:25" x14ac:dyDescent="0.2">
      <c r="Y18963" s="97"/>
    </row>
    <row r="18964" spans="25:25" x14ac:dyDescent="0.2">
      <c r="Y18964" s="97"/>
    </row>
    <row r="18965" spans="25:25" x14ac:dyDescent="0.2">
      <c r="Y18965" s="97"/>
    </row>
    <row r="18966" spans="25:25" x14ac:dyDescent="0.2">
      <c r="Y18966" s="97"/>
    </row>
    <row r="18967" spans="25:25" x14ac:dyDescent="0.2">
      <c r="Y18967" s="97"/>
    </row>
    <row r="18968" spans="25:25" x14ac:dyDescent="0.2">
      <c r="Y18968" s="97"/>
    </row>
    <row r="18969" spans="25:25" x14ac:dyDescent="0.2">
      <c r="Y18969" s="97"/>
    </row>
    <row r="18970" spans="25:25" x14ac:dyDescent="0.2">
      <c r="Y18970" s="97"/>
    </row>
    <row r="18971" spans="25:25" x14ac:dyDescent="0.2">
      <c r="Y18971" s="97"/>
    </row>
    <row r="18972" spans="25:25" x14ac:dyDescent="0.2">
      <c r="Y18972" s="97"/>
    </row>
    <row r="18973" spans="25:25" x14ac:dyDescent="0.2">
      <c r="Y18973" s="97"/>
    </row>
    <row r="18974" spans="25:25" x14ac:dyDescent="0.2">
      <c r="Y18974" s="97"/>
    </row>
    <row r="18975" spans="25:25" x14ac:dyDescent="0.2">
      <c r="Y18975" s="97"/>
    </row>
    <row r="18976" spans="25:25" x14ac:dyDescent="0.2">
      <c r="Y18976" s="97"/>
    </row>
    <row r="18977" spans="25:25" x14ac:dyDescent="0.2">
      <c r="Y18977" s="97"/>
    </row>
    <row r="18978" spans="25:25" x14ac:dyDescent="0.2">
      <c r="Y18978" s="97"/>
    </row>
    <row r="18979" spans="25:25" x14ac:dyDescent="0.2">
      <c r="Y18979" s="97"/>
    </row>
    <row r="18980" spans="25:25" x14ac:dyDescent="0.2">
      <c r="Y18980" s="97"/>
    </row>
    <row r="18981" spans="25:25" x14ac:dyDescent="0.2">
      <c r="Y18981" s="97"/>
    </row>
    <row r="18982" spans="25:25" x14ac:dyDescent="0.2">
      <c r="Y18982" s="97"/>
    </row>
    <row r="18983" spans="25:25" x14ac:dyDescent="0.2">
      <c r="Y18983" s="97"/>
    </row>
    <row r="18984" spans="25:25" x14ac:dyDescent="0.2">
      <c r="Y18984" s="97"/>
    </row>
    <row r="18985" spans="25:25" x14ac:dyDescent="0.2">
      <c r="Y18985" s="97"/>
    </row>
    <row r="18986" spans="25:25" x14ac:dyDescent="0.2">
      <c r="Y18986" s="97"/>
    </row>
    <row r="18987" spans="25:25" x14ac:dyDescent="0.2">
      <c r="Y18987" s="97"/>
    </row>
    <row r="18988" spans="25:25" x14ac:dyDescent="0.2">
      <c r="Y18988" s="97"/>
    </row>
    <row r="18989" spans="25:25" x14ac:dyDescent="0.2">
      <c r="Y18989" s="97"/>
    </row>
    <row r="18990" spans="25:25" x14ac:dyDescent="0.2">
      <c r="Y18990" s="97"/>
    </row>
    <row r="18991" spans="25:25" x14ac:dyDescent="0.2">
      <c r="Y18991" s="97"/>
    </row>
    <row r="18992" spans="25:25" x14ac:dyDescent="0.2">
      <c r="Y18992" s="97"/>
    </row>
    <row r="18993" spans="25:25" x14ac:dyDescent="0.2">
      <c r="Y18993" s="97"/>
    </row>
    <row r="18994" spans="25:25" x14ac:dyDescent="0.2">
      <c r="Y18994" s="97"/>
    </row>
    <row r="18995" spans="25:25" x14ac:dyDescent="0.2">
      <c r="Y18995" s="97"/>
    </row>
    <row r="18996" spans="25:25" x14ac:dyDescent="0.2">
      <c r="Y18996" s="97"/>
    </row>
    <row r="18997" spans="25:25" x14ac:dyDescent="0.2">
      <c r="Y18997" s="97"/>
    </row>
    <row r="18998" spans="25:25" x14ac:dyDescent="0.2">
      <c r="Y18998" s="97"/>
    </row>
    <row r="18999" spans="25:25" x14ac:dyDescent="0.2">
      <c r="Y18999" s="97"/>
    </row>
    <row r="19000" spans="25:25" x14ac:dyDescent="0.2">
      <c r="Y19000" s="97"/>
    </row>
    <row r="19001" spans="25:25" x14ac:dyDescent="0.2">
      <c r="Y19001" s="97"/>
    </row>
    <row r="19002" spans="25:25" x14ac:dyDescent="0.2">
      <c r="Y19002" s="97"/>
    </row>
    <row r="19003" spans="25:25" x14ac:dyDescent="0.2">
      <c r="Y19003" s="97"/>
    </row>
    <row r="19004" spans="25:25" x14ac:dyDescent="0.2">
      <c r="Y19004" s="97"/>
    </row>
    <row r="19005" spans="25:25" x14ac:dyDescent="0.2">
      <c r="Y19005" s="97"/>
    </row>
    <row r="19006" spans="25:25" x14ac:dyDescent="0.2">
      <c r="Y19006" s="97"/>
    </row>
    <row r="19007" spans="25:25" x14ac:dyDescent="0.2">
      <c r="Y19007" s="97"/>
    </row>
    <row r="19008" spans="25:25" x14ac:dyDescent="0.2">
      <c r="Y19008" s="97"/>
    </row>
    <row r="19009" spans="25:25" x14ac:dyDescent="0.2">
      <c r="Y19009" s="97"/>
    </row>
    <row r="19010" spans="25:25" x14ac:dyDescent="0.2">
      <c r="Y19010" s="97"/>
    </row>
    <row r="19011" spans="25:25" x14ac:dyDescent="0.2">
      <c r="Y19011" s="97"/>
    </row>
    <row r="19012" spans="25:25" x14ac:dyDescent="0.2">
      <c r="Y19012" s="97"/>
    </row>
    <row r="19013" spans="25:25" x14ac:dyDescent="0.2">
      <c r="Y19013" s="97"/>
    </row>
    <row r="19014" spans="25:25" x14ac:dyDescent="0.2">
      <c r="Y19014" s="97"/>
    </row>
    <row r="19015" spans="25:25" x14ac:dyDescent="0.2">
      <c r="Y19015" s="97"/>
    </row>
    <row r="19016" spans="25:25" x14ac:dyDescent="0.2">
      <c r="Y19016" s="97"/>
    </row>
    <row r="19017" spans="25:25" x14ac:dyDescent="0.2">
      <c r="Y19017" s="97"/>
    </row>
    <row r="19018" spans="25:25" x14ac:dyDescent="0.2">
      <c r="Y19018" s="97"/>
    </row>
    <row r="19019" spans="25:25" x14ac:dyDescent="0.2">
      <c r="Y19019" s="97"/>
    </row>
    <row r="19020" spans="25:25" x14ac:dyDescent="0.2">
      <c r="Y19020" s="97"/>
    </row>
    <row r="19021" spans="25:25" x14ac:dyDescent="0.2">
      <c r="Y19021" s="97"/>
    </row>
    <row r="19022" spans="25:25" x14ac:dyDescent="0.2">
      <c r="Y19022" s="97"/>
    </row>
    <row r="19023" spans="25:25" x14ac:dyDescent="0.2">
      <c r="Y19023" s="97"/>
    </row>
    <row r="19024" spans="25:25" x14ac:dyDescent="0.2">
      <c r="Y19024" s="97"/>
    </row>
    <row r="19025" spans="25:25" x14ac:dyDescent="0.2">
      <c r="Y19025" s="97"/>
    </row>
    <row r="19026" spans="25:25" x14ac:dyDescent="0.2">
      <c r="Y19026" s="97"/>
    </row>
    <row r="19027" spans="25:25" x14ac:dyDescent="0.2">
      <c r="Y19027" s="97"/>
    </row>
    <row r="19028" spans="25:25" x14ac:dyDescent="0.2">
      <c r="Y19028" s="97"/>
    </row>
    <row r="19029" spans="25:25" x14ac:dyDescent="0.2">
      <c r="Y19029" s="97"/>
    </row>
    <row r="19030" spans="25:25" x14ac:dyDescent="0.2">
      <c r="Y19030" s="97"/>
    </row>
    <row r="19031" spans="25:25" x14ac:dyDescent="0.2">
      <c r="Y19031" s="97"/>
    </row>
    <row r="19032" spans="25:25" x14ac:dyDescent="0.2">
      <c r="Y19032" s="97"/>
    </row>
    <row r="19033" spans="25:25" x14ac:dyDescent="0.2">
      <c r="Y19033" s="97"/>
    </row>
    <row r="19034" spans="25:25" x14ac:dyDescent="0.2">
      <c r="Y19034" s="97"/>
    </row>
    <row r="19035" spans="25:25" x14ac:dyDescent="0.2">
      <c r="Y19035" s="97"/>
    </row>
    <row r="19036" spans="25:25" x14ac:dyDescent="0.2">
      <c r="Y19036" s="97"/>
    </row>
    <row r="19037" spans="25:25" x14ac:dyDescent="0.2">
      <c r="Y19037" s="97"/>
    </row>
    <row r="19038" spans="25:25" x14ac:dyDescent="0.2">
      <c r="Y19038" s="97"/>
    </row>
    <row r="19039" spans="25:25" x14ac:dyDescent="0.2">
      <c r="Y19039" s="97"/>
    </row>
    <row r="19040" spans="25:25" x14ac:dyDescent="0.2">
      <c r="Y19040" s="97"/>
    </row>
    <row r="19041" spans="25:25" x14ac:dyDescent="0.2">
      <c r="Y19041" s="97"/>
    </row>
    <row r="19042" spans="25:25" x14ac:dyDescent="0.2">
      <c r="Y19042" s="97"/>
    </row>
    <row r="19043" spans="25:25" x14ac:dyDescent="0.2">
      <c r="Y19043" s="97"/>
    </row>
    <row r="19044" spans="25:25" x14ac:dyDescent="0.2">
      <c r="Y19044" s="97"/>
    </row>
    <row r="19045" spans="25:25" x14ac:dyDescent="0.2">
      <c r="Y19045" s="97"/>
    </row>
    <row r="19046" spans="25:25" x14ac:dyDescent="0.2">
      <c r="Y19046" s="97"/>
    </row>
    <row r="19047" spans="25:25" x14ac:dyDescent="0.2">
      <c r="Y19047" s="97"/>
    </row>
    <row r="19048" spans="25:25" x14ac:dyDescent="0.2">
      <c r="Y19048" s="97"/>
    </row>
    <row r="19049" spans="25:25" x14ac:dyDescent="0.2">
      <c r="Y19049" s="97"/>
    </row>
    <row r="19050" spans="25:25" x14ac:dyDescent="0.2">
      <c r="Y19050" s="97"/>
    </row>
    <row r="19051" spans="25:25" x14ac:dyDescent="0.2">
      <c r="Y19051" s="97"/>
    </row>
    <row r="19052" spans="25:25" x14ac:dyDescent="0.2">
      <c r="Y19052" s="97"/>
    </row>
    <row r="19053" spans="25:25" x14ac:dyDescent="0.2">
      <c r="Y19053" s="97"/>
    </row>
    <row r="19054" spans="25:25" x14ac:dyDescent="0.2">
      <c r="Y19054" s="97"/>
    </row>
    <row r="19055" spans="25:25" x14ac:dyDescent="0.2">
      <c r="Y19055" s="97"/>
    </row>
    <row r="19056" spans="25:25" x14ac:dyDescent="0.2">
      <c r="Y19056" s="97"/>
    </row>
    <row r="19057" spans="25:25" x14ac:dyDescent="0.2">
      <c r="Y19057" s="97"/>
    </row>
    <row r="19058" spans="25:25" x14ac:dyDescent="0.2">
      <c r="Y19058" s="97"/>
    </row>
    <row r="19059" spans="25:25" x14ac:dyDescent="0.2">
      <c r="Y19059" s="97"/>
    </row>
    <row r="19060" spans="25:25" x14ac:dyDescent="0.2">
      <c r="Y19060" s="97"/>
    </row>
    <row r="19061" spans="25:25" x14ac:dyDescent="0.2">
      <c r="Y19061" s="97"/>
    </row>
    <row r="19062" spans="25:25" x14ac:dyDescent="0.2">
      <c r="Y19062" s="97"/>
    </row>
    <row r="19063" spans="25:25" x14ac:dyDescent="0.2">
      <c r="Y19063" s="97"/>
    </row>
    <row r="19064" spans="25:25" x14ac:dyDescent="0.2">
      <c r="Y19064" s="97"/>
    </row>
    <row r="19065" spans="25:25" x14ac:dyDescent="0.2">
      <c r="Y19065" s="97"/>
    </row>
    <row r="19066" spans="25:25" x14ac:dyDescent="0.2">
      <c r="Y19066" s="97"/>
    </row>
    <row r="19067" spans="25:25" x14ac:dyDescent="0.2">
      <c r="Y19067" s="97"/>
    </row>
    <row r="19068" spans="25:25" x14ac:dyDescent="0.2">
      <c r="Y19068" s="97"/>
    </row>
    <row r="19069" spans="25:25" x14ac:dyDescent="0.2">
      <c r="Y19069" s="97"/>
    </row>
    <row r="19070" spans="25:25" x14ac:dyDescent="0.2">
      <c r="Y19070" s="97"/>
    </row>
    <row r="19071" spans="25:25" x14ac:dyDescent="0.2">
      <c r="Y19071" s="97"/>
    </row>
    <row r="19072" spans="25:25" x14ac:dyDescent="0.2">
      <c r="Y19072" s="97"/>
    </row>
    <row r="19073" spans="25:25" x14ac:dyDescent="0.2">
      <c r="Y19073" s="97"/>
    </row>
    <row r="19074" spans="25:25" x14ac:dyDescent="0.2">
      <c r="Y19074" s="97"/>
    </row>
    <row r="19075" spans="25:25" x14ac:dyDescent="0.2">
      <c r="Y19075" s="97"/>
    </row>
    <row r="19076" spans="25:25" x14ac:dyDescent="0.2">
      <c r="Y19076" s="97"/>
    </row>
    <row r="19077" spans="25:25" x14ac:dyDescent="0.2">
      <c r="Y19077" s="97"/>
    </row>
    <row r="19078" spans="25:25" x14ac:dyDescent="0.2">
      <c r="Y19078" s="97"/>
    </row>
    <row r="19079" spans="25:25" x14ac:dyDescent="0.2">
      <c r="Y19079" s="97"/>
    </row>
    <row r="19080" spans="25:25" x14ac:dyDescent="0.2">
      <c r="Y19080" s="97"/>
    </row>
    <row r="19081" spans="25:25" x14ac:dyDescent="0.2">
      <c r="Y19081" s="97"/>
    </row>
    <row r="19082" spans="25:25" x14ac:dyDescent="0.2">
      <c r="Y19082" s="97"/>
    </row>
    <row r="19083" spans="25:25" x14ac:dyDescent="0.2">
      <c r="Y19083" s="97"/>
    </row>
    <row r="19084" spans="25:25" x14ac:dyDescent="0.2">
      <c r="Y19084" s="97"/>
    </row>
    <row r="19085" spans="25:25" x14ac:dyDescent="0.2">
      <c r="Y19085" s="97"/>
    </row>
    <row r="19086" spans="25:25" x14ac:dyDescent="0.2">
      <c r="Y19086" s="97"/>
    </row>
    <row r="19087" spans="25:25" x14ac:dyDescent="0.2">
      <c r="Y19087" s="97"/>
    </row>
    <row r="19088" spans="25:25" x14ac:dyDescent="0.2">
      <c r="Y19088" s="97"/>
    </row>
    <row r="19089" spans="25:25" x14ac:dyDescent="0.2">
      <c r="Y19089" s="97"/>
    </row>
    <row r="19090" spans="25:25" x14ac:dyDescent="0.2">
      <c r="Y19090" s="97"/>
    </row>
    <row r="19091" spans="25:25" x14ac:dyDescent="0.2">
      <c r="Y19091" s="97"/>
    </row>
    <row r="19092" spans="25:25" x14ac:dyDescent="0.2">
      <c r="Y19092" s="97"/>
    </row>
    <row r="19093" spans="25:25" x14ac:dyDescent="0.2">
      <c r="Y19093" s="97"/>
    </row>
    <row r="19094" spans="25:25" x14ac:dyDescent="0.2">
      <c r="Y19094" s="97"/>
    </row>
    <row r="19095" spans="25:25" x14ac:dyDescent="0.2">
      <c r="Y19095" s="97"/>
    </row>
    <row r="19096" spans="25:25" x14ac:dyDescent="0.2">
      <c r="Y19096" s="97"/>
    </row>
    <row r="19097" spans="25:25" x14ac:dyDescent="0.2">
      <c r="Y19097" s="97"/>
    </row>
    <row r="19098" spans="25:25" x14ac:dyDescent="0.2">
      <c r="Y19098" s="97"/>
    </row>
    <row r="19099" spans="25:25" x14ac:dyDescent="0.2">
      <c r="Y19099" s="97"/>
    </row>
    <row r="19100" spans="25:25" x14ac:dyDescent="0.2">
      <c r="Y19100" s="97"/>
    </row>
    <row r="19101" spans="25:25" x14ac:dyDescent="0.2">
      <c r="Y19101" s="97"/>
    </row>
    <row r="19102" spans="25:25" x14ac:dyDescent="0.2">
      <c r="Y19102" s="97"/>
    </row>
    <row r="19103" spans="25:25" x14ac:dyDescent="0.2">
      <c r="Y19103" s="97"/>
    </row>
    <row r="19104" spans="25:25" x14ac:dyDescent="0.2">
      <c r="Y19104" s="97"/>
    </row>
    <row r="19105" spans="25:25" x14ac:dyDescent="0.2">
      <c r="Y19105" s="97"/>
    </row>
    <row r="19106" spans="25:25" x14ac:dyDescent="0.2">
      <c r="Y19106" s="97"/>
    </row>
    <row r="19107" spans="25:25" x14ac:dyDescent="0.2">
      <c r="Y19107" s="97"/>
    </row>
    <row r="19108" spans="25:25" x14ac:dyDescent="0.2">
      <c r="Y19108" s="97"/>
    </row>
    <row r="19109" spans="25:25" x14ac:dyDescent="0.2">
      <c r="Y19109" s="97"/>
    </row>
    <row r="19110" spans="25:25" x14ac:dyDescent="0.2">
      <c r="Y19110" s="97"/>
    </row>
    <row r="19111" spans="25:25" x14ac:dyDescent="0.2">
      <c r="Y19111" s="97"/>
    </row>
    <row r="19112" spans="25:25" x14ac:dyDescent="0.2">
      <c r="Y19112" s="97"/>
    </row>
    <row r="19113" spans="25:25" x14ac:dyDescent="0.2">
      <c r="Y19113" s="97"/>
    </row>
    <row r="19114" spans="25:25" x14ac:dyDescent="0.2">
      <c r="Y19114" s="97"/>
    </row>
    <row r="19115" spans="25:25" x14ac:dyDescent="0.2">
      <c r="Y19115" s="97"/>
    </row>
    <row r="19116" spans="25:25" x14ac:dyDescent="0.2">
      <c r="Y19116" s="97"/>
    </row>
    <row r="19117" spans="25:25" x14ac:dyDescent="0.2">
      <c r="Y19117" s="97"/>
    </row>
    <row r="19118" spans="25:25" x14ac:dyDescent="0.2">
      <c r="Y19118" s="97"/>
    </row>
    <row r="19119" spans="25:25" x14ac:dyDescent="0.2">
      <c r="Y19119" s="97"/>
    </row>
    <row r="19120" spans="25:25" x14ac:dyDescent="0.2">
      <c r="Y19120" s="97"/>
    </row>
    <row r="19121" spans="25:25" x14ac:dyDescent="0.2">
      <c r="Y19121" s="97"/>
    </row>
    <row r="19122" spans="25:25" x14ac:dyDescent="0.2">
      <c r="Y19122" s="97"/>
    </row>
    <row r="19123" spans="25:25" x14ac:dyDescent="0.2">
      <c r="Y19123" s="97"/>
    </row>
    <row r="19124" spans="25:25" x14ac:dyDescent="0.2">
      <c r="Y19124" s="97"/>
    </row>
    <row r="19125" spans="25:25" x14ac:dyDescent="0.2">
      <c r="Y19125" s="97"/>
    </row>
    <row r="19126" spans="25:25" x14ac:dyDescent="0.2">
      <c r="Y19126" s="97"/>
    </row>
    <row r="19127" spans="25:25" x14ac:dyDescent="0.2">
      <c r="Y19127" s="97"/>
    </row>
    <row r="19128" spans="25:25" x14ac:dyDescent="0.2">
      <c r="Y19128" s="97"/>
    </row>
    <row r="19129" spans="25:25" x14ac:dyDescent="0.2">
      <c r="Y19129" s="97"/>
    </row>
    <row r="19130" spans="25:25" x14ac:dyDescent="0.2">
      <c r="Y19130" s="97"/>
    </row>
    <row r="19131" spans="25:25" x14ac:dyDescent="0.2">
      <c r="Y19131" s="97"/>
    </row>
    <row r="19132" spans="25:25" x14ac:dyDescent="0.2">
      <c r="Y19132" s="97"/>
    </row>
    <row r="19133" spans="25:25" x14ac:dyDescent="0.2">
      <c r="Y19133" s="97"/>
    </row>
    <row r="19134" spans="25:25" x14ac:dyDescent="0.2">
      <c r="Y19134" s="97"/>
    </row>
    <row r="19135" spans="25:25" x14ac:dyDescent="0.2">
      <c r="Y19135" s="97"/>
    </row>
    <row r="19136" spans="25:25" x14ac:dyDescent="0.2">
      <c r="Y19136" s="97"/>
    </row>
    <row r="19137" spans="25:25" x14ac:dyDescent="0.2">
      <c r="Y19137" s="97"/>
    </row>
    <row r="19138" spans="25:25" x14ac:dyDescent="0.2">
      <c r="Y19138" s="97"/>
    </row>
    <row r="19139" spans="25:25" x14ac:dyDescent="0.2">
      <c r="Y19139" s="97"/>
    </row>
    <row r="19140" spans="25:25" x14ac:dyDescent="0.2">
      <c r="Y19140" s="97"/>
    </row>
    <row r="19141" spans="25:25" x14ac:dyDescent="0.2">
      <c r="Y19141" s="97"/>
    </row>
    <row r="19142" spans="25:25" x14ac:dyDescent="0.2">
      <c r="Y19142" s="97"/>
    </row>
    <row r="19143" spans="25:25" x14ac:dyDescent="0.2">
      <c r="Y19143" s="97"/>
    </row>
    <row r="19144" spans="25:25" x14ac:dyDescent="0.2">
      <c r="Y19144" s="97"/>
    </row>
    <row r="19145" spans="25:25" x14ac:dyDescent="0.2">
      <c r="Y19145" s="97"/>
    </row>
    <row r="19146" spans="25:25" x14ac:dyDescent="0.2">
      <c r="Y19146" s="97"/>
    </row>
    <row r="19147" spans="25:25" x14ac:dyDescent="0.2">
      <c r="Y19147" s="97"/>
    </row>
    <row r="19148" spans="25:25" x14ac:dyDescent="0.2">
      <c r="Y19148" s="97"/>
    </row>
    <row r="19149" spans="25:25" x14ac:dyDescent="0.2">
      <c r="Y19149" s="97"/>
    </row>
    <row r="19150" spans="25:25" x14ac:dyDescent="0.2">
      <c r="Y19150" s="97"/>
    </row>
    <row r="19151" spans="25:25" x14ac:dyDescent="0.2">
      <c r="Y19151" s="97"/>
    </row>
    <row r="19152" spans="25:25" x14ac:dyDescent="0.2">
      <c r="Y19152" s="97"/>
    </row>
    <row r="19153" spans="25:25" x14ac:dyDescent="0.2">
      <c r="Y19153" s="97"/>
    </row>
    <row r="19154" spans="25:25" x14ac:dyDescent="0.2">
      <c r="Y19154" s="97"/>
    </row>
    <row r="19155" spans="25:25" x14ac:dyDescent="0.2">
      <c r="Y19155" s="97"/>
    </row>
    <row r="19156" spans="25:25" x14ac:dyDescent="0.2">
      <c r="Y19156" s="97"/>
    </row>
    <row r="19157" spans="25:25" x14ac:dyDescent="0.2">
      <c r="Y19157" s="97"/>
    </row>
    <row r="19158" spans="25:25" x14ac:dyDescent="0.2">
      <c r="Y19158" s="97"/>
    </row>
    <row r="19159" spans="25:25" x14ac:dyDescent="0.2">
      <c r="Y19159" s="97"/>
    </row>
    <row r="19160" spans="25:25" x14ac:dyDescent="0.2">
      <c r="Y19160" s="97"/>
    </row>
    <row r="19161" spans="25:25" x14ac:dyDescent="0.2">
      <c r="Y19161" s="97"/>
    </row>
    <row r="19162" spans="25:25" x14ac:dyDescent="0.2">
      <c r="Y19162" s="97"/>
    </row>
    <row r="19163" spans="25:25" x14ac:dyDescent="0.2">
      <c r="Y19163" s="97"/>
    </row>
    <row r="19164" spans="25:25" x14ac:dyDescent="0.2">
      <c r="Y19164" s="97"/>
    </row>
    <row r="19165" spans="25:25" x14ac:dyDescent="0.2">
      <c r="Y19165" s="97"/>
    </row>
    <row r="19166" spans="25:25" x14ac:dyDescent="0.2">
      <c r="Y19166" s="97"/>
    </row>
    <row r="19167" spans="25:25" x14ac:dyDescent="0.2">
      <c r="Y19167" s="97"/>
    </row>
    <row r="19168" spans="25:25" x14ac:dyDescent="0.2">
      <c r="Y19168" s="97"/>
    </row>
    <row r="19169" spans="25:25" x14ac:dyDescent="0.2">
      <c r="Y19169" s="97"/>
    </row>
    <row r="19170" spans="25:25" x14ac:dyDescent="0.2">
      <c r="Y19170" s="97"/>
    </row>
    <row r="19171" spans="25:25" x14ac:dyDescent="0.2">
      <c r="Y19171" s="97"/>
    </row>
    <row r="19172" spans="25:25" x14ac:dyDescent="0.2">
      <c r="Y19172" s="97"/>
    </row>
    <row r="19173" spans="25:25" x14ac:dyDescent="0.2">
      <c r="Y19173" s="97"/>
    </row>
    <row r="19174" spans="25:25" x14ac:dyDescent="0.2">
      <c r="Y19174" s="97"/>
    </row>
    <row r="19175" spans="25:25" x14ac:dyDescent="0.2">
      <c r="Y19175" s="97"/>
    </row>
    <row r="19176" spans="25:25" x14ac:dyDescent="0.2">
      <c r="Y19176" s="97"/>
    </row>
    <row r="19177" spans="25:25" x14ac:dyDescent="0.2">
      <c r="Y19177" s="97"/>
    </row>
    <row r="19178" spans="25:25" x14ac:dyDescent="0.2">
      <c r="Y19178" s="97"/>
    </row>
    <row r="19179" spans="25:25" x14ac:dyDescent="0.2">
      <c r="Y19179" s="97"/>
    </row>
    <row r="19180" spans="25:25" x14ac:dyDescent="0.2">
      <c r="Y19180" s="97"/>
    </row>
    <row r="19181" spans="25:25" x14ac:dyDescent="0.2">
      <c r="Y19181" s="97"/>
    </row>
    <row r="19182" spans="25:25" x14ac:dyDescent="0.2">
      <c r="Y19182" s="97"/>
    </row>
    <row r="19183" spans="25:25" x14ac:dyDescent="0.2">
      <c r="Y19183" s="97"/>
    </row>
    <row r="19184" spans="25:25" x14ac:dyDescent="0.2">
      <c r="Y19184" s="97"/>
    </row>
    <row r="19185" spans="25:25" x14ac:dyDescent="0.2">
      <c r="Y19185" s="97"/>
    </row>
    <row r="19186" spans="25:25" x14ac:dyDescent="0.2">
      <c r="Y19186" s="97"/>
    </row>
    <row r="19187" spans="25:25" x14ac:dyDescent="0.2">
      <c r="Y19187" s="97"/>
    </row>
    <row r="19188" spans="25:25" x14ac:dyDescent="0.2">
      <c r="Y19188" s="97"/>
    </row>
    <row r="19189" spans="25:25" x14ac:dyDescent="0.2">
      <c r="Y19189" s="97"/>
    </row>
    <row r="19190" spans="25:25" x14ac:dyDescent="0.2">
      <c r="Y19190" s="97"/>
    </row>
    <row r="19191" spans="25:25" x14ac:dyDescent="0.2">
      <c r="Y19191" s="97"/>
    </row>
    <row r="19192" spans="25:25" x14ac:dyDescent="0.2">
      <c r="Y19192" s="97"/>
    </row>
    <row r="19193" spans="25:25" x14ac:dyDescent="0.2">
      <c r="Y19193" s="97"/>
    </row>
    <row r="19194" spans="25:25" x14ac:dyDescent="0.2">
      <c r="Y19194" s="97"/>
    </row>
    <row r="19195" spans="25:25" x14ac:dyDescent="0.2">
      <c r="Y19195" s="97"/>
    </row>
    <row r="19196" spans="25:25" x14ac:dyDescent="0.2">
      <c r="Y19196" s="97"/>
    </row>
    <row r="19197" spans="25:25" x14ac:dyDescent="0.2">
      <c r="Y19197" s="97"/>
    </row>
    <row r="19198" spans="25:25" x14ac:dyDescent="0.2">
      <c r="Y19198" s="97"/>
    </row>
    <row r="19199" spans="25:25" x14ac:dyDescent="0.2">
      <c r="Y19199" s="97"/>
    </row>
    <row r="19200" spans="25:25" x14ac:dyDescent="0.2">
      <c r="Y19200" s="97"/>
    </row>
    <row r="19201" spans="25:25" x14ac:dyDescent="0.2">
      <c r="Y19201" s="97"/>
    </row>
    <row r="19202" spans="25:25" x14ac:dyDescent="0.2">
      <c r="Y19202" s="97"/>
    </row>
    <row r="19203" spans="25:25" x14ac:dyDescent="0.2">
      <c r="Y19203" s="97"/>
    </row>
    <row r="19204" spans="25:25" x14ac:dyDescent="0.2">
      <c r="Y19204" s="97"/>
    </row>
    <row r="19205" spans="25:25" x14ac:dyDescent="0.2">
      <c r="Y19205" s="97"/>
    </row>
    <row r="19206" spans="25:25" x14ac:dyDescent="0.2">
      <c r="Y19206" s="97"/>
    </row>
    <row r="19207" spans="25:25" x14ac:dyDescent="0.2">
      <c r="Y19207" s="97"/>
    </row>
    <row r="19208" spans="25:25" x14ac:dyDescent="0.2">
      <c r="Y19208" s="97"/>
    </row>
    <row r="19209" spans="25:25" x14ac:dyDescent="0.2">
      <c r="Y19209" s="97"/>
    </row>
    <row r="19210" spans="25:25" x14ac:dyDescent="0.2">
      <c r="Y19210" s="97"/>
    </row>
    <row r="19211" spans="25:25" x14ac:dyDescent="0.2">
      <c r="Y19211" s="97"/>
    </row>
    <row r="19212" spans="25:25" x14ac:dyDescent="0.2">
      <c r="Y19212" s="97"/>
    </row>
    <row r="19213" spans="25:25" x14ac:dyDescent="0.2">
      <c r="Y19213" s="97"/>
    </row>
    <row r="19214" spans="25:25" x14ac:dyDescent="0.2">
      <c r="Y19214" s="97"/>
    </row>
    <row r="19215" spans="25:25" x14ac:dyDescent="0.2">
      <c r="Y19215" s="97"/>
    </row>
    <row r="19216" spans="25:25" x14ac:dyDescent="0.2">
      <c r="Y19216" s="97"/>
    </row>
    <row r="19217" spans="25:25" x14ac:dyDescent="0.2">
      <c r="Y19217" s="97"/>
    </row>
    <row r="19218" spans="25:25" x14ac:dyDescent="0.2">
      <c r="Y19218" s="97"/>
    </row>
    <row r="19219" spans="25:25" x14ac:dyDescent="0.2">
      <c r="Y19219" s="97"/>
    </row>
    <row r="19220" spans="25:25" x14ac:dyDescent="0.2">
      <c r="Y19220" s="97"/>
    </row>
    <row r="19221" spans="25:25" x14ac:dyDescent="0.2">
      <c r="Y19221" s="97"/>
    </row>
    <row r="19222" spans="25:25" x14ac:dyDescent="0.2">
      <c r="Y19222" s="97"/>
    </row>
    <row r="19223" spans="25:25" x14ac:dyDescent="0.2">
      <c r="Y19223" s="97"/>
    </row>
    <row r="19224" spans="25:25" x14ac:dyDescent="0.2">
      <c r="Y19224" s="97"/>
    </row>
    <row r="19225" spans="25:25" x14ac:dyDescent="0.2">
      <c r="Y19225" s="97"/>
    </row>
    <row r="19226" spans="25:25" x14ac:dyDescent="0.2">
      <c r="Y19226" s="97"/>
    </row>
    <row r="19227" spans="25:25" x14ac:dyDescent="0.2">
      <c r="Y19227" s="97"/>
    </row>
    <row r="19228" spans="25:25" x14ac:dyDescent="0.2">
      <c r="Y19228" s="97"/>
    </row>
    <row r="19229" spans="25:25" x14ac:dyDescent="0.2">
      <c r="Y19229" s="97"/>
    </row>
    <row r="19230" spans="25:25" x14ac:dyDescent="0.2">
      <c r="Y19230" s="97"/>
    </row>
    <row r="19231" spans="25:25" x14ac:dyDescent="0.2">
      <c r="Y19231" s="97"/>
    </row>
    <row r="19232" spans="25:25" x14ac:dyDescent="0.2">
      <c r="Y19232" s="97"/>
    </row>
    <row r="19233" spans="25:25" x14ac:dyDescent="0.2">
      <c r="Y19233" s="97"/>
    </row>
    <row r="19234" spans="25:25" x14ac:dyDescent="0.2">
      <c r="Y19234" s="97"/>
    </row>
    <row r="19235" spans="25:25" x14ac:dyDescent="0.2">
      <c r="Y19235" s="97"/>
    </row>
    <row r="19236" spans="25:25" x14ac:dyDescent="0.2">
      <c r="Y19236" s="97"/>
    </row>
    <row r="19237" spans="25:25" x14ac:dyDescent="0.2">
      <c r="Y19237" s="97"/>
    </row>
    <row r="19238" spans="25:25" x14ac:dyDescent="0.2">
      <c r="Y19238" s="97"/>
    </row>
    <row r="19239" spans="25:25" x14ac:dyDescent="0.2">
      <c r="Y19239" s="97"/>
    </row>
    <row r="19240" spans="25:25" x14ac:dyDescent="0.2">
      <c r="Y19240" s="97"/>
    </row>
    <row r="19241" spans="25:25" x14ac:dyDescent="0.2">
      <c r="Y19241" s="97"/>
    </row>
    <row r="19242" spans="25:25" x14ac:dyDescent="0.2">
      <c r="Y19242" s="97"/>
    </row>
    <row r="19243" spans="25:25" x14ac:dyDescent="0.2">
      <c r="Y19243" s="97"/>
    </row>
    <row r="19244" spans="25:25" x14ac:dyDescent="0.2">
      <c r="Y19244" s="97"/>
    </row>
    <row r="19245" spans="25:25" x14ac:dyDescent="0.2">
      <c r="Y19245" s="97"/>
    </row>
    <row r="19246" spans="25:25" x14ac:dyDescent="0.2">
      <c r="Y19246" s="97"/>
    </row>
    <row r="19247" spans="25:25" x14ac:dyDescent="0.2">
      <c r="Y19247" s="97"/>
    </row>
    <row r="19248" spans="25:25" x14ac:dyDescent="0.2">
      <c r="Y19248" s="97"/>
    </row>
    <row r="19249" spans="25:25" x14ac:dyDescent="0.2">
      <c r="Y19249" s="97"/>
    </row>
    <row r="19250" spans="25:25" x14ac:dyDescent="0.2">
      <c r="Y19250" s="97"/>
    </row>
    <row r="19251" spans="25:25" x14ac:dyDescent="0.2">
      <c r="Y19251" s="97"/>
    </row>
    <row r="19252" spans="25:25" x14ac:dyDescent="0.2">
      <c r="Y19252" s="97"/>
    </row>
    <row r="19253" spans="25:25" x14ac:dyDescent="0.2">
      <c r="Y19253" s="97"/>
    </row>
    <row r="19254" spans="25:25" x14ac:dyDescent="0.2">
      <c r="Y19254" s="97"/>
    </row>
    <row r="19255" spans="25:25" x14ac:dyDescent="0.2">
      <c r="Y19255" s="97"/>
    </row>
    <row r="19256" spans="25:25" x14ac:dyDescent="0.2">
      <c r="Y19256" s="97"/>
    </row>
    <row r="19257" spans="25:25" x14ac:dyDescent="0.2">
      <c r="Y19257" s="97"/>
    </row>
    <row r="19258" spans="25:25" x14ac:dyDescent="0.2">
      <c r="Y19258" s="97"/>
    </row>
    <row r="19259" spans="25:25" x14ac:dyDescent="0.2">
      <c r="Y19259" s="97"/>
    </row>
    <row r="19260" spans="25:25" x14ac:dyDescent="0.2">
      <c r="Y19260" s="97"/>
    </row>
    <row r="19261" spans="25:25" x14ac:dyDescent="0.2">
      <c r="Y19261" s="97"/>
    </row>
    <row r="19262" spans="25:25" x14ac:dyDescent="0.2">
      <c r="Y19262" s="97"/>
    </row>
    <row r="19263" spans="25:25" x14ac:dyDescent="0.2">
      <c r="Y19263" s="97"/>
    </row>
    <row r="19264" spans="25:25" x14ac:dyDescent="0.2">
      <c r="Y19264" s="97"/>
    </row>
    <row r="19265" spans="25:25" x14ac:dyDescent="0.2">
      <c r="Y19265" s="97"/>
    </row>
    <row r="19266" spans="25:25" x14ac:dyDescent="0.2">
      <c r="Y19266" s="97"/>
    </row>
    <row r="19267" spans="25:25" x14ac:dyDescent="0.2">
      <c r="Y19267" s="97"/>
    </row>
    <row r="19268" spans="25:25" x14ac:dyDescent="0.2">
      <c r="Y19268" s="97"/>
    </row>
    <row r="19269" spans="25:25" x14ac:dyDescent="0.2">
      <c r="Y19269" s="97"/>
    </row>
    <row r="19270" spans="25:25" x14ac:dyDescent="0.2">
      <c r="Y19270" s="97"/>
    </row>
    <row r="19271" spans="25:25" x14ac:dyDescent="0.2">
      <c r="Y19271" s="97"/>
    </row>
    <row r="19272" spans="25:25" x14ac:dyDescent="0.2">
      <c r="Y19272" s="97"/>
    </row>
    <row r="19273" spans="25:25" x14ac:dyDescent="0.2">
      <c r="Y19273" s="97"/>
    </row>
    <row r="19274" spans="25:25" x14ac:dyDescent="0.2">
      <c r="Y19274" s="97"/>
    </row>
    <row r="19275" spans="25:25" x14ac:dyDescent="0.2">
      <c r="Y19275" s="97"/>
    </row>
    <row r="19276" spans="25:25" x14ac:dyDescent="0.2">
      <c r="Y19276" s="97"/>
    </row>
    <row r="19277" spans="25:25" x14ac:dyDescent="0.2">
      <c r="Y19277" s="97"/>
    </row>
    <row r="19278" spans="25:25" x14ac:dyDescent="0.2">
      <c r="Y19278" s="97"/>
    </row>
    <row r="19279" spans="25:25" x14ac:dyDescent="0.2">
      <c r="Y19279" s="97"/>
    </row>
    <row r="19280" spans="25:25" x14ac:dyDescent="0.2">
      <c r="Y19280" s="97"/>
    </row>
    <row r="19281" spans="25:25" x14ac:dyDescent="0.2">
      <c r="Y19281" s="97"/>
    </row>
    <row r="19282" spans="25:25" x14ac:dyDescent="0.2">
      <c r="Y19282" s="97"/>
    </row>
    <row r="19283" spans="25:25" x14ac:dyDescent="0.2">
      <c r="Y19283" s="97"/>
    </row>
    <row r="19284" spans="25:25" x14ac:dyDescent="0.2">
      <c r="Y19284" s="97"/>
    </row>
    <row r="19285" spans="25:25" x14ac:dyDescent="0.2">
      <c r="Y19285" s="97"/>
    </row>
    <row r="19286" spans="25:25" x14ac:dyDescent="0.2">
      <c r="Y19286" s="97"/>
    </row>
    <row r="19287" spans="25:25" x14ac:dyDescent="0.2">
      <c r="Y19287" s="97"/>
    </row>
    <row r="19288" spans="25:25" x14ac:dyDescent="0.2">
      <c r="Y19288" s="97"/>
    </row>
    <row r="19289" spans="25:25" x14ac:dyDescent="0.2">
      <c r="Y19289" s="97"/>
    </row>
    <row r="19290" spans="25:25" x14ac:dyDescent="0.2">
      <c r="Y19290" s="97"/>
    </row>
    <row r="19291" spans="25:25" x14ac:dyDescent="0.2">
      <c r="Y19291" s="97"/>
    </row>
    <row r="19292" spans="25:25" x14ac:dyDescent="0.2">
      <c r="Y19292" s="97"/>
    </row>
    <row r="19293" spans="25:25" x14ac:dyDescent="0.2">
      <c r="Y19293" s="97"/>
    </row>
    <row r="19294" spans="25:25" x14ac:dyDescent="0.2">
      <c r="Y19294" s="97"/>
    </row>
    <row r="19295" spans="25:25" x14ac:dyDescent="0.2">
      <c r="Y19295" s="97"/>
    </row>
    <row r="19296" spans="25:25" x14ac:dyDescent="0.2">
      <c r="Y19296" s="97"/>
    </row>
    <row r="19297" spans="25:25" x14ac:dyDescent="0.2">
      <c r="Y19297" s="97"/>
    </row>
    <row r="19298" spans="25:25" x14ac:dyDescent="0.2">
      <c r="Y19298" s="97"/>
    </row>
    <row r="19299" spans="25:25" x14ac:dyDescent="0.2">
      <c r="Y19299" s="97"/>
    </row>
    <row r="19300" spans="25:25" x14ac:dyDescent="0.2">
      <c r="Y19300" s="97"/>
    </row>
    <row r="19301" spans="25:25" x14ac:dyDescent="0.2">
      <c r="Y19301" s="97"/>
    </row>
    <row r="19302" spans="25:25" x14ac:dyDescent="0.2">
      <c r="Y19302" s="97"/>
    </row>
    <row r="19303" spans="25:25" x14ac:dyDescent="0.2">
      <c r="Y19303" s="97"/>
    </row>
    <row r="19304" spans="25:25" x14ac:dyDescent="0.2">
      <c r="Y19304" s="97"/>
    </row>
    <row r="19305" spans="25:25" x14ac:dyDescent="0.2">
      <c r="Y19305" s="97"/>
    </row>
    <row r="19306" spans="25:25" x14ac:dyDescent="0.2">
      <c r="Y19306" s="97"/>
    </row>
    <row r="19307" spans="25:25" x14ac:dyDescent="0.2">
      <c r="Y19307" s="97"/>
    </row>
    <row r="19308" spans="25:25" x14ac:dyDescent="0.2">
      <c r="Y19308" s="97"/>
    </row>
    <row r="19309" spans="25:25" x14ac:dyDescent="0.2">
      <c r="Y19309" s="97"/>
    </row>
    <row r="19310" spans="25:25" x14ac:dyDescent="0.2">
      <c r="Y19310" s="97"/>
    </row>
    <row r="19311" spans="25:25" x14ac:dyDescent="0.2">
      <c r="Y19311" s="97"/>
    </row>
    <row r="19312" spans="25:25" x14ac:dyDescent="0.2">
      <c r="Y19312" s="97"/>
    </row>
    <row r="19313" spans="25:25" x14ac:dyDescent="0.2">
      <c r="Y19313" s="97"/>
    </row>
    <row r="19314" spans="25:25" x14ac:dyDescent="0.2">
      <c r="Y19314" s="97"/>
    </row>
    <row r="19315" spans="25:25" x14ac:dyDescent="0.2">
      <c r="Y19315" s="97"/>
    </row>
    <row r="19316" spans="25:25" x14ac:dyDescent="0.2">
      <c r="Y19316" s="97"/>
    </row>
    <row r="19317" spans="25:25" x14ac:dyDescent="0.2">
      <c r="Y19317" s="97"/>
    </row>
    <row r="19318" spans="25:25" x14ac:dyDescent="0.2">
      <c r="Y19318" s="97"/>
    </row>
    <row r="19319" spans="25:25" x14ac:dyDescent="0.2">
      <c r="Y19319" s="97"/>
    </row>
    <row r="19320" spans="25:25" x14ac:dyDescent="0.2">
      <c r="Y19320" s="97"/>
    </row>
    <row r="19321" spans="25:25" x14ac:dyDescent="0.2">
      <c r="Y19321" s="97"/>
    </row>
    <row r="19322" spans="25:25" x14ac:dyDescent="0.2">
      <c r="Y19322" s="97"/>
    </row>
    <row r="19323" spans="25:25" x14ac:dyDescent="0.2">
      <c r="Y19323" s="97"/>
    </row>
    <row r="19324" spans="25:25" x14ac:dyDescent="0.2">
      <c r="Y19324" s="97"/>
    </row>
    <row r="19325" spans="25:25" x14ac:dyDescent="0.2">
      <c r="Y19325" s="97"/>
    </row>
    <row r="19326" spans="25:25" x14ac:dyDescent="0.2">
      <c r="Y19326" s="97"/>
    </row>
    <row r="19327" spans="25:25" x14ac:dyDescent="0.2">
      <c r="Y19327" s="97"/>
    </row>
    <row r="19328" spans="25:25" x14ac:dyDescent="0.2">
      <c r="Y19328" s="97"/>
    </row>
    <row r="19329" spans="25:25" x14ac:dyDescent="0.2">
      <c r="Y19329" s="97"/>
    </row>
    <row r="19330" spans="25:25" x14ac:dyDescent="0.2">
      <c r="Y19330" s="97"/>
    </row>
    <row r="19331" spans="25:25" x14ac:dyDescent="0.2">
      <c r="Y19331" s="97"/>
    </row>
    <row r="19332" spans="25:25" x14ac:dyDescent="0.2">
      <c r="Y19332" s="97"/>
    </row>
    <row r="19333" spans="25:25" x14ac:dyDescent="0.2">
      <c r="Y19333" s="97"/>
    </row>
    <row r="19334" spans="25:25" x14ac:dyDescent="0.2">
      <c r="Y19334" s="97"/>
    </row>
    <row r="19335" spans="25:25" x14ac:dyDescent="0.2">
      <c r="Y19335" s="97"/>
    </row>
    <row r="19336" spans="25:25" x14ac:dyDescent="0.2">
      <c r="Y19336" s="97"/>
    </row>
    <row r="19337" spans="25:25" x14ac:dyDescent="0.2">
      <c r="Y19337" s="97"/>
    </row>
    <row r="19338" spans="25:25" x14ac:dyDescent="0.2">
      <c r="Y19338" s="97"/>
    </row>
    <row r="19339" spans="25:25" x14ac:dyDescent="0.2">
      <c r="Y19339" s="97"/>
    </row>
    <row r="19340" spans="25:25" x14ac:dyDescent="0.2">
      <c r="Y19340" s="97"/>
    </row>
    <row r="19341" spans="25:25" x14ac:dyDescent="0.2">
      <c r="Y19341" s="97"/>
    </row>
    <row r="19342" spans="25:25" x14ac:dyDescent="0.2">
      <c r="Y19342" s="97"/>
    </row>
    <row r="19343" spans="25:25" x14ac:dyDescent="0.2">
      <c r="Y19343" s="97"/>
    </row>
    <row r="19344" spans="25:25" x14ac:dyDescent="0.2">
      <c r="Y19344" s="97"/>
    </row>
    <row r="19345" spans="25:25" x14ac:dyDescent="0.2">
      <c r="Y19345" s="97"/>
    </row>
    <row r="19346" spans="25:25" x14ac:dyDescent="0.2">
      <c r="Y19346" s="97"/>
    </row>
    <row r="19347" spans="25:25" x14ac:dyDescent="0.2">
      <c r="Y19347" s="97"/>
    </row>
    <row r="19348" spans="25:25" x14ac:dyDescent="0.2">
      <c r="Y19348" s="97"/>
    </row>
    <row r="19349" spans="25:25" x14ac:dyDescent="0.2">
      <c r="Y19349" s="97"/>
    </row>
    <row r="19350" spans="25:25" x14ac:dyDescent="0.2">
      <c r="Y19350" s="97"/>
    </row>
    <row r="19351" spans="25:25" x14ac:dyDescent="0.2">
      <c r="Y19351" s="97"/>
    </row>
    <row r="19352" spans="25:25" x14ac:dyDescent="0.2">
      <c r="Y19352" s="97"/>
    </row>
    <row r="19353" spans="25:25" x14ac:dyDescent="0.2">
      <c r="Y19353" s="97"/>
    </row>
    <row r="19354" spans="25:25" x14ac:dyDescent="0.2">
      <c r="Y19354" s="97"/>
    </row>
    <row r="19355" spans="25:25" x14ac:dyDescent="0.2">
      <c r="Y19355" s="97"/>
    </row>
    <row r="19356" spans="25:25" x14ac:dyDescent="0.2">
      <c r="Y19356" s="97"/>
    </row>
    <row r="19357" spans="25:25" x14ac:dyDescent="0.2">
      <c r="Y19357" s="97"/>
    </row>
    <row r="19358" spans="25:25" x14ac:dyDescent="0.2">
      <c r="Y19358" s="97"/>
    </row>
    <row r="19359" spans="25:25" x14ac:dyDescent="0.2">
      <c r="Y19359" s="97"/>
    </row>
    <row r="19360" spans="25:25" x14ac:dyDescent="0.2">
      <c r="Y19360" s="97"/>
    </row>
    <row r="19361" spans="25:25" x14ac:dyDescent="0.2">
      <c r="Y19361" s="97"/>
    </row>
    <row r="19362" spans="25:25" x14ac:dyDescent="0.2">
      <c r="Y19362" s="97"/>
    </row>
    <row r="19363" spans="25:25" x14ac:dyDescent="0.2">
      <c r="Y19363" s="97"/>
    </row>
    <row r="19364" spans="25:25" x14ac:dyDescent="0.2">
      <c r="Y19364" s="97"/>
    </row>
    <row r="19365" spans="25:25" x14ac:dyDescent="0.2">
      <c r="Y19365" s="97"/>
    </row>
    <row r="19366" spans="25:25" x14ac:dyDescent="0.2">
      <c r="Y19366" s="97"/>
    </row>
    <row r="19367" spans="25:25" x14ac:dyDescent="0.2">
      <c r="Y19367" s="97"/>
    </row>
    <row r="19368" spans="25:25" x14ac:dyDescent="0.2">
      <c r="Y19368" s="97"/>
    </row>
    <row r="19369" spans="25:25" x14ac:dyDescent="0.2">
      <c r="Y19369" s="97"/>
    </row>
    <row r="19370" spans="25:25" x14ac:dyDescent="0.2">
      <c r="Y19370" s="97"/>
    </row>
    <row r="19371" spans="25:25" x14ac:dyDescent="0.2">
      <c r="Y19371" s="97"/>
    </row>
    <row r="19372" spans="25:25" x14ac:dyDescent="0.2">
      <c r="Y19372" s="97"/>
    </row>
    <row r="19373" spans="25:25" x14ac:dyDescent="0.2">
      <c r="Y19373" s="97"/>
    </row>
    <row r="19374" spans="25:25" x14ac:dyDescent="0.2">
      <c r="Y19374" s="97"/>
    </row>
    <row r="19375" spans="25:25" x14ac:dyDescent="0.2">
      <c r="Y19375" s="97"/>
    </row>
    <row r="19376" spans="25:25" x14ac:dyDescent="0.2">
      <c r="Y19376" s="97"/>
    </row>
    <row r="19377" spans="25:25" x14ac:dyDescent="0.2">
      <c r="Y19377" s="97"/>
    </row>
    <row r="19378" spans="25:25" x14ac:dyDescent="0.2">
      <c r="Y19378" s="97"/>
    </row>
    <row r="19379" spans="25:25" x14ac:dyDescent="0.2">
      <c r="Y19379" s="97"/>
    </row>
    <row r="19380" spans="25:25" x14ac:dyDescent="0.2">
      <c r="Y19380" s="97"/>
    </row>
    <row r="19381" spans="25:25" x14ac:dyDescent="0.2">
      <c r="Y19381" s="97"/>
    </row>
    <row r="19382" spans="25:25" x14ac:dyDescent="0.2">
      <c r="Y19382" s="97"/>
    </row>
    <row r="19383" spans="25:25" x14ac:dyDescent="0.2">
      <c r="Y19383" s="97"/>
    </row>
    <row r="19384" spans="25:25" x14ac:dyDescent="0.2">
      <c r="Y19384" s="97"/>
    </row>
    <row r="19385" spans="25:25" x14ac:dyDescent="0.2">
      <c r="Y19385" s="97"/>
    </row>
    <row r="19386" spans="25:25" x14ac:dyDescent="0.2">
      <c r="Y19386" s="97"/>
    </row>
    <row r="19387" spans="25:25" x14ac:dyDescent="0.2">
      <c r="Y19387" s="97"/>
    </row>
    <row r="19388" spans="25:25" x14ac:dyDescent="0.2">
      <c r="Y19388" s="97"/>
    </row>
    <row r="19389" spans="25:25" x14ac:dyDescent="0.2">
      <c r="Y19389" s="97"/>
    </row>
    <row r="19390" spans="25:25" x14ac:dyDescent="0.2">
      <c r="Y19390" s="97"/>
    </row>
    <row r="19391" spans="25:25" x14ac:dyDescent="0.2">
      <c r="Y19391" s="97"/>
    </row>
    <row r="19392" spans="25:25" x14ac:dyDescent="0.2">
      <c r="Y19392" s="97"/>
    </row>
    <row r="19393" spans="25:25" x14ac:dyDescent="0.2">
      <c r="Y19393" s="97"/>
    </row>
    <row r="19394" spans="25:25" x14ac:dyDescent="0.2">
      <c r="Y19394" s="97"/>
    </row>
    <row r="19395" spans="25:25" x14ac:dyDescent="0.2">
      <c r="Y19395" s="97"/>
    </row>
    <row r="19396" spans="25:25" x14ac:dyDescent="0.2">
      <c r="Y19396" s="97"/>
    </row>
    <row r="19397" spans="25:25" x14ac:dyDescent="0.2">
      <c r="Y19397" s="97"/>
    </row>
    <row r="19398" spans="25:25" x14ac:dyDescent="0.2">
      <c r="Y19398" s="97"/>
    </row>
    <row r="19399" spans="25:25" x14ac:dyDescent="0.2">
      <c r="Y19399" s="97"/>
    </row>
    <row r="19400" spans="25:25" x14ac:dyDescent="0.2">
      <c r="Y19400" s="97"/>
    </row>
    <row r="19401" spans="25:25" x14ac:dyDescent="0.2">
      <c r="Y19401" s="97"/>
    </row>
    <row r="19402" spans="25:25" x14ac:dyDescent="0.2">
      <c r="Y19402" s="97"/>
    </row>
    <row r="19403" spans="25:25" x14ac:dyDescent="0.2">
      <c r="Y19403" s="97"/>
    </row>
    <row r="19404" spans="25:25" x14ac:dyDescent="0.2">
      <c r="Y19404" s="97"/>
    </row>
    <row r="19405" spans="25:25" x14ac:dyDescent="0.2">
      <c r="Y19405" s="97"/>
    </row>
    <row r="19406" spans="25:25" x14ac:dyDescent="0.2">
      <c r="Y19406" s="97"/>
    </row>
    <row r="19407" spans="25:25" x14ac:dyDescent="0.2">
      <c r="Y19407" s="97"/>
    </row>
    <row r="19408" spans="25:25" x14ac:dyDescent="0.2">
      <c r="Y19408" s="97"/>
    </row>
    <row r="19409" spans="25:25" x14ac:dyDescent="0.2">
      <c r="Y19409" s="97"/>
    </row>
    <row r="19410" spans="25:25" x14ac:dyDescent="0.2">
      <c r="Y19410" s="97"/>
    </row>
    <row r="19411" spans="25:25" x14ac:dyDescent="0.2">
      <c r="Y19411" s="97"/>
    </row>
    <row r="19412" spans="25:25" x14ac:dyDescent="0.2">
      <c r="Y19412" s="97"/>
    </row>
    <row r="19413" spans="25:25" x14ac:dyDescent="0.2">
      <c r="Y19413" s="97"/>
    </row>
    <row r="19414" spans="25:25" x14ac:dyDescent="0.2">
      <c r="Y19414" s="97"/>
    </row>
    <row r="19415" spans="25:25" x14ac:dyDescent="0.2">
      <c r="Y19415" s="97"/>
    </row>
    <row r="19416" spans="25:25" x14ac:dyDescent="0.2">
      <c r="Y19416" s="97"/>
    </row>
    <row r="19417" spans="25:25" x14ac:dyDescent="0.2">
      <c r="Y19417" s="97"/>
    </row>
    <row r="19418" spans="25:25" x14ac:dyDescent="0.2">
      <c r="Y19418" s="97"/>
    </row>
    <row r="19419" spans="25:25" x14ac:dyDescent="0.2">
      <c r="Y19419" s="97"/>
    </row>
    <row r="19420" spans="25:25" x14ac:dyDescent="0.2">
      <c r="Y19420" s="97"/>
    </row>
    <row r="19421" spans="25:25" x14ac:dyDescent="0.2">
      <c r="Y19421" s="97"/>
    </row>
    <row r="19422" spans="25:25" x14ac:dyDescent="0.2">
      <c r="Y19422" s="97"/>
    </row>
    <row r="19423" spans="25:25" x14ac:dyDescent="0.2">
      <c r="Y19423" s="97"/>
    </row>
    <row r="19424" spans="25:25" x14ac:dyDescent="0.2">
      <c r="Y19424" s="97"/>
    </row>
    <row r="19425" spans="25:25" x14ac:dyDescent="0.2">
      <c r="Y19425" s="97"/>
    </row>
    <row r="19426" spans="25:25" x14ac:dyDescent="0.2">
      <c r="Y19426" s="97"/>
    </row>
    <row r="19427" spans="25:25" x14ac:dyDescent="0.2">
      <c r="Y19427" s="97"/>
    </row>
    <row r="19428" spans="25:25" x14ac:dyDescent="0.2">
      <c r="Y19428" s="97"/>
    </row>
    <row r="19429" spans="25:25" x14ac:dyDescent="0.2">
      <c r="Y19429" s="97"/>
    </row>
    <row r="19430" spans="25:25" x14ac:dyDescent="0.2">
      <c r="Y19430" s="97"/>
    </row>
    <row r="19431" spans="25:25" x14ac:dyDescent="0.2">
      <c r="Y19431" s="97"/>
    </row>
    <row r="19432" spans="25:25" x14ac:dyDescent="0.2">
      <c r="Y19432" s="97"/>
    </row>
    <row r="19433" spans="25:25" x14ac:dyDescent="0.2">
      <c r="Y19433" s="97"/>
    </row>
    <row r="19434" spans="25:25" x14ac:dyDescent="0.2">
      <c r="Y19434" s="97"/>
    </row>
    <row r="19435" spans="25:25" x14ac:dyDescent="0.2">
      <c r="Y19435" s="97"/>
    </row>
    <row r="19436" spans="25:25" x14ac:dyDescent="0.2">
      <c r="Y19436" s="97"/>
    </row>
    <row r="19437" spans="25:25" x14ac:dyDescent="0.2">
      <c r="Y19437" s="97"/>
    </row>
    <row r="19438" spans="25:25" x14ac:dyDescent="0.2">
      <c r="Y19438" s="97"/>
    </row>
    <row r="19439" spans="25:25" x14ac:dyDescent="0.2">
      <c r="Y19439" s="97"/>
    </row>
    <row r="19440" spans="25:25" x14ac:dyDescent="0.2">
      <c r="Y19440" s="97"/>
    </row>
    <row r="19441" spans="25:25" x14ac:dyDescent="0.2">
      <c r="Y19441" s="97"/>
    </row>
    <row r="19442" spans="25:25" x14ac:dyDescent="0.2">
      <c r="Y19442" s="97"/>
    </row>
    <row r="19443" spans="25:25" x14ac:dyDescent="0.2">
      <c r="Y19443" s="97"/>
    </row>
    <row r="19444" spans="25:25" x14ac:dyDescent="0.2">
      <c r="Y19444" s="97"/>
    </row>
    <row r="19445" spans="25:25" x14ac:dyDescent="0.2">
      <c r="Y19445" s="97"/>
    </row>
    <row r="19446" spans="25:25" x14ac:dyDescent="0.2">
      <c r="Y19446" s="97"/>
    </row>
    <row r="19447" spans="25:25" x14ac:dyDescent="0.2">
      <c r="Y19447" s="97"/>
    </row>
    <row r="19448" spans="25:25" x14ac:dyDescent="0.2">
      <c r="Y19448" s="97"/>
    </row>
    <row r="19449" spans="25:25" x14ac:dyDescent="0.2">
      <c r="Y19449" s="97"/>
    </row>
    <row r="19450" spans="25:25" x14ac:dyDescent="0.2">
      <c r="Y19450" s="97"/>
    </row>
    <row r="19451" spans="25:25" x14ac:dyDescent="0.2">
      <c r="Y19451" s="97"/>
    </row>
    <row r="19452" spans="25:25" x14ac:dyDescent="0.2">
      <c r="Y19452" s="97"/>
    </row>
    <row r="19453" spans="25:25" x14ac:dyDescent="0.2">
      <c r="Y19453" s="97"/>
    </row>
    <row r="19454" spans="25:25" x14ac:dyDescent="0.2">
      <c r="Y19454" s="97"/>
    </row>
    <row r="19455" spans="25:25" x14ac:dyDescent="0.2">
      <c r="Y19455" s="97"/>
    </row>
    <row r="19456" spans="25:25" x14ac:dyDescent="0.2">
      <c r="Y19456" s="97"/>
    </row>
    <row r="19457" spans="25:25" x14ac:dyDescent="0.2">
      <c r="Y19457" s="97"/>
    </row>
    <row r="19458" spans="25:25" x14ac:dyDescent="0.2">
      <c r="Y19458" s="97"/>
    </row>
    <row r="19459" spans="25:25" x14ac:dyDescent="0.2">
      <c r="Y19459" s="97"/>
    </row>
    <row r="19460" spans="25:25" x14ac:dyDescent="0.2">
      <c r="Y19460" s="97"/>
    </row>
    <row r="19461" spans="25:25" x14ac:dyDescent="0.2">
      <c r="Y19461" s="97"/>
    </row>
    <row r="19462" spans="25:25" x14ac:dyDescent="0.2">
      <c r="Y19462" s="97"/>
    </row>
    <row r="19463" spans="25:25" x14ac:dyDescent="0.2">
      <c r="Y19463" s="97"/>
    </row>
    <row r="19464" spans="25:25" x14ac:dyDescent="0.2">
      <c r="Y19464" s="97"/>
    </row>
    <row r="19465" spans="25:25" x14ac:dyDescent="0.2">
      <c r="Y19465" s="97"/>
    </row>
    <row r="19466" spans="25:25" x14ac:dyDescent="0.2">
      <c r="Y19466" s="97"/>
    </row>
    <row r="19467" spans="25:25" x14ac:dyDescent="0.2">
      <c r="Y19467" s="97"/>
    </row>
    <row r="19468" spans="25:25" x14ac:dyDescent="0.2">
      <c r="Y19468" s="97"/>
    </row>
    <row r="19469" spans="25:25" x14ac:dyDescent="0.2">
      <c r="Y19469" s="97"/>
    </row>
    <row r="19470" spans="25:25" x14ac:dyDescent="0.2">
      <c r="Y19470" s="97"/>
    </row>
    <row r="19471" spans="25:25" x14ac:dyDescent="0.2">
      <c r="Y19471" s="97"/>
    </row>
    <row r="19472" spans="25:25" x14ac:dyDescent="0.2">
      <c r="Y19472" s="97"/>
    </row>
    <row r="19473" spans="25:25" x14ac:dyDescent="0.2">
      <c r="Y19473" s="97"/>
    </row>
    <row r="19474" spans="25:25" x14ac:dyDescent="0.2">
      <c r="Y19474" s="97"/>
    </row>
    <row r="19475" spans="25:25" x14ac:dyDescent="0.2">
      <c r="Y19475" s="97"/>
    </row>
    <row r="19476" spans="25:25" x14ac:dyDescent="0.2">
      <c r="Y19476" s="97"/>
    </row>
    <row r="19477" spans="25:25" x14ac:dyDescent="0.2">
      <c r="Y19477" s="97"/>
    </row>
    <row r="19478" spans="25:25" x14ac:dyDescent="0.2">
      <c r="Y19478" s="97"/>
    </row>
    <row r="19479" spans="25:25" x14ac:dyDescent="0.2">
      <c r="Y19479" s="97"/>
    </row>
    <row r="19480" spans="25:25" x14ac:dyDescent="0.2">
      <c r="Y19480" s="97"/>
    </row>
    <row r="19481" spans="25:25" x14ac:dyDescent="0.2">
      <c r="Y19481" s="97"/>
    </row>
    <row r="19482" spans="25:25" x14ac:dyDescent="0.2">
      <c r="Y19482" s="97"/>
    </row>
    <row r="19483" spans="25:25" x14ac:dyDescent="0.2">
      <c r="Y19483" s="97"/>
    </row>
    <row r="19484" spans="25:25" x14ac:dyDescent="0.2">
      <c r="Y19484" s="97"/>
    </row>
    <row r="19485" spans="25:25" x14ac:dyDescent="0.2">
      <c r="Y19485" s="97"/>
    </row>
    <row r="19486" spans="25:25" x14ac:dyDescent="0.2">
      <c r="Y19486" s="97"/>
    </row>
    <row r="19487" spans="25:25" x14ac:dyDescent="0.2">
      <c r="Y19487" s="97"/>
    </row>
    <row r="19488" spans="25:25" x14ac:dyDescent="0.2">
      <c r="Y19488" s="97"/>
    </row>
    <row r="19489" spans="25:25" x14ac:dyDescent="0.2">
      <c r="Y19489" s="97"/>
    </row>
    <row r="19490" spans="25:25" x14ac:dyDescent="0.2">
      <c r="Y19490" s="97"/>
    </row>
    <row r="19491" spans="25:25" x14ac:dyDescent="0.2">
      <c r="Y19491" s="97"/>
    </row>
    <row r="19492" spans="25:25" x14ac:dyDescent="0.2">
      <c r="Y19492" s="97"/>
    </row>
    <row r="19493" spans="25:25" x14ac:dyDescent="0.2">
      <c r="Y19493" s="97"/>
    </row>
    <row r="19494" spans="25:25" x14ac:dyDescent="0.2">
      <c r="Y19494" s="97"/>
    </row>
    <row r="19495" spans="25:25" x14ac:dyDescent="0.2">
      <c r="Y19495" s="97"/>
    </row>
    <row r="19496" spans="25:25" x14ac:dyDescent="0.2">
      <c r="Y19496" s="97"/>
    </row>
    <row r="19497" spans="25:25" x14ac:dyDescent="0.2">
      <c r="Y19497" s="97"/>
    </row>
    <row r="19498" spans="25:25" x14ac:dyDescent="0.2">
      <c r="Y19498" s="97"/>
    </row>
    <row r="19499" spans="25:25" x14ac:dyDescent="0.2">
      <c r="Y19499" s="97"/>
    </row>
    <row r="19500" spans="25:25" x14ac:dyDescent="0.2">
      <c r="Y19500" s="97"/>
    </row>
    <row r="19501" spans="25:25" x14ac:dyDescent="0.2">
      <c r="Y19501" s="97"/>
    </row>
    <row r="19502" spans="25:25" x14ac:dyDescent="0.2">
      <c r="Y19502" s="97"/>
    </row>
    <row r="19503" spans="25:25" x14ac:dyDescent="0.2">
      <c r="Y19503" s="97"/>
    </row>
    <row r="19504" spans="25:25" x14ac:dyDescent="0.2">
      <c r="Y19504" s="97"/>
    </row>
    <row r="19505" spans="25:25" x14ac:dyDescent="0.2">
      <c r="Y19505" s="97"/>
    </row>
    <row r="19506" spans="25:25" x14ac:dyDescent="0.2">
      <c r="Y19506" s="97"/>
    </row>
    <row r="19507" spans="25:25" x14ac:dyDescent="0.2">
      <c r="Y19507" s="97"/>
    </row>
    <row r="19508" spans="25:25" x14ac:dyDescent="0.2">
      <c r="Y19508" s="97"/>
    </row>
    <row r="19509" spans="25:25" x14ac:dyDescent="0.2">
      <c r="Y19509" s="97"/>
    </row>
    <row r="19510" spans="25:25" x14ac:dyDescent="0.2">
      <c r="Y19510" s="97"/>
    </row>
    <row r="19511" spans="25:25" x14ac:dyDescent="0.2">
      <c r="Y19511" s="97"/>
    </row>
    <row r="19512" spans="25:25" x14ac:dyDescent="0.2">
      <c r="Y19512" s="97"/>
    </row>
    <row r="19513" spans="25:25" x14ac:dyDescent="0.2">
      <c r="Y19513" s="97"/>
    </row>
    <row r="19514" spans="25:25" x14ac:dyDescent="0.2">
      <c r="Y19514" s="97"/>
    </row>
    <row r="19515" spans="25:25" x14ac:dyDescent="0.2">
      <c r="Y19515" s="97"/>
    </row>
    <row r="19516" spans="25:25" x14ac:dyDescent="0.2">
      <c r="Y19516" s="97"/>
    </row>
    <row r="19517" spans="25:25" x14ac:dyDescent="0.2">
      <c r="Y19517" s="97"/>
    </row>
    <row r="19518" spans="25:25" x14ac:dyDescent="0.2">
      <c r="Y19518" s="97"/>
    </row>
    <row r="19519" spans="25:25" x14ac:dyDescent="0.2">
      <c r="Y19519" s="97"/>
    </row>
    <row r="19520" spans="25:25" x14ac:dyDescent="0.2">
      <c r="Y19520" s="97"/>
    </row>
    <row r="19521" spans="25:25" x14ac:dyDescent="0.2">
      <c r="Y19521" s="97"/>
    </row>
    <row r="19522" spans="25:25" x14ac:dyDescent="0.2">
      <c r="Y19522" s="97"/>
    </row>
    <row r="19523" spans="25:25" x14ac:dyDescent="0.2">
      <c r="Y19523" s="97"/>
    </row>
    <row r="19524" spans="25:25" x14ac:dyDescent="0.2">
      <c r="Y19524" s="97"/>
    </row>
    <row r="19525" spans="25:25" x14ac:dyDescent="0.2">
      <c r="Y19525" s="97"/>
    </row>
    <row r="19526" spans="25:25" x14ac:dyDescent="0.2">
      <c r="Y19526" s="97"/>
    </row>
    <row r="19527" spans="25:25" x14ac:dyDescent="0.2">
      <c r="Y19527" s="97"/>
    </row>
    <row r="19528" spans="25:25" x14ac:dyDescent="0.2">
      <c r="Y19528" s="97"/>
    </row>
    <row r="19529" spans="25:25" x14ac:dyDescent="0.2">
      <c r="Y19529" s="97"/>
    </row>
    <row r="19530" spans="25:25" x14ac:dyDescent="0.2">
      <c r="Y19530" s="97"/>
    </row>
    <row r="19531" spans="25:25" x14ac:dyDescent="0.2">
      <c r="Y19531" s="97"/>
    </row>
    <row r="19532" spans="25:25" x14ac:dyDescent="0.2">
      <c r="Y19532" s="97"/>
    </row>
    <row r="19533" spans="25:25" x14ac:dyDescent="0.2">
      <c r="Y19533" s="97"/>
    </row>
    <row r="19534" spans="25:25" x14ac:dyDescent="0.2">
      <c r="Y19534" s="97"/>
    </row>
    <row r="19535" spans="25:25" x14ac:dyDescent="0.2">
      <c r="Y19535" s="97"/>
    </row>
    <row r="19536" spans="25:25" x14ac:dyDescent="0.2">
      <c r="Y19536" s="97"/>
    </row>
    <row r="19537" spans="25:25" x14ac:dyDescent="0.2">
      <c r="Y19537" s="97"/>
    </row>
    <row r="19538" spans="25:25" x14ac:dyDescent="0.2">
      <c r="Y19538" s="97"/>
    </row>
    <row r="19539" spans="25:25" x14ac:dyDescent="0.2">
      <c r="Y19539" s="97"/>
    </row>
    <row r="19540" spans="25:25" x14ac:dyDescent="0.2">
      <c r="Y19540" s="97"/>
    </row>
    <row r="19541" spans="25:25" x14ac:dyDescent="0.2">
      <c r="Y19541" s="97"/>
    </row>
    <row r="19542" spans="25:25" x14ac:dyDescent="0.2">
      <c r="Y19542" s="97"/>
    </row>
    <row r="19543" spans="25:25" x14ac:dyDescent="0.2">
      <c r="Y19543" s="97"/>
    </row>
    <row r="19544" spans="25:25" x14ac:dyDescent="0.2">
      <c r="Y19544" s="97"/>
    </row>
    <row r="19545" spans="25:25" x14ac:dyDescent="0.2">
      <c r="Y19545" s="97"/>
    </row>
    <row r="19546" spans="25:25" x14ac:dyDescent="0.2">
      <c r="Y19546" s="97"/>
    </row>
    <row r="19547" spans="25:25" x14ac:dyDescent="0.2">
      <c r="Y19547" s="97"/>
    </row>
    <row r="19548" spans="25:25" x14ac:dyDescent="0.2">
      <c r="Y19548" s="97"/>
    </row>
    <row r="19549" spans="25:25" x14ac:dyDescent="0.2">
      <c r="Y19549" s="97"/>
    </row>
    <row r="19550" spans="25:25" x14ac:dyDescent="0.2">
      <c r="Y19550" s="97"/>
    </row>
    <row r="19551" spans="25:25" x14ac:dyDescent="0.2">
      <c r="Y19551" s="97"/>
    </row>
    <row r="19552" spans="25:25" x14ac:dyDescent="0.2">
      <c r="Y19552" s="97"/>
    </row>
    <row r="19553" spans="25:25" x14ac:dyDescent="0.2">
      <c r="Y19553" s="97"/>
    </row>
    <row r="19554" spans="25:25" x14ac:dyDescent="0.2">
      <c r="Y19554" s="97"/>
    </row>
    <row r="19555" spans="25:25" x14ac:dyDescent="0.2">
      <c r="Y19555" s="97"/>
    </row>
    <row r="19556" spans="25:25" x14ac:dyDescent="0.2">
      <c r="Y19556" s="97"/>
    </row>
    <row r="19557" spans="25:25" x14ac:dyDescent="0.2">
      <c r="Y19557" s="97"/>
    </row>
    <row r="19558" spans="25:25" x14ac:dyDescent="0.2">
      <c r="Y19558" s="97"/>
    </row>
    <row r="19559" spans="25:25" x14ac:dyDescent="0.2">
      <c r="Y19559" s="97"/>
    </row>
    <row r="19560" spans="25:25" x14ac:dyDescent="0.2">
      <c r="Y19560" s="97"/>
    </row>
    <row r="19561" spans="25:25" x14ac:dyDescent="0.2">
      <c r="Y19561" s="97"/>
    </row>
    <row r="19562" spans="25:25" x14ac:dyDescent="0.2">
      <c r="Y19562" s="97"/>
    </row>
    <row r="19563" spans="25:25" x14ac:dyDescent="0.2">
      <c r="Y19563" s="97"/>
    </row>
    <row r="19564" spans="25:25" x14ac:dyDescent="0.2">
      <c r="Y19564" s="97"/>
    </row>
    <row r="19565" spans="25:25" x14ac:dyDescent="0.2">
      <c r="Y19565" s="97"/>
    </row>
    <row r="19566" spans="25:25" x14ac:dyDescent="0.2">
      <c r="Y19566" s="97"/>
    </row>
    <row r="19567" spans="25:25" x14ac:dyDescent="0.2">
      <c r="Y19567" s="97"/>
    </row>
    <row r="19568" spans="25:25" x14ac:dyDescent="0.2">
      <c r="Y19568" s="97"/>
    </row>
    <row r="19569" spans="25:25" x14ac:dyDescent="0.2">
      <c r="Y19569" s="97"/>
    </row>
    <row r="19570" spans="25:25" x14ac:dyDescent="0.2">
      <c r="Y19570" s="97"/>
    </row>
    <row r="19571" spans="25:25" x14ac:dyDescent="0.2">
      <c r="Y19571" s="97"/>
    </row>
    <row r="19572" spans="25:25" x14ac:dyDescent="0.2">
      <c r="Y19572" s="97"/>
    </row>
    <row r="19573" spans="25:25" x14ac:dyDescent="0.2">
      <c r="Y19573" s="97"/>
    </row>
    <row r="19574" spans="25:25" x14ac:dyDescent="0.2">
      <c r="Y19574" s="97"/>
    </row>
    <row r="19575" spans="25:25" x14ac:dyDescent="0.2">
      <c r="Y19575" s="97"/>
    </row>
    <row r="19576" spans="25:25" x14ac:dyDescent="0.2">
      <c r="Y19576" s="97"/>
    </row>
    <row r="19577" spans="25:25" x14ac:dyDescent="0.2">
      <c r="Y19577" s="97"/>
    </row>
    <row r="19578" spans="25:25" x14ac:dyDescent="0.2">
      <c r="Y19578" s="97"/>
    </row>
    <row r="19579" spans="25:25" x14ac:dyDescent="0.2">
      <c r="Y19579" s="97"/>
    </row>
    <row r="19580" spans="25:25" x14ac:dyDescent="0.2">
      <c r="Y19580" s="97"/>
    </row>
    <row r="19581" spans="25:25" x14ac:dyDescent="0.2">
      <c r="Y19581" s="97"/>
    </row>
    <row r="19582" spans="25:25" x14ac:dyDescent="0.2">
      <c r="Y19582" s="97"/>
    </row>
    <row r="19583" spans="25:25" x14ac:dyDescent="0.2">
      <c r="Y19583" s="97"/>
    </row>
    <row r="19584" spans="25:25" x14ac:dyDescent="0.2">
      <c r="Y19584" s="97"/>
    </row>
    <row r="19585" spans="25:25" x14ac:dyDescent="0.2">
      <c r="Y19585" s="97"/>
    </row>
    <row r="19586" spans="25:25" x14ac:dyDescent="0.2">
      <c r="Y19586" s="97"/>
    </row>
    <row r="19587" spans="25:25" x14ac:dyDescent="0.2">
      <c r="Y19587" s="97"/>
    </row>
    <row r="19588" spans="25:25" x14ac:dyDescent="0.2">
      <c r="Y19588" s="97"/>
    </row>
    <row r="19589" spans="25:25" x14ac:dyDescent="0.2">
      <c r="Y19589" s="97"/>
    </row>
    <row r="19590" spans="25:25" x14ac:dyDescent="0.2">
      <c r="Y19590" s="97"/>
    </row>
    <row r="19591" spans="25:25" x14ac:dyDescent="0.2">
      <c r="Y19591" s="97"/>
    </row>
    <row r="19592" spans="25:25" x14ac:dyDescent="0.2">
      <c r="Y19592" s="97"/>
    </row>
    <row r="19593" spans="25:25" x14ac:dyDescent="0.2">
      <c r="Y19593" s="97"/>
    </row>
    <row r="19594" spans="25:25" x14ac:dyDescent="0.2">
      <c r="Y19594" s="97"/>
    </row>
    <row r="19595" spans="25:25" x14ac:dyDescent="0.2">
      <c r="Y19595" s="97"/>
    </row>
    <row r="19596" spans="25:25" x14ac:dyDescent="0.2">
      <c r="Y19596" s="97"/>
    </row>
    <row r="19597" spans="25:25" x14ac:dyDescent="0.2">
      <c r="Y19597" s="97"/>
    </row>
    <row r="19598" spans="25:25" x14ac:dyDescent="0.2">
      <c r="Y19598" s="97"/>
    </row>
    <row r="19599" spans="25:25" x14ac:dyDescent="0.2">
      <c r="Y19599" s="97"/>
    </row>
    <row r="19600" spans="25:25" x14ac:dyDescent="0.2">
      <c r="Y19600" s="97"/>
    </row>
    <row r="19601" spans="25:25" x14ac:dyDescent="0.2">
      <c r="Y19601" s="97"/>
    </row>
    <row r="19602" spans="25:25" x14ac:dyDescent="0.2">
      <c r="Y19602" s="97"/>
    </row>
    <row r="19603" spans="25:25" x14ac:dyDescent="0.2">
      <c r="Y19603" s="97"/>
    </row>
    <row r="19604" spans="25:25" x14ac:dyDescent="0.2">
      <c r="Y19604" s="97"/>
    </row>
    <row r="19605" spans="25:25" x14ac:dyDescent="0.2">
      <c r="Y19605" s="97"/>
    </row>
    <row r="19606" spans="25:25" x14ac:dyDescent="0.2">
      <c r="Y19606" s="97"/>
    </row>
    <row r="19607" spans="25:25" x14ac:dyDescent="0.2">
      <c r="Y19607" s="97"/>
    </row>
    <row r="19608" spans="25:25" x14ac:dyDescent="0.2">
      <c r="Y19608" s="97"/>
    </row>
    <row r="19609" spans="25:25" x14ac:dyDescent="0.2">
      <c r="Y19609" s="97"/>
    </row>
    <row r="19610" spans="25:25" x14ac:dyDescent="0.2">
      <c r="Y19610" s="97"/>
    </row>
    <row r="19611" spans="25:25" x14ac:dyDescent="0.2">
      <c r="Y19611" s="97"/>
    </row>
    <row r="19612" spans="25:25" x14ac:dyDescent="0.2">
      <c r="Y19612" s="97"/>
    </row>
    <row r="19613" spans="25:25" x14ac:dyDescent="0.2">
      <c r="Y19613" s="97"/>
    </row>
    <row r="19614" spans="25:25" x14ac:dyDescent="0.2">
      <c r="Y19614" s="97"/>
    </row>
    <row r="19615" spans="25:25" x14ac:dyDescent="0.2">
      <c r="Y19615" s="97"/>
    </row>
    <row r="19616" spans="25:25" x14ac:dyDescent="0.2">
      <c r="Y19616" s="97"/>
    </row>
    <row r="19617" spans="25:25" x14ac:dyDescent="0.2">
      <c r="Y19617" s="97"/>
    </row>
    <row r="19618" spans="25:25" x14ac:dyDescent="0.2">
      <c r="Y19618" s="97"/>
    </row>
    <row r="19619" spans="25:25" x14ac:dyDescent="0.2">
      <c r="Y19619" s="97"/>
    </row>
    <row r="19620" spans="25:25" x14ac:dyDescent="0.2">
      <c r="Y19620" s="97"/>
    </row>
    <row r="19621" spans="25:25" x14ac:dyDescent="0.2">
      <c r="Y19621" s="97"/>
    </row>
    <row r="19622" spans="25:25" x14ac:dyDescent="0.2">
      <c r="Y19622" s="97"/>
    </row>
    <row r="19623" spans="25:25" x14ac:dyDescent="0.2">
      <c r="Y19623" s="97"/>
    </row>
    <row r="19624" spans="25:25" x14ac:dyDescent="0.2">
      <c r="Y19624" s="97"/>
    </row>
    <row r="19625" spans="25:25" x14ac:dyDescent="0.2">
      <c r="Y19625" s="97"/>
    </row>
    <row r="19626" spans="25:25" x14ac:dyDescent="0.2">
      <c r="Y19626" s="97"/>
    </row>
    <row r="19627" spans="25:25" x14ac:dyDescent="0.2">
      <c r="Y19627" s="97"/>
    </row>
    <row r="19628" spans="25:25" x14ac:dyDescent="0.2">
      <c r="Y19628" s="97"/>
    </row>
    <row r="19629" spans="25:25" x14ac:dyDescent="0.2">
      <c r="Y19629" s="97"/>
    </row>
    <row r="19630" spans="25:25" x14ac:dyDescent="0.2">
      <c r="Y19630" s="97"/>
    </row>
    <row r="19631" spans="25:25" x14ac:dyDescent="0.2">
      <c r="Y19631" s="97"/>
    </row>
    <row r="19632" spans="25:25" x14ac:dyDescent="0.2">
      <c r="Y19632" s="97"/>
    </row>
    <row r="19633" spans="25:25" x14ac:dyDescent="0.2">
      <c r="Y19633" s="97"/>
    </row>
    <row r="19634" spans="25:25" x14ac:dyDescent="0.2">
      <c r="Y19634" s="97"/>
    </row>
    <row r="19635" spans="25:25" x14ac:dyDescent="0.2">
      <c r="Y19635" s="97"/>
    </row>
    <row r="19636" spans="25:25" x14ac:dyDescent="0.2">
      <c r="Y19636" s="97"/>
    </row>
    <row r="19637" spans="25:25" x14ac:dyDescent="0.2">
      <c r="Y19637" s="97"/>
    </row>
    <row r="19638" spans="25:25" x14ac:dyDescent="0.2">
      <c r="Y19638" s="97"/>
    </row>
    <row r="19639" spans="25:25" x14ac:dyDescent="0.2">
      <c r="Y19639" s="97"/>
    </row>
    <row r="19640" spans="25:25" x14ac:dyDescent="0.2">
      <c r="Y19640" s="97"/>
    </row>
    <row r="19641" spans="25:25" x14ac:dyDescent="0.2">
      <c r="Y19641" s="97"/>
    </row>
    <row r="19642" spans="25:25" x14ac:dyDescent="0.2">
      <c r="Y19642" s="97"/>
    </row>
    <row r="19643" spans="25:25" x14ac:dyDescent="0.2">
      <c r="Y19643" s="97"/>
    </row>
    <row r="19644" spans="25:25" x14ac:dyDescent="0.2">
      <c r="Y19644" s="97"/>
    </row>
    <row r="19645" spans="25:25" x14ac:dyDescent="0.2">
      <c r="Y19645" s="97"/>
    </row>
    <row r="19646" spans="25:25" x14ac:dyDescent="0.2">
      <c r="Y19646" s="97"/>
    </row>
    <row r="19647" spans="25:25" x14ac:dyDescent="0.2">
      <c r="Y19647" s="97"/>
    </row>
    <row r="19648" spans="25:25" x14ac:dyDescent="0.2">
      <c r="Y19648" s="97"/>
    </row>
    <row r="19649" spans="25:25" x14ac:dyDescent="0.2">
      <c r="Y19649" s="97"/>
    </row>
    <row r="19650" spans="25:25" x14ac:dyDescent="0.2">
      <c r="Y19650" s="97"/>
    </row>
    <row r="19651" spans="25:25" x14ac:dyDescent="0.2">
      <c r="Y19651" s="97"/>
    </row>
    <row r="19652" spans="25:25" x14ac:dyDescent="0.2">
      <c r="Y19652" s="97"/>
    </row>
    <row r="19653" spans="25:25" x14ac:dyDescent="0.2">
      <c r="Y19653" s="97"/>
    </row>
    <row r="19654" spans="25:25" x14ac:dyDescent="0.2">
      <c r="Y19654" s="97"/>
    </row>
    <row r="19655" spans="25:25" x14ac:dyDescent="0.2">
      <c r="Y19655" s="97"/>
    </row>
    <row r="19656" spans="25:25" x14ac:dyDescent="0.2">
      <c r="Y19656" s="97"/>
    </row>
    <row r="19657" spans="25:25" x14ac:dyDescent="0.2">
      <c r="Y19657" s="97"/>
    </row>
    <row r="19658" spans="25:25" x14ac:dyDescent="0.2">
      <c r="Y19658" s="97"/>
    </row>
    <row r="19659" spans="25:25" x14ac:dyDescent="0.2">
      <c r="Y19659" s="97"/>
    </row>
    <row r="19660" spans="25:25" x14ac:dyDescent="0.2">
      <c r="Y19660" s="97"/>
    </row>
    <row r="19661" spans="25:25" x14ac:dyDescent="0.2">
      <c r="Y19661" s="97"/>
    </row>
    <row r="19662" spans="25:25" x14ac:dyDescent="0.2">
      <c r="Y19662" s="97"/>
    </row>
    <row r="19663" spans="25:25" x14ac:dyDescent="0.2">
      <c r="Y19663" s="97"/>
    </row>
    <row r="19664" spans="25:25" x14ac:dyDescent="0.2">
      <c r="Y19664" s="97"/>
    </row>
    <row r="19665" spans="25:25" x14ac:dyDescent="0.2">
      <c r="Y19665" s="97"/>
    </row>
    <row r="19666" spans="25:25" x14ac:dyDescent="0.2">
      <c r="Y19666" s="97"/>
    </row>
    <row r="19667" spans="25:25" x14ac:dyDescent="0.2">
      <c r="Y19667" s="97"/>
    </row>
    <row r="19668" spans="25:25" x14ac:dyDescent="0.2">
      <c r="Y19668" s="97"/>
    </row>
    <row r="19669" spans="25:25" x14ac:dyDescent="0.2">
      <c r="Y19669" s="97"/>
    </row>
    <row r="19670" spans="25:25" x14ac:dyDescent="0.2">
      <c r="Y19670" s="97"/>
    </row>
    <row r="19671" spans="25:25" x14ac:dyDescent="0.2">
      <c r="Y19671" s="97"/>
    </row>
    <row r="19672" spans="25:25" x14ac:dyDescent="0.2">
      <c r="Y19672" s="97"/>
    </row>
    <row r="19673" spans="25:25" x14ac:dyDescent="0.2">
      <c r="Y19673" s="97"/>
    </row>
    <row r="19674" spans="25:25" x14ac:dyDescent="0.2">
      <c r="Y19674" s="97"/>
    </row>
    <row r="19675" spans="25:25" x14ac:dyDescent="0.2">
      <c r="Y19675" s="97"/>
    </row>
    <row r="19676" spans="25:25" x14ac:dyDescent="0.2">
      <c r="Y19676" s="97"/>
    </row>
    <row r="19677" spans="25:25" x14ac:dyDescent="0.2">
      <c r="Y19677" s="97"/>
    </row>
    <row r="19678" spans="25:25" x14ac:dyDescent="0.2">
      <c r="Y19678" s="97"/>
    </row>
    <row r="19679" spans="25:25" x14ac:dyDescent="0.2">
      <c r="Y19679" s="97"/>
    </row>
    <row r="19680" spans="25:25" x14ac:dyDescent="0.2">
      <c r="Y19680" s="97"/>
    </row>
    <row r="19681" spans="25:25" x14ac:dyDescent="0.2">
      <c r="Y19681" s="97"/>
    </row>
    <row r="19682" spans="25:25" x14ac:dyDescent="0.2">
      <c r="Y19682" s="97"/>
    </row>
    <row r="19683" spans="25:25" x14ac:dyDescent="0.2">
      <c r="Y19683" s="97"/>
    </row>
    <row r="19684" spans="25:25" x14ac:dyDescent="0.2">
      <c r="Y19684" s="97"/>
    </row>
    <row r="19685" spans="25:25" x14ac:dyDescent="0.2">
      <c r="Y19685" s="97"/>
    </row>
    <row r="19686" spans="25:25" x14ac:dyDescent="0.2">
      <c r="Y19686" s="97"/>
    </row>
    <row r="19687" spans="25:25" x14ac:dyDescent="0.2">
      <c r="Y19687" s="97"/>
    </row>
    <row r="19688" spans="25:25" x14ac:dyDescent="0.2">
      <c r="Y19688" s="97"/>
    </row>
    <row r="19689" spans="25:25" x14ac:dyDescent="0.2">
      <c r="Y19689" s="97"/>
    </row>
    <row r="19690" spans="25:25" x14ac:dyDescent="0.2">
      <c r="Y19690" s="97"/>
    </row>
    <row r="19691" spans="25:25" x14ac:dyDescent="0.2">
      <c r="Y19691" s="97"/>
    </row>
    <row r="19692" spans="25:25" x14ac:dyDescent="0.2">
      <c r="Y19692" s="97"/>
    </row>
    <row r="19693" spans="25:25" x14ac:dyDescent="0.2">
      <c r="Y19693" s="97"/>
    </row>
    <row r="19694" spans="25:25" x14ac:dyDescent="0.2">
      <c r="Y19694" s="97"/>
    </row>
    <row r="19695" spans="25:25" x14ac:dyDescent="0.2">
      <c r="Y19695" s="97"/>
    </row>
    <row r="19696" spans="25:25" x14ac:dyDescent="0.2">
      <c r="Y19696" s="97"/>
    </row>
    <row r="19697" spans="25:25" x14ac:dyDescent="0.2">
      <c r="Y19697" s="97"/>
    </row>
    <row r="19698" spans="25:25" x14ac:dyDescent="0.2">
      <c r="Y19698" s="97"/>
    </row>
    <row r="19699" spans="25:25" x14ac:dyDescent="0.2">
      <c r="Y19699" s="97"/>
    </row>
    <row r="19700" spans="25:25" x14ac:dyDescent="0.2">
      <c r="Y19700" s="97"/>
    </row>
    <row r="19701" spans="25:25" x14ac:dyDescent="0.2">
      <c r="Y19701" s="97"/>
    </row>
    <row r="19702" spans="25:25" x14ac:dyDescent="0.2">
      <c r="Y19702" s="97"/>
    </row>
    <row r="19703" spans="25:25" x14ac:dyDescent="0.2">
      <c r="Y19703" s="97"/>
    </row>
    <row r="19704" spans="25:25" x14ac:dyDescent="0.2">
      <c r="Y19704" s="97"/>
    </row>
    <row r="19705" spans="25:25" x14ac:dyDescent="0.2">
      <c r="Y19705" s="97"/>
    </row>
    <row r="19706" spans="25:25" x14ac:dyDescent="0.2">
      <c r="Y19706" s="97"/>
    </row>
    <row r="19707" spans="25:25" x14ac:dyDescent="0.2">
      <c r="Y19707" s="97"/>
    </row>
    <row r="19708" spans="25:25" x14ac:dyDescent="0.2">
      <c r="Y19708" s="97"/>
    </row>
    <row r="19709" spans="25:25" x14ac:dyDescent="0.2">
      <c r="Y19709" s="97"/>
    </row>
    <row r="19710" spans="25:25" x14ac:dyDescent="0.2">
      <c r="Y19710" s="97"/>
    </row>
    <row r="19711" spans="25:25" x14ac:dyDescent="0.2">
      <c r="Y19711" s="97"/>
    </row>
    <row r="19712" spans="25:25" x14ac:dyDescent="0.2">
      <c r="Y19712" s="97"/>
    </row>
    <row r="19713" spans="25:25" x14ac:dyDescent="0.2">
      <c r="Y19713" s="97"/>
    </row>
    <row r="19714" spans="25:25" x14ac:dyDescent="0.2">
      <c r="Y19714" s="97"/>
    </row>
    <row r="19715" spans="25:25" x14ac:dyDescent="0.2">
      <c r="Y19715" s="97"/>
    </row>
    <row r="19716" spans="25:25" x14ac:dyDescent="0.2">
      <c r="Y19716" s="97"/>
    </row>
    <row r="19717" spans="25:25" x14ac:dyDescent="0.2">
      <c r="Y19717" s="97"/>
    </row>
    <row r="19718" spans="25:25" x14ac:dyDescent="0.2">
      <c r="Y19718" s="97"/>
    </row>
    <row r="19719" spans="25:25" x14ac:dyDescent="0.2">
      <c r="Y19719" s="97"/>
    </row>
    <row r="19720" spans="25:25" x14ac:dyDescent="0.2">
      <c r="Y19720" s="97"/>
    </row>
    <row r="19721" spans="25:25" x14ac:dyDescent="0.2">
      <c r="Y19721" s="97"/>
    </row>
    <row r="19722" spans="25:25" x14ac:dyDescent="0.2">
      <c r="Y19722" s="97"/>
    </row>
    <row r="19723" spans="25:25" x14ac:dyDescent="0.2">
      <c r="Y19723" s="97"/>
    </row>
    <row r="19724" spans="25:25" x14ac:dyDescent="0.2">
      <c r="Y19724" s="97"/>
    </row>
    <row r="19725" spans="25:25" x14ac:dyDescent="0.2">
      <c r="Y19725" s="97"/>
    </row>
    <row r="19726" spans="25:25" x14ac:dyDescent="0.2">
      <c r="Y19726" s="97"/>
    </row>
    <row r="19727" spans="25:25" x14ac:dyDescent="0.2">
      <c r="Y19727" s="97"/>
    </row>
    <row r="19728" spans="25:25" x14ac:dyDescent="0.2">
      <c r="Y19728" s="97"/>
    </row>
    <row r="19729" spans="25:25" x14ac:dyDescent="0.2">
      <c r="Y19729" s="97"/>
    </row>
    <row r="19730" spans="25:25" x14ac:dyDescent="0.2">
      <c r="Y19730" s="97"/>
    </row>
    <row r="19731" spans="25:25" x14ac:dyDescent="0.2">
      <c r="Y19731" s="97"/>
    </row>
    <row r="19732" spans="25:25" x14ac:dyDescent="0.2">
      <c r="Y19732" s="97"/>
    </row>
    <row r="19733" spans="25:25" x14ac:dyDescent="0.2">
      <c r="Y19733" s="97"/>
    </row>
    <row r="19734" spans="25:25" x14ac:dyDescent="0.2">
      <c r="Y19734" s="97"/>
    </row>
    <row r="19735" spans="25:25" x14ac:dyDescent="0.2">
      <c r="Y19735" s="97"/>
    </row>
    <row r="19736" spans="25:25" x14ac:dyDescent="0.2">
      <c r="Y19736" s="97"/>
    </row>
    <row r="19737" spans="25:25" x14ac:dyDescent="0.2">
      <c r="Y19737" s="97"/>
    </row>
    <row r="19738" spans="25:25" x14ac:dyDescent="0.2">
      <c r="Y19738" s="97"/>
    </row>
    <row r="19739" spans="25:25" x14ac:dyDescent="0.2">
      <c r="Y19739" s="97"/>
    </row>
    <row r="19740" spans="25:25" x14ac:dyDescent="0.2">
      <c r="Y19740" s="97"/>
    </row>
    <row r="19741" spans="25:25" x14ac:dyDescent="0.2">
      <c r="Y19741" s="97"/>
    </row>
    <row r="19742" spans="25:25" x14ac:dyDescent="0.2">
      <c r="Y19742" s="97"/>
    </row>
    <row r="19743" spans="25:25" x14ac:dyDescent="0.2">
      <c r="Y19743" s="97"/>
    </row>
    <row r="19744" spans="25:25" x14ac:dyDescent="0.2">
      <c r="Y19744" s="97"/>
    </row>
    <row r="19745" spans="25:25" x14ac:dyDescent="0.2">
      <c r="Y19745" s="97"/>
    </row>
    <row r="19746" spans="25:25" x14ac:dyDescent="0.2">
      <c r="Y19746" s="97"/>
    </row>
    <row r="19747" spans="25:25" x14ac:dyDescent="0.2">
      <c r="Y19747" s="97"/>
    </row>
    <row r="19748" spans="25:25" x14ac:dyDescent="0.2">
      <c r="Y19748" s="97"/>
    </row>
    <row r="19749" spans="25:25" x14ac:dyDescent="0.2">
      <c r="Y19749" s="97"/>
    </row>
    <row r="19750" spans="25:25" x14ac:dyDescent="0.2">
      <c r="Y19750" s="97"/>
    </row>
    <row r="19751" spans="25:25" x14ac:dyDescent="0.2">
      <c r="Y19751" s="97"/>
    </row>
    <row r="19752" spans="25:25" x14ac:dyDescent="0.2">
      <c r="Y19752" s="97"/>
    </row>
    <row r="19753" spans="25:25" x14ac:dyDescent="0.2">
      <c r="Y19753" s="97"/>
    </row>
    <row r="19754" spans="25:25" x14ac:dyDescent="0.2">
      <c r="Y19754" s="97"/>
    </row>
    <row r="19755" spans="25:25" x14ac:dyDescent="0.2">
      <c r="Y19755" s="97"/>
    </row>
    <row r="19756" spans="25:25" x14ac:dyDescent="0.2">
      <c r="Y19756" s="97"/>
    </row>
    <row r="19757" spans="25:25" x14ac:dyDescent="0.2">
      <c r="Y19757" s="97"/>
    </row>
    <row r="19758" spans="25:25" x14ac:dyDescent="0.2">
      <c r="Y19758" s="97"/>
    </row>
    <row r="19759" spans="25:25" x14ac:dyDescent="0.2">
      <c r="Y19759" s="97"/>
    </row>
    <row r="19760" spans="25:25" x14ac:dyDescent="0.2">
      <c r="Y19760" s="97"/>
    </row>
    <row r="19761" spans="25:25" x14ac:dyDescent="0.2">
      <c r="Y19761" s="97"/>
    </row>
    <row r="19762" spans="25:25" x14ac:dyDescent="0.2">
      <c r="Y19762" s="97"/>
    </row>
    <row r="19763" spans="25:25" x14ac:dyDescent="0.2">
      <c r="Y19763" s="97"/>
    </row>
    <row r="19764" spans="25:25" x14ac:dyDescent="0.2">
      <c r="Y19764" s="97"/>
    </row>
    <row r="19765" spans="25:25" x14ac:dyDescent="0.2">
      <c r="Y19765" s="97"/>
    </row>
    <row r="19766" spans="25:25" x14ac:dyDescent="0.2">
      <c r="Y19766" s="97"/>
    </row>
    <row r="19767" spans="25:25" x14ac:dyDescent="0.2">
      <c r="Y19767" s="97"/>
    </row>
    <row r="19768" spans="25:25" x14ac:dyDescent="0.2">
      <c r="Y19768" s="97"/>
    </row>
    <row r="19769" spans="25:25" x14ac:dyDescent="0.2">
      <c r="Y19769" s="97"/>
    </row>
    <row r="19770" spans="25:25" x14ac:dyDescent="0.2">
      <c r="Y19770" s="97"/>
    </row>
    <row r="19771" spans="25:25" x14ac:dyDescent="0.2">
      <c r="Y19771" s="97"/>
    </row>
    <row r="19772" spans="25:25" x14ac:dyDescent="0.2">
      <c r="Y19772" s="97"/>
    </row>
    <row r="19773" spans="25:25" x14ac:dyDescent="0.2">
      <c r="Y19773" s="97"/>
    </row>
    <row r="19774" spans="25:25" x14ac:dyDescent="0.2">
      <c r="Y19774" s="97"/>
    </row>
    <row r="19775" spans="25:25" x14ac:dyDescent="0.2">
      <c r="Y19775" s="97"/>
    </row>
    <row r="19776" spans="25:25" x14ac:dyDescent="0.2">
      <c r="Y19776" s="97"/>
    </row>
    <row r="19777" spans="25:25" x14ac:dyDescent="0.2">
      <c r="Y19777" s="97"/>
    </row>
    <row r="19778" spans="25:25" x14ac:dyDescent="0.2">
      <c r="Y19778" s="97"/>
    </row>
    <row r="19779" spans="25:25" x14ac:dyDescent="0.2">
      <c r="Y19779" s="97"/>
    </row>
    <row r="19780" spans="25:25" x14ac:dyDescent="0.2">
      <c r="Y19780" s="97"/>
    </row>
    <row r="19781" spans="25:25" x14ac:dyDescent="0.2">
      <c r="Y19781" s="97"/>
    </row>
    <row r="19782" spans="25:25" x14ac:dyDescent="0.2">
      <c r="Y19782" s="97"/>
    </row>
    <row r="19783" spans="25:25" x14ac:dyDescent="0.2">
      <c r="Y19783" s="97"/>
    </row>
    <row r="19784" spans="25:25" x14ac:dyDescent="0.2">
      <c r="Y19784" s="97"/>
    </row>
    <row r="19785" spans="25:25" x14ac:dyDescent="0.2">
      <c r="Y19785" s="97"/>
    </row>
    <row r="19786" spans="25:25" x14ac:dyDescent="0.2">
      <c r="Y19786" s="97"/>
    </row>
    <row r="19787" spans="25:25" x14ac:dyDescent="0.2">
      <c r="Y19787" s="97"/>
    </row>
    <row r="19788" spans="25:25" x14ac:dyDescent="0.2">
      <c r="Y19788" s="97"/>
    </row>
    <row r="19789" spans="25:25" x14ac:dyDescent="0.2">
      <c r="Y19789" s="97"/>
    </row>
    <row r="19790" spans="25:25" x14ac:dyDescent="0.2">
      <c r="Y19790" s="97"/>
    </row>
    <row r="19791" spans="25:25" x14ac:dyDescent="0.2">
      <c r="Y19791" s="97"/>
    </row>
    <row r="19792" spans="25:25" x14ac:dyDescent="0.2">
      <c r="Y19792" s="97"/>
    </row>
    <row r="19793" spans="25:25" x14ac:dyDescent="0.2">
      <c r="Y19793" s="97"/>
    </row>
    <row r="19794" spans="25:25" x14ac:dyDescent="0.2">
      <c r="Y19794" s="97"/>
    </row>
    <row r="19795" spans="25:25" x14ac:dyDescent="0.2">
      <c r="Y19795" s="97"/>
    </row>
    <row r="19796" spans="25:25" x14ac:dyDescent="0.2">
      <c r="Y19796" s="97"/>
    </row>
    <row r="19797" spans="25:25" x14ac:dyDescent="0.2">
      <c r="Y19797" s="97"/>
    </row>
    <row r="19798" spans="25:25" x14ac:dyDescent="0.2">
      <c r="Y19798" s="97"/>
    </row>
    <row r="19799" spans="25:25" x14ac:dyDescent="0.2">
      <c r="Y19799" s="97"/>
    </row>
    <row r="19800" spans="25:25" x14ac:dyDescent="0.2">
      <c r="Y19800" s="97"/>
    </row>
    <row r="19801" spans="25:25" x14ac:dyDescent="0.2">
      <c r="Y19801" s="97"/>
    </row>
    <row r="19802" spans="25:25" x14ac:dyDescent="0.2">
      <c r="Y19802" s="97"/>
    </row>
    <row r="19803" spans="25:25" x14ac:dyDescent="0.2">
      <c r="Y19803" s="97"/>
    </row>
    <row r="19804" spans="25:25" x14ac:dyDescent="0.2">
      <c r="Y19804" s="97"/>
    </row>
    <row r="19805" spans="25:25" x14ac:dyDescent="0.2">
      <c r="Y19805" s="97"/>
    </row>
    <row r="19806" spans="25:25" x14ac:dyDescent="0.2">
      <c r="Y19806" s="97"/>
    </row>
    <row r="19807" spans="25:25" x14ac:dyDescent="0.2">
      <c r="Y19807" s="97"/>
    </row>
    <row r="19808" spans="25:25" x14ac:dyDescent="0.2">
      <c r="Y19808" s="97"/>
    </row>
    <row r="19809" spans="25:25" x14ac:dyDescent="0.2">
      <c r="Y19809" s="97"/>
    </row>
    <row r="19810" spans="25:25" x14ac:dyDescent="0.2">
      <c r="Y19810" s="97"/>
    </row>
    <row r="19811" spans="25:25" x14ac:dyDescent="0.2">
      <c r="Y19811" s="97"/>
    </row>
    <row r="19812" spans="25:25" x14ac:dyDescent="0.2">
      <c r="Y19812" s="97"/>
    </row>
    <row r="19813" spans="25:25" x14ac:dyDescent="0.2">
      <c r="Y19813" s="97"/>
    </row>
    <row r="19814" spans="25:25" x14ac:dyDescent="0.2">
      <c r="Y19814" s="97"/>
    </row>
    <row r="19815" spans="25:25" x14ac:dyDescent="0.2">
      <c r="Y19815" s="97"/>
    </row>
    <row r="19816" spans="25:25" x14ac:dyDescent="0.2">
      <c r="Y19816" s="97"/>
    </row>
    <row r="19817" spans="25:25" x14ac:dyDescent="0.2">
      <c r="Y19817" s="97"/>
    </row>
    <row r="19818" spans="25:25" x14ac:dyDescent="0.2">
      <c r="Y19818" s="97"/>
    </row>
    <row r="19819" spans="25:25" x14ac:dyDescent="0.2">
      <c r="Y19819" s="97"/>
    </row>
    <row r="19820" spans="25:25" x14ac:dyDescent="0.2">
      <c r="Y19820" s="97"/>
    </row>
    <row r="19821" spans="25:25" x14ac:dyDescent="0.2">
      <c r="Y19821" s="97"/>
    </row>
    <row r="19822" spans="25:25" x14ac:dyDescent="0.2">
      <c r="Y19822" s="97"/>
    </row>
    <row r="19823" spans="25:25" x14ac:dyDescent="0.2">
      <c r="Y19823" s="97"/>
    </row>
    <row r="19824" spans="25:25" x14ac:dyDescent="0.2">
      <c r="Y19824" s="97"/>
    </row>
    <row r="19825" spans="25:25" x14ac:dyDescent="0.2">
      <c r="Y19825" s="97"/>
    </row>
    <row r="19826" spans="25:25" x14ac:dyDescent="0.2">
      <c r="Y19826" s="97"/>
    </row>
    <row r="19827" spans="25:25" x14ac:dyDescent="0.2">
      <c r="Y19827" s="97"/>
    </row>
    <row r="19828" spans="25:25" x14ac:dyDescent="0.2">
      <c r="Y19828" s="97"/>
    </row>
    <row r="19829" spans="25:25" x14ac:dyDescent="0.2">
      <c r="Y19829" s="97"/>
    </row>
    <row r="19830" spans="25:25" x14ac:dyDescent="0.2">
      <c r="Y19830" s="97"/>
    </row>
    <row r="19831" spans="25:25" x14ac:dyDescent="0.2">
      <c r="Y19831" s="97"/>
    </row>
    <row r="19832" spans="25:25" x14ac:dyDescent="0.2">
      <c r="Y19832" s="97"/>
    </row>
    <row r="19833" spans="25:25" x14ac:dyDescent="0.2">
      <c r="Y19833" s="97"/>
    </row>
    <row r="19834" spans="25:25" x14ac:dyDescent="0.2">
      <c r="Y19834" s="97"/>
    </row>
    <row r="19835" spans="25:25" x14ac:dyDescent="0.2">
      <c r="Y19835" s="97"/>
    </row>
    <row r="19836" spans="25:25" x14ac:dyDescent="0.2">
      <c r="Y19836" s="97"/>
    </row>
    <row r="19837" spans="25:25" x14ac:dyDescent="0.2">
      <c r="Y19837" s="97"/>
    </row>
    <row r="19838" spans="25:25" x14ac:dyDescent="0.2">
      <c r="Y19838" s="97"/>
    </row>
    <row r="19839" spans="25:25" x14ac:dyDescent="0.2">
      <c r="Y19839" s="97"/>
    </row>
    <row r="19840" spans="25:25" x14ac:dyDescent="0.2">
      <c r="Y19840" s="97"/>
    </row>
    <row r="19841" spans="25:25" x14ac:dyDescent="0.2">
      <c r="Y19841" s="97"/>
    </row>
    <row r="19842" spans="25:25" x14ac:dyDescent="0.2">
      <c r="Y19842" s="97"/>
    </row>
    <row r="19843" spans="25:25" x14ac:dyDescent="0.2">
      <c r="Y19843" s="97"/>
    </row>
    <row r="19844" spans="25:25" x14ac:dyDescent="0.2">
      <c r="Y19844" s="97"/>
    </row>
    <row r="19845" spans="25:25" x14ac:dyDescent="0.2">
      <c r="Y19845" s="97"/>
    </row>
    <row r="19846" spans="25:25" x14ac:dyDescent="0.2">
      <c r="Y19846" s="97"/>
    </row>
    <row r="19847" spans="25:25" x14ac:dyDescent="0.2">
      <c r="Y19847" s="97"/>
    </row>
    <row r="19848" spans="25:25" x14ac:dyDescent="0.2">
      <c r="Y19848" s="97"/>
    </row>
    <row r="19849" spans="25:25" x14ac:dyDescent="0.2">
      <c r="Y19849" s="97"/>
    </row>
    <row r="19850" spans="25:25" x14ac:dyDescent="0.2">
      <c r="Y19850" s="97"/>
    </row>
    <row r="19851" spans="25:25" x14ac:dyDescent="0.2">
      <c r="Y19851" s="97"/>
    </row>
    <row r="19852" spans="25:25" x14ac:dyDescent="0.2">
      <c r="Y19852" s="97"/>
    </row>
    <row r="19853" spans="25:25" x14ac:dyDescent="0.2">
      <c r="Y19853" s="97"/>
    </row>
    <row r="19854" spans="25:25" x14ac:dyDescent="0.2">
      <c r="Y19854" s="97"/>
    </row>
    <row r="19855" spans="25:25" x14ac:dyDescent="0.2">
      <c r="Y19855" s="97"/>
    </row>
    <row r="19856" spans="25:25" x14ac:dyDescent="0.2">
      <c r="Y19856" s="97"/>
    </row>
    <row r="19857" spans="25:25" x14ac:dyDescent="0.2">
      <c r="Y19857" s="97"/>
    </row>
    <row r="19858" spans="25:25" x14ac:dyDescent="0.2">
      <c r="Y19858" s="97"/>
    </row>
    <row r="19859" spans="25:25" x14ac:dyDescent="0.2">
      <c r="Y19859" s="97"/>
    </row>
    <row r="19860" spans="25:25" x14ac:dyDescent="0.2">
      <c r="Y19860" s="97"/>
    </row>
    <row r="19861" spans="25:25" x14ac:dyDescent="0.2">
      <c r="Y19861" s="97"/>
    </row>
    <row r="19862" spans="25:25" x14ac:dyDescent="0.2">
      <c r="Y19862" s="97"/>
    </row>
    <row r="19863" spans="25:25" x14ac:dyDescent="0.2">
      <c r="Y19863" s="97"/>
    </row>
    <row r="19864" spans="25:25" x14ac:dyDescent="0.2">
      <c r="Y19864" s="97"/>
    </row>
    <row r="19865" spans="25:25" x14ac:dyDescent="0.2">
      <c r="Y19865" s="97"/>
    </row>
    <row r="19866" spans="25:25" x14ac:dyDescent="0.2">
      <c r="Y19866" s="97"/>
    </row>
    <row r="19867" spans="25:25" x14ac:dyDescent="0.2">
      <c r="Y19867" s="97"/>
    </row>
    <row r="19868" spans="25:25" x14ac:dyDescent="0.2">
      <c r="Y19868" s="97"/>
    </row>
    <row r="19869" spans="25:25" x14ac:dyDescent="0.2">
      <c r="Y19869" s="97"/>
    </row>
    <row r="19870" spans="25:25" x14ac:dyDescent="0.2">
      <c r="Y19870" s="97"/>
    </row>
    <row r="19871" spans="25:25" x14ac:dyDescent="0.2">
      <c r="Y19871" s="97"/>
    </row>
    <row r="19872" spans="25:25" x14ac:dyDescent="0.2">
      <c r="Y19872" s="97"/>
    </row>
    <row r="19873" spans="25:25" x14ac:dyDescent="0.2">
      <c r="Y19873" s="97"/>
    </row>
    <row r="19874" spans="25:25" x14ac:dyDescent="0.2">
      <c r="Y19874" s="97"/>
    </row>
    <row r="19875" spans="25:25" x14ac:dyDescent="0.2">
      <c r="Y19875" s="97"/>
    </row>
    <row r="19876" spans="25:25" x14ac:dyDescent="0.2">
      <c r="Y19876" s="97"/>
    </row>
    <row r="19877" spans="25:25" x14ac:dyDescent="0.2">
      <c r="Y19877" s="97"/>
    </row>
    <row r="19878" spans="25:25" x14ac:dyDescent="0.2">
      <c r="Y19878" s="97"/>
    </row>
    <row r="19879" spans="25:25" x14ac:dyDescent="0.2">
      <c r="Y19879" s="97"/>
    </row>
    <row r="19880" spans="25:25" x14ac:dyDescent="0.2">
      <c r="Y19880" s="97"/>
    </row>
    <row r="19881" spans="25:25" x14ac:dyDescent="0.2">
      <c r="Y19881" s="97"/>
    </row>
    <row r="19882" spans="25:25" x14ac:dyDescent="0.2">
      <c r="Y19882" s="97"/>
    </row>
    <row r="19883" spans="25:25" x14ac:dyDescent="0.2">
      <c r="Y19883" s="97"/>
    </row>
    <row r="19884" spans="25:25" x14ac:dyDescent="0.2">
      <c r="Y19884" s="97"/>
    </row>
    <row r="19885" spans="25:25" x14ac:dyDescent="0.2">
      <c r="Y19885" s="97"/>
    </row>
    <row r="19886" spans="25:25" x14ac:dyDescent="0.2">
      <c r="Y19886" s="97"/>
    </row>
    <row r="19887" spans="25:25" x14ac:dyDescent="0.2">
      <c r="Y19887" s="97"/>
    </row>
    <row r="19888" spans="25:25" x14ac:dyDescent="0.2">
      <c r="Y19888" s="97"/>
    </row>
    <row r="19889" spans="25:25" x14ac:dyDescent="0.2">
      <c r="Y19889" s="97"/>
    </row>
    <row r="19890" spans="25:25" x14ac:dyDescent="0.2">
      <c r="Y19890" s="97"/>
    </row>
    <row r="19891" spans="25:25" x14ac:dyDescent="0.2">
      <c r="Y19891" s="97"/>
    </row>
    <row r="19892" spans="25:25" x14ac:dyDescent="0.2">
      <c r="Y19892" s="97"/>
    </row>
    <row r="19893" spans="25:25" x14ac:dyDescent="0.2">
      <c r="Y19893" s="97"/>
    </row>
    <row r="19894" spans="25:25" x14ac:dyDescent="0.2">
      <c r="Y19894" s="97"/>
    </row>
    <row r="19895" spans="25:25" x14ac:dyDescent="0.2">
      <c r="Y19895" s="97"/>
    </row>
    <row r="19896" spans="25:25" x14ac:dyDescent="0.2">
      <c r="Y19896" s="97"/>
    </row>
    <row r="19897" spans="25:25" x14ac:dyDescent="0.2">
      <c r="Y19897" s="97"/>
    </row>
    <row r="19898" spans="25:25" x14ac:dyDescent="0.2">
      <c r="Y19898" s="97"/>
    </row>
    <row r="19899" spans="25:25" x14ac:dyDescent="0.2">
      <c r="Y19899" s="97"/>
    </row>
    <row r="19900" spans="25:25" x14ac:dyDescent="0.2">
      <c r="Y19900" s="97"/>
    </row>
    <row r="19901" spans="25:25" x14ac:dyDescent="0.2">
      <c r="Y19901" s="97"/>
    </row>
    <row r="19902" spans="25:25" x14ac:dyDescent="0.2">
      <c r="Y19902" s="97"/>
    </row>
    <row r="19903" spans="25:25" x14ac:dyDescent="0.2">
      <c r="Y19903" s="97"/>
    </row>
    <row r="19904" spans="25:25" x14ac:dyDescent="0.2">
      <c r="Y19904" s="97"/>
    </row>
    <row r="19905" spans="25:25" x14ac:dyDescent="0.2">
      <c r="Y19905" s="97"/>
    </row>
    <row r="19906" spans="25:25" x14ac:dyDescent="0.2">
      <c r="Y19906" s="97"/>
    </row>
    <row r="19907" spans="25:25" x14ac:dyDescent="0.2">
      <c r="Y19907" s="97"/>
    </row>
    <row r="19908" spans="25:25" x14ac:dyDescent="0.2">
      <c r="Y19908" s="97"/>
    </row>
    <row r="19909" spans="25:25" x14ac:dyDescent="0.2">
      <c r="Y19909" s="97"/>
    </row>
    <row r="19910" spans="25:25" x14ac:dyDescent="0.2">
      <c r="Y19910" s="97"/>
    </row>
    <row r="19911" spans="25:25" x14ac:dyDescent="0.2">
      <c r="Y19911" s="97"/>
    </row>
    <row r="19912" spans="25:25" x14ac:dyDescent="0.2">
      <c r="Y19912" s="97"/>
    </row>
    <row r="19913" spans="25:25" x14ac:dyDescent="0.2">
      <c r="Y19913" s="97"/>
    </row>
    <row r="19914" spans="25:25" x14ac:dyDescent="0.2">
      <c r="Y19914" s="97"/>
    </row>
    <row r="19915" spans="25:25" x14ac:dyDescent="0.2">
      <c r="Y19915" s="97"/>
    </row>
    <row r="19916" spans="25:25" x14ac:dyDescent="0.2">
      <c r="Y19916" s="97"/>
    </row>
    <row r="19917" spans="25:25" x14ac:dyDescent="0.2">
      <c r="Y19917" s="97"/>
    </row>
    <row r="19918" spans="25:25" x14ac:dyDescent="0.2">
      <c r="Y19918" s="97"/>
    </row>
    <row r="19919" spans="25:25" x14ac:dyDescent="0.2">
      <c r="Y19919" s="97"/>
    </row>
    <row r="19920" spans="25:25" x14ac:dyDescent="0.2">
      <c r="Y19920" s="97"/>
    </row>
    <row r="19921" spans="25:25" x14ac:dyDescent="0.2">
      <c r="Y19921" s="97"/>
    </row>
    <row r="19922" spans="25:25" x14ac:dyDescent="0.2">
      <c r="Y19922" s="97"/>
    </row>
    <row r="19923" spans="25:25" x14ac:dyDescent="0.2">
      <c r="Y19923" s="97"/>
    </row>
    <row r="19924" spans="25:25" x14ac:dyDescent="0.2">
      <c r="Y19924" s="97"/>
    </row>
    <row r="19925" spans="25:25" x14ac:dyDescent="0.2">
      <c r="Y19925" s="97"/>
    </row>
    <row r="19926" spans="25:25" x14ac:dyDescent="0.2">
      <c r="Y19926" s="97"/>
    </row>
    <row r="19927" spans="25:25" x14ac:dyDescent="0.2">
      <c r="Y19927" s="97"/>
    </row>
    <row r="19928" spans="25:25" x14ac:dyDescent="0.2">
      <c r="Y19928" s="97"/>
    </row>
    <row r="19929" spans="25:25" x14ac:dyDescent="0.2">
      <c r="Y19929" s="97"/>
    </row>
    <row r="19930" spans="25:25" x14ac:dyDescent="0.2">
      <c r="Y19930" s="97"/>
    </row>
    <row r="19931" spans="25:25" x14ac:dyDescent="0.2">
      <c r="Y19931" s="97"/>
    </row>
    <row r="19932" spans="25:25" x14ac:dyDescent="0.2">
      <c r="Y19932" s="97"/>
    </row>
    <row r="19933" spans="25:25" x14ac:dyDescent="0.2">
      <c r="Y19933" s="97"/>
    </row>
    <row r="19934" spans="25:25" x14ac:dyDescent="0.2">
      <c r="Y19934" s="97"/>
    </row>
    <row r="19935" spans="25:25" x14ac:dyDescent="0.2">
      <c r="Y19935" s="97"/>
    </row>
    <row r="19936" spans="25:25" x14ac:dyDescent="0.2">
      <c r="Y19936" s="97"/>
    </row>
    <row r="19937" spans="25:25" x14ac:dyDescent="0.2">
      <c r="Y19937" s="97"/>
    </row>
    <row r="19938" spans="25:25" x14ac:dyDescent="0.2">
      <c r="Y19938" s="97"/>
    </row>
    <row r="19939" spans="25:25" x14ac:dyDescent="0.2">
      <c r="Y19939" s="97"/>
    </row>
    <row r="19940" spans="25:25" x14ac:dyDescent="0.2">
      <c r="Y19940" s="97"/>
    </row>
    <row r="19941" spans="25:25" x14ac:dyDescent="0.2">
      <c r="Y19941" s="97"/>
    </row>
    <row r="19942" spans="25:25" x14ac:dyDescent="0.2">
      <c r="Y19942" s="97"/>
    </row>
    <row r="19943" spans="25:25" x14ac:dyDescent="0.2">
      <c r="Y19943" s="97"/>
    </row>
    <row r="19944" spans="25:25" x14ac:dyDescent="0.2">
      <c r="Y19944" s="97"/>
    </row>
    <row r="19945" spans="25:25" x14ac:dyDescent="0.2">
      <c r="Y19945" s="97"/>
    </row>
    <row r="19946" spans="25:25" x14ac:dyDescent="0.2">
      <c r="Y19946" s="97"/>
    </row>
    <row r="19947" spans="25:25" x14ac:dyDescent="0.2">
      <c r="Y19947" s="97"/>
    </row>
    <row r="19948" spans="25:25" x14ac:dyDescent="0.2">
      <c r="Y19948" s="97"/>
    </row>
    <row r="19949" spans="25:25" x14ac:dyDescent="0.2">
      <c r="Y19949" s="97"/>
    </row>
    <row r="19950" spans="25:25" x14ac:dyDescent="0.2">
      <c r="Y19950" s="97"/>
    </row>
    <row r="19951" spans="25:25" x14ac:dyDescent="0.2">
      <c r="Y19951" s="97"/>
    </row>
    <row r="19952" spans="25:25" x14ac:dyDescent="0.2">
      <c r="Y19952" s="97"/>
    </row>
    <row r="19953" spans="25:25" x14ac:dyDescent="0.2">
      <c r="Y19953" s="97"/>
    </row>
    <row r="19954" spans="25:25" x14ac:dyDescent="0.2">
      <c r="Y19954" s="97"/>
    </row>
    <row r="19955" spans="25:25" x14ac:dyDescent="0.2">
      <c r="Y19955" s="97"/>
    </row>
    <row r="19956" spans="25:25" x14ac:dyDescent="0.2">
      <c r="Y19956" s="97"/>
    </row>
    <row r="19957" spans="25:25" x14ac:dyDescent="0.2">
      <c r="Y19957" s="97"/>
    </row>
    <row r="19958" spans="25:25" x14ac:dyDescent="0.2">
      <c r="Y19958" s="97"/>
    </row>
    <row r="19959" spans="25:25" x14ac:dyDescent="0.2">
      <c r="Y19959" s="97"/>
    </row>
    <row r="19960" spans="25:25" x14ac:dyDescent="0.2">
      <c r="Y19960" s="97"/>
    </row>
    <row r="19961" spans="25:25" x14ac:dyDescent="0.2">
      <c r="Y19961" s="97"/>
    </row>
    <row r="19962" spans="25:25" x14ac:dyDescent="0.2">
      <c r="Y19962" s="97"/>
    </row>
    <row r="19963" spans="25:25" x14ac:dyDescent="0.2">
      <c r="Y19963" s="97"/>
    </row>
    <row r="19964" spans="25:25" x14ac:dyDescent="0.2">
      <c r="Y19964" s="97"/>
    </row>
    <row r="19965" spans="25:25" x14ac:dyDescent="0.2">
      <c r="Y19965" s="97"/>
    </row>
    <row r="19966" spans="25:25" x14ac:dyDescent="0.2">
      <c r="Y19966" s="97"/>
    </row>
    <row r="19967" spans="25:25" x14ac:dyDescent="0.2">
      <c r="Y19967" s="97"/>
    </row>
    <row r="19968" spans="25:25" x14ac:dyDescent="0.2">
      <c r="Y19968" s="97"/>
    </row>
    <row r="19969" spans="25:25" x14ac:dyDescent="0.2">
      <c r="Y19969" s="97"/>
    </row>
    <row r="19970" spans="25:25" x14ac:dyDescent="0.2">
      <c r="Y19970" s="97"/>
    </row>
    <row r="19971" spans="25:25" x14ac:dyDescent="0.2">
      <c r="Y19971" s="97"/>
    </row>
    <row r="19972" spans="25:25" x14ac:dyDescent="0.2">
      <c r="Y19972" s="97"/>
    </row>
    <row r="19973" spans="25:25" x14ac:dyDescent="0.2">
      <c r="Y19973" s="97"/>
    </row>
    <row r="19974" spans="25:25" x14ac:dyDescent="0.2">
      <c r="Y19974" s="97"/>
    </row>
    <row r="19975" spans="25:25" x14ac:dyDescent="0.2">
      <c r="Y19975" s="97"/>
    </row>
    <row r="19976" spans="25:25" x14ac:dyDescent="0.2">
      <c r="Y19976" s="97"/>
    </row>
    <row r="19977" spans="25:25" x14ac:dyDescent="0.2">
      <c r="Y19977" s="97"/>
    </row>
    <row r="19978" spans="25:25" x14ac:dyDescent="0.2">
      <c r="Y19978" s="97"/>
    </row>
    <row r="19979" spans="25:25" x14ac:dyDescent="0.2">
      <c r="Y19979" s="97"/>
    </row>
    <row r="19980" spans="25:25" x14ac:dyDescent="0.2">
      <c r="Y19980" s="97"/>
    </row>
    <row r="19981" spans="25:25" x14ac:dyDescent="0.2">
      <c r="Y19981" s="97"/>
    </row>
    <row r="19982" spans="25:25" x14ac:dyDescent="0.2">
      <c r="Y19982" s="97"/>
    </row>
    <row r="19983" spans="25:25" x14ac:dyDescent="0.2">
      <c r="Y19983" s="97"/>
    </row>
    <row r="19984" spans="25:25" x14ac:dyDescent="0.2">
      <c r="Y19984" s="97"/>
    </row>
    <row r="19985" spans="25:25" x14ac:dyDescent="0.2">
      <c r="Y19985" s="97"/>
    </row>
    <row r="19986" spans="25:25" x14ac:dyDescent="0.2">
      <c r="Y19986" s="97"/>
    </row>
    <row r="19987" spans="25:25" x14ac:dyDescent="0.2">
      <c r="Y19987" s="97"/>
    </row>
    <row r="19988" spans="25:25" x14ac:dyDescent="0.2">
      <c r="Y19988" s="97"/>
    </row>
    <row r="19989" spans="25:25" x14ac:dyDescent="0.2">
      <c r="Y19989" s="97"/>
    </row>
    <row r="19990" spans="25:25" x14ac:dyDescent="0.2">
      <c r="Y19990" s="97"/>
    </row>
    <row r="19991" spans="25:25" x14ac:dyDescent="0.2">
      <c r="Y19991" s="97"/>
    </row>
    <row r="19992" spans="25:25" x14ac:dyDescent="0.2">
      <c r="Y19992" s="97"/>
    </row>
    <row r="19993" spans="25:25" x14ac:dyDescent="0.2">
      <c r="Y19993" s="97"/>
    </row>
    <row r="19994" spans="25:25" x14ac:dyDescent="0.2">
      <c r="Y19994" s="97"/>
    </row>
    <row r="19995" spans="25:25" x14ac:dyDescent="0.2">
      <c r="Y19995" s="97"/>
    </row>
    <row r="19996" spans="25:25" x14ac:dyDescent="0.2">
      <c r="Y19996" s="97"/>
    </row>
    <row r="19997" spans="25:25" x14ac:dyDescent="0.2">
      <c r="Y19997" s="97"/>
    </row>
    <row r="19998" spans="25:25" x14ac:dyDescent="0.2">
      <c r="Y19998" s="97"/>
    </row>
    <row r="19999" spans="25:25" x14ac:dyDescent="0.2">
      <c r="Y19999" s="97"/>
    </row>
    <row r="20000" spans="25:25" x14ac:dyDescent="0.2">
      <c r="Y20000" s="97"/>
    </row>
    <row r="20001" spans="25:25" x14ac:dyDescent="0.2">
      <c r="Y20001" s="97"/>
    </row>
    <row r="20002" spans="25:25" x14ac:dyDescent="0.2">
      <c r="Y20002" s="97"/>
    </row>
    <row r="20003" spans="25:25" x14ac:dyDescent="0.2">
      <c r="Y20003" s="97"/>
    </row>
    <row r="20004" spans="25:25" x14ac:dyDescent="0.2">
      <c r="Y20004" s="97"/>
    </row>
    <row r="20005" spans="25:25" x14ac:dyDescent="0.2">
      <c r="Y20005" s="97"/>
    </row>
    <row r="20006" spans="25:25" x14ac:dyDescent="0.2">
      <c r="Y20006" s="97"/>
    </row>
    <row r="20007" spans="25:25" x14ac:dyDescent="0.2">
      <c r="Y20007" s="97"/>
    </row>
    <row r="20008" spans="25:25" x14ac:dyDescent="0.2">
      <c r="Y20008" s="97"/>
    </row>
    <row r="20009" spans="25:25" x14ac:dyDescent="0.2">
      <c r="Y20009" s="97"/>
    </row>
    <row r="20010" spans="25:25" x14ac:dyDescent="0.2">
      <c r="Y20010" s="97"/>
    </row>
    <row r="20011" spans="25:25" x14ac:dyDescent="0.2">
      <c r="Y20011" s="97"/>
    </row>
    <row r="20012" spans="25:25" x14ac:dyDescent="0.2">
      <c r="Y20012" s="97"/>
    </row>
    <row r="20013" spans="25:25" x14ac:dyDescent="0.2">
      <c r="Y20013" s="97"/>
    </row>
    <row r="20014" spans="25:25" x14ac:dyDescent="0.2">
      <c r="Y20014" s="97"/>
    </row>
    <row r="20015" spans="25:25" x14ac:dyDescent="0.2">
      <c r="Y20015" s="97"/>
    </row>
    <row r="20016" spans="25:25" x14ac:dyDescent="0.2">
      <c r="Y20016" s="97"/>
    </row>
    <row r="20017" spans="25:25" x14ac:dyDescent="0.2">
      <c r="Y20017" s="97"/>
    </row>
    <row r="20018" spans="25:25" x14ac:dyDescent="0.2">
      <c r="Y20018" s="97"/>
    </row>
    <row r="20019" spans="25:25" x14ac:dyDescent="0.2">
      <c r="Y20019" s="97"/>
    </row>
    <row r="20020" spans="25:25" x14ac:dyDescent="0.2">
      <c r="Y20020" s="97"/>
    </row>
    <row r="20021" spans="25:25" x14ac:dyDescent="0.2">
      <c r="Y20021" s="97"/>
    </row>
    <row r="20022" spans="25:25" x14ac:dyDescent="0.2">
      <c r="Y20022" s="97"/>
    </row>
    <row r="20023" spans="25:25" x14ac:dyDescent="0.2">
      <c r="Y20023" s="97"/>
    </row>
    <row r="20024" spans="25:25" x14ac:dyDescent="0.2">
      <c r="Y20024" s="97"/>
    </row>
    <row r="20025" spans="25:25" x14ac:dyDescent="0.2">
      <c r="Y20025" s="97"/>
    </row>
    <row r="20026" spans="25:25" x14ac:dyDescent="0.2">
      <c r="Y20026" s="97"/>
    </row>
    <row r="20027" spans="25:25" x14ac:dyDescent="0.2">
      <c r="Y20027" s="97"/>
    </row>
    <row r="20028" spans="25:25" x14ac:dyDescent="0.2">
      <c r="Y20028" s="97"/>
    </row>
    <row r="20029" spans="25:25" x14ac:dyDescent="0.2">
      <c r="Y20029" s="97"/>
    </row>
    <row r="20030" spans="25:25" x14ac:dyDescent="0.2">
      <c r="Y20030" s="97"/>
    </row>
    <row r="20031" spans="25:25" x14ac:dyDescent="0.2">
      <c r="Y20031" s="97"/>
    </row>
    <row r="20032" spans="25:25" x14ac:dyDescent="0.2">
      <c r="Y20032" s="97"/>
    </row>
    <row r="20033" spans="25:25" x14ac:dyDescent="0.2">
      <c r="Y20033" s="97"/>
    </row>
    <row r="20034" spans="25:25" x14ac:dyDescent="0.2">
      <c r="Y20034" s="97"/>
    </row>
    <row r="20035" spans="25:25" x14ac:dyDescent="0.2">
      <c r="Y20035" s="97"/>
    </row>
    <row r="20036" spans="25:25" x14ac:dyDescent="0.2">
      <c r="Y20036" s="97"/>
    </row>
    <row r="20037" spans="25:25" x14ac:dyDescent="0.2">
      <c r="Y20037" s="97"/>
    </row>
    <row r="20038" spans="25:25" x14ac:dyDescent="0.2">
      <c r="Y20038" s="97"/>
    </row>
    <row r="20039" spans="25:25" x14ac:dyDescent="0.2">
      <c r="Y20039" s="97"/>
    </row>
    <row r="20040" spans="25:25" x14ac:dyDescent="0.2">
      <c r="Y20040" s="97"/>
    </row>
    <row r="20041" spans="25:25" x14ac:dyDescent="0.2">
      <c r="Y20041" s="97"/>
    </row>
    <row r="20042" spans="25:25" x14ac:dyDescent="0.2">
      <c r="Y20042" s="97"/>
    </row>
    <row r="20043" spans="25:25" x14ac:dyDescent="0.2">
      <c r="Y20043" s="97"/>
    </row>
    <row r="20044" spans="25:25" x14ac:dyDescent="0.2">
      <c r="Y20044" s="97"/>
    </row>
    <row r="20045" spans="25:25" x14ac:dyDescent="0.2">
      <c r="Y20045" s="97"/>
    </row>
    <row r="20046" spans="25:25" x14ac:dyDescent="0.2">
      <c r="Y20046" s="97"/>
    </row>
    <row r="20047" spans="25:25" x14ac:dyDescent="0.2">
      <c r="Y20047" s="97"/>
    </row>
    <row r="20048" spans="25:25" x14ac:dyDescent="0.2">
      <c r="Y20048" s="97"/>
    </row>
    <row r="20049" spans="25:25" x14ac:dyDescent="0.2">
      <c r="Y20049" s="97"/>
    </row>
    <row r="20050" spans="25:25" x14ac:dyDescent="0.2">
      <c r="Y20050" s="97"/>
    </row>
    <row r="20051" spans="25:25" x14ac:dyDescent="0.2">
      <c r="Y20051" s="97"/>
    </row>
    <row r="20052" spans="25:25" x14ac:dyDescent="0.2">
      <c r="Y20052" s="97"/>
    </row>
    <row r="20053" spans="25:25" x14ac:dyDescent="0.2">
      <c r="Y20053" s="97"/>
    </row>
    <row r="20054" spans="25:25" x14ac:dyDescent="0.2">
      <c r="Y20054" s="97"/>
    </row>
    <row r="20055" spans="25:25" x14ac:dyDescent="0.2">
      <c r="Y20055" s="97"/>
    </row>
    <row r="20056" spans="25:25" x14ac:dyDescent="0.2">
      <c r="Y20056" s="97"/>
    </row>
    <row r="20057" spans="25:25" x14ac:dyDescent="0.2">
      <c r="Y20057" s="97"/>
    </row>
    <row r="20058" spans="25:25" x14ac:dyDescent="0.2">
      <c r="Y20058" s="97"/>
    </row>
    <row r="20059" spans="25:25" x14ac:dyDescent="0.2">
      <c r="Y20059" s="97"/>
    </row>
    <row r="20060" spans="25:25" x14ac:dyDescent="0.2">
      <c r="Y20060" s="97"/>
    </row>
    <row r="20061" spans="25:25" x14ac:dyDescent="0.2">
      <c r="Y20061" s="97"/>
    </row>
    <row r="20062" spans="25:25" x14ac:dyDescent="0.2">
      <c r="Y20062" s="97"/>
    </row>
    <row r="20063" spans="25:25" x14ac:dyDescent="0.2">
      <c r="Y20063" s="97"/>
    </row>
    <row r="20064" spans="25:25" x14ac:dyDescent="0.2">
      <c r="Y20064" s="97"/>
    </row>
    <row r="20065" spans="25:25" x14ac:dyDescent="0.2">
      <c r="Y20065" s="97"/>
    </row>
    <row r="20066" spans="25:25" x14ac:dyDescent="0.2">
      <c r="Y20066" s="97"/>
    </row>
    <row r="20067" spans="25:25" x14ac:dyDescent="0.2">
      <c r="Y20067" s="97"/>
    </row>
    <row r="20068" spans="25:25" x14ac:dyDescent="0.2">
      <c r="Y20068" s="97"/>
    </row>
    <row r="20069" spans="25:25" x14ac:dyDescent="0.2">
      <c r="Y20069" s="97"/>
    </row>
    <row r="20070" spans="25:25" x14ac:dyDescent="0.2">
      <c r="Y20070" s="97"/>
    </row>
    <row r="20071" spans="25:25" x14ac:dyDescent="0.2">
      <c r="Y20071" s="97"/>
    </row>
    <row r="20072" spans="25:25" x14ac:dyDescent="0.2">
      <c r="Y20072" s="97"/>
    </row>
    <row r="20073" spans="25:25" x14ac:dyDescent="0.2">
      <c r="Y20073" s="97"/>
    </row>
    <row r="20074" spans="25:25" x14ac:dyDescent="0.2">
      <c r="Y20074" s="97"/>
    </row>
    <row r="20075" spans="25:25" x14ac:dyDescent="0.2">
      <c r="Y20075" s="97"/>
    </row>
    <row r="20076" spans="25:25" x14ac:dyDescent="0.2">
      <c r="Y20076" s="97"/>
    </row>
    <row r="20077" spans="25:25" x14ac:dyDescent="0.2">
      <c r="Y20077" s="97"/>
    </row>
    <row r="20078" spans="25:25" x14ac:dyDescent="0.2">
      <c r="Y20078" s="97"/>
    </row>
    <row r="20079" spans="25:25" x14ac:dyDescent="0.2">
      <c r="Y20079" s="97"/>
    </row>
    <row r="20080" spans="25:25" x14ac:dyDescent="0.2">
      <c r="Y20080" s="97"/>
    </row>
    <row r="20081" spans="25:25" x14ac:dyDescent="0.2">
      <c r="Y20081" s="97"/>
    </row>
    <row r="20082" spans="25:25" x14ac:dyDescent="0.2">
      <c r="Y20082" s="97"/>
    </row>
    <row r="20083" spans="25:25" x14ac:dyDescent="0.2">
      <c r="Y20083" s="97"/>
    </row>
    <row r="20084" spans="25:25" x14ac:dyDescent="0.2">
      <c r="Y20084" s="97"/>
    </row>
    <row r="20085" spans="25:25" x14ac:dyDescent="0.2">
      <c r="Y20085" s="97"/>
    </row>
    <row r="20086" spans="25:25" x14ac:dyDescent="0.2">
      <c r="Y20086" s="97"/>
    </row>
    <row r="20087" spans="25:25" x14ac:dyDescent="0.2">
      <c r="Y20087" s="97"/>
    </row>
    <row r="20088" spans="25:25" x14ac:dyDescent="0.2">
      <c r="Y20088" s="97"/>
    </row>
    <row r="20089" spans="25:25" x14ac:dyDescent="0.2">
      <c r="Y20089" s="97"/>
    </row>
    <row r="20090" spans="25:25" x14ac:dyDescent="0.2">
      <c r="Y20090" s="97"/>
    </row>
    <row r="20091" spans="25:25" x14ac:dyDescent="0.2">
      <c r="Y20091" s="97"/>
    </row>
    <row r="20092" spans="25:25" x14ac:dyDescent="0.2">
      <c r="Y20092" s="97"/>
    </row>
    <row r="20093" spans="25:25" x14ac:dyDescent="0.2">
      <c r="Y20093" s="97"/>
    </row>
    <row r="20094" spans="25:25" x14ac:dyDescent="0.2">
      <c r="Y20094" s="97"/>
    </row>
    <row r="20095" spans="25:25" x14ac:dyDescent="0.2">
      <c r="Y20095" s="97"/>
    </row>
    <row r="20096" spans="25:25" x14ac:dyDescent="0.2">
      <c r="Y20096" s="97"/>
    </row>
    <row r="20097" spans="25:25" x14ac:dyDescent="0.2">
      <c r="Y20097" s="97"/>
    </row>
    <row r="20098" spans="25:25" x14ac:dyDescent="0.2">
      <c r="Y20098" s="97"/>
    </row>
    <row r="20099" spans="25:25" x14ac:dyDescent="0.2">
      <c r="Y20099" s="97"/>
    </row>
    <row r="20100" spans="25:25" x14ac:dyDescent="0.2">
      <c r="Y20100" s="97"/>
    </row>
    <row r="20101" spans="25:25" x14ac:dyDescent="0.2">
      <c r="Y20101" s="97"/>
    </row>
    <row r="20102" spans="25:25" x14ac:dyDescent="0.2">
      <c r="Y20102" s="97"/>
    </row>
    <row r="20103" spans="25:25" x14ac:dyDescent="0.2">
      <c r="Y20103" s="97"/>
    </row>
    <row r="20104" spans="25:25" x14ac:dyDescent="0.2">
      <c r="Y20104" s="97"/>
    </row>
    <row r="20105" spans="25:25" x14ac:dyDescent="0.2">
      <c r="Y20105" s="97"/>
    </row>
    <row r="20106" spans="25:25" x14ac:dyDescent="0.2">
      <c r="Y20106" s="97"/>
    </row>
    <row r="20107" spans="25:25" x14ac:dyDescent="0.2">
      <c r="Y20107" s="97"/>
    </row>
    <row r="20108" spans="25:25" x14ac:dyDescent="0.2">
      <c r="Y20108" s="97"/>
    </row>
    <row r="20109" spans="25:25" x14ac:dyDescent="0.2">
      <c r="Y20109" s="97"/>
    </row>
    <row r="20110" spans="25:25" x14ac:dyDescent="0.2">
      <c r="Y20110" s="97"/>
    </row>
    <row r="20111" spans="25:25" x14ac:dyDescent="0.2">
      <c r="Y20111" s="97"/>
    </row>
    <row r="20112" spans="25:25" x14ac:dyDescent="0.2">
      <c r="Y20112" s="97"/>
    </row>
    <row r="20113" spans="25:25" x14ac:dyDescent="0.2">
      <c r="Y20113" s="97"/>
    </row>
    <row r="20114" spans="25:25" x14ac:dyDescent="0.2">
      <c r="Y20114" s="97"/>
    </row>
    <row r="20115" spans="25:25" x14ac:dyDescent="0.2">
      <c r="Y20115" s="97"/>
    </row>
    <row r="20116" spans="25:25" x14ac:dyDescent="0.2">
      <c r="Y20116" s="97"/>
    </row>
    <row r="20117" spans="25:25" x14ac:dyDescent="0.2">
      <c r="Y20117" s="97"/>
    </row>
    <row r="20118" spans="25:25" x14ac:dyDescent="0.2">
      <c r="Y20118" s="97"/>
    </row>
    <row r="20119" spans="25:25" x14ac:dyDescent="0.2">
      <c r="Y20119" s="97"/>
    </row>
    <row r="20120" spans="25:25" x14ac:dyDescent="0.2">
      <c r="Y20120" s="97"/>
    </row>
    <row r="20121" spans="25:25" x14ac:dyDescent="0.2">
      <c r="Y20121" s="97"/>
    </row>
    <row r="20122" spans="25:25" x14ac:dyDescent="0.2">
      <c r="Y20122" s="97"/>
    </row>
    <row r="20123" spans="25:25" x14ac:dyDescent="0.2">
      <c r="Y20123" s="97"/>
    </row>
    <row r="20124" spans="25:25" x14ac:dyDescent="0.2">
      <c r="Y20124" s="97"/>
    </row>
    <row r="20125" spans="25:25" x14ac:dyDescent="0.2">
      <c r="Y20125" s="97"/>
    </row>
    <row r="20126" spans="25:25" x14ac:dyDescent="0.2">
      <c r="Y20126" s="97"/>
    </row>
    <row r="20127" spans="25:25" x14ac:dyDescent="0.2">
      <c r="Y20127" s="97"/>
    </row>
    <row r="20128" spans="25:25" x14ac:dyDescent="0.2">
      <c r="Y20128" s="97"/>
    </row>
    <row r="20129" spans="25:25" x14ac:dyDescent="0.2">
      <c r="Y20129" s="97"/>
    </row>
    <row r="20130" spans="25:25" x14ac:dyDescent="0.2">
      <c r="Y20130" s="97"/>
    </row>
    <row r="20131" spans="25:25" x14ac:dyDescent="0.2">
      <c r="Y20131" s="97"/>
    </row>
    <row r="20132" spans="25:25" x14ac:dyDescent="0.2">
      <c r="Y20132" s="97"/>
    </row>
    <row r="20133" spans="25:25" x14ac:dyDescent="0.2">
      <c r="Y20133" s="97"/>
    </row>
    <row r="20134" spans="25:25" x14ac:dyDescent="0.2">
      <c r="Y20134" s="97"/>
    </row>
    <row r="20135" spans="25:25" x14ac:dyDescent="0.2">
      <c r="Y20135" s="97"/>
    </row>
    <row r="20136" spans="25:25" x14ac:dyDescent="0.2">
      <c r="Y20136" s="97"/>
    </row>
    <row r="20137" spans="25:25" x14ac:dyDescent="0.2">
      <c r="Y20137" s="97"/>
    </row>
    <row r="20138" spans="25:25" x14ac:dyDescent="0.2">
      <c r="Y20138" s="97"/>
    </row>
    <row r="20139" spans="25:25" x14ac:dyDescent="0.2">
      <c r="Y20139" s="97"/>
    </row>
    <row r="20140" spans="25:25" x14ac:dyDescent="0.2">
      <c r="Y20140" s="97"/>
    </row>
    <row r="20141" spans="25:25" x14ac:dyDescent="0.2">
      <c r="Y20141" s="97"/>
    </row>
    <row r="20142" spans="25:25" x14ac:dyDescent="0.2">
      <c r="Y20142" s="97"/>
    </row>
    <row r="20143" spans="25:25" x14ac:dyDescent="0.2">
      <c r="Y20143" s="97"/>
    </row>
    <row r="20144" spans="25:25" x14ac:dyDescent="0.2">
      <c r="Y20144" s="97"/>
    </row>
    <row r="20145" spans="25:25" x14ac:dyDescent="0.2">
      <c r="Y20145" s="97"/>
    </row>
    <row r="20146" spans="25:25" x14ac:dyDescent="0.2">
      <c r="Y20146" s="97"/>
    </row>
    <row r="20147" spans="25:25" x14ac:dyDescent="0.2">
      <c r="Y20147" s="97"/>
    </row>
    <row r="20148" spans="25:25" x14ac:dyDescent="0.2">
      <c r="Y20148" s="97"/>
    </row>
    <row r="20149" spans="25:25" x14ac:dyDescent="0.2">
      <c r="Y20149" s="97"/>
    </row>
    <row r="20150" spans="25:25" x14ac:dyDescent="0.2">
      <c r="Y20150" s="97"/>
    </row>
    <row r="20151" spans="25:25" x14ac:dyDescent="0.2">
      <c r="Y20151" s="97"/>
    </row>
    <row r="20152" spans="25:25" x14ac:dyDescent="0.2">
      <c r="Y20152" s="97"/>
    </row>
    <row r="20153" spans="25:25" x14ac:dyDescent="0.2">
      <c r="Y20153" s="97"/>
    </row>
    <row r="20154" spans="25:25" x14ac:dyDescent="0.2">
      <c r="Y20154" s="97"/>
    </row>
    <row r="20155" spans="25:25" x14ac:dyDescent="0.2">
      <c r="Y20155" s="97"/>
    </row>
    <row r="20156" spans="25:25" x14ac:dyDescent="0.2">
      <c r="Y20156" s="97"/>
    </row>
    <row r="20157" spans="25:25" x14ac:dyDescent="0.2">
      <c r="Y20157" s="97"/>
    </row>
    <row r="20158" spans="25:25" x14ac:dyDescent="0.2">
      <c r="Y20158" s="97"/>
    </row>
    <row r="20159" spans="25:25" x14ac:dyDescent="0.2">
      <c r="Y20159" s="97"/>
    </row>
    <row r="20160" spans="25:25" x14ac:dyDescent="0.2">
      <c r="Y20160" s="97"/>
    </row>
    <row r="20161" spans="25:25" x14ac:dyDescent="0.2">
      <c r="Y20161" s="97"/>
    </row>
    <row r="20162" spans="25:25" x14ac:dyDescent="0.2">
      <c r="Y20162" s="97"/>
    </row>
    <row r="20163" spans="25:25" x14ac:dyDescent="0.2">
      <c r="Y20163" s="97"/>
    </row>
    <row r="20164" spans="25:25" x14ac:dyDescent="0.2">
      <c r="Y20164" s="97"/>
    </row>
    <row r="20165" spans="25:25" x14ac:dyDescent="0.2">
      <c r="Y20165" s="97"/>
    </row>
    <row r="20166" spans="25:25" x14ac:dyDescent="0.2">
      <c r="Y20166" s="97"/>
    </row>
    <row r="20167" spans="25:25" x14ac:dyDescent="0.2">
      <c r="Y20167" s="97"/>
    </row>
    <row r="20168" spans="25:25" x14ac:dyDescent="0.2">
      <c r="Y20168" s="97"/>
    </row>
    <row r="20169" spans="25:25" x14ac:dyDescent="0.2">
      <c r="Y20169" s="97"/>
    </row>
    <row r="20170" spans="25:25" x14ac:dyDescent="0.2">
      <c r="Y20170" s="97"/>
    </row>
    <row r="20171" spans="25:25" x14ac:dyDescent="0.2">
      <c r="Y20171" s="97"/>
    </row>
    <row r="20172" spans="25:25" x14ac:dyDescent="0.2">
      <c r="Y20172" s="97"/>
    </row>
    <row r="20173" spans="25:25" x14ac:dyDescent="0.2">
      <c r="Y20173" s="97"/>
    </row>
    <row r="20174" spans="25:25" x14ac:dyDescent="0.2">
      <c r="Y20174" s="97"/>
    </row>
    <row r="20175" spans="25:25" x14ac:dyDescent="0.2">
      <c r="Y20175" s="97"/>
    </row>
    <row r="20176" spans="25:25" x14ac:dyDescent="0.2">
      <c r="Y20176" s="97"/>
    </row>
    <row r="20177" spans="25:25" x14ac:dyDescent="0.2">
      <c r="Y20177" s="97"/>
    </row>
    <row r="20178" spans="25:25" x14ac:dyDescent="0.2">
      <c r="Y20178" s="97"/>
    </row>
    <row r="20179" spans="25:25" x14ac:dyDescent="0.2">
      <c r="Y20179" s="97"/>
    </row>
    <row r="20180" spans="25:25" x14ac:dyDescent="0.2">
      <c r="Y20180" s="97"/>
    </row>
    <row r="20181" spans="25:25" x14ac:dyDescent="0.2">
      <c r="Y20181" s="97"/>
    </row>
    <row r="20182" spans="25:25" x14ac:dyDescent="0.2">
      <c r="Y20182" s="97"/>
    </row>
    <row r="20183" spans="25:25" x14ac:dyDescent="0.2">
      <c r="Y20183" s="97"/>
    </row>
    <row r="20184" spans="25:25" x14ac:dyDescent="0.2">
      <c r="Y20184" s="97"/>
    </row>
    <row r="20185" spans="25:25" x14ac:dyDescent="0.2">
      <c r="Y20185" s="97"/>
    </row>
    <row r="20186" spans="25:25" x14ac:dyDescent="0.2">
      <c r="Y20186" s="97"/>
    </row>
    <row r="20187" spans="25:25" x14ac:dyDescent="0.2">
      <c r="Y20187" s="97"/>
    </row>
    <row r="20188" spans="25:25" x14ac:dyDescent="0.2">
      <c r="Y20188" s="97"/>
    </row>
    <row r="20189" spans="25:25" x14ac:dyDescent="0.2">
      <c r="Y20189" s="97"/>
    </row>
    <row r="20190" spans="25:25" x14ac:dyDescent="0.2">
      <c r="Y20190" s="97"/>
    </row>
    <row r="20191" spans="25:25" x14ac:dyDescent="0.2">
      <c r="Y20191" s="97"/>
    </row>
    <row r="20192" spans="25:25" x14ac:dyDescent="0.2">
      <c r="Y20192" s="97"/>
    </row>
    <row r="20193" spans="25:25" x14ac:dyDescent="0.2">
      <c r="Y20193" s="97"/>
    </row>
    <row r="20194" spans="25:25" x14ac:dyDescent="0.2">
      <c r="Y20194" s="97"/>
    </row>
    <row r="20195" spans="25:25" x14ac:dyDescent="0.2">
      <c r="Y20195" s="97"/>
    </row>
    <row r="20196" spans="25:25" x14ac:dyDescent="0.2">
      <c r="Y20196" s="97"/>
    </row>
    <row r="20197" spans="25:25" x14ac:dyDescent="0.2">
      <c r="Y20197" s="97"/>
    </row>
    <row r="20198" spans="25:25" x14ac:dyDescent="0.2">
      <c r="Y20198" s="97"/>
    </row>
    <row r="20199" spans="25:25" x14ac:dyDescent="0.2">
      <c r="Y20199" s="97"/>
    </row>
    <row r="20200" spans="25:25" x14ac:dyDescent="0.2">
      <c r="Y20200" s="97"/>
    </row>
    <row r="20201" spans="25:25" x14ac:dyDescent="0.2">
      <c r="Y20201" s="97"/>
    </row>
    <row r="20202" spans="25:25" x14ac:dyDescent="0.2">
      <c r="Y20202" s="97"/>
    </row>
    <row r="20203" spans="25:25" x14ac:dyDescent="0.2">
      <c r="Y20203" s="97"/>
    </row>
    <row r="20204" spans="25:25" x14ac:dyDescent="0.2">
      <c r="Y20204" s="97"/>
    </row>
    <row r="20205" spans="25:25" x14ac:dyDescent="0.2">
      <c r="Y20205" s="97"/>
    </row>
    <row r="20206" spans="25:25" x14ac:dyDescent="0.2">
      <c r="Y20206" s="97"/>
    </row>
    <row r="20207" spans="25:25" x14ac:dyDescent="0.2">
      <c r="Y20207" s="97"/>
    </row>
    <row r="20208" spans="25:25" x14ac:dyDescent="0.2">
      <c r="Y20208" s="97"/>
    </row>
    <row r="20209" spans="25:25" x14ac:dyDescent="0.2">
      <c r="Y20209" s="97"/>
    </row>
    <row r="20210" spans="25:25" x14ac:dyDescent="0.2">
      <c r="Y20210" s="97"/>
    </row>
    <row r="20211" spans="25:25" x14ac:dyDescent="0.2">
      <c r="Y20211" s="97"/>
    </row>
    <row r="20212" spans="25:25" x14ac:dyDescent="0.2">
      <c r="Y20212" s="97"/>
    </row>
    <row r="20213" spans="25:25" x14ac:dyDescent="0.2">
      <c r="Y20213" s="97"/>
    </row>
    <row r="20214" spans="25:25" x14ac:dyDescent="0.2">
      <c r="Y20214" s="97"/>
    </row>
    <row r="20215" spans="25:25" x14ac:dyDescent="0.2">
      <c r="Y20215" s="97"/>
    </row>
    <row r="20216" spans="25:25" x14ac:dyDescent="0.2">
      <c r="Y20216" s="97"/>
    </row>
    <row r="20217" spans="25:25" x14ac:dyDescent="0.2">
      <c r="Y20217" s="97"/>
    </row>
    <row r="20218" spans="25:25" x14ac:dyDescent="0.2">
      <c r="Y20218" s="97"/>
    </row>
    <row r="20219" spans="25:25" x14ac:dyDescent="0.2">
      <c r="Y20219" s="97"/>
    </row>
    <row r="20220" spans="25:25" x14ac:dyDescent="0.2">
      <c r="Y20220" s="97"/>
    </row>
    <row r="20221" spans="25:25" x14ac:dyDescent="0.2">
      <c r="Y20221" s="97"/>
    </row>
    <row r="20222" spans="25:25" x14ac:dyDescent="0.2">
      <c r="Y20222" s="97"/>
    </row>
    <row r="20223" spans="25:25" x14ac:dyDescent="0.2">
      <c r="Y20223" s="97"/>
    </row>
    <row r="20224" spans="25:25" x14ac:dyDescent="0.2">
      <c r="Y20224" s="97"/>
    </row>
    <row r="20225" spans="25:25" x14ac:dyDescent="0.2">
      <c r="Y20225" s="97"/>
    </row>
    <row r="20226" spans="25:25" x14ac:dyDescent="0.2">
      <c r="Y20226" s="97"/>
    </row>
    <row r="20227" spans="25:25" x14ac:dyDescent="0.2">
      <c r="Y20227" s="97"/>
    </row>
    <row r="20228" spans="25:25" x14ac:dyDescent="0.2">
      <c r="Y20228" s="97"/>
    </row>
    <row r="20229" spans="25:25" x14ac:dyDescent="0.2">
      <c r="Y20229" s="97"/>
    </row>
    <row r="20230" spans="25:25" x14ac:dyDescent="0.2">
      <c r="Y20230" s="97"/>
    </row>
    <row r="20231" spans="25:25" x14ac:dyDescent="0.2">
      <c r="Y20231" s="97"/>
    </row>
    <row r="20232" spans="25:25" x14ac:dyDescent="0.2">
      <c r="Y20232" s="97"/>
    </row>
    <row r="20233" spans="25:25" x14ac:dyDescent="0.2">
      <c r="Y20233" s="97"/>
    </row>
    <row r="20234" spans="25:25" x14ac:dyDescent="0.2">
      <c r="Y20234" s="97"/>
    </row>
    <row r="20235" spans="25:25" x14ac:dyDescent="0.2">
      <c r="Y20235" s="97"/>
    </row>
    <row r="20236" spans="25:25" x14ac:dyDescent="0.2">
      <c r="Y20236" s="97"/>
    </row>
    <row r="20237" spans="25:25" x14ac:dyDescent="0.2">
      <c r="Y20237" s="97"/>
    </row>
    <row r="20238" spans="25:25" x14ac:dyDescent="0.2">
      <c r="Y20238" s="97"/>
    </row>
    <row r="20239" spans="25:25" x14ac:dyDescent="0.2">
      <c r="Y20239" s="97"/>
    </row>
    <row r="20240" spans="25:25" x14ac:dyDescent="0.2">
      <c r="Y20240" s="97"/>
    </row>
    <row r="20241" spans="25:25" x14ac:dyDescent="0.2">
      <c r="Y20241" s="97"/>
    </row>
    <row r="20242" spans="25:25" x14ac:dyDescent="0.2">
      <c r="Y20242" s="97"/>
    </row>
    <row r="20243" spans="25:25" x14ac:dyDescent="0.2">
      <c r="Y20243" s="97"/>
    </row>
    <row r="20244" spans="25:25" x14ac:dyDescent="0.2">
      <c r="Y20244" s="97"/>
    </row>
    <row r="20245" spans="25:25" x14ac:dyDescent="0.2">
      <c r="Y20245" s="97"/>
    </row>
    <row r="20246" spans="25:25" x14ac:dyDescent="0.2">
      <c r="Y20246" s="97"/>
    </row>
    <row r="20247" spans="25:25" x14ac:dyDescent="0.2">
      <c r="Y20247" s="97"/>
    </row>
    <row r="20248" spans="25:25" x14ac:dyDescent="0.2">
      <c r="Y20248" s="97"/>
    </row>
    <row r="20249" spans="25:25" x14ac:dyDescent="0.2">
      <c r="Y20249" s="97"/>
    </row>
    <row r="20250" spans="25:25" x14ac:dyDescent="0.2">
      <c r="Y20250" s="97"/>
    </row>
    <row r="20251" spans="25:25" x14ac:dyDescent="0.2">
      <c r="Y20251" s="97"/>
    </row>
    <row r="20252" spans="25:25" x14ac:dyDescent="0.2">
      <c r="Y20252" s="97"/>
    </row>
    <row r="20253" spans="25:25" x14ac:dyDescent="0.2">
      <c r="Y20253" s="97"/>
    </row>
    <row r="20254" spans="25:25" x14ac:dyDescent="0.2">
      <c r="Y20254" s="97"/>
    </row>
    <row r="20255" spans="25:25" x14ac:dyDescent="0.2">
      <c r="Y20255" s="97"/>
    </row>
    <row r="20256" spans="25:25" x14ac:dyDescent="0.2">
      <c r="Y20256" s="97"/>
    </row>
    <row r="20257" spans="25:25" x14ac:dyDescent="0.2">
      <c r="Y20257" s="97"/>
    </row>
    <row r="20258" spans="25:25" x14ac:dyDescent="0.2">
      <c r="Y20258" s="97"/>
    </row>
    <row r="20259" spans="25:25" x14ac:dyDescent="0.2">
      <c r="Y20259" s="97"/>
    </row>
    <row r="20260" spans="25:25" x14ac:dyDescent="0.2">
      <c r="Y20260" s="97"/>
    </row>
    <row r="20261" spans="25:25" x14ac:dyDescent="0.2">
      <c r="Y20261" s="97"/>
    </row>
    <row r="20262" spans="25:25" x14ac:dyDescent="0.2">
      <c r="Y20262" s="97"/>
    </row>
    <row r="20263" spans="25:25" x14ac:dyDescent="0.2">
      <c r="Y20263" s="97"/>
    </row>
    <row r="20264" spans="25:25" x14ac:dyDescent="0.2">
      <c r="Y20264" s="97"/>
    </row>
    <row r="20265" spans="25:25" x14ac:dyDescent="0.2">
      <c r="Y20265" s="97"/>
    </row>
    <row r="20266" spans="25:25" x14ac:dyDescent="0.2">
      <c r="Y20266" s="97"/>
    </row>
    <row r="20267" spans="25:25" x14ac:dyDescent="0.2">
      <c r="Y20267" s="97"/>
    </row>
    <row r="20268" spans="25:25" x14ac:dyDescent="0.2">
      <c r="Y20268" s="97"/>
    </row>
    <row r="20269" spans="25:25" x14ac:dyDescent="0.2">
      <c r="Y20269" s="97"/>
    </row>
    <row r="20270" spans="25:25" x14ac:dyDescent="0.2">
      <c r="Y20270" s="97"/>
    </row>
    <row r="20271" spans="25:25" x14ac:dyDescent="0.2">
      <c r="Y20271" s="97"/>
    </row>
    <row r="20272" spans="25:25" x14ac:dyDescent="0.2">
      <c r="Y20272" s="97"/>
    </row>
    <row r="20273" spans="25:25" x14ac:dyDescent="0.2">
      <c r="Y20273" s="97"/>
    </row>
    <row r="20274" spans="25:25" x14ac:dyDescent="0.2">
      <c r="Y20274" s="97"/>
    </row>
    <row r="20275" spans="25:25" x14ac:dyDescent="0.2">
      <c r="Y20275" s="97"/>
    </row>
    <row r="20276" spans="25:25" x14ac:dyDescent="0.2">
      <c r="Y20276" s="97"/>
    </row>
    <row r="20277" spans="25:25" x14ac:dyDescent="0.2">
      <c r="Y20277" s="97"/>
    </row>
    <row r="20278" spans="25:25" x14ac:dyDescent="0.2">
      <c r="Y20278" s="97"/>
    </row>
    <row r="20279" spans="25:25" x14ac:dyDescent="0.2">
      <c r="Y20279" s="97"/>
    </row>
    <row r="20280" spans="25:25" x14ac:dyDescent="0.2">
      <c r="Y20280" s="97"/>
    </row>
    <row r="20281" spans="25:25" x14ac:dyDescent="0.2">
      <c r="Y20281" s="97"/>
    </row>
    <row r="20282" spans="25:25" x14ac:dyDescent="0.2">
      <c r="Y20282" s="97"/>
    </row>
    <row r="20283" spans="25:25" x14ac:dyDescent="0.2">
      <c r="Y20283" s="97"/>
    </row>
    <row r="20284" spans="25:25" x14ac:dyDescent="0.2">
      <c r="Y20284" s="97"/>
    </row>
    <row r="20285" spans="25:25" x14ac:dyDescent="0.2">
      <c r="Y20285" s="97"/>
    </row>
    <row r="20286" spans="25:25" x14ac:dyDescent="0.2">
      <c r="Y20286" s="97"/>
    </row>
    <row r="20287" spans="25:25" x14ac:dyDescent="0.2">
      <c r="Y20287" s="97"/>
    </row>
    <row r="20288" spans="25:25" x14ac:dyDescent="0.2">
      <c r="Y20288" s="97"/>
    </row>
    <row r="20289" spans="25:25" x14ac:dyDescent="0.2">
      <c r="Y20289" s="97"/>
    </row>
    <row r="20290" spans="25:25" x14ac:dyDescent="0.2">
      <c r="Y20290" s="97"/>
    </row>
    <row r="20291" spans="25:25" x14ac:dyDescent="0.2">
      <c r="Y20291" s="97"/>
    </row>
    <row r="20292" spans="25:25" x14ac:dyDescent="0.2">
      <c r="Y20292" s="97"/>
    </row>
    <row r="20293" spans="25:25" x14ac:dyDescent="0.2">
      <c r="Y20293" s="97"/>
    </row>
    <row r="20294" spans="25:25" x14ac:dyDescent="0.2">
      <c r="Y20294" s="97"/>
    </row>
    <row r="20295" spans="25:25" x14ac:dyDescent="0.2">
      <c r="Y20295" s="97"/>
    </row>
    <row r="20296" spans="25:25" x14ac:dyDescent="0.2">
      <c r="Y20296" s="97"/>
    </row>
    <row r="20297" spans="25:25" x14ac:dyDescent="0.2">
      <c r="Y20297" s="97"/>
    </row>
    <row r="20298" spans="25:25" x14ac:dyDescent="0.2">
      <c r="Y20298" s="97"/>
    </row>
    <row r="20299" spans="25:25" x14ac:dyDescent="0.2">
      <c r="Y20299" s="97"/>
    </row>
    <row r="20300" spans="25:25" x14ac:dyDescent="0.2">
      <c r="Y20300" s="97"/>
    </row>
    <row r="20301" spans="25:25" x14ac:dyDescent="0.2">
      <c r="Y20301" s="97"/>
    </row>
    <row r="20302" spans="25:25" x14ac:dyDescent="0.2">
      <c r="Y20302" s="97"/>
    </row>
    <row r="20303" spans="25:25" x14ac:dyDescent="0.2">
      <c r="Y20303" s="97"/>
    </row>
    <row r="20304" spans="25:25" x14ac:dyDescent="0.2">
      <c r="Y20304" s="97"/>
    </row>
    <row r="20305" spans="25:25" x14ac:dyDescent="0.2">
      <c r="Y20305" s="97"/>
    </row>
    <row r="20306" spans="25:25" x14ac:dyDescent="0.2">
      <c r="Y20306" s="97"/>
    </row>
    <row r="20307" spans="25:25" x14ac:dyDescent="0.2">
      <c r="Y20307" s="97"/>
    </row>
    <row r="20308" spans="25:25" x14ac:dyDescent="0.2">
      <c r="Y20308" s="97"/>
    </row>
    <row r="20309" spans="25:25" x14ac:dyDescent="0.2">
      <c r="Y20309" s="97"/>
    </row>
    <row r="20310" spans="25:25" x14ac:dyDescent="0.2">
      <c r="Y20310" s="97"/>
    </row>
    <row r="20311" spans="25:25" x14ac:dyDescent="0.2">
      <c r="Y20311" s="97"/>
    </row>
    <row r="20312" spans="25:25" x14ac:dyDescent="0.2">
      <c r="Y20312" s="97"/>
    </row>
    <row r="20313" spans="25:25" x14ac:dyDescent="0.2">
      <c r="Y20313" s="97"/>
    </row>
    <row r="20314" spans="25:25" x14ac:dyDescent="0.2">
      <c r="Y20314" s="97"/>
    </row>
    <row r="20315" spans="25:25" x14ac:dyDescent="0.2">
      <c r="Y20315" s="97"/>
    </row>
    <row r="20316" spans="25:25" x14ac:dyDescent="0.2">
      <c r="Y20316" s="97"/>
    </row>
    <row r="20317" spans="25:25" x14ac:dyDescent="0.2">
      <c r="Y20317" s="97"/>
    </row>
    <row r="20318" spans="25:25" x14ac:dyDescent="0.2">
      <c r="Y20318" s="97"/>
    </row>
    <row r="20319" spans="25:25" x14ac:dyDescent="0.2">
      <c r="Y20319" s="97"/>
    </row>
    <row r="20320" spans="25:25" x14ac:dyDescent="0.2">
      <c r="Y20320" s="97"/>
    </row>
    <row r="20321" spans="25:25" x14ac:dyDescent="0.2">
      <c r="Y20321" s="97"/>
    </row>
    <row r="20322" spans="25:25" x14ac:dyDescent="0.2">
      <c r="Y20322" s="97"/>
    </row>
    <row r="20323" spans="25:25" x14ac:dyDescent="0.2">
      <c r="Y20323" s="97"/>
    </row>
    <row r="20324" spans="25:25" x14ac:dyDescent="0.2">
      <c r="Y20324" s="97"/>
    </row>
    <row r="20325" spans="25:25" x14ac:dyDescent="0.2">
      <c r="Y20325" s="97"/>
    </row>
    <row r="20326" spans="25:25" x14ac:dyDescent="0.2">
      <c r="Y20326" s="97"/>
    </row>
    <row r="20327" spans="25:25" x14ac:dyDescent="0.2">
      <c r="Y20327" s="97"/>
    </row>
    <row r="20328" spans="25:25" x14ac:dyDescent="0.2">
      <c r="Y20328" s="97"/>
    </row>
    <row r="20329" spans="25:25" x14ac:dyDescent="0.2">
      <c r="Y20329" s="97"/>
    </row>
    <row r="20330" spans="25:25" x14ac:dyDescent="0.2">
      <c r="Y20330" s="97"/>
    </row>
    <row r="20331" spans="25:25" x14ac:dyDescent="0.2">
      <c r="Y20331" s="97"/>
    </row>
    <row r="20332" spans="25:25" x14ac:dyDescent="0.2">
      <c r="Y20332" s="97"/>
    </row>
    <row r="20333" spans="25:25" x14ac:dyDescent="0.2">
      <c r="Y20333" s="97"/>
    </row>
    <row r="20334" spans="25:25" x14ac:dyDescent="0.2">
      <c r="Y20334" s="97"/>
    </row>
    <row r="20335" spans="25:25" x14ac:dyDescent="0.2">
      <c r="Y20335" s="97"/>
    </row>
    <row r="20336" spans="25:25" x14ac:dyDescent="0.2">
      <c r="Y20336" s="97"/>
    </row>
    <row r="20337" spans="25:25" x14ac:dyDescent="0.2">
      <c r="Y20337" s="97"/>
    </row>
    <row r="20338" spans="25:25" x14ac:dyDescent="0.2">
      <c r="Y20338" s="97"/>
    </row>
    <row r="20339" spans="25:25" x14ac:dyDescent="0.2">
      <c r="Y20339" s="97"/>
    </row>
    <row r="20340" spans="25:25" x14ac:dyDescent="0.2">
      <c r="Y20340" s="97"/>
    </row>
    <row r="20341" spans="25:25" x14ac:dyDescent="0.2">
      <c r="Y20341" s="97"/>
    </row>
    <row r="20342" spans="25:25" x14ac:dyDescent="0.2">
      <c r="Y20342" s="97"/>
    </row>
    <row r="20343" spans="25:25" x14ac:dyDescent="0.2">
      <c r="Y20343" s="97"/>
    </row>
    <row r="20344" spans="25:25" x14ac:dyDescent="0.2">
      <c r="Y20344" s="97"/>
    </row>
    <row r="20345" spans="25:25" x14ac:dyDescent="0.2">
      <c r="Y20345" s="97"/>
    </row>
    <row r="20346" spans="25:25" x14ac:dyDescent="0.2">
      <c r="Y20346" s="97"/>
    </row>
    <row r="20347" spans="25:25" x14ac:dyDescent="0.2">
      <c r="Y20347" s="97"/>
    </row>
    <row r="20348" spans="25:25" x14ac:dyDescent="0.2">
      <c r="Y20348" s="97"/>
    </row>
    <row r="20349" spans="25:25" x14ac:dyDescent="0.2">
      <c r="Y20349" s="97"/>
    </row>
    <row r="20350" spans="25:25" x14ac:dyDescent="0.2">
      <c r="Y20350" s="97"/>
    </row>
    <row r="20351" spans="25:25" x14ac:dyDescent="0.2">
      <c r="Y20351" s="97"/>
    </row>
    <row r="20352" spans="25:25" x14ac:dyDescent="0.2">
      <c r="Y20352" s="97"/>
    </row>
    <row r="20353" spans="25:25" x14ac:dyDescent="0.2">
      <c r="Y20353" s="97"/>
    </row>
    <row r="20354" spans="25:25" x14ac:dyDescent="0.2">
      <c r="Y20354" s="97"/>
    </row>
    <row r="20355" spans="25:25" x14ac:dyDescent="0.2">
      <c r="Y20355" s="97"/>
    </row>
    <row r="20356" spans="25:25" x14ac:dyDescent="0.2">
      <c r="Y20356" s="97"/>
    </row>
    <row r="20357" spans="25:25" x14ac:dyDescent="0.2">
      <c r="Y20357" s="97"/>
    </row>
    <row r="20358" spans="25:25" x14ac:dyDescent="0.2">
      <c r="Y20358" s="97"/>
    </row>
    <row r="20359" spans="25:25" x14ac:dyDescent="0.2">
      <c r="Y20359" s="97"/>
    </row>
    <row r="20360" spans="25:25" x14ac:dyDescent="0.2">
      <c r="Y20360" s="97"/>
    </row>
    <row r="20361" spans="25:25" x14ac:dyDescent="0.2">
      <c r="Y20361" s="97"/>
    </row>
    <row r="20362" spans="25:25" x14ac:dyDescent="0.2">
      <c r="Y20362" s="97"/>
    </row>
    <row r="20363" spans="25:25" x14ac:dyDescent="0.2">
      <c r="Y20363" s="97"/>
    </row>
    <row r="20364" spans="25:25" x14ac:dyDescent="0.2">
      <c r="Y20364" s="97"/>
    </row>
    <row r="20365" spans="25:25" x14ac:dyDescent="0.2">
      <c r="Y20365" s="97"/>
    </row>
    <row r="20366" spans="25:25" x14ac:dyDescent="0.2">
      <c r="Y20366" s="97"/>
    </row>
    <row r="20367" spans="25:25" x14ac:dyDescent="0.2">
      <c r="Y20367" s="97"/>
    </row>
    <row r="20368" spans="25:25" x14ac:dyDescent="0.2">
      <c r="Y20368" s="97"/>
    </row>
    <row r="20369" spans="25:25" x14ac:dyDescent="0.2">
      <c r="Y20369" s="97"/>
    </row>
    <row r="20370" spans="25:25" x14ac:dyDescent="0.2">
      <c r="Y20370" s="97"/>
    </row>
    <row r="20371" spans="25:25" x14ac:dyDescent="0.2">
      <c r="Y20371" s="97"/>
    </row>
    <row r="20372" spans="25:25" x14ac:dyDescent="0.2">
      <c r="Y20372" s="97"/>
    </row>
    <row r="20373" spans="25:25" x14ac:dyDescent="0.2">
      <c r="Y20373" s="97"/>
    </row>
    <row r="20374" spans="25:25" x14ac:dyDescent="0.2">
      <c r="Y20374" s="97"/>
    </row>
    <row r="20375" spans="25:25" x14ac:dyDescent="0.2">
      <c r="Y20375" s="97"/>
    </row>
    <row r="20376" spans="25:25" x14ac:dyDescent="0.2">
      <c r="Y20376" s="97"/>
    </row>
    <row r="20377" spans="25:25" x14ac:dyDescent="0.2">
      <c r="Y20377" s="97"/>
    </row>
    <row r="20378" spans="25:25" x14ac:dyDescent="0.2">
      <c r="Y20378" s="97"/>
    </row>
    <row r="20379" spans="25:25" x14ac:dyDescent="0.2">
      <c r="Y20379" s="97"/>
    </row>
    <row r="20380" spans="25:25" x14ac:dyDescent="0.2">
      <c r="Y20380" s="97"/>
    </row>
    <row r="20381" spans="25:25" x14ac:dyDescent="0.2">
      <c r="Y20381" s="97"/>
    </row>
    <row r="20382" spans="25:25" x14ac:dyDescent="0.2">
      <c r="Y20382" s="97"/>
    </row>
    <row r="20383" spans="25:25" x14ac:dyDescent="0.2">
      <c r="Y20383" s="97"/>
    </row>
    <row r="20384" spans="25:25" x14ac:dyDescent="0.2">
      <c r="Y20384" s="97"/>
    </row>
    <row r="20385" spans="25:25" x14ac:dyDescent="0.2">
      <c r="Y20385" s="97"/>
    </row>
    <row r="20386" spans="25:25" x14ac:dyDescent="0.2">
      <c r="Y20386" s="97"/>
    </row>
    <row r="20387" spans="25:25" x14ac:dyDescent="0.2">
      <c r="Y20387" s="97"/>
    </row>
    <row r="20388" spans="25:25" x14ac:dyDescent="0.2">
      <c r="Y20388" s="97"/>
    </row>
    <row r="20389" spans="25:25" x14ac:dyDescent="0.2">
      <c r="Y20389" s="97"/>
    </row>
    <row r="20390" spans="25:25" x14ac:dyDescent="0.2">
      <c r="Y20390" s="97"/>
    </row>
    <row r="20391" spans="25:25" x14ac:dyDescent="0.2">
      <c r="Y20391" s="97"/>
    </row>
    <row r="20392" spans="25:25" x14ac:dyDescent="0.2">
      <c r="Y20392" s="97"/>
    </row>
    <row r="20393" spans="25:25" x14ac:dyDescent="0.2">
      <c r="Y20393" s="97"/>
    </row>
    <row r="20394" spans="25:25" x14ac:dyDescent="0.2">
      <c r="Y20394" s="97"/>
    </row>
    <row r="20395" spans="25:25" x14ac:dyDescent="0.2">
      <c r="Y20395" s="97"/>
    </row>
    <row r="20396" spans="25:25" x14ac:dyDescent="0.2">
      <c r="Y20396" s="97"/>
    </row>
    <row r="20397" spans="25:25" x14ac:dyDescent="0.2">
      <c r="Y20397" s="97"/>
    </row>
    <row r="20398" spans="25:25" x14ac:dyDescent="0.2">
      <c r="Y20398" s="97"/>
    </row>
    <row r="20399" spans="25:25" x14ac:dyDescent="0.2">
      <c r="Y20399" s="97"/>
    </row>
    <row r="20400" spans="25:25" x14ac:dyDescent="0.2">
      <c r="Y20400" s="97"/>
    </row>
    <row r="20401" spans="25:25" x14ac:dyDescent="0.2">
      <c r="Y20401" s="97"/>
    </row>
    <row r="20402" spans="25:25" x14ac:dyDescent="0.2">
      <c r="Y20402" s="97"/>
    </row>
    <row r="20403" spans="25:25" x14ac:dyDescent="0.2">
      <c r="Y20403" s="97"/>
    </row>
    <row r="20404" spans="25:25" x14ac:dyDescent="0.2">
      <c r="Y20404" s="97"/>
    </row>
    <row r="20405" spans="25:25" x14ac:dyDescent="0.2">
      <c r="Y20405" s="97"/>
    </row>
    <row r="20406" spans="25:25" x14ac:dyDescent="0.2">
      <c r="Y20406" s="97"/>
    </row>
    <row r="20407" spans="25:25" x14ac:dyDescent="0.2">
      <c r="Y20407" s="97"/>
    </row>
    <row r="20408" spans="25:25" x14ac:dyDescent="0.2">
      <c r="Y20408" s="97"/>
    </row>
    <row r="20409" spans="25:25" x14ac:dyDescent="0.2">
      <c r="Y20409" s="97"/>
    </row>
    <row r="20410" spans="25:25" x14ac:dyDescent="0.2">
      <c r="Y20410" s="97"/>
    </row>
    <row r="20411" spans="25:25" x14ac:dyDescent="0.2">
      <c r="Y20411" s="97"/>
    </row>
    <row r="20412" spans="25:25" x14ac:dyDescent="0.2">
      <c r="Y20412" s="97"/>
    </row>
    <row r="20413" spans="25:25" x14ac:dyDescent="0.2">
      <c r="Y20413" s="97"/>
    </row>
    <row r="20414" spans="25:25" x14ac:dyDescent="0.2">
      <c r="Y20414" s="97"/>
    </row>
    <row r="20415" spans="25:25" x14ac:dyDescent="0.2">
      <c r="Y20415" s="97"/>
    </row>
    <row r="20416" spans="25:25" x14ac:dyDescent="0.2">
      <c r="Y20416" s="97"/>
    </row>
    <row r="20417" spans="25:25" x14ac:dyDescent="0.2">
      <c r="Y20417" s="97"/>
    </row>
    <row r="20418" spans="25:25" x14ac:dyDescent="0.2">
      <c r="Y20418" s="97"/>
    </row>
    <row r="20419" spans="25:25" x14ac:dyDescent="0.2">
      <c r="Y20419" s="97"/>
    </row>
    <row r="20420" spans="25:25" x14ac:dyDescent="0.2">
      <c r="Y20420" s="97"/>
    </row>
    <row r="20421" spans="25:25" x14ac:dyDescent="0.2">
      <c r="Y20421" s="97"/>
    </row>
    <row r="20422" spans="25:25" x14ac:dyDescent="0.2">
      <c r="Y20422" s="97"/>
    </row>
    <row r="20423" spans="25:25" x14ac:dyDescent="0.2">
      <c r="Y20423" s="97"/>
    </row>
    <row r="20424" spans="25:25" x14ac:dyDescent="0.2">
      <c r="Y20424" s="97"/>
    </row>
    <row r="20425" spans="25:25" x14ac:dyDescent="0.2">
      <c r="Y20425" s="97"/>
    </row>
    <row r="20426" spans="25:25" x14ac:dyDescent="0.2">
      <c r="Y20426" s="97"/>
    </row>
    <row r="20427" spans="25:25" x14ac:dyDescent="0.2">
      <c r="Y20427" s="97"/>
    </row>
    <row r="20428" spans="25:25" x14ac:dyDescent="0.2">
      <c r="Y20428" s="97"/>
    </row>
    <row r="20429" spans="25:25" x14ac:dyDescent="0.2">
      <c r="Y20429" s="97"/>
    </row>
    <row r="20430" spans="25:25" x14ac:dyDescent="0.2">
      <c r="Y20430" s="97"/>
    </row>
    <row r="20431" spans="25:25" x14ac:dyDescent="0.2">
      <c r="Y20431" s="97"/>
    </row>
    <row r="20432" spans="25:25" x14ac:dyDescent="0.2">
      <c r="Y20432" s="97"/>
    </row>
    <row r="20433" spans="25:25" x14ac:dyDescent="0.2">
      <c r="Y20433" s="97"/>
    </row>
    <row r="20434" spans="25:25" x14ac:dyDescent="0.2">
      <c r="Y20434" s="97"/>
    </row>
    <row r="20435" spans="25:25" x14ac:dyDescent="0.2">
      <c r="Y20435" s="97"/>
    </row>
    <row r="20436" spans="25:25" x14ac:dyDescent="0.2">
      <c r="Y20436" s="97"/>
    </row>
    <row r="20437" spans="25:25" x14ac:dyDescent="0.2">
      <c r="Y20437" s="97"/>
    </row>
    <row r="20438" spans="25:25" x14ac:dyDescent="0.2">
      <c r="Y20438" s="97"/>
    </row>
    <row r="20439" spans="25:25" x14ac:dyDescent="0.2">
      <c r="Y20439" s="97"/>
    </row>
    <row r="20440" spans="25:25" x14ac:dyDescent="0.2">
      <c r="Y20440" s="97"/>
    </row>
    <row r="20441" spans="25:25" x14ac:dyDescent="0.2">
      <c r="Y20441" s="97"/>
    </row>
    <row r="20442" spans="25:25" x14ac:dyDescent="0.2">
      <c r="Y20442" s="97"/>
    </row>
    <row r="20443" spans="25:25" x14ac:dyDescent="0.2">
      <c r="Y20443" s="97"/>
    </row>
    <row r="20444" spans="25:25" x14ac:dyDescent="0.2">
      <c r="Y20444" s="97"/>
    </row>
    <row r="20445" spans="25:25" x14ac:dyDescent="0.2">
      <c r="Y20445" s="97"/>
    </row>
    <row r="20446" spans="25:25" x14ac:dyDescent="0.2">
      <c r="Y20446" s="97"/>
    </row>
    <row r="20447" spans="25:25" x14ac:dyDescent="0.2">
      <c r="Y20447" s="97"/>
    </row>
    <row r="20448" spans="25:25" x14ac:dyDescent="0.2">
      <c r="Y20448" s="97"/>
    </row>
    <row r="20449" spans="25:25" x14ac:dyDescent="0.2">
      <c r="Y20449" s="97"/>
    </row>
    <row r="20450" spans="25:25" x14ac:dyDescent="0.2">
      <c r="Y20450" s="97"/>
    </row>
    <row r="20451" spans="25:25" x14ac:dyDescent="0.2">
      <c r="Y20451" s="97"/>
    </row>
    <row r="20452" spans="25:25" x14ac:dyDescent="0.2">
      <c r="Y20452" s="97"/>
    </row>
    <row r="20453" spans="25:25" x14ac:dyDescent="0.2">
      <c r="Y20453" s="97"/>
    </row>
    <row r="20454" spans="25:25" x14ac:dyDescent="0.2">
      <c r="Y20454" s="97"/>
    </row>
    <row r="20455" spans="25:25" x14ac:dyDescent="0.2">
      <c r="Y20455" s="97"/>
    </row>
    <row r="20456" spans="25:25" x14ac:dyDescent="0.2">
      <c r="Y20456" s="97"/>
    </row>
    <row r="20457" spans="25:25" x14ac:dyDescent="0.2">
      <c r="Y20457" s="97"/>
    </row>
    <row r="20458" spans="25:25" x14ac:dyDescent="0.2">
      <c r="Y20458" s="97"/>
    </row>
    <row r="20459" spans="25:25" x14ac:dyDescent="0.2">
      <c r="Y20459" s="97"/>
    </row>
    <row r="20460" spans="25:25" x14ac:dyDescent="0.2">
      <c r="Y20460" s="97"/>
    </row>
    <row r="20461" spans="25:25" x14ac:dyDescent="0.2">
      <c r="Y20461" s="97"/>
    </row>
    <row r="20462" spans="25:25" x14ac:dyDescent="0.2">
      <c r="Y20462" s="97"/>
    </row>
    <row r="20463" spans="25:25" x14ac:dyDescent="0.2">
      <c r="Y20463" s="97"/>
    </row>
    <row r="20464" spans="25:25" x14ac:dyDescent="0.2">
      <c r="Y20464" s="97"/>
    </row>
    <row r="20465" spans="25:25" x14ac:dyDescent="0.2">
      <c r="Y20465" s="97"/>
    </row>
    <row r="20466" spans="25:25" x14ac:dyDescent="0.2">
      <c r="Y20466" s="97"/>
    </row>
    <row r="20467" spans="25:25" x14ac:dyDescent="0.2">
      <c r="Y20467" s="97"/>
    </row>
    <row r="20468" spans="25:25" x14ac:dyDescent="0.2">
      <c r="Y20468" s="97"/>
    </row>
    <row r="20469" spans="25:25" x14ac:dyDescent="0.2">
      <c r="Y20469" s="97"/>
    </row>
    <row r="20470" spans="25:25" x14ac:dyDescent="0.2">
      <c r="Y20470" s="97"/>
    </row>
    <row r="20471" spans="25:25" x14ac:dyDescent="0.2">
      <c r="Y20471" s="97"/>
    </row>
    <row r="20472" spans="25:25" x14ac:dyDescent="0.2">
      <c r="Y20472" s="97"/>
    </row>
    <row r="20473" spans="25:25" x14ac:dyDescent="0.2">
      <c r="Y20473" s="97"/>
    </row>
    <row r="20474" spans="25:25" x14ac:dyDescent="0.2">
      <c r="Y20474" s="97"/>
    </row>
    <row r="20475" spans="25:25" x14ac:dyDescent="0.2">
      <c r="Y20475" s="97"/>
    </row>
    <row r="20476" spans="25:25" x14ac:dyDescent="0.2">
      <c r="Y20476" s="97"/>
    </row>
    <row r="20477" spans="25:25" x14ac:dyDescent="0.2">
      <c r="Y20477" s="97"/>
    </row>
    <row r="20478" spans="25:25" x14ac:dyDescent="0.2">
      <c r="Y20478" s="97"/>
    </row>
    <row r="20479" spans="25:25" x14ac:dyDescent="0.2">
      <c r="Y20479" s="97"/>
    </row>
    <row r="20480" spans="25:25" x14ac:dyDescent="0.2">
      <c r="Y20480" s="97"/>
    </row>
    <row r="20481" spans="25:25" x14ac:dyDescent="0.2">
      <c r="Y20481" s="97"/>
    </row>
    <row r="20482" spans="25:25" x14ac:dyDescent="0.2">
      <c r="Y20482" s="97"/>
    </row>
    <row r="20483" spans="25:25" x14ac:dyDescent="0.2">
      <c r="Y20483" s="97"/>
    </row>
    <row r="20484" spans="25:25" x14ac:dyDescent="0.2">
      <c r="Y20484" s="97"/>
    </row>
    <row r="20485" spans="25:25" x14ac:dyDescent="0.2">
      <c r="Y20485" s="97"/>
    </row>
    <row r="20486" spans="25:25" x14ac:dyDescent="0.2">
      <c r="Y20486" s="97"/>
    </row>
    <row r="20487" spans="25:25" x14ac:dyDescent="0.2">
      <c r="Y20487" s="97"/>
    </row>
    <row r="20488" spans="25:25" x14ac:dyDescent="0.2">
      <c r="Y20488" s="97"/>
    </row>
    <row r="20489" spans="25:25" x14ac:dyDescent="0.2">
      <c r="Y20489" s="97"/>
    </row>
    <row r="20490" spans="25:25" x14ac:dyDescent="0.2">
      <c r="Y20490" s="97"/>
    </row>
    <row r="20491" spans="25:25" x14ac:dyDescent="0.2">
      <c r="Y20491" s="97"/>
    </row>
    <row r="20492" spans="25:25" x14ac:dyDescent="0.2">
      <c r="Y20492" s="97"/>
    </row>
    <row r="20493" spans="25:25" x14ac:dyDescent="0.2">
      <c r="Y20493" s="97"/>
    </row>
    <row r="20494" spans="25:25" x14ac:dyDescent="0.2">
      <c r="Y20494" s="97"/>
    </row>
    <row r="20495" spans="25:25" x14ac:dyDescent="0.2">
      <c r="Y20495" s="97"/>
    </row>
    <row r="20496" spans="25:25" x14ac:dyDescent="0.2">
      <c r="Y20496" s="97"/>
    </row>
    <row r="20497" spans="25:25" x14ac:dyDescent="0.2">
      <c r="Y20497" s="97"/>
    </row>
    <row r="20498" spans="25:25" x14ac:dyDescent="0.2">
      <c r="Y20498" s="97"/>
    </row>
    <row r="20499" spans="25:25" x14ac:dyDescent="0.2">
      <c r="Y20499" s="97"/>
    </row>
    <row r="20500" spans="25:25" x14ac:dyDescent="0.2">
      <c r="Y20500" s="97"/>
    </row>
    <row r="20501" spans="25:25" x14ac:dyDescent="0.2">
      <c r="Y20501" s="97"/>
    </row>
    <row r="20502" spans="25:25" x14ac:dyDescent="0.2">
      <c r="Y20502" s="97"/>
    </row>
    <row r="20503" spans="25:25" x14ac:dyDescent="0.2">
      <c r="Y20503" s="97"/>
    </row>
    <row r="20504" spans="25:25" x14ac:dyDescent="0.2">
      <c r="Y20504" s="97"/>
    </row>
    <row r="20505" spans="25:25" x14ac:dyDescent="0.2">
      <c r="Y20505" s="97"/>
    </row>
    <row r="20506" spans="25:25" x14ac:dyDescent="0.2">
      <c r="Y20506" s="97"/>
    </row>
    <row r="20507" spans="25:25" x14ac:dyDescent="0.2">
      <c r="Y20507" s="97"/>
    </row>
    <row r="20508" spans="25:25" x14ac:dyDescent="0.2">
      <c r="Y20508" s="97"/>
    </row>
    <row r="20509" spans="25:25" x14ac:dyDescent="0.2">
      <c r="Y20509" s="97"/>
    </row>
    <row r="20510" spans="25:25" x14ac:dyDescent="0.2">
      <c r="Y20510" s="97"/>
    </row>
    <row r="20511" spans="25:25" x14ac:dyDescent="0.2">
      <c r="Y20511" s="97"/>
    </row>
    <row r="20512" spans="25:25" x14ac:dyDescent="0.2">
      <c r="Y20512" s="97"/>
    </row>
    <row r="20513" spans="25:25" x14ac:dyDescent="0.2">
      <c r="Y20513" s="97"/>
    </row>
    <row r="20514" spans="25:25" x14ac:dyDescent="0.2">
      <c r="Y20514" s="97"/>
    </row>
    <row r="20515" spans="25:25" x14ac:dyDescent="0.2">
      <c r="Y20515" s="97"/>
    </row>
    <row r="20516" spans="25:25" x14ac:dyDescent="0.2">
      <c r="Y20516" s="97"/>
    </row>
    <row r="20517" spans="25:25" x14ac:dyDescent="0.2">
      <c r="Y20517" s="97"/>
    </row>
    <row r="20518" spans="25:25" x14ac:dyDescent="0.2">
      <c r="Y20518" s="97"/>
    </row>
    <row r="20519" spans="25:25" x14ac:dyDescent="0.2">
      <c r="Y20519" s="97"/>
    </row>
    <row r="20520" spans="25:25" x14ac:dyDescent="0.2">
      <c r="Y20520" s="97"/>
    </row>
    <row r="20521" spans="25:25" x14ac:dyDescent="0.2">
      <c r="Y20521" s="97"/>
    </row>
    <row r="20522" spans="25:25" x14ac:dyDescent="0.2">
      <c r="Y20522" s="97"/>
    </row>
    <row r="20523" spans="25:25" x14ac:dyDescent="0.2">
      <c r="Y20523" s="97"/>
    </row>
    <row r="20524" spans="25:25" x14ac:dyDescent="0.2">
      <c r="Y20524" s="97"/>
    </row>
    <row r="20525" spans="25:25" x14ac:dyDescent="0.2">
      <c r="Y20525" s="97"/>
    </row>
    <row r="20526" spans="25:25" x14ac:dyDescent="0.2">
      <c r="Y20526" s="97"/>
    </row>
    <row r="20527" spans="25:25" x14ac:dyDescent="0.2">
      <c r="Y20527" s="97"/>
    </row>
    <row r="20528" spans="25:25" x14ac:dyDescent="0.2">
      <c r="Y20528" s="97"/>
    </row>
    <row r="20529" spans="25:25" x14ac:dyDescent="0.2">
      <c r="Y20529" s="97"/>
    </row>
    <row r="20530" spans="25:25" x14ac:dyDescent="0.2">
      <c r="Y20530" s="97"/>
    </row>
    <row r="20531" spans="25:25" x14ac:dyDescent="0.2">
      <c r="Y20531" s="97"/>
    </row>
    <row r="20532" spans="25:25" x14ac:dyDescent="0.2">
      <c r="Y20532" s="97"/>
    </row>
    <row r="20533" spans="25:25" x14ac:dyDescent="0.2">
      <c r="Y20533" s="97"/>
    </row>
    <row r="20534" spans="25:25" x14ac:dyDescent="0.2">
      <c r="Y20534" s="97"/>
    </row>
    <row r="20535" spans="25:25" x14ac:dyDescent="0.2">
      <c r="Y20535" s="97"/>
    </row>
    <row r="20536" spans="25:25" x14ac:dyDescent="0.2">
      <c r="Y20536" s="97"/>
    </row>
    <row r="20537" spans="25:25" x14ac:dyDescent="0.2">
      <c r="Y20537" s="97"/>
    </row>
    <row r="20538" spans="25:25" x14ac:dyDescent="0.2">
      <c r="Y20538" s="97"/>
    </row>
    <row r="20539" spans="25:25" x14ac:dyDescent="0.2">
      <c r="Y20539" s="97"/>
    </row>
    <row r="20540" spans="25:25" x14ac:dyDescent="0.2">
      <c r="Y20540" s="97"/>
    </row>
    <row r="20541" spans="25:25" x14ac:dyDescent="0.2">
      <c r="Y20541" s="97"/>
    </row>
    <row r="20542" spans="25:25" x14ac:dyDescent="0.2">
      <c r="Y20542" s="97"/>
    </row>
    <row r="20543" spans="25:25" x14ac:dyDescent="0.2">
      <c r="Y20543" s="97"/>
    </row>
    <row r="20544" spans="25:25" x14ac:dyDescent="0.2">
      <c r="Y20544" s="97"/>
    </row>
    <row r="20545" spans="25:25" x14ac:dyDescent="0.2">
      <c r="Y20545" s="97"/>
    </row>
    <row r="20546" spans="25:25" x14ac:dyDescent="0.2">
      <c r="Y20546" s="97"/>
    </row>
    <row r="20547" spans="25:25" x14ac:dyDescent="0.2">
      <c r="Y20547" s="97"/>
    </row>
    <row r="20548" spans="25:25" x14ac:dyDescent="0.2">
      <c r="Y20548" s="97"/>
    </row>
    <row r="20549" spans="25:25" x14ac:dyDescent="0.2">
      <c r="Y20549" s="97"/>
    </row>
    <row r="20550" spans="25:25" x14ac:dyDescent="0.2">
      <c r="Y20550" s="97"/>
    </row>
    <row r="20551" spans="25:25" x14ac:dyDescent="0.2">
      <c r="Y20551" s="97"/>
    </row>
    <row r="20552" spans="25:25" x14ac:dyDescent="0.2">
      <c r="Y20552" s="97"/>
    </row>
    <row r="20553" spans="25:25" x14ac:dyDescent="0.2">
      <c r="Y20553" s="97"/>
    </row>
    <row r="20554" spans="25:25" x14ac:dyDescent="0.2">
      <c r="Y20554" s="97"/>
    </row>
    <row r="20555" spans="25:25" x14ac:dyDescent="0.2">
      <c r="Y20555" s="97"/>
    </row>
    <row r="20556" spans="25:25" x14ac:dyDescent="0.2">
      <c r="Y20556" s="97"/>
    </row>
    <row r="20557" spans="25:25" x14ac:dyDescent="0.2">
      <c r="Y20557" s="97"/>
    </row>
    <row r="20558" spans="25:25" x14ac:dyDescent="0.2">
      <c r="Y20558" s="97"/>
    </row>
    <row r="20559" spans="25:25" x14ac:dyDescent="0.2">
      <c r="Y20559" s="97"/>
    </row>
    <row r="20560" spans="25:25" x14ac:dyDescent="0.2">
      <c r="Y20560" s="97"/>
    </row>
    <row r="20561" spans="25:25" x14ac:dyDescent="0.2">
      <c r="Y20561" s="97"/>
    </row>
    <row r="20562" spans="25:25" x14ac:dyDescent="0.2">
      <c r="Y20562" s="97"/>
    </row>
    <row r="20563" spans="25:25" x14ac:dyDescent="0.2">
      <c r="Y20563" s="97"/>
    </row>
    <row r="20564" spans="25:25" x14ac:dyDescent="0.2">
      <c r="Y20564" s="97"/>
    </row>
    <row r="20565" spans="25:25" x14ac:dyDescent="0.2">
      <c r="Y20565" s="97"/>
    </row>
    <row r="20566" spans="25:25" x14ac:dyDescent="0.2">
      <c r="Y20566" s="97"/>
    </row>
    <row r="20567" spans="25:25" x14ac:dyDescent="0.2">
      <c r="Y20567" s="97"/>
    </row>
    <row r="20568" spans="25:25" x14ac:dyDescent="0.2">
      <c r="Y20568" s="97"/>
    </row>
    <row r="20569" spans="25:25" x14ac:dyDescent="0.2">
      <c r="Y20569" s="97"/>
    </row>
    <row r="20570" spans="25:25" x14ac:dyDescent="0.2">
      <c r="Y20570" s="97"/>
    </row>
    <row r="20571" spans="25:25" x14ac:dyDescent="0.2">
      <c r="Y20571" s="97"/>
    </row>
    <row r="20572" spans="25:25" x14ac:dyDescent="0.2">
      <c r="Y20572" s="97"/>
    </row>
    <row r="20573" spans="25:25" x14ac:dyDescent="0.2">
      <c r="Y20573" s="97"/>
    </row>
    <row r="20574" spans="25:25" x14ac:dyDescent="0.2">
      <c r="Y20574" s="97"/>
    </row>
    <row r="20575" spans="25:25" x14ac:dyDescent="0.2">
      <c r="Y20575" s="97"/>
    </row>
    <row r="20576" spans="25:25" x14ac:dyDescent="0.2">
      <c r="Y20576" s="97"/>
    </row>
    <row r="20577" spans="25:25" x14ac:dyDescent="0.2">
      <c r="Y20577" s="97"/>
    </row>
    <row r="20578" spans="25:25" x14ac:dyDescent="0.2">
      <c r="Y20578" s="97"/>
    </row>
    <row r="20579" spans="25:25" x14ac:dyDescent="0.2">
      <c r="Y20579" s="97"/>
    </row>
    <row r="20580" spans="25:25" x14ac:dyDescent="0.2">
      <c r="Y20580" s="97"/>
    </row>
    <row r="20581" spans="25:25" x14ac:dyDescent="0.2">
      <c r="Y20581" s="97"/>
    </row>
    <row r="20582" spans="25:25" x14ac:dyDescent="0.2">
      <c r="Y20582" s="97"/>
    </row>
    <row r="20583" spans="25:25" x14ac:dyDescent="0.2">
      <c r="Y20583" s="97"/>
    </row>
    <row r="20584" spans="25:25" x14ac:dyDescent="0.2">
      <c r="Y20584" s="97"/>
    </row>
    <row r="20585" spans="25:25" x14ac:dyDescent="0.2">
      <c r="Y20585" s="97"/>
    </row>
    <row r="20586" spans="25:25" x14ac:dyDescent="0.2">
      <c r="Y20586" s="97"/>
    </row>
    <row r="20587" spans="25:25" x14ac:dyDescent="0.2">
      <c r="Y20587" s="97"/>
    </row>
    <row r="20588" spans="25:25" x14ac:dyDescent="0.2">
      <c r="Y20588" s="97"/>
    </row>
    <row r="20589" spans="25:25" x14ac:dyDescent="0.2">
      <c r="Y20589" s="97"/>
    </row>
    <row r="20590" spans="25:25" x14ac:dyDescent="0.2">
      <c r="Y20590" s="97"/>
    </row>
    <row r="20591" spans="25:25" x14ac:dyDescent="0.2">
      <c r="Y20591" s="97"/>
    </row>
    <row r="20592" spans="25:25" x14ac:dyDescent="0.2">
      <c r="Y20592" s="97"/>
    </row>
    <row r="20593" spans="25:25" x14ac:dyDescent="0.2">
      <c r="Y20593" s="97"/>
    </row>
    <row r="20594" spans="25:25" x14ac:dyDescent="0.2">
      <c r="Y20594" s="97"/>
    </row>
    <row r="20595" spans="25:25" x14ac:dyDescent="0.2">
      <c r="Y20595" s="97"/>
    </row>
    <row r="20596" spans="25:25" x14ac:dyDescent="0.2">
      <c r="Y20596" s="97"/>
    </row>
    <row r="20597" spans="25:25" x14ac:dyDescent="0.2">
      <c r="Y20597" s="97"/>
    </row>
    <row r="20598" spans="25:25" x14ac:dyDescent="0.2">
      <c r="Y20598" s="97"/>
    </row>
    <row r="20599" spans="25:25" x14ac:dyDescent="0.2">
      <c r="Y20599" s="97"/>
    </row>
    <row r="20600" spans="25:25" x14ac:dyDescent="0.2">
      <c r="Y20600" s="97"/>
    </row>
    <row r="20601" spans="25:25" x14ac:dyDescent="0.2">
      <c r="Y20601" s="97"/>
    </row>
    <row r="20602" spans="25:25" x14ac:dyDescent="0.2">
      <c r="Y20602" s="97"/>
    </row>
    <row r="20603" spans="25:25" x14ac:dyDescent="0.2">
      <c r="Y20603" s="97"/>
    </row>
    <row r="20604" spans="25:25" x14ac:dyDescent="0.2">
      <c r="Y20604" s="97"/>
    </row>
    <row r="20605" spans="25:25" x14ac:dyDescent="0.2">
      <c r="Y20605" s="97"/>
    </row>
    <row r="20606" spans="25:25" x14ac:dyDescent="0.2">
      <c r="Y20606" s="97"/>
    </row>
    <row r="20607" spans="25:25" x14ac:dyDescent="0.2">
      <c r="Y20607" s="97"/>
    </row>
    <row r="20608" spans="25:25" x14ac:dyDescent="0.2">
      <c r="Y20608" s="97"/>
    </row>
    <row r="20609" spans="25:25" x14ac:dyDescent="0.2">
      <c r="Y20609" s="97"/>
    </row>
    <row r="20610" spans="25:25" x14ac:dyDescent="0.2">
      <c r="Y20610" s="97"/>
    </row>
    <row r="20611" spans="25:25" x14ac:dyDescent="0.2">
      <c r="Y20611" s="97"/>
    </row>
    <row r="20612" spans="25:25" x14ac:dyDescent="0.2">
      <c r="Y20612" s="97"/>
    </row>
    <row r="20613" spans="25:25" x14ac:dyDescent="0.2">
      <c r="Y20613" s="97"/>
    </row>
    <row r="20614" spans="25:25" x14ac:dyDescent="0.2">
      <c r="Y20614" s="97"/>
    </row>
    <row r="20615" spans="25:25" x14ac:dyDescent="0.2">
      <c r="Y20615" s="97"/>
    </row>
    <row r="20616" spans="25:25" x14ac:dyDescent="0.2">
      <c r="Y20616" s="97"/>
    </row>
    <row r="20617" spans="25:25" x14ac:dyDescent="0.2">
      <c r="Y20617" s="97"/>
    </row>
    <row r="20618" spans="25:25" x14ac:dyDescent="0.2">
      <c r="Y20618" s="97"/>
    </row>
    <row r="20619" spans="25:25" x14ac:dyDescent="0.2">
      <c r="Y20619" s="97"/>
    </row>
    <row r="20620" spans="25:25" x14ac:dyDescent="0.2">
      <c r="Y20620" s="97"/>
    </row>
    <row r="20621" spans="25:25" x14ac:dyDescent="0.2">
      <c r="Y20621" s="97"/>
    </row>
    <row r="20622" spans="25:25" x14ac:dyDescent="0.2">
      <c r="Y20622" s="97"/>
    </row>
    <row r="20623" spans="25:25" x14ac:dyDescent="0.2">
      <c r="Y20623" s="97"/>
    </row>
    <row r="20624" spans="25:25" x14ac:dyDescent="0.2">
      <c r="Y20624" s="97"/>
    </row>
    <row r="20625" spans="25:25" x14ac:dyDescent="0.2">
      <c r="Y20625" s="97"/>
    </row>
    <row r="20626" spans="25:25" x14ac:dyDescent="0.2">
      <c r="Y20626" s="97"/>
    </row>
    <row r="20627" spans="25:25" x14ac:dyDescent="0.2">
      <c r="Y20627" s="97"/>
    </row>
    <row r="20628" spans="25:25" x14ac:dyDescent="0.2">
      <c r="Y20628" s="97"/>
    </row>
    <row r="20629" spans="25:25" x14ac:dyDescent="0.2">
      <c r="Y20629" s="97"/>
    </row>
    <row r="20630" spans="25:25" x14ac:dyDescent="0.2">
      <c r="Y20630" s="97"/>
    </row>
    <row r="20631" spans="25:25" x14ac:dyDescent="0.2">
      <c r="Y20631" s="97"/>
    </row>
    <row r="20632" spans="25:25" x14ac:dyDescent="0.2">
      <c r="Y20632" s="97"/>
    </row>
    <row r="20633" spans="25:25" x14ac:dyDescent="0.2">
      <c r="Y20633" s="97"/>
    </row>
    <row r="20634" spans="25:25" x14ac:dyDescent="0.2">
      <c r="Y20634" s="97"/>
    </row>
    <row r="20635" spans="25:25" x14ac:dyDescent="0.2">
      <c r="Y20635" s="97"/>
    </row>
    <row r="20636" spans="25:25" x14ac:dyDescent="0.2">
      <c r="Y20636" s="97"/>
    </row>
    <row r="20637" spans="25:25" x14ac:dyDescent="0.2">
      <c r="Y20637" s="97"/>
    </row>
    <row r="20638" spans="25:25" x14ac:dyDescent="0.2">
      <c r="Y20638" s="97"/>
    </row>
    <row r="20639" spans="25:25" x14ac:dyDescent="0.2">
      <c r="Y20639" s="97"/>
    </row>
    <row r="20640" spans="25:25" x14ac:dyDescent="0.2">
      <c r="Y20640" s="97"/>
    </row>
    <row r="20641" spans="25:25" x14ac:dyDescent="0.2">
      <c r="Y20641" s="97"/>
    </row>
    <row r="20642" spans="25:25" x14ac:dyDescent="0.2">
      <c r="Y20642" s="97"/>
    </row>
    <row r="20643" spans="25:25" x14ac:dyDescent="0.2">
      <c r="Y20643" s="97"/>
    </row>
    <row r="20644" spans="25:25" x14ac:dyDescent="0.2">
      <c r="Y20644" s="97"/>
    </row>
    <row r="20645" spans="25:25" x14ac:dyDescent="0.2">
      <c r="Y20645" s="97"/>
    </row>
    <row r="20646" spans="25:25" x14ac:dyDescent="0.2">
      <c r="Y20646" s="97"/>
    </row>
    <row r="20647" spans="25:25" x14ac:dyDescent="0.2">
      <c r="Y20647" s="97"/>
    </row>
    <row r="20648" spans="25:25" x14ac:dyDescent="0.2">
      <c r="Y20648" s="97"/>
    </row>
    <row r="20649" spans="25:25" x14ac:dyDescent="0.2">
      <c r="Y20649" s="97"/>
    </row>
    <row r="20650" spans="25:25" x14ac:dyDescent="0.2">
      <c r="Y20650" s="97"/>
    </row>
    <row r="20651" spans="25:25" x14ac:dyDescent="0.2">
      <c r="Y20651" s="97"/>
    </row>
    <row r="20652" spans="25:25" x14ac:dyDescent="0.2">
      <c r="Y20652" s="97"/>
    </row>
    <row r="20653" spans="25:25" x14ac:dyDescent="0.2">
      <c r="Y20653" s="97"/>
    </row>
    <row r="20654" spans="25:25" x14ac:dyDescent="0.2">
      <c r="Y20654" s="97"/>
    </row>
    <row r="20655" spans="25:25" x14ac:dyDescent="0.2">
      <c r="Y20655" s="97"/>
    </row>
    <row r="20656" spans="25:25" x14ac:dyDescent="0.2">
      <c r="Y20656" s="97"/>
    </row>
    <row r="20657" spans="25:25" x14ac:dyDescent="0.2">
      <c r="Y20657" s="97"/>
    </row>
    <row r="20658" spans="25:25" x14ac:dyDescent="0.2">
      <c r="Y20658" s="97"/>
    </row>
    <row r="20659" spans="25:25" x14ac:dyDescent="0.2">
      <c r="Y20659" s="97"/>
    </row>
    <row r="20660" spans="25:25" x14ac:dyDescent="0.2">
      <c r="Y20660" s="97"/>
    </row>
    <row r="20661" spans="25:25" x14ac:dyDescent="0.2">
      <c r="Y20661" s="97"/>
    </row>
    <row r="20662" spans="25:25" x14ac:dyDescent="0.2">
      <c r="Y20662" s="97"/>
    </row>
    <row r="20663" spans="25:25" x14ac:dyDescent="0.2">
      <c r="Y20663" s="97"/>
    </row>
    <row r="20664" spans="25:25" x14ac:dyDescent="0.2">
      <c r="Y20664" s="97"/>
    </row>
    <row r="20665" spans="25:25" x14ac:dyDescent="0.2">
      <c r="Y20665" s="97"/>
    </row>
    <row r="20666" spans="25:25" x14ac:dyDescent="0.2">
      <c r="Y20666" s="97"/>
    </row>
    <row r="20667" spans="25:25" x14ac:dyDescent="0.2">
      <c r="Y20667" s="97"/>
    </row>
    <row r="20668" spans="25:25" x14ac:dyDescent="0.2">
      <c r="Y20668" s="97"/>
    </row>
    <row r="20669" spans="25:25" x14ac:dyDescent="0.2">
      <c r="Y20669" s="97"/>
    </row>
    <row r="20670" spans="25:25" x14ac:dyDescent="0.2">
      <c r="Y20670" s="97"/>
    </row>
    <row r="20671" spans="25:25" x14ac:dyDescent="0.2">
      <c r="Y20671" s="97"/>
    </row>
    <row r="20672" spans="25:25" x14ac:dyDescent="0.2">
      <c r="Y20672" s="97"/>
    </row>
    <row r="20673" spans="25:25" x14ac:dyDescent="0.2">
      <c r="Y20673" s="97"/>
    </row>
    <row r="20674" spans="25:25" x14ac:dyDescent="0.2">
      <c r="Y20674" s="97"/>
    </row>
    <row r="20675" spans="25:25" x14ac:dyDescent="0.2">
      <c r="Y20675" s="97"/>
    </row>
    <row r="20676" spans="25:25" x14ac:dyDescent="0.2">
      <c r="Y20676" s="97"/>
    </row>
    <row r="20677" spans="25:25" x14ac:dyDescent="0.2">
      <c r="Y20677" s="97"/>
    </row>
    <row r="20678" spans="25:25" x14ac:dyDescent="0.2">
      <c r="Y20678" s="97"/>
    </row>
    <row r="20679" spans="25:25" x14ac:dyDescent="0.2">
      <c r="Y20679" s="97"/>
    </row>
    <row r="20680" spans="25:25" x14ac:dyDescent="0.2">
      <c r="Y20680" s="97"/>
    </row>
    <row r="20681" spans="25:25" x14ac:dyDescent="0.2">
      <c r="Y20681" s="97"/>
    </row>
    <row r="20682" spans="25:25" x14ac:dyDescent="0.2">
      <c r="Y20682" s="97"/>
    </row>
    <row r="20683" spans="25:25" x14ac:dyDescent="0.2">
      <c r="Y20683" s="97"/>
    </row>
    <row r="20684" spans="25:25" x14ac:dyDescent="0.2">
      <c r="Y20684" s="97"/>
    </row>
    <row r="20685" spans="25:25" x14ac:dyDescent="0.2">
      <c r="Y20685" s="97"/>
    </row>
    <row r="20686" spans="25:25" x14ac:dyDescent="0.2">
      <c r="Y20686" s="97"/>
    </row>
    <row r="20687" spans="25:25" x14ac:dyDescent="0.2">
      <c r="Y20687" s="97"/>
    </row>
    <row r="20688" spans="25:25" x14ac:dyDescent="0.2">
      <c r="Y20688" s="97"/>
    </row>
    <row r="20689" spans="25:25" x14ac:dyDescent="0.2">
      <c r="Y20689" s="97"/>
    </row>
    <row r="20690" spans="25:25" x14ac:dyDescent="0.2">
      <c r="Y20690" s="97"/>
    </row>
    <row r="20691" spans="25:25" x14ac:dyDescent="0.2">
      <c r="Y20691" s="97"/>
    </row>
    <row r="20692" spans="25:25" x14ac:dyDescent="0.2">
      <c r="Y20692" s="97"/>
    </row>
    <row r="20693" spans="25:25" x14ac:dyDescent="0.2">
      <c r="Y20693" s="97"/>
    </row>
    <row r="20694" spans="25:25" x14ac:dyDescent="0.2">
      <c r="Y20694" s="97"/>
    </row>
    <row r="20695" spans="25:25" x14ac:dyDescent="0.2">
      <c r="Y20695" s="97"/>
    </row>
    <row r="20696" spans="25:25" x14ac:dyDescent="0.2">
      <c r="Y20696" s="97"/>
    </row>
    <row r="20697" spans="25:25" x14ac:dyDescent="0.2">
      <c r="Y20697" s="97"/>
    </row>
    <row r="20698" spans="25:25" x14ac:dyDescent="0.2">
      <c r="Y20698" s="97"/>
    </row>
    <row r="20699" spans="25:25" x14ac:dyDescent="0.2">
      <c r="Y20699" s="97"/>
    </row>
    <row r="20700" spans="25:25" x14ac:dyDescent="0.2">
      <c r="Y20700" s="97"/>
    </row>
    <row r="20701" spans="25:25" x14ac:dyDescent="0.2">
      <c r="Y20701" s="97"/>
    </row>
    <row r="20702" spans="25:25" x14ac:dyDescent="0.2">
      <c r="Y20702" s="97"/>
    </row>
    <row r="20703" spans="25:25" x14ac:dyDescent="0.2">
      <c r="Y20703" s="97"/>
    </row>
    <row r="20704" spans="25:25" x14ac:dyDescent="0.2">
      <c r="Y20704" s="97"/>
    </row>
    <row r="20705" spans="25:25" x14ac:dyDescent="0.2">
      <c r="Y20705" s="97"/>
    </row>
    <row r="20706" spans="25:25" x14ac:dyDescent="0.2">
      <c r="Y20706" s="97"/>
    </row>
    <row r="20707" spans="25:25" x14ac:dyDescent="0.2">
      <c r="Y20707" s="97"/>
    </row>
    <row r="20708" spans="25:25" x14ac:dyDescent="0.2">
      <c r="Y20708" s="97"/>
    </row>
    <row r="20709" spans="25:25" x14ac:dyDescent="0.2">
      <c r="Y20709" s="97"/>
    </row>
    <row r="20710" spans="25:25" x14ac:dyDescent="0.2">
      <c r="Y20710" s="97"/>
    </row>
    <row r="20711" spans="25:25" x14ac:dyDescent="0.2">
      <c r="Y20711" s="97"/>
    </row>
    <row r="20712" spans="25:25" x14ac:dyDescent="0.2">
      <c r="Y20712" s="97"/>
    </row>
    <row r="20713" spans="25:25" x14ac:dyDescent="0.2">
      <c r="Y20713" s="97"/>
    </row>
    <row r="20714" spans="25:25" x14ac:dyDescent="0.2">
      <c r="Y20714" s="97"/>
    </row>
    <row r="20715" spans="25:25" x14ac:dyDescent="0.2">
      <c r="Y20715" s="97"/>
    </row>
    <row r="20716" spans="25:25" x14ac:dyDescent="0.2">
      <c r="Y20716" s="97"/>
    </row>
    <row r="20717" spans="25:25" x14ac:dyDescent="0.2">
      <c r="Y20717" s="97"/>
    </row>
    <row r="20718" spans="25:25" x14ac:dyDescent="0.2">
      <c r="Y20718" s="97"/>
    </row>
    <row r="20719" spans="25:25" x14ac:dyDescent="0.2">
      <c r="Y20719" s="97"/>
    </row>
    <row r="20720" spans="25:25" x14ac:dyDescent="0.2">
      <c r="Y20720" s="97"/>
    </row>
    <row r="20721" spans="25:25" x14ac:dyDescent="0.2">
      <c r="Y20721" s="97"/>
    </row>
    <row r="20722" spans="25:25" x14ac:dyDescent="0.2">
      <c r="Y20722" s="97"/>
    </row>
    <row r="20723" spans="25:25" x14ac:dyDescent="0.2">
      <c r="Y20723" s="97"/>
    </row>
    <row r="20724" spans="25:25" x14ac:dyDescent="0.2">
      <c r="Y20724" s="97"/>
    </row>
    <row r="20725" spans="25:25" x14ac:dyDescent="0.2">
      <c r="Y20725" s="97"/>
    </row>
    <row r="20726" spans="25:25" x14ac:dyDescent="0.2">
      <c r="Y20726" s="97"/>
    </row>
    <row r="20727" spans="25:25" x14ac:dyDescent="0.2">
      <c r="Y20727" s="97"/>
    </row>
    <row r="20728" spans="25:25" x14ac:dyDescent="0.2">
      <c r="Y20728" s="97"/>
    </row>
    <row r="20729" spans="25:25" x14ac:dyDescent="0.2">
      <c r="Y20729" s="97"/>
    </row>
    <row r="20730" spans="25:25" x14ac:dyDescent="0.2">
      <c r="Y20730" s="97"/>
    </row>
    <row r="20731" spans="25:25" x14ac:dyDescent="0.2">
      <c r="Y20731" s="97"/>
    </row>
    <row r="20732" spans="25:25" x14ac:dyDescent="0.2">
      <c r="Y20732" s="97"/>
    </row>
    <row r="20733" spans="25:25" x14ac:dyDescent="0.2">
      <c r="Y20733" s="97"/>
    </row>
    <row r="20734" spans="25:25" x14ac:dyDescent="0.2">
      <c r="Y20734" s="97"/>
    </row>
    <row r="20735" spans="25:25" x14ac:dyDescent="0.2">
      <c r="Y20735" s="97"/>
    </row>
    <row r="20736" spans="25:25" x14ac:dyDescent="0.2">
      <c r="Y20736" s="97"/>
    </row>
    <row r="20737" spans="25:25" x14ac:dyDescent="0.2">
      <c r="Y20737" s="97"/>
    </row>
    <row r="20738" spans="25:25" x14ac:dyDescent="0.2">
      <c r="Y20738" s="97"/>
    </row>
    <row r="20739" spans="25:25" x14ac:dyDescent="0.2">
      <c r="Y20739" s="97"/>
    </row>
    <row r="20740" spans="25:25" x14ac:dyDescent="0.2">
      <c r="Y20740" s="97"/>
    </row>
    <row r="20741" spans="25:25" x14ac:dyDescent="0.2">
      <c r="Y20741" s="97"/>
    </row>
    <row r="20742" spans="25:25" x14ac:dyDescent="0.2">
      <c r="Y20742" s="97"/>
    </row>
    <row r="20743" spans="25:25" x14ac:dyDescent="0.2">
      <c r="Y20743" s="97"/>
    </row>
    <row r="20744" spans="25:25" x14ac:dyDescent="0.2">
      <c r="Y20744" s="97"/>
    </row>
    <row r="20745" spans="25:25" x14ac:dyDescent="0.2">
      <c r="Y20745" s="97"/>
    </row>
    <row r="20746" spans="25:25" x14ac:dyDescent="0.2">
      <c r="Y20746" s="97"/>
    </row>
    <row r="20747" spans="25:25" x14ac:dyDescent="0.2">
      <c r="Y20747" s="97"/>
    </row>
    <row r="20748" spans="25:25" x14ac:dyDescent="0.2">
      <c r="Y20748" s="97"/>
    </row>
    <row r="20749" spans="25:25" x14ac:dyDescent="0.2">
      <c r="Y20749" s="97"/>
    </row>
    <row r="20750" spans="25:25" x14ac:dyDescent="0.2">
      <c r="Y20750" s="97"/>
    </row>
    <row r="20751" spans="25:25" x14ac:dyDescent="0.2">
      <c r="Y20751" s="97"/>
    </row>
    <row r="20752" spans="25:25" x14ac:dyDescent="0.2">
      <c r="Y20752" s="97"/>
    </row>
    <row r="20753" spans="25:25" x14ac:dyDescent="0.2">
      <c r="Y20753" s="97"/>
    </row>
    <row r="20754" spans="25:25" x14ac:dyDescent="0.2">
      <c r="Y20754" s="97"/>
    </row>
    <row r="20755" spans="25:25" x14ac:dyDescent="0.2">
      <c r="Y20755" s="97"/>
    </row>
    <row r="20756" spans="25:25" x14ac:dyDescent="0.2">
      <c r="Y20756" s="97"/>
    </row>
    <row r="20757" spans="25:25" x14ac:dyDescent="0.2">
      <c r="Y20757" s="97"/>
    </row>
    <row r="20758" spans="25:25" x14ac:dyDescent="0.2">
      <c r="Y20758" s="97"/>
    </row>
    <row r="20759" spans="25:25" x14ac:dyDescent="0.2">
      <c r="Y20759" s="97"/>
    </row>
    <row r="20760" spans="25:25" x14ac:dyDescent="0.2">
      <c r="Y20760" s="97"/>
    </row>
    <row r="20761" spans="25:25" x14ac:dyDescent="0.2">
      <c r="Y20761" s="97"/>
    </row>
    <row r="20762" spans="25:25" x14ac:dyDescent="0.2">
      <c r="Y20762" s="97"/>
    </row>
    <row r="20763" spans="25:25" x14ac:dyDescent="0.2">
      <c r="Y20763" s="97"/>
    </row>
    <row r="20764" spans="25:25" x14ac:dyDescent="0.2">
      <c r="Y20764" s="97"/>
    </row>
    <row r="20765" spans="25:25" x14ac:dyDescent="0.2">
      <c r="Y20765" s="97"/>
    </row>
    <row r="20766" spans="25:25" x14ac:dyDescent="0.2">
      <c r="Y20766" s="97"/>
    </row>
    <row r="20767" spans="25:25" x14ac:dyDescent="0.2">
      <c r="Y20767" s="97"/>
    </row>
    <row r="20768" spans="25:25" x14ac:dyDescent="0.2">
      <c r="Y20768" s="97"/>
    </row>
    <row r="20769" spans="25:25" x14ac:dyDescent="0.2">
      <c r="Y20769" s="97"/>
    </row>
    <row r="20770" spans="25:25" x14ac:dyDescent="0.2">
      <c r="Y20770" s="97"/>
    </row>
    <row r="20771" spans="25:25" x14ac:dyDescent="0.2">
      <c r="Y20771" s="97"/>
    </row>
    <row r="20772" spans="25:25" x14ac:dyDescent="0.2">
      <c r="Y20772" s="97"/>
    </row>
    <row r="20773" spans="25:25" x14ac:dyDescent="0.2">
      <c r="Y20773" s="97"/>
    </row>
    <row r="20774" spans="25:25" x14ac:dyDescent="0.2">
      <c r="Y20774" s="97"/>
    </row>
    <row r="20775" spans="25:25" x14ac:dyDescent="0.2">
      <c r="Y20775" s="97"/>
    </row>
    <row r="20776" spans="25:25" x14ac:dyDescent="0.2">
      <c r="Y20776" s="97"/>
    </row>
    <row r="20777" spans="25:25" x14ac:dyDescent="0.2">
      <c r="Y20777" s="97"/>
    </row>
    <row r="20778" spans="25:25" x14ac:dyDescent="0.2">
      <c r="Y20778" s="97"/>
    </row>
    <row r="20779" spans="25:25" x14ac:dyDescent="0.2">
      <c r="Y20779" s="97"/>
    </row>
    <row r="20780" spans="25:25" x14ac:dyDescent="0.2">
      <c r="Y20780" s="97"/>
    </row>
    <row r="20781" spans="25:25" x14ac:dyDescent="0.2">
      <c r="Y20781" s="97"/>
    </row>
    <row r="20782" spans="25:25" x14ac:dyDescent="0.2">
      <c r="Y20782" s="97"/>
    </row>
    <row r="20783" spans="25:25" x14ac:dyDescent="0.2">
      <c r="Y20783" s="97"/>
    </row>
    <row r="20784" spans="25:25" x14ac:dyDescent="0.2">
      <c r="Y20784" s="97"/>
    </row>
    <row r="20785" spans="25:25" x14ac:dyDescent="0.2">
      <c r="Y20785" s="97"/>
    </row>
    <row r="20786" spans="25:25" x14ac:dyDescent="0.2">
      <c r="Y20786" s="97"/>
    </row>
    <row r="20787" spans="25:25" x14ac:dyDescent="0.2">
      <c r="Y20787" s="97"/>
    </row>
    <row r="20788" spans="25:25" x14ac:dyDescent="0.2">
      <c r="Y20788" s="97"/>
    </row>
    <row r="20789" spans="25:25" x14ac:dyDescent="0.2">
      <c r="Y20789" s="97"/>
    </row>
    <row r="20790" spans="25:25" x14ac:dyDescent="0.2">
      <c r="Y20790" s="97"/>
    </row>
    <row r="20791" spans="25:25" x14ac:dyDescent="0.2">
      <c r="Y20791" s="97"/>
    </row>
    <row r="20792" spans="25:25" x14ac:dyDescent="0.2">
      <c r="Y20792" s="97"/>
    </row>
    <row r="20793" spans="25:25" x14ac:dyDescent="0.2">
      <c r="Y20793" s="97"/>
    </row>
    <row r="20794" spans="25:25" x14ac:dyDescent="0.2">
      <c r="Y20794" s="97"/>
    </row>
    <row r="20795" spans="25:25" x14ac:dyDescent="0.2">
      <c r="Y20795" s="97"/>
    </row>
    <row r="20796" spans="25:25" x14ac:dyDescent="0.2">
      <c r="Y20796" s="97"/>
    </row>
    <row r="20797" spans="25:25" x14ac:dyDescent="0.2">
      <c r="Y20797" s="97"/>
    </row>
    <row r="20798" spans="25:25" x14ac:dyDescent="0.2">
      <c r="Y20798" s="97"/>
    </row>
    <row r="20799" spans="25:25" x14ac:dyDescent="0.2">
      <c r="Y20799" s="97"/>
    </row>
    <row r="20800" spans="25:25" x14ac:dyDescent="0.2">
      <c r="Y20800" s="97"/>
    </row>
    <row r="20801" spans="25:25" x14ac:dyDescent="0.2">
      <c r="Y20801" s="97"/>
    </row>
    <row r="20802" spans="25:25" x14ac:dyDescent="0.2">
      <c r="Y20802" s="97"/>
    </row>
    <row r="20803" spans="25:25" x14ac:dyDescent="0.2">
      <c r="Y20803" s="97"/>
    </row>
    <row r="20804" spans="25:25" x14ac:dyDescent="0.2">
      <c r="Y20804" s="97"/>
    </row>
    <row r="20805" spans="25:25" x14ac:dyDescent="0.2">
      <c r="Y20805" s="97"/>
    </row>
    <row r="20806" spans="25:25" x14ac:dyDescent="0.2">
      <c r="Y20806" s="97"/>
    </row>
    <row r="20807" spans="25:25" x14ac:dyDescent="0.2">
      <c r="Y20807" s="97"/>
    </row>
    <row r="20808" spans="25:25" x14ac:dyDescent="0.2">
      <c r="Y20808" s="97"/>
    </row>
    <row r="20809" spans="25:25" x14ac:dyDescent="0.2">
      <c r="Y20809" s="97"/>
    </row>
    <row r="20810" spans="25:25" x14ac:dyDescent="0.2">
      <c r="Y20810" s="97"/>
    </row>
    <row r="20811" spans="25:25" x14ac:dyDescent="0.2">
      <c r="Y20811" s="97"/>
    </row>
    <row r="20812" spans="25:25" x14ac:dyDescent="0.2">
      <c r="Y20812" s="97"/>
    </row>
    <row r="20813" spans="25:25" x14ac:dyDescent="0.2">
      <c r="Y20813" s="97"/>
    </row>
    <row r="20814" spans="25:25" x14ac:dyDescent="0.2">
      <c r="Y20814" s="97"/>
    </row>
    <row r="20815" spans="25:25" x14ac:dyDescent="0.2">
      <c r="Y20815" s="97"/>
    </row>
    <row r="20816" spans="25:25" x14ac:dyDescent="0.2">
      <c r="Y20816" s="97"/>
    </row>
    <row r="20817" spans="25:25" x14ac:dyDescent="0.2">
      <c r="Y20817" s="97"/>
    </row>
    <row r="20818" spans="25:25" x14ac:dyDescent="0.2">
      <c r="Y20818" s="97"/>
    </row>
    <row r="20819" spans="25:25" x14ac:dyDescent="0.2">
      <c r="Y20819" s="97"/>
    </row>
    <row r="20820" spans="25:25" x14ac:dyDescent="0.2">
      <c r="Y20820" s="97"/>
    </row>
    <row r="20821" spans="25:25" x14ac:dyDescent="0.2">
      <c r="Y20821" s="97"/>
    </row>
    <row r="20822" spans="25:25" x14ac:dyDescent="0.2">
      <c r="Y20822" s="97"/>
    </row>
    <row r="20823" spans="25:25" x14ac:dyDescent="0.2">
      <c r="Y20823" s="97"/>
    </row>
    <row r="20824" spans="25:25" x14ac:dyDescent="0.2">
      <c r="Y20824" s="97"/>
    </row>
    <row r="20825" spans="25:25" x14ac:dyDescent="0.2">
      <c r="Y20825" s="97"/>
    </row>
    <row r="20826" spans="25:25" x14ac:dyDescent="0.2">
      <c r="Y20826" s="97"/>
    </row>
    <row r="20827" spans="25:25" x14ac:dyDescent="0.2">
      <c r="Y20827" s="97"/>
    </row>
    <row r="20828" spans="25:25" x14ac:dyDescent="0.2">
      <c r="Y20828" s="97"/>
    </row>
    <row r="20829" spans="25:25" x14ac:dyDescent="0.2">
      <c r="Y20829" s="97"/>
    </row>
    <row r="20830" spans="25:25" x14ac:dyDescent="0.2">
      <c r="Y20830" s="97"/>
    </row>
    <row r="20831" spans="25:25" x14ac:dyDescent="0.2">
      <c r="Y20831" s="97"/>
    </row>
    <row r="20832" spans="25:25" x14ac:dyDescent="0.2">
      <c r="Y20832" s="97"/>
    </row>
    <row r="20833" spans="25:25" x14ac:dyDescent="0.2">
      <c r="Y20833" s="97"/>
    </row>
    <row r="20834" spans="25:25" x14ac:dyDescent="0.2">
      <c r="Y20834" s="97"/>
    </row>
    <row r="20835" spans="25:25" x14ac:dyDescent="0.2">
      <c r="Y20835" s="97"/>
    </row>
    <row r="20836" spans="25:25" x14ac:dyDescent="0.2">
      <c r="Y20836" s="97"/>
    </row>
    <row r="20837" spans="25:25" x14ac:dyDescent="0.2">
      <c r="Y20837" s="97"/>
    </row>
    <row r="20838" spans="25:25" x14ac:dyDescent="0.2">
      <c r="Y20838" s="97"/>
    </row>
    <row r="20839" spans="25:25" x14ac:dyDescent="0.2">
      <c r="Y20839" s="97"/>
    </row>
    <row r="20840" spans="25:25" x14ac:dyDescent="0.2">
      <c r="Y20840" s="97"/>
    </row>
    <row r="20841" spans="25:25" x14ac:dyDescent="0.2">
      <c r="Y20841" s="97"/>
    </row>
    <row r="20842" spans="25:25" x14ac:dyDescent="0.2">
      <c r="Y20842" s="97"/>
    </row>
    <row r="20843" spans="25:25" x14ac:dyDescent="0.2">
      <c r="Y20843" s="97"/>
    </row>
    <row r="20844" spans="25:25" x14ac:dyDescent="0.2">
      <c r="Y20844" s="97"/>
    </row>
    <row r="20845" spans="25:25" x14ac:dyDescent="0.2">
      <c r="Y20845" s="97"/>
    </row>
    <row r="20846" spans="25:25" x14ac:dyDescent="0.2">
      <c r="Y20846" s="97"/>
    </row>
    <row r="20847" spans="25:25" x14ac:dyDescent="0.2">
      <c r="Y20847" s="97"/>
    </row>
    <row r="20848" spans="25:25" x14ac:dyDescent="0.2">
      <c r="Y20848" s="97"/>
    </row>
    <row r="20849" spans="25:25" x14ac:dyDescent="0.2">
      <c r="Y20849" s="97"/>
    </row>
    <row r="20850" spans="25:25" x14ac:dyDescent="0.2">
      <c r="Y20850" s="97"/>
    </row>
    <row r="20851" spans="25:25" x14ac:dyDescent="0.2">
      <c r="Y20851" s="97"/>
    </row>
    <row r="20852" spans="25:25" x14ac:dyDescent="0.2">
      <c r="Y20852" s="97"/>
    </row>
    <row r="20853" spans="25:25" x14ac:dyDescent="0.2">
      <c r="Y20853" s="97"/>
    </row>
    <row r="20854" spans="25:25" x14ac:dyDescent="0.2">
      <c r="Y20854" s="97"/>
    </row>
    <row r="20855" spans="25:25" x14ac:dyDescent="0.2">
      <c r="Y20855" s="97"/>
    </row>
    <row r="20856" spans="25:25" x14ac:dyDescent="0.2">
      <c r="Y20856" s="97"/>
    </row>
    <row r="20857" spans="25:25" x14ac:dyDescent="0.2">
      <c r="Y20857" s="97"/>
    </row>
    <row r="20858" spans="25:25" x14ac:dyDescent="0.2">
      <c r="Y20858" s="97"/>
    </row>
    <row r="20859" spans="25:25" x14ac:dyDescent="0.2">
      <c r="Y20859" s="97"/>
    </row>
    <row r="20860" spans="25:25" x14ac:dyDescent="0.2">
      <c r="Y20860" s="97"/>
    </row>
    <row r="20861" spans="25:25" x14ac:dyDescent="0.2">
      <c r="Y20861" s="97"/>
    </row>
    <row r="20862" spans="25:25" x14ac:dyDescent="0.2">
      <c r="Y20862" s="97"/>
    </row>
    <row r="20863" spans="25:25" x14ac:dyDescent="0.2">
      <c r="Y20863" s="97"/>
    </row>
    <row r="20864" spans="25:25" x14ac:dyDescent="0.2">
      <c r="Y20864" s="97"/>
    </row>
    <row r="20865" spans="25:25" x14ac:dyDescent="0.2">
      <c r="Y20865" s="97"/>
    </row>
    <row r="20866" spans="25:25" x14ac:dyDescent="0.2">
      <c r="Y20866" s="97"/>
    </row>
    <row r="20867" spans="25:25" x14ac:dyDescent="0.2">
      <c r="Y20867" s="97"/>
    </row>
    <row r="20868" spans="25:25" x14ac:dyDescent="0.2">
      <c r="Y20868" s="97"/>
    </row>
    <row r="20869" spans="25:25" x14ac:dyDescent="0.2">
      <c r="Y20869" s="97"/>
    </row>
    <row r="20870" spans="25:25" x14ac:dyDescent="0.2">
      <c r="Y20870" s="97"/>
    </row>
    <row r="20871" spans="25:25" x14ac:dyDescent="0.2">
      <c r="Y20871" s="97"/>
    </row>
    <row r="20872" spans="25:25" x14ac:dyDescent="0.2">
      <c r="Y20872" s="97"/>
    </row>
    <row r="20873" spans="25:25" x14ac:dyDescent="0.2">
      <c r="Y20873" s="97"/>
    </row>
    <row r="20874" spans="25:25" x14ac:dyDescent="0.2">
      <c r="Y20874" s="97"/>
    </row>
    <row r="20875" spans="25:25" x14ac:dyDescent="0.2">
      <c r="Y20875" s="97"/>
    </row>
    <row r="20876" spans="25:25" x14ac:dyDescent="0.2">
      <c r="Y20876" s="97"/>
    </row>
    <row r="20877" spans="25:25" x14ac:dyDescent="0.2">
      <c r="Y20877" s="97"/>
    </row>
    <row r="20878" spans="25:25" x14ac:dyDescent="0.2">
      <c r="Y20878" s="97"/>
    </row>
    <row r="20879" spans="25:25" x14ac:dyDescent="0.2">
      <c r="Y20879" s="97"/>
    </row>
    <row r="20880" spans="25:25" x14ac:dyDescent="0.2">
      <c r="Y20880" s="97"/>
    </row>
    <row r="20881" spans="25:25" x14ac:dyDescent="0.2">
      <c r="Y20881" s="97"/>
    </row>
    <row r="20882" spans="25:25" x14ac:dyDescent="0.2">
      <c r="Y20882" s="97"/>
    </row>
    <row r="20883" spans="25:25" x14ac:dyDescent="0.2">
      <c r="Y20883" s="97"/>
    </row>
    <row r="20884" spans="25:25" x14ac:dyDescent="0.2">
      <c r="Y20884" s="97"/>
    </row>
    <row r="20885" spans="25:25" x14ac:dyDescent="0.2">
      <c r="Y20885" s="97"/>
    </row>
    <row r="20886" spans="25:25" x14ac:dyDescent="0.2">
      <c r="Y20886" s="97"/>
    </row>
    <row r="20887" spans="25:25" x14ac:dyDescent="0.2">
      <c r="Y20887" s="97"/>
    </row>
    <row r="20888" spans="25:25" x14ac:dyDescent="0.2">
      <c r="Y20888" s="97"/>
    </row>
    <row r="20889" spans="25:25" x14ac:dyDescent="0.2">
      <c r="Y20889" s="97"/>
    </row>
    <row r="20890" spans="25:25" x14ac:dyDescent="0.2">
      <c r="Y20890" s="97"/>
    </row>
    <row r="20891" spans="25:25" x14ac:dyDescent="0.2">
      <c r="Y20891" s="97"/>
    </row>
    <row r="20892" spans="25:25" x14ac:dyDescent="0.2">
      <c r="Y20892" s="97"/>
    </row>
    <row r="20893" spans="25:25" x14ac:dyDescent="0.2">
      <c r="Y20893" s="97"/>
    </row>
    <row r="20894" spans="25:25" x14ac:dyDescent="0.2">
      <c r="Y20894" s="97"/>
    </row>
    <row r="20895" spans="25:25" x14ac:dyDescent="0.2">
      <c r="Y20895" s="97"/>
    </row>
    <row r="20896" spans="25:25" x14ac:dyDescent="0.2">
      <c r="Y20896" s="97"/>
    </row>
    <row r="20897" spans="25:25" x14ac:dyDescent="0.2">
      <c r="Y20897" s="97"/>
    </row>
    <row r="20898" spans="25:25" x14ac:dyDescent="0.2">
      <c r="Y20898" s="97"/>
    </row>
    <row r="20899" spans="25:25" x14ac:dyDescent="0.2">
      <c r="Y20899" s="97"/>
    </row>
    <row r="20900" spans="25:25" x14ac:dyDescent="0.2">
      <c r="Y20900" s="97"/>
    </row>
    <row r="20901" spans="25:25" x14ac:dyDescent="0.2">
      <c r="Y20901" s="97"/>
    </row>
    <row r="20902" spans="25:25" x14ac:dyDescent="0.2">
      <c r="Y20902" s="97"/>
    </row>
    <row r="20903" spans="25:25" x14ac:dyDescent="0.2">
      <c r="Y20903" s="97"/>
    </row>
    <row r="20904" spans="25:25" x14ac:dyDescent="0.2">
      <c r="Y20904" s="97"/>
    </row>
    <row r="20905" spans="25:25" x14ac:dyDescent="0.2">
      <c r="Y20905" s="97"/>
    </row>
    <row r="20906" spans="25:25" x14ac:dyDescent="0.2">
      <c r="Y20906" s="97"/>
    </row>
    <row r="20907" spans="25:25" x14ac:dyDescent="0.2">
      <c r="Y20907" s="97"/>
    </row>
    <row r="20908" spans="25:25" x14ac:dyDescent="0.2">
      <c r="Y20908" s="97"/>
    </row>
    <row r="20909" spans="25:25" x14ac:dyDescent="0.2">
      <c r="Y20909" s="97"/>
    </row>
    <row r="20910" spans="25:25" x14ac:dyDescent="0.2">
      <c r="Y20910" s="97"/>
    </row>
    <row r="20911" spans="25:25" x14ac:dyDescent="0.2">
      <c r="Y20911" s="97"/>
    </row>
    <row r="20912" spans="25:25" x14ac:dyDescent="0.2">
      <c r="Y20912" s="97"/>
    </row>
    <row r="20913" spans="25:25" x14ac:dyDescent="0.2">
      <c r="Y20913" s="97"/>
    </row>
    <row r="20914" spans="25:25" x14ac:dyDescent="0.2">
      <c r="Y20914" s="97"/>
    </row>
    <row r="20915" spans="25:25" x14ac:dyDescent="0.2">
      <c r="Y20915" s="97"/>
    </row>
    <row r="20916" spans="25:25" x14ac:dyDescent="0.2">
      <c r="Y20916" s="97"/>
    </row>
    <row r="20917" spans="25:25" x14ac:dyDescent="0.2">
      <c r="Y20917" s="97"/>
    </row>
    <row r="20918" spans="25:25" x14ac:dyDescent="0.2">
      <c r="Y20918" s="97"/>
    </row>
    <row r="20919" spans="25:25" x14ac:dyDescent="0.2">
      <c r="Y20919" s="97"/>
    </row>
    <row r="20920" spans="25:25" x14ac:dyDescent="0.2">
      <c r="Y20920" s="97"/>
    </row>
    <row r="20921" spans="25:25" x14ac:dyDescent="0.2">
      <c r="Y20921" s="97"/>
    </row>
    <row r="20922" spans="25:25" x14ac:dyDescent="0.2">
      <c r="Y20922" s="97"/>
    </row>
    <row r="20923" spans="25:25" x14ac:dyDescent="0.2">
      <c r="Y20923" s="97"/>
    </row>
    <row r="20924" spans="25:25" x14ac:dyDescent="0.2">
      <c r="Y20924" s="97"/>
    </row>
    <row r="20925" spans="25:25" x14ac:dyDescent="0.2">
      <c r="Y20925" s="97"/>
    </row>
    <row r="20926" spans="25:25" x14ac:dyDescent="0.2">
      <c r="Y20926" s="97"/>
    </row>
    <row r="20927" spans="25:25" x14ac:dyDescent="0.2">
      <c r="Y20927" s="97"/>
    </row>
    <row r="20928" spans="25:25" x14ac:dyDescent="0.2">
      <c r="Y20928" s="97"/>
    </row>
    <row r="20929" spans="25:25" x14ac:dyDescent="0.2">
      <c r="Y20929" s="97"/>
    </row>
    <row r="20930" spans="25:25" x14ac:dyDescent="0.2">
      <c r="Y20930" s="97"/>
    </row>
    <row r="20931" spans="25:25" x14ac:dyDescent="0.2">
      <c r="Y20931" s="97"/>
    </row>
    <row r="20932" spans="25:25" x14ac:dyDescent="0.2">
      <c r="Y20932" s="97"/>
    </row>
    <row r="20933" spans="25:25" x14ac:dyDescent="0.2">
      <c r="Y20933" s="97"/>
    </row>
    <row r="20934" spans="25:25" x14ac:dyDescent="0.2">
      <c r="Y20934" s="97"/>
    </row>
    <row r="20935" spans="25:25" x14ac:dyDescent="0.2">
      <c r="Y20935" s="97"/>
    </row>
    <row r="20936" spans="25:25" x14ac:dyDescent="0.2">
      <c r="Y20936" s="97"/>
    </row>
    <row r="20937" spans="25:25" x14ac:dyDescent="0.2">
      <c r="Y20937" s="97"/>
    </row>
    <row r="20938" spans="25:25" x14ac:dyDescent="0.2">
      <c r="Y20938" s="97"/>
    </row>
    <row r="20939" spans="25:25" x14ac:dyDescent="0.2">
      <c r="Y20939" s="97"/>
    </row>
    <row r="20940" spans="25:25" x14ac:dyDescent="0.2">
      <c r="Y20940" s="97"/>
    </row>
    <row r="20941" spans="25:25" x14ac:dyDescent="0.2">
      <c r="Y20941" s="97"/>
    </row>
    <row r="20942" spans="25:25" x14ac:dyDescent="0.2">
      <c r="Y20942" s="97"/>
    </row>
    <row r="20943" spans="25:25" x14ac:dyDescent="0.2">
      <c r="Y20943" s="97"/>
    </row>
    <row r="20944" spans="25:25" x14ac:dyDescent="0.2">
      <c r="Y20944" s="97"/>
    </row>
    <row r="20945" spans="25:25" x14ac:dyDescent="0.2">
      <c r="Y20945" s="97"/>
    </row>
    <row r="20946" spans="25:25" x14ac:dyDescent="0.2">
      <c r="Y20946" s="97"/>
    </row>
    <row r="20947" spans="25:25" x14ac:dyDescent="0.2">
      <c r="Y20947" s="97"/>
    </row>
    <row r="20948" spans="25:25" x14ac:dyDescent="0.2">
      <c r="Y20948" s="97"/>
    </row>
    <row r="20949" spans="25:25" x14ac:dyDescent="0.2">
      <c r="Y20949" s="97"/>
    </row>
    <row r="20950" spans="25:25" x14ac:dyDescent="0.2">
      <c r="Y20950" s="97"/>
    </row>
    <row r="20951" spans="25:25" x14ac:dyDescent="0.2">
      <c r="Y20951" s="97"/>
    </row>
    <row r="20952" spans="25:25" x14ac:dyDescent="0.2">
      <c r="Y20952" s="97"/>
    </row>
    <row r="20953" spans="25:25" x14ac:dyDescent="0.2">
      <c r="Y20953" s="97"/>
    </row>
    <row r="20954" spans="25:25" x14ac:dyDescent="0.2">
      <c r="Y20954" s="97"/>
    </row>
    <row r="20955" spans="25:25" x14ac:dyDescent="0.2">
      <c r="Y20955" s="97"/>
    </row>
    <row r="20956" spans="25:25" x14ac:dyDescent="0.2">
      <c r="Y20956" s="97"/>
    </row>
    <row r="20957" spans="25:25" x14ac:dyDescent="0.2">
      <c r="Y20957" s="97"/>
    </row>
    <row r="20958" spans="25:25" x14ac:dyDescent="0.2">
      <c r="Y20958" s="97"/>
    </row>
    <row r="20959" spans="25:25" x14ac:dyDescent="0.2">
      <c r="Y20959" s="97"/>
    </row>
    <row r="20960" spans="25:25" x14ac:dyDescent="0.2">
      <c r="Y20960" s="97"/>
    </row>
    <row r="20961" spans="25:25" x14ac:dyDescent="0.2">
      <c r="Y20961" s="97"/>
    </row>
    <row r="20962" spans="25:25" x14ac:dyDescent="0.2">
      <c r="Y20962" s="97"/>
    </row>
    <row r="20963" spans="25:25" x14ac:dyDescent="0.2">
      <c r="Y20963" s="97"/>
    </row>
    <row r="20964" spans="25:25" x14ac:dyDescent="0.2">
      <c r="Y20964" s="97"/>
    </row>
    <row r="20965" spans="25:25" x14ac:dyDescent="0.2">
      <c r="Y20965" s="97"/>
    </row>
    <row r="20966" spans="25:25" x14ac:dyDescent="0.2">
      <c r="Y20966" s="97"/>
    </row>
    <row r="20967" spans="25:25" x14ac:dyDescent="0.2">
      <c r="Y20967" s="97"/>
    </row>
    <row r="20968" spans="25:25" x14ac:dyDescent="0.2">
      <c r="Y20968" s="97"/>
    </row>
    <row r="20969" spans="25:25" x14ac:dyDescent="0.2">
      <c r="Y20969" s="97"/>
    </row>
    <row r="20970" spans="25:25" x14ac:dyDescent="0.2">
      <c r="Y20970" s="97"/>
    </row>
    <row r="20971" spans="25:25" x14ac:dyDescent="0.2">
      <c r="Y20971" s="97"/>
    </row>
    <row r="20972" spans="25:25" x14ac:dyDescent="0.2">
      <c r="Y20972" s="97"/>
    </row>
    <row r="20973" spans="25:25" x14ac:dyDescent="0.2">
      <c r="Y20973" s="97"/>
    </row>
    <row r="20974" spans="25:25" x14ac:dyDescent="0.2">
      <c r="Y20974" s="97"/>
    </row>
    <row r="20975" spans="25:25" x14ac:dyDescent="0.2">
      <c r="Y20975" s="97"/>
    </row>
    <row r="20976" spans="25:25" x14ac:dyDescent="0.2">
      <c r="Y20976" s="97"/>
    </row>
    <row r="20977" spans="25:25" x14ac:dyDescent="0.2">
      <c r="Y20977" s="97"/>
    </row>
    <row r="20978" spans="25:25" x14ac:dyDescent="0.2">
      <c r="Y20978" s="97"/>
    </row>
    <row r="20979" spans="25:25" x14ac:dyDescent="0.2">
      <c r="Y20979" s="97"/>
    </row>
    <row r="20980" spans="25:25" x14ac:dyDescent="0.2">
      <c r="Y20980" s="97"/>
    </row>
    <row r="20981" spans="25:25" x14ac:dyDescent="0.2">
      <c r="Y20981" s="97"/>
    </row>
    <row r="20982" spans="25:25" x14ac:dyDescent="0.2">
      <c r="Y20982" s="97"/>
    </row>
    <row r="20983" spans="25:25" x14ac:dyDescent="0.2">
      <c r="Y20983" s="97"/>
    </row>
    <row r="20984" spans="25:25" x14ac:dyDescent="0.2">
      <c r="Y20984" s="97"/>
    </row>
    <row r="20985" spans="25:25" x14ac:dyDescent="0.2">
      <c r="Y20985" s="97"/>
    </row>
    <row r="20986" spans="25:25" x14ac:dyDescent="0.2">
      <c r="Y20986" s="97"/>
    </row>
    <row r="20987" spans="25:25" x14ac:dyDescent="0.2">
      <c r="Y20987" s="97"/>
    </row>
    <row r="20988" spans="25:25" x14ac:dyDescent="0.2">
      <c r="Y20988" s="97"/>
    </row>
    <row r="20989" spans="25:25" x14ac:dyDescent="0.2">
      <c r="Y20989" s="97"/>
    </row>
    <row r="20990" spans="25:25" x14ac:dyDescent="0.2">
      <c r="Y20990" s="97"/>
    </row>
    <row r="20991" spans="25:25" x14ac:dyDescent="0.2">
      <c r="Y20991" s="97"/>
    </row>
    <row r="20992" spans="25:25" x14ac:dyDescent="0.2">
      <c r="Y20992" s="97"/>
    </row>
    <row r="20993" spans="25:25" x14ac:dyDescent="0.2">
      <c r="Y20993" s="97"/>
    </row>
    <row r="20994" spans="25:25" x14ac:dyDescent="0.2">
      <c r="Y20994" s="97"/>
    </row>
    <row r="20995" spans="25:25" x14ac:dyDescent="0.2">
      <c r="Y20995" s="97"/>
    </row>
    <row r="20996" spans="25:25" x14ac:dyDescent="0.2">
      <c r="Y20996" s="97"/>
    </row>
    <row r="20997" spans="25:25" x14ac:dyDescent="0.2">
      <c r="Y20997" s="97"/>
    </row>
    <row r="20998" spans="25:25" x14ac:dyDescent="0.2">
      <c r="Y20998" s="97"/>
    </row>
    <row r="20999" spans="25:25" x14ac:dyDescent="0.2">
      <c r="Y20999" s="97"/>
    </row>
    <row r="21000" spans="25:25" x14ac:dyDescent="0.2">
      <c r="Y21000" s="97"/>
    </row>
    <row r="21001" spans="25:25" x14ac:dyDescent="0.2">
      <c r="Y21001" s="97"/>
    </row>
    <row r="21002" spans="25:25" x14ac:dyDescent="0.2">
      <c r="Y21002" s="97"/>
    </row>
    <row r="21003" spans="25:25" x14ac:dyDescent="0.2">
      <c r="Y21003" s="97"/>
    </row>
    <row r="21004" spans="25:25" x14ac:dyDescent="0.2">
      <c r="Y21004" s="97"/>
    </row>
    <row r="21005" spans="25:25" x14ac:dyDescent="0.2">
      <c r="Y21005" s="97"/>
    </row>
    <row r="21006" spans="25:25" x14ac:dyDescent="0.2">
      <c r="Y21006" s="97"/>
    </row>
    <row r="21007" spans="25:25" x14ac:dyDescent="0.2">
      <c r="Y21007" s="97"/>
    </row>
    <row r="21008" spans="25:25" x14ac:dyDescent="0.2">
      <c r="Y21008" s="97"/>
    </row>
    <row r="21009" spans="25:25" x14ac:dyDescent="0.2">
      <c r="Y21009" s="97"/>
    </row>
    <row r="21010" spans="25:25" x14ac:dyDescent="0.2">
      <c r="Y21010" s="97"/>
    </row>
    <row r="21011" spans="25:25" x14ac:dyDescent="0.2">
      <c r="Y21011" s="97"/>
    </row>
    <row r="21012" spans="25:25" x14ac:dyDescent="0.2">
      <c r="Y21012" s="97"/>
    </row>
    <row r="21013" spans="25:25" x14ac:dyDescent="0.2">
      <c r="Y21013" s="97"/>
    </row>
    <row r="21014" spans="25:25" x14ac:dyDescent="0.2">
      <c r="Y21014" s="97"/>
    </row>
    <row r="21015" spans="25:25" x14ac:dyDescent="0.2">
      <c r="Y21015" s="97"/>
    </row>
    <row r="21016" spans="25:25" x14ac:dyDescent="0.2">
      <c r="Y21016" s="97"/>
    </row>
    <row r="21017" spans="25:25" x14ac:dyDescent="0.2">
      <c r="Y21017" s="97"/>
    </row>
    <row r="21018" spans="25:25" x14ac:dyDescent="0.2">
      <c r="Y21018" s="97"/>
    </row>
    <row r="21019" spans="25:25" x14ac:dyDescent="0.2">
      <c r="Y21019" s="97"/>
    </row>
    <row r="21020" spans="25:25" x14ac:dyDescent="0.2">
      <c r="Y21020" s="97"/>
    </row>
    <row r="21021" spans="25:25" x14ac:dyDescent="0.2">
      <c r="Y21021" s="97"/>
    </row>
    <row r="21022" spans="25:25" x14ac:dyDescent="0.2">
      <c r="Y21022" s="97"/>
    </row>
    <row r="21023" spans="25:25" x14ac:dyDescent="0.2">
      <c r="Y21023" s="97"/>
    </row>
    <row r="21024" spans="25:25" x14ac:dyDescent="0.2">
      <c r="Y21024" s="97"/>
    </row>
    <row r="21025" spans="25:25" x14ac:dyDescent="0.2">
      <c r="Y21025" s="97"/>
    </row>
    <row r="21026" spans="25:25" x14ac:dyDescent="0.2">
      <c r="Y21026" s="97"/>
    </row>
    <row r="21027" spans="25:25" x14ac:dyDescent="0.2">
      <c r="Y21027" s="97"/>
    </row>
    <row r="21028" spans="25:25" x14ac:dyDescent="0.2">
      <c r="Y21028" s="97"/>
    </row>
    <row r="21029" spans="25:25" x14ac:dyDescent="0.2">
      <c r="Y21029" s="97"/>
    </row>
    <row r="21030" spans="25:25" x14ac:dyDescent="0.2">
      <c r="Y21030" s="97"/>
    </row>
    <row r="21031" spans="25:25" x14ac:dyDescent="0.2">
      <c r="Y21031" s="97"/>
    </row>
    <row r="21032" spans="25:25" x14ac:dyDescent="0.2">
      <c r="Y21032" s="97"/>
    </row>
    <row r="21033" spans="25:25" x14ac:dyDescent="0.2">
      <c r="Y21033" s="97"/>
    </row>
    <row r="21034" spans="25:25" x14ac:dyDescent="0.2">
      <c r="Y21034" s="97"/>
    </row>
    <row r="21035" spans="25:25" x14ac:dyDescent="0.2">
      <c r="Y21035" s="97"/>
    </row>
    <row r="21036" spans="25:25" x14ac:dyDescent="0.2">
      <c r="Y21036" s="97"/>
    </row>
    <row r="21037" spans="25:25" x14ac:dyDescent="0.2">
      <c r="Y21037" s="97"/>
    </row>
    <row r="21038" spans="25:25" x14ac:dyDescent="0.2">
      <c r="Y21038" s="97"/>
    </row>
    <row r="21039" spans="25:25" x14ac:dyDescent="0.2">
      <c r="Y21039" s="97"/>
    </row>
    <row r="21040" spans="25:25" x14ac:dyDescent="0.2">
      <c r="Y21040" s="97"/>
    </row>
    <row r="21041" spans="25:25" x14ac:dyDescent="0.2">
      <c r="Y21041" s="97"/>
    </row>
    <row r="21042" spans="25:25" x14ac:dyDescent="0.2">
      <c r="Y21042" s="97"/>
    </row>
    <row r="21043" spans="25:25" x14ac:dyDescent="0.2">
      <c r="Y21043" s="97"/>
    </row>
    <row r="21044" spans="25:25" x14ac:dyDescent="0.2">
      <c r="Y21044" s="97"/>
    </row>
    <row r="21045" spans="25:25" x14ac:dyDescent="0.2">
      <c r="Y21045" s="97"/>
    </row>
    <row r="21046" spans="25:25" x14ac:dyDescent="0.2">
      <c r="Y21046" s="97"/>
    </row>
    <row r="21047" spans="25:25" x14ac:dyDescent="0.2">
      <c r="Y21047" s="97"/>
    </row>
    <row r="21048" spans="25:25" x14ac:dyDescent="0.2">
      <c r="Y21048" s="97"/>
    </row>
    <row r="21049" spans="25:25" x14ac:dyDescent="0.2">
      <c r="Y21049" s="97"/>
    </row>
    <row r="21050" spans="25:25" x14ac:dyDescent="0.2">
      <c r="Y21050" s="97"/>
    </row>
    <row r="21051" spans="25:25" x14ac:dyDescent="0.2">
      <c r="Y21051" s="97"/>
    </row>
    <row r="21052" spans="25:25" x14ac:dyDescent="0.2">
      <c r="Y21052" s="97"/>
    </row>
    <row r="21053" spans="25:25" x14ac:dyDescent="0.2">
      <c r="Y21053" s="97"/>
    </row>
    <row r="21054" spans="25:25" x14ac:dyDescent="0.2">
      <c r="Y21054" s="97"/>
    </row>
    <row r="21055" spans="25:25" x14ac:dyDescent="0.2">
      <c r="Y21055" s="97"/>
    </row>
    <row r="21056" spans="25:25" x14ac:dyDescent="0.2">
      <c r="Y21056" s="97"/>
    </row>
    <row r="21057" spans="25:25" x14ac:dyDescent="0.2">
      <c r="Y21057" s="97"/>
    </row>
    <row r="21058" spans="25:25" x14ac:dyDescent="0.2">
      <c r="Y21058" s="97"/>
    </row>
    <row r="21059" spans="25:25" x14ac:dyDescent="0.2">
      <c r="Y21059" s="97"/>
    </row>
    <row r="21060" spans="25:25" x14ac:dyDescent="0.2">
      <c r="Y21060" s="97"/>
    </row>
    <row r="21061" spans="25:25" x14ac:dyDescent="0.2">
      <c r="Y21061" s="97"/>
    </row>
    <row r="21062" spans="25:25" x14ac:dyDescent="0.2">
      <c r="Y21062" s="97"/>
    </row>
    <row r="21063" spans="25:25" x14ac:dyDescent="0.2">
      <c r="Y21063" s="97"/>
    </row>
    <row r="21064" spans="25:25" x14ac:dyDescent="0.2">
      <c r="Y21064" s="97"/>
    </row>
    <row r="21065" spans="25:25" x14ac:dyDescent="0.2">
      <c r="Y21065" s="97"/>
    </row>
    <row r="21066" spans="25:25" x14ac:dyDescent="0.2">
      <c r="Y21066" s="97"/>
    </row>
    <row r="21067" spans="25:25" x14ac:dyDescent="0.2">
      <c r="Y21067" s="97"/>
    </row>
    <row r="21068" spans="25:25" x14ac:dyDescent="0.2">
      <c r="Y21068" s="97"/>
    </row>
    <row r="21069" spans="25:25" x14ac:dyDescent="0.2">
      <c r="Y21069" s="97"/>
    </row>
    <row r="21070" spans="25:25" x14ac:dyDescent="0.2">
      <c r="Y21070" s="97"/>
    </row>
    <row r="21071" spans="25:25" x14ac:dyDescent="0.2">
      <c r="Y21071" s="97"/>
    </row>
    <row r="21072" spans="25:25" x14ac:dyDescent="0.2">
      <c r="Y21072" s="97"/>
    </row>
    <row r="21073" spans="25:25" x14ac:dyDescent="0.2">
      <c r="Y21073" s="97"/>
    </row>
    <row r="21074" spans="25:25" x14ac:dyDescent="0.2">
      <c r="Y21074" s="97"/>
    </row>
    <row r="21075" spans="25:25" x14ac:dyDescent="0.2">
      <c r="Y21075" s="97"/>
    </row>
    <row r="21076" spans="25:25" x14ac:dyDescent="0.2">
      <c r="Y21076" s="97"/>
    </row>
    <row r="21077" spans="25:25" x14ac:dyDescent="0.2">
      <c r="Y21077" s="97"/>
    </row>
    <row r="21078" spans="25:25" x14ac:dyDescent="0.2">
      <c r="Y21078" s="97"/>
    </row>
    <row r="21079" spans="25:25" x14ac:dyDescent="0.2">
      <c r="Y21079" s="97"/>
    </row>
    <row r="21080" spans="25:25" x14ac:dyDescent="0.2">
      <c r="Y21080" s="97"/>
    </row>
    <row r="21081" spans="25:25" x14ac:dyDescent="0.2">
      <c r="Y21081" s="97"/>
    </row>
    <row r="21082" spans="25:25" x14ac:dyDescent="0.2">
      <c r="Y21082" s="97"/>
    </row>
    <row r="21083" spans="25:25" x14ac:dyDescent="0.2">
      <c r="Y21083" s="97"/>
    </row>
    <row r="21084" spans="25:25" x14ac:dyDescent="0.2">
      <c r="Y21084" s="97"/>
    </row>
    <row r="21085" spans="25:25" x14ac:dyDescent="0.2">
      <c r="Y21085" s="97"/>
    </row>
    <row r="21086" spans="25:25" x14ac:dyDescent="0.2">
      <c r="Y21086" s="97"/>
    </row>
    <row r="21087" spans="25:25" x14ac:dyDescent="0.2">
      <c r="Y21087" s="97"/>
    </row>
    <row r="21088" spans="25:25" x14ac:dyDescent="0.2">
      <c r="Y21088" s="97"/>
    </row>
    <row r="21089" spans="25:25" x14ac:dyDescent="0.2">
      <c r="Y21089" s="97"/>
    </row>
    <row r="21090" spans="25:25" x14ac:dyDescent="0.2">
      <c r="Y21090" s="97"/>
    </row>
    <row r="21091" spans="25:25" x14ac:dyDescent="0.2">
      <c r="Y21091" s="97"/>
    </row>
    <row r="21092" spans="25:25" x14ac:dyDescent="0.2">
      <c r="Y21092" s="97"/>
    </row>
    <row r="21093" spans="25:25" x14ac:dyDescent="0.2">
      <c r="Y21093" s="97"/>
    </row>
    <row r="21094" spans="25:25" x14ac:dyDescent="0.2">
      <c r="Y21094" s="97"/>
    </row>
    <row r="21095" spans="25:25" x14ac:dyDescent="0.2">
      <c r="Y21095" s="97"/>
    </row>
    <row r="21096" spans="25:25" x14ac:dyDescent="0.2">
      <c r="Y21096" s="97"/>
    </row>
    <row r="21097" spans="25:25" x14ac:dyDescent="0.2">
      <c r="Y21097" s="97"/>
    </row>
    <row r="21098" spans="25:25" x14ac:dyDescent="0.2">
      <c r="Y21098" s="97"/>
    </row>
    <row r="21099" spans="25:25" x14ac:dyDescent="0.2">
      <c r="Y21099" s="97"/>
    </row>
    <row r="21100" spans="25:25" x14ac:dyDescent="0.2">
      <c r="Y21100" s="97"/>
    </row>
    <row r="21101" spans="25:25" x14ac:dyDescent="0.2">
      <c r="Y21101" s="97"/>
    </row>
    <row r="21102" spans="25:25" x14ac:dyDescent="0.2">
      <c r="Y21102" s="97"/>
    </row>
    <row r="21103" spans="25:25" x14ac:dyDescent="0.2">
      <c r="Y21103" s="97"/>
    </row>
    <row r="21104" spans="25:25" x14ac:dyDescent="0.2">
      <c r="Y21104" s="97"/>
    </row>
    <row r="21105" spans="25:25" x14ac:dyDescent="0.2">
      <c r="Y21105" s="97"/>
    </row>
    <row r="21106" spans="25:25" x14ac:dyDescent="0.2">
      <c r="Y21106" s="97"/>
    </row>
    <row r="21107" spans="25:25" x14ac:dyDescent="0.2">
      <c r="Y21107" s="97"/>
    </row>
    <row r="21108" spans="25:25" x14ac:dyDescent="0.2">
      <c r="Y21108" s="97"/>
    </row>
    <row r="21109" spans="25:25" x14ac:dyDescent="0.2">
      <c r="Y21109" s="97"/>
    </row>
    <row r="21110" spans="25:25" x14ac:dyDescent="0.2">
      <c r="Y21110" s="97"/>
    </row>
    <row r="21111" spans="25:25" x14ac:dyDescent="0.2">
      <c r="Y21111" s="97"/>
    </row>
    <row r="21112" spans="25:25" x14ac:dyDescent="0.2">
      <c r="Y21112" s="97"/>
    </row>
    <row r="21113" spans="25:25" x14ac:dyDescent="0.2">
      <c r="Y21113" s="97"/>
    </row>
    <row r="21114" spans="25:25" x14ac:dyDescent="0.2">
      <c r="Y21114" s="97"/>
    </row>
    <row r="21115" spans="25:25" x14ac:dyDescent="0.2">
      <c r="Y21115" s="97"/>
    </row>
    <row r="21116" spans="25:25" x14ac:dyDescent="0.2">
      <c r="Y21116" s="97"/>
    </row>
    <row r="21117" spans="25:25" x14ac:dyDescent="0.2">
      <c r="Y21117" s="97"/>
    </row>
    <row r="21118" spans="25:25" x14ac:dyDescent="0.2">
      <c r="Y21118" s="97"/>
    </row>
    <row r="21119" spans="25:25" x14ac:dyDescent="0.2">
      <c r="Y21119" s="97"/>
    </row>
    <row r="21120" spans="25:25" x14ac:dyDescent="0.2">
      <c r="Y21120" s="97"/>
    </row>
    <row r="21121" spans="25:25" x14ac:dyDescent="0.2">
      <c r="Y21121" s="97"/>
    </row>
    <row r="21122" spans="25:25" x14ac:dyDescent="0.2">
      <c r="Y21122" s="97"/>
    </row>
    <row r="21123" spans="25:25" x14ac:dyDescent="0.2">
      <c r="Y21123" s="97"/>
    </row>
    <row r="21124" spans="25:25" x14ac:dyDescent="0.2">
      <c r="Y21124" s="97"/>
    </row>
    <row r="21125" spans="25:25" x14ac:dyDescent="0.2">
      <c r="Y21125" s="97"/>
    </row>
    <row r="21126" spans="25:25" x14ac:dyDescent="0.2">
      <c r="Y21126" s="97"/>
    </row>
    <row r="21127" spans="25:25" x14ac:dyDescent="0.2">
      <c r="Y21127" s="97"/>
    </row>
    <row r="21128" spans="25:25" x14ac:dyDescent="0.2">
      <c r="Y21128" s="97"/>
    </row>
    <row r="21129" spans="25:25" x14ac:dyDescent="0.2">
      <c r="Y21129" s="97"/>
    </row>
    <row r="21130" spans="25:25" x14ac:dyDescent="0.2">
      <c r="Y21130" s="97"/>
    </row>
    <row r="21131" spans="25:25" x14ac:dyDescent="0.2">
      <c r="Y21131" s="97"/>
    </row>
    <row r="21132" spans="25:25" x14ac:dyDescent="0.2">
      <c r="Y21132" s="97"/>
    </row>
    <row r="21133" spans="25:25" x14ac:dyDescent="0.2">
      <c r="Y21133" s="97"/>
    </row>
    <row r="21134" spans="25:25" x14ac:dyDescent="0.2">
      <c r="Y21134" s="97"/>
    </row>
    <row r="21135" spans="25:25" x14ac:dyDescent="0.2">
      <c r="Y21135" s="97"/>
    </row>
    <row r="21136" spans="25:25" x14ac:dyDescent="0.2">
      <c r="Y21136" s="97"/>
    </row>
    <row r="21137" spans="25:25" x14ac:dyDescent="0.2">
      <c r="Y21137" s="97"/>
    </row>
    <row r="21138" spans="25:25" x14ac:dyDescent="0.2">
      <c r="Y21138" s="97"/>
    </row>
    <row r="21139" spans="25:25" x14ac:dyDescent="0.2">
      <c r="Y21139" s="97"/>
    </row>
    <row r="21140" spans="25:25" x14ac:dyDescent="0.2">
      <c r="Y21140" s="97"/>
    </row>
    <row r="21141" spans="25:25" x14ac:dyDescent="0.2">
      <c r="Y21141" s="97"/>
    </row>
    <row r="21142" spans="25:25" x14ac:dyDescent="0.2">
      <c r="Y21142" s="97"/>
    </row>
    <row r="21143" spans="25:25" x14ac:dyDescent="0.2">
      <c r="Y21143" s="97"/>
    </row>
    <row r="21144" spans="25:25" x14ac:dyDescent="0.2">
      <c r="Y21144" s="97"/>
    </row>
    <row r="21145" spans="25:25" x14ac:dyDescent="0.2">
      <c r="Y21145" s="97"/>
    </row>
    <row r="21146" spans="25:25" x14ac:dyDescent="0.2">
      <c r="Y21146" s="97"/>
    </row>
    <row r="21147" spans="25:25" x14ac:dyDescent="0.2">
      <c r="Y21147" s="97"/>
    </row>
    <row r="21148" spans="25:25" x14ac:dyDescent="0.2">
      <c r="Y21148" s="97"/>
    </row>
    <row r="21149" spans="25:25" x14ac:dyDescent="0.2">
      <c r="Y21149" s="97"/>
    </row>
    <row r="21150" spans="25:25" x14ac:dyDescent="0.2">
      <c r="Y21150" s="97"/>
    </row>
    <row r="21151" spans="25:25" x14ac:dyDescent="0.2">
      <c r="Y21151" s="97"/>
    </row>
    <row r="21152" spans="25:25" x14ac:dyDescent="0.2">
      <c r="Y21152" s="97"/>
    </row>
    <row r="21153" spans="25:25" x14ac:dyDescent="0.2">
      <c r="Y21153" s="97"/>
    </row>
    <row r="21154" spans="25:25" x14ac:dyDescent="0.2">
      <c r="Y21154" s="97"/>
    </row>
    <row r="21155" spans="25:25" x14ac:dyDescent="0.2">
      <c r="Y21155" s="97"/>
    </row>
    <row r="21156" spans="25:25" x14ac:dyDescent="0.2">
      <c r="Y21156" s="97"/>
    </row>
    <row r="21157" spans="25:25" x14ac:dyDescent="0.2">
      <c r="Y21157" s="97"/>
    </row>
    <row r="21158" spans="25:25" x14ac:dyDescent="0.2">
      <c r="Y21158" s="97"/>
    </row>
    <row r="21159" spans="25:25" x14ac:dyDescent="0.2">
      <c r="Y21159" s="97"/>
    </row>
    <row r="21160" spans="25:25" x14ac:dyDescent="0.2">
      <c r="Y21160" s="97"/>
    </row>
    <row r="21161" spans="25:25" x14ac:dyDescent="0.2">
      <c r="Y21161" s="97"/>
    </row>
    <row r="21162" spans="25:25" x14ac:dyDescent="0.2">
      <c r="Y21162" s="97"/>
    </row>
    <row r="21163" spans="25:25" x14ac:dyDescent="0.2">
      <c r="Y21163" s="97"/>
    </row>
    <row r="21164" spans="25:25" x14ac:dyDescent="0.2">
      <c r="Y21164" s="97"/>
    </row>
    <row r="21165" spans="25:25" x14ac:dyDescent="0.2">
      <c r="Y21165" s="97"/>
    </row>
    <row r="21166" spans="25:25" x14ac:dyDescent="0.2">
      <c r="Y21166" s="97"/>
    </row>
    <row r="21167" spans="25:25" x14ac:dyDescent="0.2">
      <c r="Y21167" s="97"/>
    </row>
    <row r="21168" spans="25:25" x14ac:dyDescent="0.2">
      <c r="Y21168" s="97"/>
    </row>
    <row r="21169" spans="25:25" x14ac:dyDescent="0.2">
      <c r="Y21169" s="97"/>
    </row>
    <row r="21170" spans="25:25" x14ac:dyDescent="0.2">
      <c r="Y21170" s="97"/>
    </row>
    <row r="21171" spans="25:25" x14ac:dyDescent="0.2">
      <c r="Y21171" s="97"/>
    </row>
    <row r="21172" spans="25:25" x14ac:dyDescent="0.2">
      <c r="Y21172" s="97"/>
    </row>
    <row r="21173" spans="25:25" x14ac:dyDescent="0.2">
      <c r="Y21173" s="97"/>
    </row>
    <row r="21174" spans="25:25" x14ac:dyDescent="0.2">
      <c r="Y21174" s="97"/>
    </row>
    <row r="21175" spans="25:25" x14ac:dyDescent="0.2">
      <c r="Y21175" s="97"/>
    </row>
    <row r="21176" spans="25:25" x14ac:dyDescent="0.2">
      <c r="Y21176" s="97"/>
    </row>
    <row r="21177" spans="25:25" x14ac:dyDescent="0.2">
      <c r="Y21177" s="97"/>
    </row>
    <row r="21178" spans="25:25" x14ac:dyDescent="0.2">
      <c r="Y21178" s="97"/>
    </row>
    <row r="21179" spans="25:25" x14ac:dyDescent="0.2">
      <c r="Y21179" s="97"/>
    </row>
    <row r="21180" spans="25:25" x14ac:dyDescent="0.2">
      <c r="Y21180" s="97"/>
    </row>
    <row r="21181" spans="25:25" x14ac:dyDescent="0.2">
      <c r="Y21181" s="97"/>
    </row>
    <row r="21182" spans="25:25" x14ac:dyDescent="0.2">
      <c r="Y21182" s="97"/>
    </row>
    <row r="21183" spans="25:25" x14ac:dyDescent="0.2">
      <c r="Y21183" s="97"/>
    </row>
    <row r="21184" spans="25:25" x14ac:dyDescent="0.2">
      <c r="Y21184" s="97"/>
    </row>
    <row r="21185" spans="25:25" x14ac:dyDescent="0.2">
      <c r="Y21185" s="97"/>
    </row>
    <row r="21186" spans="25:25" x14ac:dyDescent="0.2">
      <c r="Y21186" s="97"/>
    </row>
    <row r="21187" spans="25:25" x14ac:dyDescent="0.2">
      <c r="Y21187" s="97"/>
    </row>
    <row r="21188" spans="25:25" x14ac:dyDescent="0.2">
      <c r="Y21188" s="97"/>
    </row>
    <row r="21189" spans="25:25" x14ac:dyDescent="0.2">
      <c r="Y21189" s="97"/>
    </row>
    <row r="21190" spans="25:25" x14ac:dyDescent="0.2">
      <c r="Y21190" s="97"/>
    </row>
    <row r="21191" spans="25:25" x14ac:dyDescent="0.2">
      <c r="Y21191" s="97"/>
    </row>
    <row r="21192" spans="25:25" x14ac:dyDescent="0.2">
      <c r="Y21192" s="97"/>
    </row>
    <row r="21193" spans="25:25" x14ac:dyDescent="0.2">
      <c r="Y21193" s="97"/>
    </row>
    <row r="21194" spans="25:25" x14ac:dyDescent="0.2">
      <c r="Y21194" s="97"/>
    </row>
    <row r="21195" spans="25:25" x14ac:dyDescent="0.2">
      <c r="Y21195" s="97"/>
    </row>
    <row r="21196" spans="25:25" x14ac:dyDescent="0.2">
      <c r="Y21196" s="97"/>
    </row>
    <row r="21197" spans="25:25" x14ac:dyDescent="0.2">
      <c r="Y21197" s="97"/>
    </row>
    <row r="21198" spans="25:25" x14ac:dyDescent="0.2">
      <c r="Y21198" s="97"/>
    </row>
    <row r="21199" spans="25:25" x14ac:dyDescent="0.2">
      <c r="Y21199" s="97"/>
    </row>
    <row r="21200" spans="25:25" x14ac:dyDescent="0.2">
      <c r="Y21200" s="97"/>
    </row>
    <row r="21201" spans="25:25" x14ac:dyDescent="0.2">
      <c r="Y21201" s="97"/>
    </row>
    <row r="21202" spans="25:25" x14ac:dyDescent="0.2">
      <c r="Y21202" s="97"/>
    </row>
    <row r="21203" spans="25:25" x14ac:dyDescent="0.2">
      <c r="Y21203" s="97"/>
    </row>
    <row r="21204" spans="25:25" x14ac:dyDescent="0.2">
      <c r="Y21204" s="97"/>
    </row>
    <row r="21205" spans="25:25" x14ac:dyDescent="0.2">
      <c r="Y21205" s="97"/>
    </row>
    <row r="21206" spans="25:25" x14ac:dyDescent="0.2">
      <c r="Y21206" s="97"/>
    </row>
    <row r="21207" spans="25:25" x14ac:dyDescent="0.2">
      <c r="Y21207" s="97"/>
    </row>
    <row r="21208" spans="25:25" x14ac:dyDescent="0.2">
      <c r="Y21208" s="97"/>
    </row>
    <row r="21209" spans="25:25" x14ac:dyDescent="0.2">
      <c r="Y21209" s="97"/>
    </row>
    <row r="21210" spans="25:25" x14ac:dyDescent="0.2">
      <c r="Y21210" s="97"/>
    </row>
    <row r="21211" spans="25:25" x14ac:dyDescent="0.2">
      <c r="Y21211" s="97"/>
    </row>
    <row r="21212" spans="25:25" x14ac:dyDescent="0.2">
      <c r="Y21212" s="97"/>
    </row>
    <row r="21213" spans="25:25" x14ac:dyDescent="0.2">
      <c r="Y21213" s="97"/>
    </row>
    <row r="21214" spans="25:25" x14ac:dyDescent="0.2">
      <c r="Y21214" s="97"/>
    </row>
    <row r="21215" spans="25:25" x14ac:dyDescent="0.2">
      <c r="Y21215" s="97"/>
    </row>
    <row r="21216" spans="25:25" x14ac:dyDescent="0.2">
      <c r="Y21216" s="97"/>
    </row>
    <row r="21217" spans="25:25" x14ac:dyDescent="0.2">
      <c r="Y21217" s="97"/>
    </row>
    <row r="21218" spans="25:25" x14ac:dyDescent="0.2">
      <c r="Y21218" s="97"/>
    </row>
    <row r="21219" spans="25:25" x14ac:dyDescent="0.2">
      <c r="Y21219" s="97"/>
    </row>
    <row r="21220" spans="25:25" x14ac:dyDescent="0.2">
      <c r="Y21220" s="97"/>
    </row>
    <row r="21221" spans="25:25" x14ac:dyDescent="0.2">
      <c r="Y21221" s="97"/>
    </row>
    <row r="21222" spans="25:25" x14ac:dyDescent="0.2">
      <c r="Y21222" s="97"/>
    </row>
    <row r="21223" spans="25:25" x14ac:dyDescent="0.2">
      <c r="Y21223" s="97"/>
    </row>
    <row r="21224" spans="25:25" x14ac:dyDescent="0.2">
      <c r="Y21224" s="97"/>
    </row>
    <row r="21225" spans="25:25" x14ac:dyDescent="0.2">
      <c r="Y21225" s="97"/>
    </row>
    <row r="21226" spans="25:25" x14ac:dyDescent="0.2">
      <c r="Y21226" s="97"/>
    </row>
    <row r="21227" spans="25:25" x14ac:dyDescent="0.2">
      <c r="Y21227" s="97"/>
    </row>
    <row r="21228" spans="25:25" x14ac:dyDescent="0.2">
      <c r="Y21228" s="97"/>
    </row>
    <row r="21229" spans="25:25" x14ac:dyDescent="0.2">
      <c r="Y21229" s="97"/>
    </row>
    <row r="21230" spans="25:25" x14ac:dyDescent="0.2">
      <c r="Y21230" s="97"/>
    </row>
    <row r="21231" spans="25:25" x14ac:dyDescent="0.2">
      <c r="Y21231" s="97"/>
    </row>
    <row r="21232" spans="25:25" x14ac:dyDescent="0.2">
      <c r="Y21232" s="97"/>
    </row>
    <row r="21233" spans="25:25" x14ac:dyDescent="0.2">
      <c r="Y21233" s="97"/>
    </row>
    <row r="21234" spans="25:25" x14ac:dyDescent="0.2">
      <c r="Y21234" s="97"/>
    </row>
    <row r="21235" spans="25:25" x14ac:dyDescent="0.2">
      <c r="Y21235" s="97"/>
    </row>
    <row r="21236" spans="25:25" x14ac:dyDescent="0.2">
      <c r="Y21236" s="97"/>
    </row>
    <row r="21237" spans="25:25" x14ac:dyDescent="0.2">
      <c r="Y21237" s="97"/>
    </row>
    <row r="21238" spans="25:25" x14ac:dyDescent="0.2">
      <c r="Y21238" s="97"/>
    </row>
    <row r="21239" spans="25:25" x14ac:dyDescent="0.2">
      <c r="Y21239" s="97"/>
    </row>
    <row r="21240" spans="25:25" x14ac:dyDescent="0.2">
      <c r="Y21240" s="97"/>
    </row>
    <row r="21241" spans="25:25" x14ac:dyDescent="0.2">
      <c r="Y21241" s="97"/>
    </row>
    <row r="21242" spans="25:25" x14ac:dyDescent="0.2">
      <c r="Y21242" s="97"/>
    </row>
    <row r="21243" spans="25:25" x14ac:dyDescent="0.2">
      <c r="Y21243" s="97"/>
    </row>
    <row r="21244" spans="25:25" x14ac:dyDescent="0.2">
      <c r="Y21244" s="97"/>
    </row>
    <row r="21245" spans="25:25" x14ac:dyDescent="0.2">
      <c r="Y21245" s="97"/>
    </row>
    <row r="21246" spans="25:25" x14ac:dyDescent="0.2">
      <c r="Y21246" s="97"/>
    </row>
    <row r="21247" spans="25:25" x14ac:dyDescent="0.2">
      <c r="Y21247" s="97"/>
    </row>
    <row r="21248" spans="25:25" x14ac:dyDescent="0.2">
      <c r="Y21248" s="97"/>
    </row>
    <row r="21249" spans="25:25" x14ac:dyDescent="0.2">
      <c r="Y21249" s="97"/>
    </row>
    <row r="21250" spans="25:25" x14ac:dyDescent="0.2">
      <c r="Y21250" s="97"/>
    </row>
    <row r="21251" spans="25:25" x14ac:dyDescent="0.2">
      <c r="Y21251" s="97"/>
    </row>
    <row r="21252" spans="25:25" x14ac:dyDescent="0.2">
      <c r="Y21252" s="97"/>
    </row>
    <row r="21253" spans="25:25" x14ac:dyDescent="0.2">
      <c r="Y21253" s="97"/>
    </row>
    <row r="21254" spans="25:25" x14ac:dyDescent="0.2">
      <c r="Y21254" s="97"/>
    </row>
    <row r="21255" spans="25:25" x14ac:dyDescent="0.2">
      <c r="Y21255" s="97"/>
    </row>
    <row r="21256" spans="25:25" x14ac:dyDescent="0.2">
      <c r="Y21256" s="97"/>
    </row>
    <row r="21257" spans="25:25" x14ac:dyDescent="0.2">
      <c r="Y21257" s="97"/>
    </row>
    <row r="21258" spans="25:25" x14ac:dyDescent="0.2">
      <c r="Y21258" s="97"/>
    </row>
    <row r="21259" spans="25:25" x14ac:dyDescent="0.2">
      <c r="Y21259" s="97"/>
    </row>
    <row r="21260" spans="25:25" x14ac:dyDescent="0.2">
      <c r="Y21260" s="97"/>
    </row>
    <row r="21261" spans="25:25" x14ac:dyDescent="0.2">
      <c r="Y21261" s="97"/>
    </row>
    <row r="21262" spans="25:25" x14ac:dyDescent="0.2">
      <c r="Y21262" s="97"/>
    </row>
    <row r="21263" spans="25:25" x14ac:dyDescent="0.2">
      <c r="Y21263" s="97"/>
    </row>
    <row r="21264" spans="25:25" x14ac:dyDescent="0.2">
      <c r="Y21264" s="97"/>
    </row>
    <row r="21265" spans="25:25" x14ac:dyDescent="0.2">
      <c r="Y21265" s="97"/>
    </row>
    <row r="21266" spans="25:25" x14ac:dyDescent="0.2">
      <c r="Y21266" s="97"/>
    </row>
    <row r="21267" spans="25:25" x14ac:dyDescent="0.2">
      <c r="Y21267" s="97"/>
    </row>
    <row r="21268" spans="25:25" x14ac:dyDescent="0.2">
      <c r="Y21268" s="97"/>
    </row>
    <row r="21269" spans="25:25" x14ac:dyDescent="0.2">
      <c r="Y21269" s="97"/>
    </row>
    <row r="21270" spans="25:25" x14ac:dyDescent="0.2">
      <c r="Y21270" s="97"/>
    </row>
    <row r="21271" spans="25:25" x14ac:dyDescent="0.2">
      <c r="Y21271" s="97"/>
    </row>
    <row r="21272" spans="25:25" x14ac:dyDescent="0.2">
      <c r="Y21272" s="97"/>
    </row>
    <row r="21273" spans="25:25" x14ac:dyDescent="0.2">
      <c r="Y21273" s="97"/>
    </row>
    <row r="21274" spans="25:25" x14ac:dyDescent="0.2">
      <c r="Y21274" s="97"/>
    </row>
    <row r="21275" spans="25:25" x14ac:dyDescent="0.2">
      <c r="Y21275" s="97"/>
    </row>
    <row r="21276" spans="25:25" x14ac:dyDescent="0.2">
      <c r="Y21276" s="97"/>
    </row>
    <row r="21277" spans="25:25" x14ac:dyDescent="0.2">
      <c r="Y21277" s="97"/>
    </row>
    <row r="21278" spans="25:25" x14ac:dyDescent="0.2">
      <c r="Y21278" s="97"/>
    </row>
    <row r="21279" spans="25:25" x14ac:dyDescent="0.2">
      <c r="Y21279" s="97"/>
    </row>
    <row r="21280" spans="25:25" x14ac:dyDescent="0.2">
      <c r="Y21280" s="97"/>
    </row>
    <row r="21281" spans="25:25" x14ac:dyDescent="0.2">
      <c r="Y21281" s="97"/>
    </row>
    <row r="21282" spans="25:25" x14ac:dyDescent="0.2">
      <c r="Y21282" s="97"/>
    </row>
    <row r="21283" spans="25:25" x14ac:dyDescent="0.2">
      <c r="Y21283" s="97"/>
    </row>
    <row r="21284" spans="25:25" x14ac:dyDescent="0.2">
      <c r="Y21284" s="97"/>
    </row>
    <row r="21285" spans="25:25" x14ac:dyDescent="0.2">
      <c r="Y21285" s="97"/>
    </row>
    <row r="21286" spans="25:25" x14ac:dyDescent="0.2">
      <c r="Y21286" s="97"/>
    </row>
    <row r="21287" spans="25:25" x14ac:dyDescent="0.2">
      <c r="Y21287" s="97"/>
    </row>
    <row r="21288" spans="25:25" x14ac:dyDescent="0.2">
      <c r="Y21288" s="97"/>
    </row>
    <row r="21289" spans="25:25" x14ac:dyDescent="0.2">
      <c r="Y21289" s="97"/>
    </row>
    <row r="21290" spans="25:25" x14ac:dyDescent="0.2">
      <c r="Y21290" s="97"/>
    </row>
    <row r="21291" spans="25:25" x14ac:dyDescent="0.2">
      <c r="Y21291" s="97"/>
    </row>
    <row r="21292" spans="25:25" x14ac:dyDescent="0.2">
      <c r="Y21292" s="97"/>
    </row>
    <row r="21293" spans="25:25" x14ac:dyDescent="0.2">
      <c r="Y21293" s="97"/>
    </row>
    <row r="21294" spans="25:25" x14ac:dyDescent="0.2">
      <c r="Y21294" s="97"/>
    </row>
    <row r="21295" spans="25:25" x14ac:dyDescent="0.2">
      <c r="Y21295" s="97"/>
    </row>
    <row r="21296" spans="25:25" x14ac:dyDescent="0.2">
      <c r="Y21296" s="97"/>
    </row>
    <row r="21297" spans="25:25" x14ac:dyDescent="0.2">
      <c r="Y21297" s="97"/>
    </row>
    <row r="21298" spans="25:25" x14ac:dyDescent="0.2">
      <c r="Y21298" s="97"/>
    </row>
    <row r="21299" spans="25:25" x14ac:dyDescent="0.2">
      <c r="Y21299" s="97"/>
    </row>
    <row r="21300" spans="25:25" x14ac:dyDescent="0.2">
      <c r="Y21300" s="97"/>
    </row>
    <row r="21301" spans="25:25" x14ac:dyDescent="0.2">
      <c r="Y21301" s="97"/>
    </row>
    <row r="21302" spans="25:25" x14ac:dyDescent="0.2">
      <c r="Y21302" s="97"/>
    </row>
    <row r="21303" spans="25:25" x14ac:dyDescent="0.2">
      <c r="Y21303" s="97"/>
    </row>
    <row r="21304" spans="25:25" x14ac:dyDescent="0.2">
      <c r="Y21304" s="97"/>
    </row>
    <row r="21305" spans="25:25" x14ac:dyDescent="0.2">
      <c r="Y21305" s="97"/>
    </row>
    <row r="21306" spans="25:25" x14ac:dyDescent="0.2">
      <c r="Y21306" s="97"/>
    </row>
    <row r="21307" spans="25:25" x14ac:dyDescent="0.2">
      <c r="Y21307" s="97"/>
    </row>
    <row r="21308" spans="25:25" x14ac:dyDescent="0.2">
      <c r="Y21308" s="97"/>
    </row>
    <row r="21309" spans="25:25" x14ac:dyDescent="0.2">
      <c r="Y21309" s="97"/>
    </row>
    <row r="21310" spans="25:25" x14ac:dyDescent="0.2">
      <c r="Y21310" s="97"/>
    </row>
    <row r="21311" spans="25:25" x14ac:dyDescent="0.2">
      <c r="Y21311" s="97"/>
    </row>
    <row r="21312" spans="25:25" x14ac:dyDescent="0.2">
      <c r="Y21312" s="97"/>
    </row>
    <row r="21313" spans="25:25" x14ac:dyDescent="0.2">
      <c r="Y21313" s="97"/>
    </row>
    <row r="21314" spans="25:25" x14ac:dyDescent="0.2">
      <c r="Y21314" s="97"/>
    </row>
    <row r="21315" spans="25:25" x14ac:dyDescent="0.2">
      <c r="Y21315" s="97"/>
    </row>
    <row r="21316" spans="25:25" x14ac:dyDescent="0.2">
      <c r="Y21316" s="97"/>
    </row>
    <row r="21317" spans="25:25" x14ac:dyDescent="0.2">
      <c r="Y21317" s="97"/>
    </row>
    <row r="21318" spans="25:25" x14ac:dyDescent="0.2">
      <c r="Y21318" s="97"/>
    </row>
    <row r="21319" spans="25:25" x14ac:dyDescent="0.2">
      <c r="Y21319" s="97"/>
    </row>
    <row r="21320" spans="25:25" x14ac:dyDescent="0.2">
      <c r="Y21320" s="97"/>
    </row>
    <row r="21321" spans="25:25" x14ac:dyDescent="0.2">
      <c r="Y21321" s="97"/>
    </row>
    <row r="21322" spans="25:25" x14ac:dyDescent="0.2">
      <c r="Y21322" s="97"/>
    </row>
    <row r="21323" spans="25:25" x14ac:dyDescent="0.2">
      <c r="Y21323" s="97"/>
    </row>
    <row r="21324" spans="25:25" x14ac:dyDescent="0.2">
      <c r="Y21324" s="97"/>
    </row>
    <row r="21325" spans="25:25" x14ac:dyDescent="0.2">
      <c r="Y21325" s="97"/>
    </row>
    <row r="21326" spans="25:25" x14ac:dyDescent="0.2">
      <c r="Y21326" s="97"/>
    </row>
    <row r="21327" spans="25:25" x14ac:dyDescent="0.2">
      <c r="Y21327" s="97"/>
    </row>
    <row r="21328" spans="25:25" x14ac:dyDescent="0.2">
      <c r="Y21328" s="97"/>
    </row>
    <row r="21329" spans="25:25" x14ac:dyDescent="0.2">
      <c r="Y21329" s="97"/>
    </row>
    <row r="21330" spans="25:25" x14ac:dyDescent="0.2">
      <c r="Y21330" s="97"/>
    </row>
    <row r="21331" spans="25:25" x14ac:dyDescent="0.2">
      <c r="Y21331" s="97"/>
    </row>
    <row r="21332" spans="25:25" x14ac:dyDescent="0.2">
      <c r="Y21332" s="97"/>
    </row>
    <row r="21333" spans="25:25" x14ac:dyDescent="0.2">
      <c r="Y21333" s="97"/>
    </row>
    <row r="21334" spans="25:25" x14ac:dyDescent="0.2">
      <c r="Y21334" s="97"/>
    </row>
    <row r="21335" spans="25:25" x14ac:dyDescent="0.2">
      <c r="Y21335" s="97"/>
    </row>
    <row r="21336" spans="25:25" x14ac:dyDescent="0.2">
      <c r="Y21336" s="97"/>
    </row>
    <row r="21337" spans="25:25" x14ac:dyDescent="0.2">
      <c r="Y21337" s="97"/>
    </row>
    <row r="21338" spans="25:25" x14ac:dyDescent="0.2">
      <c r="Y21338" s="97"/>
    </row>
    <row r="21339" spans="25:25" x14ac:dyDescent="0.2">
      <c r="Y21339" s="97"/>
    </row>
    <row r="21340" spans="25:25" x14ac:dyDescent="0.2">
      <c r="Y21340" s="97"/>
    </row>
    <row r="21341" spans="25:25" x14ac:dyDescent="0.2">
      <c r="Y21341" s="97"/>
    </row>
    <row r="21342" spans="25:25" x14ac:dyDescent="0.2">
      <c r="Y21342" s="97"/>
    </row>
    <row r="21343" spans="25:25" x14ac:dyDescent="0.2">
      <c r="Y21343" s="97"/>
    </row>
    <row r="21344" spans="25:25" x14ac:dyDescent="0.2">
      <c r="Y21344" s="97"/>
    </row>
    <row r="21345" spans="25:25" x14ac:dyDescent="0.2">
      <c r="Y21345" s="97"/>
    </row>
    <row r="21346" spans="25:25" x14ac:dyDescent="0.2">
      <c r="Y21346" s="97"/>
    </row>
    <row r="21347" spans="25:25" x14ac:dyDescent="0.2">
      <c r="Y21347" s="97"/>
    </row>
    <row r="21348" spans="25:25" x14ac:dyDescent="0.2">
      <c r="Y21348" s="97"/>
    </row>
    <row r="21349" spans="25:25" x14ac:dyDescent="0.2">
      <c r="Y21349" s="97"/>
    </row>
    <row r="21350" spans="25:25" x14ac:dyDescent="0.2">
      <c r="Y21350" s="97"/>
    </row>
    <row r="21351" spans="25:25" x14ac:dyDescent="0.2">
      <c r="Y21351" s="97"/>
    </row>
    <row r="21352" spans="25:25" x14ac:dyDescent="0.2">
      <c r="Y21352" s="97"/>
    </row>
    <row r="21353" spans="25:25" x14ac:dyDescent="0.2">
      <c r="Y21353" s="97"/>
    </row>
    <row r="21354" spans="25:25" x14ac:dyDescent="0.2">
      <c r="Y21354" s="97"/>
    </row>
    <row r="21355" spans="25:25" x14ac:dyDescent="0.2">
      <c r="Y21355" s="97"/>
    </row>
    <row r="21356" spans="25:25" x14ac:dyDescent="0.2">
      <c r="Y21356" s="97"/>
    </row>
    <row r="21357" spans="25:25" x14ac:dyDescent="0.2">
      <c r="Y21357" s="97"/>
    </row>
    <row r="21358" spans="25:25" x14ac:dyDescent="0.2">
      <c r="Y21358" s="97"/>
    </row>
    <row r="21359" spans="25:25" x14ac:dyDescent="0.2">
      <c r="Y21359" s="97"/>
    </row>
    <row r="21360" spans="25:25" x14ac:dyDescent="0.2">
      <c r="Y21360" s="97"/>
    </row>
    <row r="21361" spans="25:25" x14ac:dyDescent="0.2">
      <c r="Y21361" s="97"/>
    </row>
    <row r="21362" spans="25:25" x14ac:dyDescent="0.2">
      <c r="Y21362" s="97"/>
    </row>
    <row r="21363" spans="25:25" x14ac:dyDescent="0.2">
      <c r="Y21363" s="97"/>
    </row>
    <row r="21364" spans="25:25" x14ac:dyDescent="0.2">
      <c r="Y21364" s="97"/>
    </row>
    <row r="21365" spans="25:25" x14ac:dyDescent="0.2">
      <c r="Y21365" s="97"/>
    </row>
    <row r="21366" spans="25:25" x14ac:dyDescent="0.2">
      <c r="Y21366" s="97"/>
    </row>
    <row r="21367" spans="25:25" x14ac:dyDescent="0.2">
      <c r="Y21367" s="97"/>
    </row>
    <row r="21368" spans="25:25" x14ac:dyDescent="0.2">
      <c r="Y21368" s="97"/>
    </row>
    <row r="21369" spans="25:25" x14ac:dyDescent="0.2">
      <c r="Y21369" s="97"/>
    </row>
    <row r="21370" spans="25:25" x14ac:dyDescent="0.2">
      <c r="Y21370" s="97"/>
    </row>
    <row r="21371" spans="25:25" x14ac:dyDescent="0.2">
      <c r="Y21371" s="97"/>
    </row>
    <row r="21372" spans="25:25" x14ac:dyDescent="0.2">
      <c r="Y21372" s="97"/>
    </row>
    <row r="21373" spans="25:25" x14ac:dyDescent="0.2">
      <c r="Y21373" s="97"/>
    </row>
    <row r="21374" spans="25:25" x14ac:dyDescent="0.2">
      <c r="Y21374" s="97"/>
    </row>
    <row r="21375" spans="25:25" x14ac:dyDescent="0.2">
      <c r="Y21375" s="97"/>
    </row>
    <row r="21376" spans="25:25" x14ac:dyDescent="0.2">
      <c r="Y21376" s="97"/>
    </row>
    <row r="21377" spans="25:25" x14ac:dyDescent="0.2">
      <c r="Y21377" s="97"/>
    </row>
    <row r="21378" spans="25:25" x14ac:dyDescent="0.2">
      <c r="Y21378" s="97"/>
    </row>
    <row r="21379" spans="25:25" x14ac:dyDescent="0.2">
      <c r="Y21379" s="97"/>
    </row>
    <row r="21380" spans="25:25" x14ac:dyDescent="0.2">
      <c r="Y21380" s="97"/>
    </row>
    <row r="21381" spans="25:25" x14ac:dyDescent="0.2">
      <c r="Y21381" s="97"/>
    </row>
    <row r="21382" spans="25:25" x14ac:dyDescent="0.2">
      <c r="Y21382" s="97"/>
    </row>
    <row r="21383" spans="25:25" x14ac:dyDescent="0.2">
      <c r="Y21383" s="97"/>
    </row>
    <row r="21384" spans="25:25" x14ac:dyDescent="0.2">
      <c r="Y21384" s="97"/>
    </row>
    <row r="21385" spans="25:25" x14ac:dyDescent="0.2">
      <c r="Y21385" s="97"/>
    </row>
    <row r="21386" spans="25:25" x14ac:dyDescent="0.2">
      <c r="Y21386" s="97"/>
    </row>
    <row r="21387" spans="25:25" x14ac:dyDescent="0.2">
      <c r="Y21387" s="97"/>
    </row>
    <row r="21388" spans="25:25" x14ac:dyDescent="0.2">
      <c r="Y21388" s="97"/>
    </row>
    <row r="21389" spans="25:25" x14ac:dyDescent="0.2">
      <c r="Y21389" s="97"/>
    </row>
    <row r="21390" spans="25:25" x14ac:dyDescent="0.2">
      <c r="Y21390" s="97"/>
    </row>
    <row r="21391" spans="25:25" x14ac:dyDescent="0.2">
      <c r="Y21391" s="97"/>
    </row>
    <row r="21392" spans="25:25" x14ac:dyDescent="0.2">
      <c r="Y21392" s="97"/>
    </row>
    <row r="21393" spans="25:25" x14ac:dyDescent="0.2">
      <c r="Y21393" s="97"/>
    </row>
    <row r="21394" spans="25:25" x14ac:dyDescent="0.2">
      <c r="Y21394" s="97"/>
    </row>
    <row r="21395" spans="25:25" x14ac:dyDescent="0.2">
      <c r="Y21395" s="97"/>
    </row>
    <row r="21396" spans="25:25" x14ac:dyDescent="0.2">
      <c r="Y21396" s="97"/>
    </row>
    <row r="21397" spans="25:25" x14ac:dyDescent="0.2">
      <c r="Y21397" s="97"/>
    </row>
    <row r="21398" spans="25:25" x14ac:dyDescent="0.2">
      <c r="Y21398" s="97"/>
    </row>
    <row r="21399" spans="25:25" x14ac:dyDescent="0.2">
      <c r="Y21399" s="97"/>
    </row>
    <row r="21400" spans="25:25" x14ac:dyDescent="0.2">
      <c r="Y21400" s="97"/>
    </row>
    <row r="21401" spans="25:25" x14ac:dyDescent="0.2">
      <c r="Y21401" s="97"/>
    </row>
    <row r="21402" spans="25:25" x14ac:dyDescent="0.2">
      <c r="Y21402" s="97"/>
    </row>
    <row r="21403" spans="25:25" x14ac:dyDescent="0.2">
      <c r="Y21403" s="97"/>
    </row>
    <row r="21404" spans="25:25" x14ac:dyDescent="0.2">
      <c r="Y21404" s="97"/>
    </row>
    <row r="21405" spans="25:25" x14ac:dyDescent="0.2">
      <c r="Y21405" s="97"/>
    </row>
    <row r="21406" spans="25:25" x14ac:dyDescent="0.2">
      <c r="Y21406" s="97"/>
    </row>
    <row r="21407" spans="25:25" x14ac:dyDescent="0.2">
      <c r="Y21407" s="97"/>
    </row>
    <row r="21408" spans="25:25" x14ac:dyDescent="0.2">
      <c r="Y21408" s="97"/>
    </row>
    <row r="21409" spans="25:25" x14ac:dyDescent="0.2">
      <c r="Y21409" s="97"/>
    </row>
    <row r="21410" spans="25:25" x14ac:dyDescent="0.2">
      <c r="Y21410" s="97"/>
    </row>
    <row r="21411" spans="25:25" x14ac:dyDescent="0.2">
      <c r="Y21411" s="97"/>
    </row>
    <row r="21412" spans="25:25" x14ac:dyDescent="0.2">
      <c r="Y21412" s="97"/>
    </row>
    <row r="21413" spans="25:25" x14ac:dyDescent="0.2">
      <c r="Y21413" s="97"/>
    </row>
    <row r="21414" spans="25:25" x14ac:dyDescent="0.2">
      <c r="Y21414" s="97"/>
    </row>
    <row r="21415" spans="25:25" x14ac:dyDescent="0.2">
      <c r="Y21415" s="97"/>
    </row>
    <row r="21416" spans="25:25" x14ac:dyDescent="0.2">
      <c r="Y21416" s="97"/>
    </row>
    <row r="21417" spans="25:25" x14ac:dyDescent="0.2">
      <c r="Y21417" s="97"/>
    </row>
    <row r="21418" spans="25:25" x14ac:dyDescent="0.2">
      <c r="Y21418" s="97"/>
    </row>
    <row r="21419" spans="25:25" x14ac:dyDescent="0.2">
      <c r="Y21419" s="97"/>
    </row>
    <row r="21420" spans="25:25" x14ac:dyDescent="0.2">
      <c r="Y21420" s="97"/>
    </row>
    <row r="21421" spans="25:25" x14ac:dyDescent="0.2">
      <c r="Y21421" s="97"/>
    </row>
    <row r="21422" spans="25:25" x14ac:dyDescent="0.2">
      <c r="Y21422" s="97"/>
    </row>
    <row r="21423" spans="25:25" x14ac:dyDescent="0.2">
      <c r="Y21423" s="97"/>
    </row>
    <row r="21424" spans="25:25" x14ac:dyDescent="0.2">
      <c r="Y21424" s="97"/>
    </row>
    <row r="21425" spans="25:25" x14ac:dyDescent="0.2">
      <c r="Y21425" s="97"/>
    </row>
    <row r="21426" spans="25:25" x14ac:dyDescent="0.2">
      <c r="Y21426" s="97"/>
    </row>
    <row r="21427" spans="25:25" x14ac:dyDescent="0.2">
      <c r="Y21427" s="97"/>
    </row>
    <row r="21428" spans="25:25" x14ac:dyDescent="0.2">
      <c r="Y21428" s="97"/>
    </row>
    <row r="21429" spans="25:25" x14ac:dyDescent="0.2">
      <c r="Y21429" s="97"/>
    </row>
    <row r="21430" spans="25:25" x14ac:dyDescent="0.2">
      <c r="Y21430" s="97"/>
    </row>
    <row r="21431" spans="25:25" x14ac:dyDescent="0.2">
      <c r="Y21431" s="97"/>
    </row>
    <row r="21432" spans="25:25" x14ac:dyDescent="0.2">
      <c r="Y21432" s="97"/>
    </row>
    <row r="21433" spans="25:25" x14ac:dyDescent="0.2">
      <c r="Y21433" s="97"/>
    </row>
    <row r="21434" spans="25:25" x14ac:dyDescent="0.2">
      <c r="Y21434" s="97"/>
    </row>
    <row r="21435" spans="25:25" x14ac:dyDescent="0.2">
      <c r="Y21435" s="97"/>
    </row>
    <row r="21436" spans="25:25" x14ac:dyDescent="0.2">
      <c r="Y21436" s="97"/>
    </row>
    <row r="21437" spans="25:25" x14ac:dyDescent="0.2">
      <c r="Y21437" s="97"/>
    </row>
    <row r="21438" spans="25:25" x14ac:dyDescent="0.2">
      <c r="Y21438" s="97"/>
    </row>
    <row r="21439" spans="25:25" x14ac:dyDescent="0.2">
      <c r="Y21439" s="97"/>
    </row>
    <row r="21440" spans="25:25" x14ac:dyDescent="0.2">
      <c r="Y21440" s="97"/>
    </row>
    <row r="21441" spans="25:25" x14ac:dyDescent="0.2">
      <c r="Y21441" s="97"/>
    </row>
    <row r="21442" spans="25:25" x14ac:dyDescent="0.2">
      <c r="Y21442" s="97"/>
    </row>
    <row r="21443" spans="25:25" x14ac:dyDescent="0.2">
      <c r="Y21443" s="97"/>
    </row>
    <row r="21444" spans="25:25" x14ac:dyDescent="0.2">
      <c r="Y21444" s="97"/>
    </row>
    <row r="21445" spans="25:25" x14ac:dyDescent="0.2">
      <c r="Y21445" s="97"/>
    </row>
    <row r="21446" spans="25:25" x14ac:dyDescent="0.2">
      <c r="Y21446" s="97"/>
    </row>
    <row r="21447" spans="25:25" x14ac:dyDescent="0.2">
      <c r="Y21447" s="97"/>
    </row>
    <row r="21448" spans="25:25" x14ac:dyDescent="0.2">
      <c r="Y21448" s="97"/>
    </row>
    <row r="21449" spans="25:25" x14ac:dyDescent="0.2">
      <c r="Y21449" s="97"/>
    </row>
    <row r="21450" spans="25:25" x14ac:dyDescent="0.2">
      <c r="Y21450" s="97"/>
    </row>
    <row r="21451" spans="25:25" x14ac:dyDescent="0.2">
      <c r="Y21451" s="97"/>
    </row>
    <row r="21452" spans="25:25" x14ac:dyDescent="0.2">
      <c r="Y21452" s="97"/>
    </row>
    <row r="21453" spans="25:25" x14ac:dyDescent="0.2">
      <c r="Y21453" s="97"/>
    </row>
    <row r="21454" spans="25:25" x14ac:dyDescent="0.2">
      <c r="Y21454" s="97"/>
    </row>
    <row r="21455" spans="25:25" x14ac:dyDescent="0.2">
      <c r="Y21455" s="97"/>
    </row>
    <row r="21456" spans="25:25" x14ac:dyDescent="0.2">
      <c r="Y21456" s="97"/>
    </row>
    <row r="21457" spans="25:25" x14ac:dyDescent="0.2">
      <c r="Y21457" s="97"/>
    </row>
    <row r="21458" spans="25:25" x14ac:dyDescent="0.2">
      <c r="Y21458" s="97"/>
    </row>
    <row r="21459" spans="25:25" x14ac:dyDescent="0.2">
      <c r="Y21459" s="97"/>
    </row>
    <row r="21460" spans="25:25" x14ac:dyDescent="0.2">
      <c r="Y21460" s="97"/>
    </row>
    <row r="21461" spans="25:25" x14ac:dyDescent="0.2">
      <c r="Y21461" s="97"/>
    </row>
    <row r="21462" spans="25:25" x14ac:dyDescent="0.2">
      <c r="Y21462" s="97"/>
    </row>
    <row r="21463" spans="25:25" x14ac:dyDescent="0.2">
      <c r="Y21463" s="97"/>
    </row>
    <row r="21464" spans="25:25" x14ac:dyDescent="0.2">
      <c r="Y21464" s="97"/>
    </row>
    <row r="21465" spans="25:25" x14ac:dyDescent="0.2">
      <c r="Y21465" s="97"/>
    </row>
    <row r="21466" spans="25:25" x14ac:dyDescent="0.2">
      <c r="Y21466" s="97"/>
    </row>
    <row r="21467" spans="25:25" x14ac:dyDescent="0.2">
      <c r="Y21467" s="97"/>
    </row>
    <row r="21468" spans="25:25" x14ac:dyDescent="0.2">
      <c r="Y21468" s="97"/>
    </row>
    <row r="21469" spans="25:25" x14ac:dyDescent="0.2">
      <c r="Y21469" s="97"/>
    </row>
    <row r="21470" spans="25:25" x14ac:dyDescent="0.2">
      <c r="Y21470" s="97"/>
    </row>
    <row r="21471" spans="25:25" x14ac:dyDescent="0.2">
      <c r="Y21471" s="97"/>
    </row>
    <row r="21472" spans="25:25" x14ac:dyDescent="0.2">
      <c r="Y21472" s="97"/>
    </row>
    <row r="21473" spans="25:25" x14ac:dyDescent="0.2">
      <c r="Y21473" s="97"/>
    </row>
    <row r="21474" spans="25:25" x14ac:dyDescent="0.2">
      <c r="Y21474" s="97"/>
    </row>
    <row r="21475" spans="25:25" x14ac:dyDescent="0.2">
      <c r="Y21475" s="97"/>
    </row>
    <row r="21476" spans="25:25" x14ac:dyDescent="0.2">
      <c r="Y21476" s="97"/>
    </row>
    <row r="21477" spans="25:25" x14ac:dyDescent="0.2">
      <c r="Y21477" s="97"/>
    </row>
    <row r="21478" spans="25:25" x14ac:dyDescent="0.2">
      <c r="Y21478" s="97"/>
    </row>
    <row r="21479" spans="25:25" x14ac:dyDescent="0.2">
      <c r="Y21479" s="97"/>
    </row>
    <row r="21480" spans="25:25" x14ac:dyDescent="0.2">
      <c r="Y21480" s="97"/>
    </row>
    <row r="21481" spans="25:25" x14ac:dyDescent="0.2">
      <c r="Y21481" s="97"/>
    </row>
    <row r="21482" spans="25:25" x14ac:dyDescent="0.2">
      <c r="Y21482" s="97"/>
    </row>
    <row r="21483" spans="25:25" x14ac:dyDescent="0.2">
      <c r="Y21483" s="97"/>
    </row>
    <row r="21484" spans="25:25" x14ac:dyDescent="0.2">
      <c r="Y21484" s="97"/>
    </row>
    <row r="21485" spans="25:25" x14ac:dyDescent="0.2">
      <c r="Y21485" s="97"/>
    </row>
    <row r="21486" spans="25:25" x14ac:dyDescent="0.2">
      <c r="Y21486" s="97"/>
    </row>
    <row r="21487" spans="25:25" x14ac:dyDescent="0.2">
      <c r="Y21487" s="97"/>
    </row>
    <row r="21488" spans="25:25" x14ac:dyDescent="0.2">
      <c r="Y21488" s="97"/>
    </row>
    <row r="21489" spans="25:25" x14ac:dyDescent="0.2">
      <c r="Y21489" s="97"/>
    </row>
    <row r="21490" spans="25:25" x14ac:dyDescent="0.2">
      <c r="Y21490" s="97"/>
    </row>
    <row r="21491" spans="25:25" x14ac:dyDescent="0.2">
      <c r="Y21491" s="97"/>
    </row>
    <row r="21492" spans="25:25" x14ac:dyDescent="0.2">
      <c r="Y21492" s="97"/>
    </row>
    <row r="21493" spans="25:25" x14ac:dyDescent="0.2">
      <c r="Y21493" s="97"/>
    </row>
    <row r="21494" spans="25:25" x14ac:dyDescent="0.2">
      <c r="Y21494" s="97"/>
    </row>
    <row r="21495" spans="25:25" x14ac:dyDescent="0.2">
      <c r="Y21495" s="97"/>
    </row>
    <row r="21496" spans="25:25" x14ac:dyDescent="0.2">
      <c r="Y21496" s="97"/>
    </row>
    <row r="21497" spans="25:25" x14ac:dyDescent="0.2">
      <c r="Y21497" s="97"/>
    </row>
    <row r="21498" spans="25:25" x14ac:dyDescent="0.2">
      <c r="Y21498" s="97"/>
    </row>
    <row r="21499" spans="25:25" x14ac:dyDescent="0.2">
      <c r="Y21499" s="97"/>
    </row>
    <row r="21500" spans="25:25" x14ac:dyDescent="0.2">
      <c r="Y21500" s="97"/>
    </row>
    <row r="21501" spans="25:25" x14ac:dyDescent="0.2">
      <c r="Y21501" s="97"/>
    </row>
    <row r="21502" spans="25:25" x14ac:dyDescent="0.2">
      <c r="Y21502" s="97"/>
    </row>
    <row r="21503" spans="25:25" x14ac:dyDescent="0.2">
      <c r="Y21503" s="97"/>
    </row>
    <row r="21504" spans="25:25" x14ac:dyDescent="0.2">
      <c r="Y21504" s="97"/>
    </row>
    <row r="21505" spans="25:25" x14ac:dyDescent="0.2">
      <c r="Y21505" s="97"/>
    </row>
    <row r="21506" spans="25:25" x14ac:dyDescent="0.2">
      <c r="Y21506" s="97"/>
    </row>
    <row r="21507" spans="25:25" x14ac:dyDescent="0.2">
      <c r="Y21507" s="97"/>
    </row>
    <row r="21508" spans="25:25" x14ac:dyDescent="0.2">
      <c r="Y21508" s="97"/>
    </row>
    <row r="21509" spans="25:25" x14ac:dyDescent="0.2">
      <c r="Y21509" s="97"/>
    </row>
    <row r="21510" spans="25:25" x14ac:dyDescent="0.2">
      <c r="Y21510" s="97"/>
    </row>
    <row r="21511" spans="25:25" x14ac:dyDescent="0.2">
      <c r="Y21511" s="97"/>
    </row>
    <row r="21512" spans="25:25" x14ac:dyDescent="0.2">
      <c r="Y21512" s="97"/>
    </row>
    <row r="21513" spans="25:25" x14ac:dyDescent="0.2">
      <c r="Y21513" s="97"/>
    </row>
    <row r="21514" spans="25:25" x14ac:dyDescent="0.2">
      <c r="Y21514" s="97"/>
    </row>
    <row r="21515" spans="25:25" x14ac:dyDescent="0.2">
      <c r="Y21515" s="97"/>
    </row>
    <row r="21516" spans="25:25" x14ac:dyDescent="0.2">
      <c r="Y21516" s="97"/>
    </row>
    <row r="21517" spans="25:25" x14ac:dyDescent="0.2">
      <c r="Y21517" s="97"/>
    </row>
    <row r="21518" spans="25:25" x14ac:dyDescent="0.2">
      <c r="Y21518" s="97"/>
    </row>
    <row r="21519" spans="25:25" x14ac:dyDescent="0.2">
      <c r="Y21519" s="97"/>
    </row>
    <row r="21520" spans="25:25" x14ac:dyDescent="0.2">
      <c r="Y21520" s="97"/>
    </row>
    <row r="21521" spans="25:25" x14ac:dyDescent="0.2">
      <c r="Y21521" s="97"/>
    </row>
    <row r="21522" spans="25:25" x14ac:dyDescent="0.2">
      <c r="Y21522" s="97"/>
    </row>
    <row r="21523" spans="25:25" x14ac:dyDescent="0.2">
      <c r="Y21523" s="97"/>
    </row>
    <row r="21524" spans="25:25" x14ac:dyDescent="0.2">
      <c r="Y21524" s="97"/>
    </row>
    <row r="21525" spans="25:25" x14ac:dyDescent="0.2">
      <c r="Y21525" s="97"/>
    </row>
    <row r="21526" spans="25:25" x14ac:dyDescent="0.2">
      <c r="Y21526" s="97"/>
    </row>
    <row r="21527" spans="25:25" x14ac:dyDescent="0.2">
      <c r="Y21527" s="97"/>
    </row>
    <row r="21528" spans="25:25" x14ac:dyDescent="0.2">
      <c r="Y21528" s="97"/>
    </row>
    <row r="21529" spans="25:25" x14ac:dyDescent="0.2">
      <c r="Y21529" s="97"/>
    </row>
    <row r="21530" spans="25:25" x14ac:dyDescent="0.2">
      <c r="Y21530" s="97"/>
    </row>
    <row r="21531" spans="25:25" x14ac:dyDescent="0.2">
      <c r="Y21531" s="97"/>
    </row>
    <row r="21532" spans="25:25" x14ac:dyDescent="0.2">
      <c r="Y21532" s="97"/>
    </row>
    <row r="21533" spans="25:25" x14ac:dyDescent="0.2">
      <c r="Y21533" s="97"/>
    </row>
    <row r="21534" spans="25:25" x14ac:dyDescent="0.2">
      <c r="Y21534" s="97"/>
    </row>
    <row r="21535" spans="25:25" x14ac:dyDescent="0.2">
      <c r="Y21535" s="97"/>
    </row>
    <row r="21536" spans="25:25" x14ac:dyDescent="0.2">
      <c r="Y21536" s="97"/>
    </row>
    <row r="21537" spans="25:25" x14ac:dyDescent="0.2">
      <c r="Y21537" s="97"/>
    </row>
    <row r="21538" spans="25:25" x14ac:dyDescent="0.2">
      <c r="Y21538" s="97"/>
    </row>
    <row r="21539" spans="25:25" x14ac:dyDescent="0.2">
      <c r="Y21539" s="97"/>
    </row>
    <row r="21540" spans="25:25" x14ac:dyDescent="0.2">
      <c r="Y21540" s="97"/>
    </row>
    <row r="21541" spans="25:25" x14ac:dyDescent="0.2">
      <c r="Y21541" s="97"/>
    </row>
    <row r="21542" spans="25:25" x14ac:dyDescent="0.2">
      <c r="Y21542" s="97"/>
    </row>
    <row r="21543" spans="25:25" x14ac:dyDescent="0.2">
      <c r="Y21543" s="97"/>
    </row>
    <row r="21544" spans="25:25" x14ac:dyDescent="0.2">
      <c r="Y21544" s="97"/>
    </row>
    <row r="21545" spans="25:25" x14ac:dyDescent="0.2">
      <c r="Y21545" s="97"/>
    </row>
    <row r="21546" spans="25:25" x14ac:dyDescent="0.2">
      <c r="Y21546" s="97"/>
    </row>
    <row r="21547" spans="25:25" x14ac:dyDescent="0.2">
      <c r="Y21547" s="97"/>
    </row>
    <row r="21548" spans="25:25" x14ac:dyDescent="0.2">
      <c r="Y21548" s="97"/>
    </row>
    <row r="21549" spans="25:25" x14ac:dyDescent="0.2">
      <c r="Y21549" s="97"/>
    </row>
    <row r="21550" spans="25:25" x14ac:dyDescent="0.2">
      <c r="Y21550" s="97"/>
    </row>
    <row r="21551" spans="25:25" x14ac:dyDescent="0.2">
      <c r="Y21551" s="97"/>
    </row>
    <row r="21552" spans="25:25" x14ac:dyDescent="0.2">
      <c r="Y21552" s="97"/>
    </row>
    <row r="21553" spans="25:25" x14ac:dyDescent="0.2">
      <c r="Y21553" s="97"/>
    </row>
    <row r="21554" spans="25:25" x14ac:dyDescent="0.2">
      <c r="Y21554" s="97"/>
    </row>
    <row r="21555" spans="25:25" x14ac:dyDescent="0.2">
      <c r="Y21555" s="97"/>
    </row>
    <row r="21556" spans="25:25" x14ac:dyDescent="0.2">
      <c r="Y21556" s="97"/>
    </row>
    <row r="21557" spans="25:25" x14ac:dyDescent="0.2">
      <c r="Y21557" s="97"/>
    </row>
    <row r="21558" spans="25:25" x14ac:dyDescent="0.2">
      <c r="Y21558" s="97"/>
    </row>
    <row r="21559" spans="25:25" x14ac:dyDescent="0.2">
      <c r="Y21559" s="97"/>
    </row>
    <row r="21560" spans="25:25" x14ac:dyDescent="0.2">
      <c r="Y21560" s="97"/>
    </row>
    <row r="21561" spans="25:25" x14ac:dyDescent="0.2">
      <c r="Y21561" s="97"/>
    </row>
    <row r="21562" spans="25:25" x14ac:dyDescent="0.2">
      <c r="Y21562" s="97"/>
    </row>
    <row r="21563" spans="25:25" x14ac:dyDescent="0.2">
      <c r="Y21563" s="97"/>
    </row>
    <row r="21564" spans="25:25" x14ac:dyDescent="0.2">
      <c r="Y21564" s="97"/>
    </row>
    <row r="21565" spans="25:25" x14ac:dyDescent="0.2">
      <c r="Y21565" s="97"/>
    </row>
    <row r="21566" spans="25:25" x14ac:dyDescent="0.2">
      <c r="Y21566" s="97"/>
    </row>
    <row r="21567" spans="25:25" x14ac:dyDescent="0.2">
      <c r="Y21567" s="97"/>
    </row>
    <row r="21568" spans="25:25" x14ac:dyDescent="0.2">
      <c r="Y21568" s="97"/>
    </row>
    <row r="21569" spans="25:25" x14ac:dyDescent="0.2">
      <c r="Y21569" s="97"/>
    </row>
    <row r="21570" spans="25:25" x14ac:dyDescent="0.2">
      <c r="Y21570" s="97"/>
    </row>
    <row r="21571" spans="25:25" x14ac:dyDescent="0.2">
      <c r="Y21571" s="97"/>
    </row>
    <row r="21572" spans="25:25" x14ac:dyDescent="0.2">
      <c r="Y21572" s="97"/>
    </row>
    <row r="21573" spans="25:25" x14ac:dyDescent="0.2">
      <c r="Y21573" s="97"/>
    </row>
    <row r="21574" spans="25:25" x14ac:dyDescent="0.2">
      <c r="Y21574" s="97"/>
    </row>
    <row r="21575" spans="25:25" x14ac:dyDescent="0.2">
      <c r="Y21575" s="97"/>
    </row>
    <row r="21576" spans="25:25" x14ac:dyDescent="0.2">
      <c r="Y21576" s="97"/>
    </row>
    <row r="21577" spans="25:25" x14ac:dyDescent="0.2">
      <c r="Y21577" s="97"/>
    </row>
    <row r="21578" spans="25:25" x14ac:dyDescent="0.2">
      <c r="Y21578" s="97"/>
    </row>
    <row r="21579" spans="25:25" x14ac:dyDescent="0.2">
      <c r="Y21579" s="97"/>
    </row>
    <row r="21580" spans="25:25" x14ac:dyDescent="0.2">
      <c r="Y21580" s="97"/>
    </row>
    <row r="21581" spans="25:25" x14ac:dyDescent="0.2">
      <c r="Y21581" s="97"/>
    </row>
    <row r="21582" spans="25:25" x14ac:dyDescent="0.2">
      <c r="Y21582" s="97"/>
    </row>
    <row r="21583" spans="25:25" x14ac:dyDescent="0.2">
      <c r="Y21583" s="97"/>
    </row>
    <row r="21584" spans="25:25" x14ac:dyDescent="0.2">
      <c r="Y21584" s="97"/>
    </row>
    <row r="21585" spans="25:25" x14ac:dyDescent="0.2">
      <c r="Y21585" s="97"/>
    </row>
    <row r="21586" spans="25:25" x14ac:dyDescent="0.2">
      <c r="Y21586" s="97"/>
    </row>
    <row r="21587" spans="25:25" x14ac:dyDescent="0.2">
      <c r="Y21587" s="97"/>
    </row>
    <row r="21588" spans="25:25" x14ac:dyDescent="0.2">
      <c r="Y21588" s="97"/>
    </row>
    <row r="21589" spans="25:25" x14ac:dyDescent="0.2">
      <c r="Y21589" s="97"/>
    </row>
    <row r="21590" spans="25:25" x14ac:dyDescent="0.2">
      <c r="Y21590" s="97"/>
    </row>
    <row r="21591" spans="25:25" x14ac:dyDescent="0.2">
      <c r="Y21591" s="97"/>
    </row>
    <row r="21592" spans="25:25" x14ac:dyDescent="0.2">
      <c r="Y21592" s="97"/>
    </row>
    <row r="21593" spans="25:25" x14ac:dyDescent="0.2">
      <c r="Y21593" s="97"/>
    </row>
    <row r="21594" spans="25:25" x14ac:dyDescent="0.2">
      <c r="Y21594" s="97"/>
    </row>
    <row r="21595" spans="25:25" x14ac:dyDescent="0.2">
      <c r="Y21595" s="97"/>
    </row>
    <row r="21596" spans="25:25" x14ac:dyDescent="0.2">
      <c r="Y21596" s="97"/>
    </row>
    <row r="21597" spans="25:25" x14ac:dyDescent="0.2">
      <c r="Y21597" s="97"/>
    </row>
    <row r="21598" spans="25:25" x14ac:dyDescent="0.2">
      <c r="Y21598" s="97"/>
    </row>
    <row r="21599" spans="25:25" x14ac:dyDescent="0.2">
      <c r="Y21599" s="97"/>
    </row>
    <row r="21600" spans="25:25" x14ac:dyDescent="0.2">
      <c r="Y21600" s="97"/>
    </row>
    <row r="21601" spans="25:25" x14ac:dyDescent="0.2">
      <c r="Y21601" s="97"/>
    </row>
    <row r="21602" spans="25:25" x14ac:dyDescent="0.2">
      <c r="Y21602" s="97"/>
    </row>
    <row r="21603" spans="25:25" x14ac:dyDescent="0.2">
      <c r="Y21603" s="97"/>
    </row>
    <row r="21604" spans="25:25" x14ac:dyDescent="0.2">
      <c r="Y21604" s="97"/>
    </row>
    <row r="21605" spans="25:25" x14ac:dyDescent="0.2">
      <c r="Y21605" s="97"/>
    </row>
    <row r="21606" spans="25:25" x14ac:dyDescent="0.2">
      <c r="Y21606" s="97"/>
    </row>
    <row r="21607" spans="25:25" x14ac:dyDescent="0.2">
      <c r="Y21607" s="97"/>
    </row>
    <row r="21608" spans="25:25" x14ac:dyDescent="0.2">
      <c r="Y21608" s="97"/>
    </row>
    <row r="21609" spans="25:25" x14ac:dyDescent="0.2">
      <c r="Y21609" s="97"/>
    </row>
    <row r="21610" spans="25:25" x14ac:dyDescent="0.2">
      <c r="Y21610" s="97"/>
    </row>
    <row r="21611" spans="25:25" x14ac:dyDescent="0.2">
      <c r="Y21611" s="97"/>
    </row>
    <row r="21612" spans="25:25" x14ac:dyDescent="0.2">
      <c r="Y21612" s="97"/>
    </row>
    <row r="21613" spans="25:25" x14ac:dyDescent="0.2">
      <c r="Y21613" s="97"/>
    </row>
    <row r="21614" spans="25:25" x14ac:dyDescent="0.2">
      <c r="Y21614" s="97"/>
    </row>
    <row r="21615" spans="25:25" x14ac:dyDescent="0.2">
      <c r="Y21615" s="97"/>
    </row>
    <row r="21616" spans="25:25" x14ac:dyDescent="0.2">
      <c r="Y21616" s="97"/>
    </row>
    <row r="21617" spans="25:25" x14ac:dyDescent="0.2">
      <c r="Y21617" s="97"/>
    </row>
    <row r="21618" spans="25:25" x14ac:dyDescent="0.2">
      <c r="Y21618" s="97"/>
    </row>
    <row r="21619" spans="25:25" x14ac:dyDescent="0.2">
      <c r="Y21619" s="97"/>
    </row>
    <row r="21620" spans="25:25" x14ac:dyDescent="0.2">
      <c r="Y21620" s="97"/>
    </row>
    <row r="21621" spans="25:25" x14ac:dyDescent="0.2">
      <c r="Y21621" s="97"/>
    </row>
    <row r="21622" spans="25:25" x14ac:dyDescent="0.2">
      <c r="Y21622" s="97"/>
    </row>
    <row r="21623" spans="25:25" x14ac:dyDescent="0.2">
      <c r="Y21623" s="97"/>
    </row>
    <row r="21624" spans="25:25" x14ac:dyDescent="0.2">
      <c r="Y21624" s="97"/>
    </row>
    <row r="21625" spans="25:25" x14ac:dyDescent="0.2">
      <c r="Y21625" s="97"/>
    </row>
    <row r="21626" spans="25:25" x14ac:dyDescent="0.2">
      <c r="Y21626" s="97"/>
    </row>
    <row r="21627" spans="25:25" x14ac:dyDescent="0.2">
      <c r="Y21627" s="97"/>
    </row>
    <row r="21628" spans="25:25" x14ac:dyDescent="0.2">
      <c r="Y21628" s="97"/>
    </row>
    <row r="21629" spans="25:25" x14ac:dyDescent="0.2">
      <c r="Y21629" s="97"/>
    </row>
    <row r="21630" spans="25:25" x14ac:dyDescent="0.2">
      <c r="Y21630" s="97"/>
    </row>
    <row r="21631" spans="25:25" x14ac:dyDescent="0.2">
      <c r="Y21631" s="97"/>
    </row>
    <row r="21632" spans="25:25" x14ac:dyDescent="0.2">
      <c r="Y21632" s="97"/>
    </row>
    <row r="21633" spans="25:25" x14ac:dyDescent="0.2">
      <c r="Y21633" s="97"/>
    </row>
    <row r="21634" spans="25:25" x14ac:dyDescent="0.2">
      <c r="Y21634" s="97"/>
    </row>
    <row r="21635" spans="25:25" x14ac:dyDescent="0.2">
      <c r="Y21635" s="97"/>
    </row>
    <row r="21636" spans="25:25" x14ac:dyDescent="0.2">
      <c r="Y21636" s="97"/>
    </row>
    <row r="21637" spans="25:25" x14ac:dyDescent="0.2">
      <c r="Y21637" s="97"/>
    </row>
    <row r="21638" spans="25:25" x14ac:dyDescent="0.2">
      <c r="Y21638" s="97"/>
    </row>
    <row r="21639" spans="25:25" x14ac:dyDescent="0.2">
      <c r="Y21639" s="97"/>
    </row>
    <row r="21640" spans="25:25" x14ac:dyDescent="0.2">
      <c r="Y21640" s="97"/>
    </row>
    <row r="21641" spans="25:25" x14ac:dyDescent="0.2">
      <c r="Y21641" s="97"/>
    </row>
    <row r="21642" spans="25:25" x14ac:dyDescent="0.2">
      <c r="Y21642" s="97"/>
    </row>
    <row r="21643" spans="25:25" x14ac:dyDescent="0.2">
      <c r="Y21643" s="97"/>
    </row>
    <row r="21644" spans="25:25" x14ac:dyDescent="0.2">
      <c r="Y21644" s="97"/>
    </row>
    <row r="21645" spans="25:25" x14ac:dyDescent="0.2">
      <c r="Y21645" s="97"/>
    </row>
    <row r="21646" spans="25:25" x14ac:dyDescent="0.2">
      <c r="Y21646" s="97"/>
    </row>
    <row r="21647" spans="25:25" x14ac:dyDescent="0.2">
      <c r="Y21647" s="97"/>
    </row>
    <row r="21648" spans="25:25" x14ac:dyDescent="0.2">
      <c r="Y21648" s="97"/>
    </row>
    <row r="21649" spans="25:25" x14ac:dyDescent="0.2">
      <c r="Y21649" s="97"/>
    </row>
    <row r="21650" spans="25:25" x14ac:dyDescent="0.2">
      <c r="Y21650" s="97"/>
    </row>
    <row r="21651" spans="25:25" x14ac:dyDescent="0.2">
      <c r="Y21651" s="97"/>
    </row>
    <row r="21652" spans="25:25" x14ac:dyDescent="0.2">
      <c r="Y21652" s="97"/>
    </row>
    <row r="21653" spans="25:25" x14ac:dyDescent="0.2">
      <c r="Y21653" s="97"/>
    </row>
    <row r="21654" spans="25:25" x14ac:dyDescent="0.2">
      <c r="Y21654" s="97"/>
    </row>
    <row r="21655" spans="25:25" x14ac:dyDescent="0.2">
      <c r="Y21655" s="97"/>
    </row>
    <row r="21656" spans="25:25" x14ac:dyDescent="0.2">
      <c r="Y21656" s="97"/>
    </row>
    <row r="21657" spans="25:25" x14ac:dyDescent="0.2">
      <c r="Y21657" s="97"/>
    </row>
    <row r="21658" spans="25:25" x14ac:dyDescent="0.2">
      <c r="Y21658" s="97"/>
    </row>
    <row r="21659" spans="25:25" x14ac:dyDescent="0.2">
      <c r="Y21659" s="97"/>
    </row>
    <row r="21660" spans="25:25" x14ac:dyDescent="0.2">
      <c r="Y21660" s="97"/>
    </row>
    <row r="21661" spans="25:25" x14ac:dyDescent="0.2">
      <c r="Y21661" s="97"/>
    </row>
    <row r="21662" spans="25:25" x14ac:dyDescent="0.2">
      <c r="Y21662" s="97"/>
    </row>
    <row r="21663" spans="25:25" x14ac:dyDescent="0.2">
      <c r="Y21663" s="97"/>
    </row>
    <row r="21664" spans="25:25" x14ac:dyDescent="0.2">
      <c r="Y21664" s="97"/>
    </row>
    <row r="21665" spans="25:25" x14ac:dyDescent="0.2">
      <c r="Y21665" s="97"/>
    </row>
    <row r="21666" spans="25:25" x14ac:dyDescent="0.2">
      <c r="Y21666" s="97"/>
    </row>
    <row r="21667" spans="25:25" x14ac:dyDescent="0.2">
      <c r="Y21667" s="97"/>
    </row>
    <row r="21668" spans="25:25" x14ac:dyDescent="0.2">
      <c r="Y21668" s="97"/>
    </row>
    <row r="21669" spans="25:25" x14ac:dyDescent="0.2">
      <c r="Y21669" s="97"/>
    </row>
    <row r="21670" spans="25:25" x14ac:dyDescent="0.2">
      <c r="Y21670" s="97"/>
    </row>
    <row r="21671" spans="25:25" x14ac:dyDescent="0.2">
      <c r="Y21671" s="97"/>
    </row>
    <row r="21672" spans="25:25" x14ac:dyDescent="0.2">
      <c r="Y21672" s="97"/>
    </row>
    <row r="21673" spans="25:25" x14ac:dyDescent="0.2">
      <c r="Y21673" s="97"/>
    </row>
    <row r="21674" spans="25:25" x14ac:dyDescent="0.2">
      <c r="Y21674" s="97"/>
    </row>
    <row r="21675" spans="25:25" x14ac:dyDescent="0.2">
      <c r="Y21675" s="97"/>
    </row>
    <row r="21676" spans="25:25" x14ac:dyDescent="0.2">
      <c r="Y21676" s="97"/>
    </row>
    <row r="21677" spans="25:25" x14ac:dyDescent="0.2">
      <c r="Y21677" s="97"/>
    </row>
    <row r="21678" spans="25:25" x14ac:dyDescent="0.2">
      <c r="Y21678" s="97"/>
    </row>
    <row r="21679" spans="25:25" x14ac:dyDescent="0.2">
      <c r="Y21679" s="97"/>
    </row>
    <row r="21680" spans="25:25" x14ac:dyDescent="0.2">
      <c r="Y21680" s="97"/>
    </row>
    <row r="21681" spans="25:25" x14ac:dyDescent="0.2">
      <c r="Y21681" s="97"/>
    </row>
    <row r="21682" spans="25:25" x14ac:dyDescent="0.2">
      <c r="Y21682" s="97"/>
    </row>
    <row r="21683" spans="25:25" x14ac:dyDescent="0.2">
      <c r="Y21683" s="97"/>
    </row>
    <row r="21684" spans="25:25" x14ac:dyDescent="0.2">
      <c r="Y21684" s="97"/>
    </row>
    <row r="21685" spans="25:25" x14ac:dyDescent="0.2">
      <c r="Y21685" s="97"/>
    </row>
    <row r="21686" spans="25:25" x14ac:dyDescent="0.2">
      <c r="Y21686" s="97"/>
    </row>
    <row r="21687" spans="25:25" x14ac:dyDescent="0.2">
      <c r="Y21687" s="97"/>
    </row>
    <row r="21688" spans="25:25" x14ac:dyDescent="0.2">
      <c r="Y21688" s="97"/>
    </row>
    <row r="21689" spans="25:25" x14ac:dyDescent="0.2">
      <c r="Y21689" s="97"/>
    </row>
    <row r="21690" spans="25:25" x14ac:dyDescent="0.2">
      <c r="Y21690" s="97"/>
    </row>
    <row r="21691" spans="25:25" x14ac:dyDescent="0.2">
      <c r="Y21691" s="97"/>
    </row>
    <row r="21692" spans="25:25" x14ac:dyDescent="0.2">
      <c r="Y21692" s="97"/>
    </row>
    <row r="21693" spans="25:25" x14ac:dyDescent="0.2">
      <c r="Y21693" s="97"/>
    </row>
    <row r="21694" spans="25:25" x14ac:dyDescent="0.2">
      <c r="Y21694" s="97"/>
    </row>
    <row r="21695" spans="25:25" x14ac:dyDescent="0.2">
      <c r="Y21695" s="97"/>
    </row>
    <row r="21696" spans="25:25" x14ac:dyDescent="0.2">
      <c r="Y21696" s="97"/>
    </row>
    <row r="21697" spans="25:25" x14ac:dyDescent="0.2">
      <c r="Y21697" s="97"/>
    </row>
    <row r="21698" spans="25:25" x14ac:dyDescent="0.2">
      <c r="Y21698" s="97"/>
    </row>
    <row r="21699" spans="25:25" x14ac:dyDescent="0.2">
      <c r="Y21699" s="97"/>
    </row>
    <row r="21700" spans="25:25" x14ac:dyDescent="0.2">
      <c r="Y21700" s="97"/>
    </row>
    <row r="21701" spans="25:25" x14ac:dyDescent="0.2">
      <c r="Y21701" s="97"/>
    </row>
    <row r="21702" spans="25:25" x14ac:dyDescent="0.2">
      <c r="Y21702" s="97"/>
    </row>
    <row r="21703" spans="25:25" x14ac:dyDescent="0.2">
      <c r="Y21703" s="97"/>
    </row>
    <row r="21704" spans="25:25" x14ac:dyDescent="0.2">
      <c r="Y21704" s="97"/>
    </row>
    <row r="21705" spans="25:25" x14ac:dyDescent="0.2">
      <c r="Y21705" s="97"/>
    </row>
    <row r="21706" spans="25:25" x14ac:dyDescent="0.2">
      <c r="Y21706" s="97"/>
    </row>
    <row r="21707" spans="25:25" x14ac:dyDescent="0.2">
      <c r="Y21707" s="97"/>
    </row>
    <row r="21708" spans="25:25" x14ac:dyDescent="0.2">
      <c r="Y21708" s="97"/>
    </row>
    <row r="21709" spans="25:25" x14ac:dyDescent="0.2">
      <c r="Y21709" s="97"/>
    </row>
    <row r="21710" spans="25:25" x14ac:dyDescent="0.2">
      <c r="Y21710" s="97"/>
    </row>
    <row r="21711" spans="25:25" x14ac:dyDescent="0.2">
      <c r="Y21711" s="97"/>
    </row>
    <row r="21712" spans="25:25" x14ac:dyDescent="0.2">
      <c r="Y21712" s="97"/>
    </row>
    <row r="21713" spans="25:25" x14ac:dyDescent="0.2">
      <c r="Y21713" s="97"/>
    </row>
    <row r="21714" spans="25:25" x14ac:dyDescent="0.2">
      <c r="Y21714" s="97"/>
    </row>
    <row r="21715" spans="25:25" x14ac:dyDescent="0.2">
      <c r="Y21715" s="97"/>
    </row>
    <row r="21716" spans="25:25" x14ac:dyDescent="0.2">
      <c r="Y21716" s="97"/>
    </row>
    <row r="21717" spans="25:25" x14ac:dyDescent="0.2">
      <c r="Y21717" s="97"/>
    </row>
    <row r="21718" spans="25:25" x14ac:dyDescent="0.2">
      <c r="Y21718" s="97"/>
    </row>
    <row r="21719" spans="25:25" x14ac:dyDescent="0.2">
      <c r="Y21719" s="97"/>
    </row>
    <row r="21720" spans="25:25" x14ac:dyDescent="0.2">
      <c r="Y21720" s="97"/>
    </row>
    <row r="21721" spans="25:25" x14ac:dyDescent="0.2">
      <c r="Y21721" s="97"/>
    </row>
    <row r="21722" spans="25:25" x14ac:dyDescent="0.2">
      <c r="Y21722" s="97"/>
    </row>
    <row r="21723" spans="25:25" x14ac:dyDescent="0.2">
      <c r="Y21723" s="97"/>
    </row>
    <row r="21724" spans="25:25" x14ac:dyDescent="0.2">
      <c r="Y21724" s="97"/>
    </row>
    <row r="21725" spans="25:25" x14ac:dyDescent="0.2">
      <c r="Y21725" s="97"/>
    </row>
    <row r="21726" spans="25:25" x14ac:dyDescent="0.2">
      <c r="Y21726" s="97"/>
    </row>
    <row r="21727" spans="25:25" x14ac:dyDescent="0.2">
      <c r="Y21727" s="97"/>
    </row>
    <row r="21728" spans="25:25" x14ac:dyDescent="0.2">
      <c r="Y21728" s="97"/>
    </row>
    <row r="21729" spans="25:25" x14ac:dyDescent="0.2">
      <c r="Y21729" s="97"/>
    </row>
    <row r="21730" spans="25:25" x14ac:dyDescent="0.2">
      <c r="Y21730" s="97"/>
    </row>
    <row r="21731" spans="25:25" x14ac:dyDescent="0.2">
      <c r="Y21731" s="97"/>
    </row>
    <row r="21732" spans="25:25" x14ac:dyDescent="0.2">
      <c r="Y21732" s="97"/>
    </row>
    <row r="21733" spans="25:25" x14ac:dyDescent="0.2">
      <c r="Y21733" s="97"/>
    </row>
    <row r="21734" spans="25:25" x14ac:dyDescent="0.2">
      <c r="Y21734" s="97"/>
    </row>
    <row r="21735" spans="25:25" x14ac:dyDescent="0.2">
      <c r="Y21735" s="97"/>
    </row>
    <row r="21736" spans="25:25" x14ac:dyDescent="0.2">
      <c r="Y21736" s="97"/>
    </row>
    <row r="21737" spans="25:25" x14ac:dyDescent="0.2">
      <c r="Y21737" s="97"/>
    </row>
    <row r="21738" spans="25:25" x14ac:dyDescent="0.2">
      <c r="Y21738" s="97"/>
    </row>
    <row r="21739" spans="25:25" x14ac:dyDescent="0.2">
      <c r="Y21739" s="97"/>
    </row>
    <row r="21740" spans="25:25" x14ac:dyDescent="0.2">
      <c r="Y21740" s="97"/>
    </row>
    <row r="21741" spans="25:25" x14ac:dyDescent="0.2">
      <c r="Y21741" s="97"/>
    </row>
    <row r="21742" spans="25:25" x14ac:dyDescent="0.2">
      <c r="Y21742" s="97"/>
    </row>
    <row r="21743" spans="25:25" x14ac:dyDescent="0.2">
      <c r="Y21743" s="97"/>
    </row>
    <row r="21744" spans="25:25" x14ac:dyDescent="0.2">
      <c r="Y21744" s="97"/>
    </row>
    <row r="21745" spans="25:25" x14ac:dyDescent="0.2">
      <c r="Y21745" s="97"/>
    </row>
    <row r="21746" spans="25:25" x14ac:dyDescent="0.2">
      <c r="Y21746" s="97"/>
    </row>
    <row r="21747" spans="25:25" x14ac:dyDescent="0.2">
      <c r="Y21747" s="97"/>
    </row>
    <row r="21748" spans="25:25" x14ac:dyDescent="0.2">
      <c r="Y21748" s="97"/>
    </row>
    <row r="21749" spans="25:25" x14ac:dyDescent="0.2">
      <c r="Y21749" s="97"/>
    </row>
    <row r="21750" spans="25:25" x14ac:dyDescent="0.2">
      <c r="Y21750" s="97"/>
    </row>
    <row r="21751" spans="25:25" x14ac:dyDescent="0.2">
      <c r="Y21751" s="97"/>
    </row>
    <row r="21752" spans="25:25" x14ac:dyDescent="0.2">
      <c r="Y21752" s="97"/>
    </row>
    <row r="21753" spans="25:25" x14ac:dyDescent="0.2">
      <c r="Y21753" s="97"/>
    </row>
    <row r="21754" spans="25:25" x14ac:dyDescent="0.2">
      <c r="Y21754" s="97"/>
    </row>
    <row r="21755" spans="25:25" x14ac:dyDescent="0.2">
      <c r="Y21755" s="97"/>
    </row>
    <row r="21756" spans="25:25" x14ac:dyDescent="0.2">
      <c r="Y21756" s="97"/>
    </row>
    <row r="21757" spans="25:25" x14ac:dyDescent="0.2">
      <c r="Y21757" s="97"/>
    </row>
    <row r="21758" spans="25:25" x14ac:dyDescent="0.2">
      <c r="Y21758" s="97"/>
    </row>
    <row r="21759" spans="25:25" x14ac:dyDescent="0.2">
      <c r="Y21759" s="97"/>
    </row>
    <row r="21760" spans="25:25" x14ac:dyDescent="0.2">
      <c r="Y21760" s="97"/>
    </row>
    <row r="21761" spans="25:25" x14ac:dyDescent="0.2">
      <c r="Y21761" s="97"/>
    </row>
    <row r="21762" spans="25:25" x14ac:dyDescent="0.2">
      <c r="Y21762" s="97"/>
    </row>
    <row r="21763" spans="25:25" x14ac:dyDescent="0.2">
      <c r="Y21763" s="97"/>
    </row>
    <row r="21764" spans="25:25" x14ac:dyDescent="0.2">
      <c r="Y21764" s="97"/>
    </row>
    <row r="21765" spans="25:25" x14ac:dyDescent="0.2">
      <c r="Y21765" s="97"/>
    </row>
    <row r="21766" spans="25:25" x14ac:dyDescent="0.2">
      <c r="Y21766" s="97"/>
    </row>
    <row r="21767" spans="25:25" x14ac:dyDescent="0.2">
      <c r="Y21767" s="97"/>
    </row>
    <row r="21768" spans="25:25" x14ac:dyDescent="0.2">
      <c r="Y21768" s="97"/>
    </row>
    <row r="21769" spans="25:25" x14ac:dyDescent="0.2">
      <c r="Y21769" s="97"/>
    </row>
    <row r="21770" spans="25:25" x14ac:dyDescent="0.2">
      <c r="Y21770" s="97"/>
    </row>
    <row r="21771" spans="25:25" x14ac:dyDescent="0.2">
      <c r="Y21771" s="97"/>
    </row>
    <row r="21772" spans="25:25" x14ac:dyDescent="0.2">
      <c r="Y21772" s="97"/>
    </row>
    <row r="21773" spans="25:25" x14ac:dyDescent="0.2">
      <c r="Y21773" s="97"/>
    </row>
    <row r="21774" spans="25:25" x14ac:dyDescent="0.2">
      <c r="Y21774" s="97"/>
    </row>
    <row r="21775" spans="25:25" x14ac:dyDescent="0.2">
      <c r="Y21775" s="97"/>
    </row>
    <row r="21776" spans="25:25" x14ac:dyDescent="0.2">
      <c r="Y21776" s="97"/>
    </row>
    <row r="21777" spans="25:25" x14ac:dyDescent="0.2">
      <c r="Y21777" s="97"/>
    </row>
    <row r="21778" spans="25:25" x14ac:dyDescent="0.2">
      <c r="Y21778" s="97"/>
    </row>
    <row r="21779" spans="25:25" x14ac:dyDescent="0.2">
      <c r="Y21779" s="97"/>
    </row>
    <row r="21780" spans="25:25" x14ac:dyDescent="0.2">
      <c r="Y21780" s="97"/>
    </row>
    <row r="21781" spans="25:25" x14ac:dyDescent="0.2">
      <c r="Y21781" s="97"/>
    </row>
    <row r="21782" spans="25:25" x14ac:dyDescent="0.2">
      <c r="Y21782" s="97"/>
    </row>
    <row r="21783" spans="25:25" x14ac:dyDescent="0.2">
      <c r="Y21783" s="97"/>
    </row>
    <row r="21784" spans="25:25" x14ac:dyDescent="0.2">
      <c r="Y21784" s="97"/>
    </row>
    <row r="21785" spans="25:25" x14ac:dyDescent="0.2">
      <c r="Y21785" s="97"/>
    </row>
    <row r="21786" spans="25:25" x14ac:dyDescent="0.2">
      <c r="Y21786" s="97"/>
    </row>
    <row r="21787" spans="25:25" x14ac:dyDescent="0.2">
      <c r="Y21787" s="97"/>
    </row>
    <row r="21788" spans="25:25" x14ac:dyDescent="0.2">
      <c r="Y21788" s="97"/>
    </row>
    <row r="21789" spans="25:25" x14ac:dyDescent="0.2">
      <c r="Y21789" s="97"/>
    </row>
    <row r="21790" spans="25:25" x14ac:dyDescent="0.2">
      <c r="Y21790" s="97"/>
    </row>
    <row r="21791" spans="25:25" x14ac:dyDescent="0.2">
      <c r="Y21791" s="97"/>
    </row>
    <row r="21792" spans="25:25" x14ac:dyDescent="0.2">
      <c r="Y21792" s="97"/>
    </row>
    <row r="21793" spans="25:25" x14ac:dyDescent="0.2">
      <c r="Y21793" s="97"/>
    </row>
    <row r="21794" spans="25:25" x14ac:dyDescent="0.2">
      <c r="Y21794" s="97"/>
    </row>
    <row r="21795" spans="25:25" x14ac:dyDescent="0.2">
      <c r="Y21795" s="97"/>
    </row>
    <row r="21796" spans="25:25" x14ac:dyDescent="0.2">
      <c r="Y21796" s="97"/>
    </row>
    <row r="21797" spans="25:25" x14ac:dyDescent="0.2">
      <c r="Y21797" s="97"/>
    </row>
    <row r="21798" spans="25:25" x14ac:dyDescent="0.2">
      <c r="Y21798" s="97"/>
    </row>
    <row r="21799" spans="25:25" x14ac:dyDescent="0.2">
      <c r="Y21799" s="97"/>
    </row>
    <row r="21800" spans="25:25" x14ac:dyDescent="0.2">
      <c r="Y21800" s="97"/>
    </row>
    <row r="21801" spans="25:25" x14ac:dyDescent="0.2">
      <c r="Y21801" s="97"/>
    </row>
    <row r="21802" spans="25:25" x14ac:dyDescent="0.2">
      <c r="Y21802" s="97"/>
    </row>
    <row r="21803" spans="25:25" x14ac:dyDescent="0.2">
      <c r="Y21803" s="97"/>
    </row>
    <row r="21804" spans="25:25" x14ac:dyDescent="0.2">
      <c r="Y21804" s="97"/>
    </row>
    <row r="21805" spans="25:25" x14ac:dyDescent="0.2">
      <c r="Y21805" s="97"/>
    </row>
    <row r="21806" spans="25:25" x14ac:dyDescent="0.2">
      <c r="Y21806" s="97"/>
    </row>
    <row r="21807" spans="25:25" x14ac:dyDescent="0.2">
      <c r="Y21807" s="97"/>
    </row>
    <row r="21808" spans="25:25" x14ac:dyDescent="0.2">
      <c r="Y21808" s="97"/>
    </row>
    <row r="21809" spans="25:25" x14ac:dyDescent="0.2">
      <c r="Y21809" s="97"/>
    </row>
    <row r="21810" spans="25:25" x14ac:dyDescent="0.2">
      <c r="Y21810" s="97"/>
    </row>
    <row r="21811" spans="25:25" x14ac:dyDescent="0.2">
      <c r="Y21811" s="97"/>
    </row>
    <row r="21812" spans="25:25" x14ac:dyDescent="0.2">
      <c r="Y21812" s="97"/>
    </row>
    <row r="21813" spans="25:25" x14ac:dyDescent="0.2">
      <c r="Y21813" s="97"/>
    </row>
    <row r="21814" spans="25:25" x14ac:dyDescent="0.2">
      <c r="Y21814" s="97"/>
    </row>
    <row r="21815" spans="25:25" x14ac:dyDescent="0.2">
      <c r="Y21815" s="97"/>
    </row>
    <row r="21816" spans="25:25" x14ac:dyDescent="0.2">
      <c r="Y21816" s="97"/>
    </row>
    <row r="21817" spans="25:25" x14ac:dyDescent="0.2">
      <c r="Y21817" s="97"/>
    </row>
    <row r="21818" spans="25:25" x14ac:dyDescent="0.2">
      <c r="Y21818" s="97"/>
    </row>
    <row r="21819" spans="25:25" x14ac:dyDescent="0.2">
      <c r="Y21819" s="97"/>
    </row>
    <row r="21820" spans="25:25" x14ac:dyDescent="0.2">
      <c r="Y21820" s="97"/>
    </row>
    <row r="21821" spans="25:25" x14ac:dyDescent="0.2">
      <c r="Y21821" s="97"/>
    </row>
    <row r="21822" spans="25:25" x14ac:dyDescent="0.2">
      <c r="Y21822" s="97"/>
    </row>
    <row r="21823" spans="25:25" x14ac:dyDescent="0.2">
      <c r="Y21823" s="97"/>
    </row>
    <row r="21824" spans="25:25" x14ac:dyDescent="0.2">
      <c r="Y21824" s="97"/>
    </row>
    <row r="21825" spans="25:25" x14ac:dyDescent="0.2">
      <c r="Y21825" s="97"/>
    </row>
    <row r="21826" spans="25:25" x14ac:dyDescent="0.2">
      <c r="Y21826" s="97"/>
    </row>
    <row r="21827" spans="25:25" x14ac:dyDescent="0.2">
      <c r="Y21827" s="97"/>
    </row>
    <row r="21828" spans="25:25" x14ac:dyDescent="0.2">
      <c r="Y21828" s="97"/>
    </row>
    <row r="21829" spans="25:25" x14ac:dyDescent="0.2">
      <c r="Y21829" s="97"/>
    </row>
    <row r="21830" spans="25:25" x14ac:dyDescent="0.2">
      <c r="Y21830" s="97"/>
    </row>
    <row r="21831" spans="25:25" x14ac:dyDescent="0.2">
      <c r="Y21831" s="97"/>
    </row>
    <row r="21832" spans="25:25" x14ac:dyDescent="0.2">
      <c r="Y21832" s="97"/>
    </row>
    <row r="21833" spans="25:25" x14ac:dyDescent="0.2">
      <c r="Y21833" s="97"/>
    </row>
    <row r="21834" spans="25:25" x14ac:dyDescent="0.2">
      <c r="Y21834" s="97"/>
    </row>
    <row r="21835" spans="25:25" x14ac:dyDescent="0.2">
      <c r="Y21835" s="97"/>
    </row>
    <row r="21836" spans="25:25" x14ac:dyDescent="0.2">
      <c r="Y21836" s="97"/>
    </row>
    <row r="21837" spans="25:25" x14ac:dyDescent="0.2">
      <c r="Y21837" s="97"/>
    </row>
    <row r="21838" spans="25:25" x14ac:dyDescent="0.2">
      <c r="Y21838" s="97"/>
    </row>
    <row r="21839" spans="25:25" x14ac:dyDescent="0.2">
      <c r="Y21839" s="97"/>
    </row>
    <row r="21840" spans="25:25" x14ac:dyDescent="0.2">
      <c r="Y21840" s="97"/>
    </row>
    <row r="21841" spans="25:25" x14ac:dyDescent="0.2">
      <c r="Y21841" s="97"/>
    </row>
    <row r="21842" spans="25:25" x14ac:dyDescent="0.2">
      <c r="Y21842" s="97"/>
    </row>
    <row r="21843" spans="25:25" x14ac:dyDescent="0.2">
      <c r="Y21843" s="97"/>
    </row>
    <row r="21844" spans="25:25" x14ac:dyDescent="0.2">
      <c r="Y21844" s="97"/>
    </row>
    <row r="21845" spans="25:25" x14ac:dyDescent="0.2">
      <c r="Y21845" s="97"/>
    </row>
    <row r="21846" spans="25:25" x14ac:dyDescent="0.2">
      <c r="Y21846" s="97"/>
    </row>
    <row r="21847" spans="25:25" x14ac:dyDescent="0.2">
      <c r="Y21847" s="97"/>
    </row>
    <row r="21848" spans="25:25" x14ac:dyDescent="0.2">
      <c r="Y21848" s="97"/>
    </row>
    <row r="21849" spans="25:25" x14ac:dyDescent="0.2">
      <c r="Y21849" s="97"/>
    </row>
    <row r="21850" spans="25:25" x14ac:dyDescent="0.2">
      <c r="Y21850" s="97"/>
    </row>
    <row r="21851" spans="25:25" x14ac:dyDescent="0.2">
      <c r="Y21851" s="97"/>
    </row>
    <row r="21852" spans="25:25" x14ac:dyDescent="0.2">
      <c r="Y21852" s="97"/>
    </row>
    <row r="21853" spans="25:25" x14ac:dyDescent="0.2">
      <c r="Y21853" s="97"/>
    </row>
    <row r="21854" spans="25:25" x14ac:dyDescent="0.2">
      <c r="Y21854" s="97"/>
    </row>
    <row r="21855" spans="25:25" x14ac:dyDescent="0.2">
      <c r="Y21855" s="97"/>
    </row>
    <row r="21856" spans="25:25" x14ac:dyDescent="0.2">
      <c r="Y21856" s="97"/>
    </row>
    <row r="21857" spans="25:25" x14ac:dyDescent="0.2">
      <c r="Y21857" s="97"/>
    </row>
    <row r="21858" spans="25:25" x14ac:dyDescent="0.2">
      <c r="Y21858" s="97"/>
    </row>
    <row r="21859" spans="25:25" x14ac:dyDescent="0.2">
      <c r="Y21859" s="97"/>
    </row>
    <row r="21860" spans="25:25" x14ac:dyDescent="0.2">
      <c r="Y21860" s="97"/>
    </row>
    <row r="21861" spans="25:25" x14ac:dyDescent="0.2">
      <c r="Y21861" s="97"/>
    </row>
    <row r="21862" spans="25:25" x14ac:dyDescent="0.2">
      <c r="Y21862" s="97"/>
    </row>
    <row r="21863" spans="25:25" x14ac:dyDescent="0.2">
      <c r="Y21863" s="97"/>
    </row>
    <row r="21864" spans="25:25" x14ac:dyDescent="0.2">
      <c r="Y21864" s="97"/>
    </row>
    <row r="21865" spans="25:25" x14ac:dyDescent="0.2">
      <c r="Y21865" s="97"/>
    </row>
    <row r="21866" spans="25:25" x14ac:dyDescent="0.2">
      <c r="Y21866" s="97"/>
    </row>
    <row r="21867" spans="25:25" x14ac:dyDescent="0.2">
      <c r="Y21867" s="97"/>
    </row>
    <row r="21868" spans="25:25" x14ac:dyDescent="0.2">
      <c r="Y21868" s="97"/>
    </row>
    <row r="21869" spans="25:25" x14ac:dyDescent="0.2">
      <c r="Y21869" s="97"/>
    </row>
    <row r="21870" spans="25:25" x14ac:dyDescent="0.2">
      <c r="Y21870" s="97"/>
    </row>
    <row r="21871" spans="25:25" x14ac:dyDescent="0.2">
      <c r="Y21871" s="97"/>
    </row>
    <row r="21872" spans="25:25" x14ac:dyDescent="0.2">
      <c r="Y21872" s="97"/>
    </row>
    <row r="21873" spans="25:25" x14ac:dyDescent="0.2">
      <c r="Y21873" s="97"/>
    </row>
    <row r="21874" spans="25:25" x14ac:dyDescent="0.2">
      <c r="Y21874" s="97"/>
    </row>
    <row r="21875" spans="25:25" x14ac:dyDescent="0.2">
      <c r="Y21875" s="97"/>
    </row>
    <row r="21876" spans="25:25" x14ac:dyDescent="0.2">
      <c r="Y21876" s="97"/>
    </row>
    <row r="21877" spans="25:25" x14ac:dyDescent="0.2">
      <c r="Y21877" s="97"/>
    </row>
    <row r="21878" spans="25:25" x14ac:dyDescent="0.2">
      <c r="Y21878" s="97"/>
    </row>
    <row r="21879" spans="25:25" x14ac:dyDescent="0.2">
      <c r="Y21879" s="97"/>
    </row>
    <row r="21880" spans="25:25" x14ac:dyDescent="0.2">
      <c r="Y21880" s="97"/>
    </row>
    <row r="21881" spans="25:25" x14ac:dyDescent="0.2">
      <c r="Y21881" s="97"/>
    </row>
    <row r="21882" spans="25:25" x14ac:dyDescent="0.2">
      <c r="Y21882" s="97"/>
    </row>
    <row r="21883" spans="25:25" x14ac:dyDescent="0.2">
      <c r="Y21883" s="97"/>
    </row>
    <row r="21884" spans="25:25" x14ac:dyDescent="0.2">
      <c r="Y21884" s="97"/>
    </row>
    <row r="21885" spans="25:25" x14ac:dyDescent="0.2">
      <c r="Y21885" s="97"/>
    </row>
    <row r="21886" spans="25:25" x14ac:dyDescent="0.2">
      <c r="Y21886" s="97"/>
    </row>
    <row r="21887" spans="25:25" x14ac:dyDescent="0.2">
      <c r="Y21887" s="97"/>
    </row>
    <row r="21888" spans="25:25" x14ac:dyDescent="0.2">
      <c r="Y21888" s="97"/>
    </row>
    <row r="21889" spans="25:25" x14ac:dyDescent="0.2">
      <c r="Y21889" s="97"/>
    </row>
    <row r="21890" spans="25:25" x14ac:dyDescent="0.2">
      <c r="Y21890" s="97"/>
    </row>
    <row r="21891" spans="25:25" x14ac:dyDescent="0.2">
      <c r="Y21891" s="97"/>
    </row>
    <row r="21892" spans="25:25" x14ac:dyDescent="0.2">
      <c r="Y21892" s="97"/>
    </row>
    <row r="21893" spans="25:25" x14ac:dyDescent="0.2">
      <c r="Y21893" s="97"/>
    </row>
    <row r="21894" spans="25:25" x14ac:dyDescent="0.2">
      <c r="Y21894" s="97"/>
    </row>
    <row r="21895" spans="25:25" x14ac:dyDescent="0.2">
      <c r="Y21895" s="97"/>
    </row>
    <row r="21896" spans="25:25" x14ac:dyDescent="0.2">
      <c r="Y21896" s="97"/>
    </row>
    <row r="21897" spans="25:25" x14ac:dyDescent="0.2">
      <c r="Y21897" s="97"/>
    </row>
    <row r="21898" spans="25:25" x14ac:dyDescent="0.2">
      <c r="Y21898" s="97"/>
    </row>
    <row r="21899" spans="25:25" x14ac:dyDescent="0.2">
      <c r="Y21899" s="97"/>
    </row>
    <row r="21900" spans="25:25" x14ac:dyDescent="0.2">
      <c r="Y21900" s="97"/>
    </row>
    <row r="21901" spans="25:25" x14ac:dyDescent="0.2">
      <c r="Y21901" s="97"/>
    </row>
    <row r="21902" spans="25:25" x14ac:dyDescent="0.2">
      <c r="Y21902" s="97"/>
    </row>
    <row r="21903" spans="25:25" x14ac:dyDescent="0.2">
      <c r="Y21903" s="97"/>
    </row>
    <row r="21904" spans="25:25" x14ac:dyDescent="0.2">
      <c r="Y21904" s="97"/>
    </row>
    <row r="21905" spans="25:25" x14ac:dyDescent="0.2">
      <c r="Y21905" s="97"/>
    </row>
    <row r="21906" spans="25:25" x14ac:dyDescent="0.2">
      <c r="Y21906" s="97"/>
    </row>
    <row r="21907" spans="25:25" x14ac:dyDescent="0.2">
      <c r="Y21907" s="97"/>
    </row>
    <row r="21908" spans="25:25" x14ac:dyDescent="0.2">
      <c r="Y21908" s="97"/>
    </row>
    <row r="21909" spans="25:25" x14ac:dyDescent="0.2">
      <c r="Y21909" s="97"/>
    </row>
    <row r="21910" spans="25:25" x14ac:dyDescent="0.2">
      <c r="Y21910" s="97"/>
    </row>
    <row r="21911" spans="25:25" x14ac:dyDescent="0.2">
      <c r="Y21911" s="97"/>
    </row>
    <row r="21912" spans="25:25" x14ac:dyDescent="0.2">
      <c r="Y21912" s="97"/>
    </row>
    <row r="21913" spans="25:25" x14ac:dyDescent="0.2">
      <c r="Y21913" s="97"/>
    </row>
    <row r="21914" spans="25:25" x14ac:dyDescent="0.2">
      <c r="Y21914" s="97"/>
    </row>
    <row r="21915" spans="25:25" x14ac:dyDescent="0.2">
      <c r="Y21915" s="97"/>
    </row>
    <row r="21916" spans="25:25" x14ac:dyDescent="0.2">
      <c r="Y21916" s="97"/>
    </row>
    <row r="21917" spans="25:25" x14ac:dyDescent="0.2">
      <c r="Y21917" s="97"/>
    </row>
    <row r="21918" spans="25:25" x14ac:dyDescent="0.2">
      <c r="Y21918" s="97"/>
    </row>
    <row r="21919" spans="25:25" x14ac:dyDescent="0.2">
      <c r="Y21919" s="97"/>
    </row>
    <row r="21920" spans="25:25" x14ac:dyDescent="0.2">
      <c r="Y21920" s="97"/>
    </row>
    <row r="21921" spans="25:25" x14ac:dyDescent="0.2">
      <c r="Y21921" s="97"/>
    </row>
    <row r="21922" spans="25:25" x14ac:dyDescent="0.2">
      <c r="Y21922" s="97"/>
    </row>
    <row r="21923" spans="25:25" x14ac:dyDescent="0.2">
      <c r="Y21923" s="97"/>
    </row>
    <row r="21924" spans="25:25" x14ac:dyDescent="0.2">
      <c r="Y21924" s="97"/>
    </row>
    <row r="21925" spans="25:25" x14ac:dyDescent="0.2">
      <c r="Y21925" s="97"/>
    </row>
    <row r="21926" spans="25:25" x14ac:dyDescent="0.2">
      <c r="Y21926" s="97"/>
    </row>
    <row r="21927" spans="25:25" x14ac:dyDescent="0.2">
      <c r="Y21927" s="97"/>
    </row>
    <row r="21928" spans="25:25" x14ac:dyDescent="0.2">
      <c r="Y21928" s="97"/>
    </row>
    <row r="21929" spans="25:25" x14ac:dyDescent="0.2">
      <c r="Y21929" s="97"/>
    </row>
    <row r="21930" spans="25:25" x14ac:dyDescent="0.2">
      <c r="Y21930" s="97"/>
    </row>
    <row r="21931" spans="25:25" x14ac:dyDescent="0.2">
      <c r="Y21931" s="97"/>
    </row>
    <row r="21932" spans="25:25" x14ac:dyDescent="0.2">
      <c r="Y21932" s="97"/>
    </row>
    <row r="21933" spans="25:25" x14ac:dyDescent="0.2">
      <c r="Y21933" s="97"/>
    </row>
    <row r="21934" spans="25:25" x14ac:dyDescent="0.2">
      <c r="Y21934" s="97"/>
    </row>
    <row r="21935" spans="25:25" x14ac:dyDescent="0.2">
      <c r="Y21935" s="97"/>
    </row>
    <row r="21936" spans="25:25" x14ac:dyDescent="0.2">
      <c r="Y21936" s="97"/>
    </row>
    <row r="21937" spans="25:25" x14ac:dyDescent="0.2">
      <c r="Y21937" s="97"/>
    </row>
    <row r="21938" spans="25:25" x14ac:dyDescent="0.2">
      <c r="Y21938" s="97"/>
    </row>
    <row r="21939" spans="25:25" x14ac:dyDescent="0.2">
      <c r="Y21939" s="97"/>
    </row>
    <row r="21940" spans="25:25" x14ac:dyDescent="0.2">
      <c r="Y21940" s="97"/>
    </row>
    <row r="21941" spans="25:25" x14ac:dyDescent="0.2">
      <c r="Y21941" s="97"/>
    </row>
    <row r="21942" spans="25:25" x14ac:dyDescent="0.2">
      <c r="Y21942" s="97"/>
    </row>
    <row r="21943" spans="25:25" x14ac:dyDescent="0.2">
      <c r="Y21943" s="97"/>
    </row>
    <row r="21944" spans="25:25" x14ac:dyDescent="0.2">
      <c r="Y21944" s="97"/>
    </row>
    <row r="21945" spans="25:25" x14ac:dyDescent="0.2">
      <c r="Y21945" s="97"/>
    </row>
    <row r="21946" spans="25:25" x14ac:dyDescent="0.2">
      <c r="Y21946" s="97"/>
    </row>
    <row r="21947" spans="25:25" x14ac:dyDescent="0.2">
      <c r="Y21947" s="97"/>
    </row>
    <row r="21948" spans="25:25" x14ac:dyDescent="0.2">
      <c r="Y21948" s="97"/>
    </row>
    <row r="21949" spans="25:25" x14ac:dyDescent="0.2">
      <c r="Y21949" s="97"/>
    </row>
    <row r="21950" spans="25:25" x14ac:dyDescent="0.2">
      <c r="Y21950" s="97"/>
    </row>
    <row r="21951" spans="25:25" x14ac:dyDescent="0.2">
      <c r="Y21951" s="97"/>
    </row>
    <row r="21952" spans="25:25" x14ac:dyDescent="0.2">
      <c r="Y21952" s="97"/>
    </row>
    <row r="21953" spans="25:25" x14ac:dyDescent="0.2">
      <c r="Y21953" s="97"/>
    </row>
    <row r="21954" spans="25:25" x14ac:dyDescent="0.2">
      <c r="Y21954" s="97"/>
    </row>
    <row r="21955" spans="25:25" x14ac:dyDescent="0.2">
      <c r="Y21955" s="97"/>
    </row>
    <row r="21956" spans="25:25" x14ac:dyDescent="0.2">
      <c r="Y21956" s="97"/>
    </row>
    <row r="21957" spans="25:25" x14ac:dyDescent="0.2">
      <c r="Y21957" s="97"/>
    </row>
    <row r="21958" spans="25:25" x14ac:dyDescent="0.2">
      <c r="Y21958" s="97"/>
    </row>
    <row r="21959" spans="25:25" x14ac:dyDescent="0.2">
      <c r="Y21959" s="97"/>
    </row>
    <row r="21960" spans="25:25" x14ac:dyDescent="0.2">
      <c r="Y21960" s="97"/>
    </row>
    <row r="21961" spans="25:25" x14ac:dyDescent="0.2">
      <c r="Y21961" s="97"/>
    </row>
    <row r="21962" spans="25:25" x14ac:dyDescent="0.2">
      <c r="Y21962" s="97"/>
    </row>
    <row r="21963" spans="25:25" x14ac:dyDescent="0.2">
      <c r="Y21963" s="97"/>
    </row>
    <row r="21964" spans="25:25" x14ac:dyDescent="0.2">
      <c r="Y21964" s="97"/>
    </row>
    <row r="21965" spans="25:25" x14ac:dyDescent="0.2">
      <c r="Y21965" s="97"/>
    </row>
    <row r="21966" spans="25:25" x14ac:dyDescent="0.2">
      <c r="Y21966" s="97"/>
    </row>
    <row r="21967" spans="25:25" x14ac:dyDescent="0.2">
      <c r="Y21967" s="97"/>
    </row>
    <row r="21968" spans="25:25" x14ac:dyDescent="0.2">
      <c r="Y21968" s="97"/>
    </row>
    <row r="21969" spans="25:25" x14ac:dyDescent="0.2">
      <c r="Y21969" s="97"/>
    </row>
    <row r="21970" spans="25:25" x14ac:dyDescent="0.2">
      <c r="Y21970" s="97"/>
    </row>
    <row r="21971" spans="25:25" x14ac:dyDescent="0.2">
      <c r="Y21971" s="97"/>
    </row>
    <row r="21972" spans="25:25" x14ac:dyDescent="0.2">
      <c r="Y21972" s="97"/>
    </row>
    <row r="21973" spans="25:25" x14ac:dyDescent="0.2">
      <c r="Y21973" s="97"/>
    </row>
    <row r="21974" spans="25:25" x14ac:dyDescent="0.2">
      <c r="Y21974" s="97"/>
    </row>
    <row r="21975" spans="25:25" x14ac:dyDescent="0.2">
      <c r="Y21975" s="97"/>
    </row>
    <row r="21976" spans="25:25" x14ac:dyDescent="0.2">
      <c r="Y21976" s="97"/>
    </row>
    <row r="21977" spans="25:25" x14ac:dyDescent="0.2">
      <c r="Y21977" s="97"/>
    </row>
    <row r="21978" spans="25:25" x14ac:dyDescent="0.2">
      <c r="Y21978" s="97"/>
    </row>
    <row r="21979" spans="25:25" x14ac:dyDescent="0.2">
      <c r="Y21979" s="97"/>
    </row>
    <row r="21980" spans="25:25" x14ac:dyDescent="0.2">
      <c r="Y21980" s="97"/>
    </row>
    <row r="21981" spans="25:25" x14ac:dyDescent="0.2">
      <c r="Y21981" s="97"/>
    </row>
    <row r="21982" spans="25:25" x14ac:dyDescent="0.2">
      <c r="Y21982" s="97"/>
    </row>
    <row r="21983" spans="25:25" x14ac:dyDescent="0.2">
      <c r="Y21983" s="97"/>
    </row>
    <row r="21984" spans="25:25" x14ac:dyDescent="0.2">
      <c r="Y21984" s="97"/>
    </row>
    <row r="21985" spans="25:25" x14ac:dyDescent="0.2">
      <c r="Y21985" s="97"/>
    </row>
    <row r="21986" spans="25:25" x14ac:dyDescent="0.2">
      <c r="Y21986" s="97"/>
    </row>
    <row r="21987" spans="25:25" x14ac:dyDescent="0.2">
      <c r="Y21987" s="97"/>
    </row>
    <row r="21988" spans="25:25" x14ac:dyDescent="0.2">
      <c r="Y21988" s="97"/>
    </row>
    <row r="21989" spans="25:25" x14ac:dyDescent="0.2">
      <c r="Y21989" s="97"/>
    </row>
    <row r="21990" spans="25:25" x14ac:dyDescent="0.2">
      <c r="Y21990" s="97"/>
    </row>
    <row r="21991" spans="25:25" x14ac:dyDescent="0.2">
      <c r="Y21991" s="97"/>
    </row>
    <row r="21992" spans="25:25" x14ac:dyDescent="0.2">
      <c r="Y21992" s="97"/>
    </row>
    <row r="21993" spans="25:25" x14ac:dyDescent="0.2">
      <c r="Y21993" s="97"/>
    </row>
    <row r="21994" spans="25:25" x14ac:dyDescent="0.2">
      <c r="Y21994" s="97"/>
    </row>
    <row r="21995" spans="25:25" x14ac:dyDescent="0.2">
      <c r="Y21995" s="97"/>
    </row>
    <row r="21996" spans="25:25" x14ac:dyDescent="0.2">
      <c r="Y21996" s="97"/>
    </row>
    <row r="21997" spans="25:25" x14ac:dyDescent="0.2">
      <c r="Y21997" s="97"/>
    </row>
    <row r="21998" spans="25:25" x14ac:dyDescent="0.2">
      <c r="Y21998" s="97"/>
    </row>
    <row r="21999" spans="25:25" x14ac:dyDescent="0.2">
      <c r="Y21999" s="97"/>
    </row>
    <row r="22000" spans="25:25" x14ac:dyDescent="0.2">
      <c r="Y22000" s="97"/>
    </row>
    <row r="22001" spans="25:25" x14ac:dyDescent="0.2">
      <c r="Y22001" s="97"/>
    </row>
    <row r="22002" spans="25:25" x14ac:dyDescent="0.2">
      <c r="Y22002" s="97"/>
    </row>
    <row r="22003" spans="25:25" x14ac:dyDescent="0.2">
      <c r="Y22003" s="97"/>
    </row>
    <row r="22004" spans="25:25" x14ac:dyDescent="0.2">
      <c r="Y22004" s="97"/>
    </row>
    <row r="22005" spans="25:25" x14ac:dyDescent="0.2">
      <c r="Y22005" s="97"/>
    </row>
    <row r="22006" spans="25:25" x14ac:dyDescent="0.2">
      <c r="Y22006" s="97"/>
    </row>
    <row r="22007" spans="25:25" x14ac:dyDescent="0.2">
      <c r="Y22007" s="97"/>
    </row>
    <row r="22008" spans="25:25" x14ac:dyDescent="0.2">
      <c r="Y22008" s="97"/>
    </row>
    <row r="22009" spans="25:25" x14ac:dyDescent="0.2">
      <c r="Y22009" s="97"/>
    </row>
    <row r="22010" spans="25:25" x14ac:dyDescent="0.2">
      <c r="Y22010" s="97"/>
    </row>
    <row r="22011" spans="25:25" x14ac:dyDescent="0.2">
      <c r="Y22011" s="97"/>
    </row>
    <row r="22012" spans="25:25" x14ac:dyDescent="0.2">
      <c r="Y22012" s="97"/>
    </row>
    <row r="22013" spans="25:25" x14ac:dyDescent="0.2">
      <c r="Y22013" s="97"/>
    </row>
    <row r="22014" spans="25:25" x14ac:dyDescent="0.2">
      <c r="Y22014" s="97"/>
    </row>
    <row r="22015" spans="25:25" x14ac:dyDescent="0.2">
      <c r="Y22015" s="97"/>
    </row>
    <row r="22016" spans="25:25" x14ac:dyDescent="0.2">
      <c r="Y22016" s="97"/>
    </row>
    <row r="22017" spans="25:25" x14ac:dyDescent="0.2">
      <c r="Y22017" s="97"/>
    </row>
    <row r="22018" spans="25:25" x14ac:dyDescent="0.2">
      <c r="Y22018" s="97"/>
    </row>
    <row r="22019" spans="25:25" x14ac:dyDescent="0.2">
      <c r="Y22019" s="97"/>
    </row>
    <row r="22020" spans="25:25" x14ac:dyDescent="0.2">
      <c r="Y22020" s="97"/>
    </row>
    <row r="22021" spans="25:25" x14ac:dyDescent="0.2">
      <c r="Y22021" s="97"/>
    </row>
    <row r="22022" spans="25:25" x14ac:dyDescent="0.2">
      <c r="Y22022" s="97"/>
    </row>
    <row r="22023" spans="25:25" x14ac:dyDescent="0.2">
      <c r="Y22023" s="97"/>
    </row>
    <row r="22024" spans="25:25" x14ac:dyDescent="0.2">
      <c r="Y22024" s="97"/>
    </row>
    <row r="22025" spans="25:25" x14ac:dyDescent="0.2">
      <c r="Y22025" s="97"/>
    </row>
    <row r="22026" spans="25:25" x14ac:dyDescent="0.2">
      <c r="Y22026" s="97"/>
    </row>
    <row r="22027" spans="25:25" x14ac:dyDescent="0.2">
      <c r="Y22027" s="97"/>
    </row>
    <row r="22028" spans="25:25" x14ac:dyDescent="0.2">
      <c r="Y22028" s="97"/>
    </row>
    <row r="22029" spans="25:25" x14ac:dyDescent="0.2">
      <c r="Y22029" s="97"/>
    </row>
    <row r="22030" spans="25:25" x14ac:dyDescent="0.2">
      <c r="Y22030" s="97"/>
    </row>
    <row r="22031" spans="25:25" x14ac:dyDescent="0.2">
      <c r="Y22031" s="97"/>
    </row>
    <row r="22032" spans="25:25" x14ac:dyDescent="0.2">
      <c r="Y22032" s="97"/>
    </row>
    <row r="22033" spans="25:25" x14ac:dyDescent="0.2">
      <c r="Y22033" s="97"/>
    </row>
    <row r="22034" spans="25:25" x14ac:dyDescent="0.2">
      <c r="Y22034" s="97"/>
    </row>
    <row r="22035" spans="25:25" x14ac:dyDescent="0.2">
      <c r="Y22035" s="97"/>
    </row>
    <row r="22036" spans="25:25" x14ac:dyDescent="0.2">
      <c r="Y22036" s="97"/>
    </row>
    <row r="22037" spans="25:25" x14ac:dyDescent="0.2">
      <c r="Y22037" s="97"/>
    </row>
    <row r="22038" spans="25:25" x14ac:dyDescent="0.2">
      <c r="Y22038" s="97"/>
    </row>
    <row r="22039" spans="25:25" x14ac:dyDescent="0.2">
      <c r="Y22039" s="97"/>
    </row>
    <row r="22040" spans="25:25" x14ac:dyDescent="0.2">
      <c r="Y22040" s="97"/>
    </row>
    <row r="22041" spans="25:25" x14ac:dyDescent="0.2">
      <c r="Y22041" s="97"/>
    </row>
    <row r="22042" spans="25:25" x14ac:dyDescent="0.2">
      <c r="Y22042" s="97"/>
    </row>
    <row r="22043" spans="25:25" x14ac:dyDescent="0.2">
      <c r="Y22043" s="97"/>
    </row>
    <row r="22044" spans="25:25" x14ac:dyDescent="0.2">
      <c r="Y22044" s="97"/>
    </row>
    <row r="22045" spans="25:25" x14ac:dyDescent="0.2">
      <c r="Y22045" s="97"/>
    </row>
    <row r="22046" spans="25:25" x14ac:dyDescent="0.2">
      <c r="Y22046" s="97"/>
    </row>
    <row r="22047" spans="25:25" x14ac:dyDescent="0.2">
      <c r="Y22047" s="97"/>
    </row>
    <row r="22048" spans="25:25" x14ac:dyDescent="0.2">
      <c r="Y22048" s="97"/>
    </row>
    <row r="22049" spans="25:25" x14ac:dyDescent="0.2">
      <c r="Y22049" s="97"/>
    </row>
    <row r="22050" spans="25:25" x14ac:dyDescent="0.2">
      <c r="Y22050" s="97"/>
    </row>
    <row r="22051" spans="25:25" x14ac:dyDescent="0.2">
      <c r="Y22051" s="97"/>
    </row>
    <row r="22052" spans="25:25" x14ac:dyDescent="0.2">
      <c r="Y22052" s="97"/>
    </row>
    <row r="22053" spans="25:25" x14ac:dyDescent="0.2">
      <c r="Y22053" s="97"/>
    </row>
    <row r="22054" spans="25:25" x14ac:dyDescent="0.2">
      <c r="Y22054" s="97"/>
    </row>
    <row r="22055" spans="25:25" x14ac:dyDescent="0.2">
      <c r="Y22055" s="97"/>
    </row>
    <row r="22056" spans="25:25" x14ac:dyDescent="0.2">
      <c r="Y22056" s="97"/>
    </row>
    <row r="22057" spans="25:25" x14ac:dyDescent="0.2">
      <c r="Y22057" s="97"/>
    </row>
    <row r="22058" spans="25:25" x14ac:dyDescent="0.2">
      <c r="Y22058" s="97"/>
    </row>
    <row r="22059" spans="25:25" x14ac:dyDescent="0.2">
      <c r="Y22059" s="97"/>
    </row>
    <row r="22060" spans="25:25" x14ac:dyDescent="0.2">
      <c r="Y22060" s="97"/>
    </row>
    <row r="22061" spans="25:25" x14ac:dyDescent="0.2">
      <c r="Y22061" s="97"/>
    </row>
    <row r="22062" spans="25:25" x14ac:dyDescent="0.2">
      <c r="Y22062" s="97"/>
    </row>
    <row r="22063" spans="25:25" x14ac:dyDescent="0.2">
      <c r="Y22063" s="97"/>
    </row>
    <row r="22064" spans="25:25" x14ac:dyDescent="0.2">
      <c r="Y22064" s="97"/>
    </row>
    <row r="22065" spans="25:25" x14ac:dyDescent="0.2">
      <c r="Y22065" s="97"/>
    </row>
    <row r="22066" spans="25:25" x14ac:dyDescent="0.2">
      <c r="Y22066" s="97"/>
    </row>
    <row r="22067" spans="25:25" x14ac:dyDescent="0.2">
      <c r="Y22067" s="97"/>
    </row>
    <row r="22068" spans="25:25" x14ac:dyDescent="0.2">
      <c r="Y22068" s="97"/>
    </row>
    <row r="22069" spans="25:25" x14ac:dyDescent="0.2">
      <c r="Y22069" s="97"/>
    </row>
    <row r="22070" spans="25:25" x14ac:dyDescent="0.2">
      <c r="Y22070" s="97"/>
    </row>
    <row r="22071" spans="25:25" x14ac:dyDescent="0.2">
      <c r="Y22071" s="97"/>
    </row>
    <row r="22072" spans="25:25" x14ac:dyDescent="0.2">
      <c r="Y22072" s="97"/>
    </row>
    <row r="22073" spans="25:25" x14ac:dyDescent="0.2">
      <c r="Y22073" s="97"/>
    </row>
    <row r="22074" spans="25:25" x14ac:dyDescent="0.2">
      <c r="Y22074" s="97"/>
    </row>
    <row r="22075" spans="25:25" x14ac:dyDescent="0.2">
      <c r="Y22075" s="97"/>
    </row>
    <row r="22076" spans="25:25" x14ac:dyDescent="0.2">
      <c r="Y22076" s="97"/>
    </row>
    <row r="22077" spans="25:25" x14ac:dyDescent="0.2">
      <c r="Y22077" s="97"/>
    </row>
    <row r="22078" spans="25:25" x14ac:dyDescent="0.2">
      <c r="Y22078" s="97"/>
    </row>
    <row r="22079" spans="25:25" x14ac:dyDescent="0.2">
      <c r="Y22079" s="97"/>
    </row>
    <row r="22080" spans="25:25" x14ac:dyDescent="0.2">
      <c r="Y22080" s="97"/>
    </row>
    <row r="22081" spans="25:25" x14ac:dyDescent="0.2">
      <c r="Y22081" s="97"/>
    </row>
    <row r="22082" spans="25:25" x14ac:dyDescent="0.2">
      <c r="Y22082" s="97"/>
    </row>
    <row r="22083" spans="25:25" x14ac:dyDescent="0.2">
      <c r="Y22083" s="97"/>
    </row>
    <row r="22084" spans="25:25" x14ac:dyDescent="0.2">
      <c r="Y22084" s="97"/>
    </row>
    <row r="22085" spans="25:25" x14ac:dyDescent="0.2">
      <c r="Y22085" s="97"/>
    </row>
    <row r="22086" spans="25:25" x14ac:dyDescent="0.2">
      <c r="Y22086" s="97"/>
    </row>
    <row r="22087" spans="25:25" x14ac:dyDescent="0.2">
      <c r="Y22087" s="97"/>
    </row>
    <row r="22088" spans="25:25" x14ac:dyDescent="0.2">
      <c r="Y22088" s="97"/>
    </row>
    <row r="22089" spans="25:25" x14ac:dyDescent="0.2">
      <c r="Y22089" s="97"/>
    </row>
    <row r="22090" spans="25:25" x14ac:dyDescent="0.2">
      <c r="Y22090" s="97"/>
    </row>
    <row r="22091" spans="25:25" x14ac:dyDescent="0.2">
      <c r="Y22091" s="97"/>
    </row>
    <row r="22092" spans="25:25" x14ac:dyDescent="0.2">
      <c r="Y22092" s="97"/>
    </row>
    <row r="22093" spans="25:25" x14ac:dyDescent="0.2">
      <c r="Y22093" s="97"/>
    </row>
    <row r="22094" spans="25:25" x14ac:dyDescent="0.2">
      <c r="Y22094" s="97"/>
    </row>
    <row r="22095" spans="25:25" x14ac:dyDescent="0.2">
      <c r="Y22095" s="97"/>
    </row>
    <row r="22096" spans="25:25" x14ac:dyDescent="0.2">
      <c r="Y22096" s="97"/>
    </row>
    <row r="22097" spans="25:25" x14ac:dyDescent="0.2">
      <c r="Y22097" s="97"/>
    </row>
    <row r="22098" spans="25:25" x14ac:dyDescent="0.2">
      <c r="Y22098" s="97"/>
    </row>
    <row r="22099" spans="25:25" x14ac:dyDescent="0.2">
      <c r="Y22099" s="97"/>
    </row>
    <row r="22100" spans="25:25" x14ac:dyDescent="0.2">
      <c r="Y22100" s="97"/>
    </row>
    <row r="22101" spans="25:25" x14ac:dyDescent="0.2">
      <c r="Y22101" s="97"/>
    </row>
    <row r="22102" spans="25:25" x14ac:dyDescent="0.2">
      <c r="Y22102" s="97"/>
    </row>
    <row r="22103" spans="25:25" x14ac:dyDescent="0.2">
      <c r="Y22103" s="97"/>
    </row>
    <row r="22104" spans="25:25" x14ac:dyDescent="0.2">
      <c r="Y22104" s="97"/>
    </row>
    <row r="22105" spans="25:25" x14ac:dyDescent="0.2">
      <c r="Y22105" s="97"/>
    </row>
    <row r="22106" spans="25:25" x14ac:dyDescent="0.2">
      <c r="Y22106" s="97"/>
    </row>
    <row r="22107" spans="25:25" x14ac:dyDescent="0.2">
      <c r="Y22107" s="97"/>
    </row>
    <row r="22108" spans="25:25" x14ac:dyDescent="0.2">
      <c r="Y22108" s="97"/>
    </row>
    <row r="22109" spans="25:25" x14ac:dyDescent="0.2">
      <c r="Y22109" s="97"/>
    </row>
    <row r="22110" spans="25:25" x14ac:dyDescent="0.2">
      <c r="Y22110" s="97"/>
    </row>
    <row r="22111" spans="25:25" x14ac:dyDescent="0.2">
      <c r="Y22111" s="97"/>
    </row>
    <row r="22112" spans="25:25" x14ac:dyDescent="0.2">
      <c r="Y22112" s="97"/>
    </row>
    <row r="22113" spans="25:25" x14ac:dyDescent="0.2">
      <c r="Y22113" s="97"/>
    </row>
    <row r="22114" spans="25:25" x14ac:dyDescent="0.2">
      <c r="Y22114" s="97"/>
    </row>
    <row r="22115" spans="25:25" x14ac:dyDescent="0.2">
      <c r="Y22115" s="97"/>
    </row>
    <row r="22116" spans="25:25" x14ac:dyDescent="0.2">
      <c r="Y22116" s="97"/>
    </row>
    <row r="22117" spans="25:25" x14ac:dyDescent="0.2">
      <c r="Y22117" s="97"/>
    </row>
    <row r="22118" spans="25:25" x14ac:dyDescent="0.2">
      <c r="Y22118" s="97"/>
    </row>
    <row r="22119" spans="25:25" x14ac:dyDescent="0.2">
      <c r="Y22119" s="97"/>
    </row>
    <row r="22120" spans="25:25" x14ac:dyDescent="0.2">
      <c r="Y22120" s="97"/>
    </row>
    <row r="22121" spans="25:25" x14ac:dyDescent="0.2">
      <c r="Y22121" s="97"/>
    </row>
    <row r="22122" spans="25:25" x14ac:dyDescent="0.2">
      <c r="Y22122" s="97"/>
    </row>
    <row r="22123" spans="25:25" x14ac:dyDescent="0.2">
      <c r="Y22123" s="97"/>
    </row>
    <row r="22124" spans="25:25" x14ac:dyDescent="0.2">
      <c r="Y22124" s="97"/>
    </row>
    <row r="22125" spans="25:25" x14ac:dyDescent="0.2">
      <c r="Y22125" s="97"/>
    </row>
    <row r="22126" spans="25:25" x14ac:dyDescent="0.2">
      <c r="Y22126" s="97"/>
    </row>
    <row r="22127" spans="25:25" x14ac:dyDescent="0.2">
      <c r="Y22127" s="97"/>
    </row>
    <row r="22128" spans="25:25" x14ac:dyDescent="0.2">
      <c r="Y22128" s="97"/>
    </row>
    <row r="22129" spans="25:25" x14ac:dyDescent="0.2">
      <c r="Y22129" s="97"/>
    </row>
    <row r="22130" spans="25:25" x14ac:dyDescent="0.2">
      <c r="Y22130" s="97"/>
    </row>
    <row r="22131" spans="25:25" x14ac:dyDescent="0.2">
      <c r="Y22131" s="97"/>
    </row>
    <row r="22132" spans="25:25" x14ac:dyDescent="0.2">
      <c r="Y22132" s="97"/>
    </row>
    <row r="22133" spans="25:25" x14ac:dyDescent="0.2">
      <c r="Y22133" s="97"/>
    </row>
    <row r="22134" spans="25:25" x14ac:dyDescent="0.2">
      <c r="Y22134" s="97"/>
    </row>
    <row r="22135" spans="25:25" x14ac:dyDescent="0.2">
      <c r="Y22135" s="97"/>
    </row>
    <row r="22136" spans="25:25" x14ac:dyDescent="0.2">
      <c r="Y22136" s="97"/>
    </row>
    <row r="22137" spans="25:25" x14ac:dyDescent="0.2">
      <c r="Y22137" s="97"/>
    </row>
    <row r="22138" spans="25:25" x14ac:dyDescent="0.2">
      <c r="Y22138" s="97"/>
    </row>
    <row r="22139" spans="25:25" x14ac:dyDescent="0.2">
      <c r="Y22139" s="97"/>
    </row>
    <row r="22140" spans="25:25" x14ac:dyDescent="0.2">
      <c r="Y22140" s="97"/>
    </row>
    <row r="22141" spans="25:25" x14ac:dyDescent="0.2">
      <c r="Y22141" s="97"/>
    </row>
    <row r="22142" spans="25:25" x14ac:dyDescent="0.2">
      <c r="Y22142" s="97"/>
    </row>
    <row r="22143" spans="25:25" x14ac:dyDescent="0.2">
      <c r="Y22143" s="97"/>
    </row>
    <row r="22144" spans="25:25" x14ac:dyDescent="0.2">
      <c r="Y22144" s="97"/>
    </row>
    <row r="22145" spans="25:25" x14ac:dyDescent="0.2">
      <c r="Y22145" s="97"/>
    </row>
    <row r="22146" spans="25:25" x14ac:dyDescent="0.2">
      <c r="Y22146" s="97"/>
    </row>
    <row r="22147" spans="25:25" x14ac:dyDescent="0.2">
      <c r="Y22147" s="97"/>
    </row>
    <row r="22148" spans="25:25" x14ac:dyDescent="0.2">
      <c r="Y22148" s="97"/>
    </row>
    <row r="22149" spans="25:25" x14ac:dyDescent="0.2">
      <c r="Y22149" s="97"/>
    </row>
    <row r="22150" spans="25:25" x14ac:dyDescent="0.2">
      <c r="Y22150" s="97"/>
    </row>
    <row r="22151" spans="25:25" x14ac:dyDescent="0.2">
      <c r="Y22151" s="97"/>
    </row>
    <row r="22152" spans="25:25" x14ac:dyDescent="0.2">
      <c r="Y22152" s="97"/>
    </row>
    <row r="22153" spans="25:25" x14ac:dyDescent="0.2">
      <c r="Y22153" s="97"/>
    </row>
    <row r="22154" spans="25:25" x14ac:dyDescent="0.2">
      <c r="Y22154" s="97"/>
    </row>
    <row r="22155" spans="25:25" x14ac:dyDescent="0.2">
      <c r="Y22155" s="97"/>
    </row>
    <row r="22156" spans="25:25" x14ac:dyDescent="0.2">
      <c r="Y22156" s="97"/>
    </row>
    <row r="22157" spans="25:25" x14ac:dyDescent="0.2">
      <c r="Y22157" s="97"/>
    </row>
    <row r="22158" spans="25:25" x14ac:dyDescent="0.2">
      <c r="Y22158" s="97"/>
    </row>
    <row r="22159" spans="25:25" x14ac:dyDescent="0.2">
      <c r="Y22159" s="97"/>
    </row>
    <row r="22160" spans="25:25" x14ac:dyDescent="0.2">
      <c r="Y22160" s="97"/>
    </row>
    <row r="22161" spans="25:25" x14ac:dyDescent="0.2">
      <c r="Y22161" s="97"/>
    </row>
    <row r="22162" spans="25:25" x14ac:dyDescent="0.2">
      <c r="Y22162" s="97"/>
    </row>
    <row r="22163" spans="25:25" x14ac:dyDescent="0.2">
      <c r="Y22163" s="97"/>
    </row>
    <row r="22164" spans="25:25" x14ac:dyDescent="0.2">
      <c r="Y22164" s="97"/>
    </row>
    <row r="22165" spans="25:25" x14ac:dyDescent="0.2">
      <c r="Y22165" s="97"/>
    </row>
    <row r="22166" spans="25:25" x14ac:dyDescent="0.2">
      <c r="Y22166" s="97"/>
    </row>
    <row r="22167" spans="25:25" x14ac:dyDescent="0.2">
      <c r="Y22167" s="97"/>
    </row>
    <row r="22168" spans="25:25" x14ac:dyDescent="0.2">
      <c r="Y22168" s="97"/>
    </row>
    <row r="22169" spans="25:25" x14ac:dyDescent="0.2">
      <c r="Y22169" s="97"/>
    </row>
    <row r="22170" spans="25:25" x14ac:dyDescent="0.2">
      <c r="Y22170" s="97"/>
    </row>
    <row r="22171" spans="25:25" x14ac:dyDescent="0.2">
      <c r="Y22171" s="97"/>
    </row>
    <row r="22172" spans="25:25" x14ac:dyDescent="0.2">
      <c r="Y22172" s="97"/>
    </row>
    <row r="22173" spans="25:25" x14ac:dyDescent="0.2">
      <c r="Y22173" s="97"/>
    </row>
    <row r="22174" spans="25:25" x14ac:dyDescent="0.2">
      <c r="Y22174" s="97"/>
    </row>
    <row r="22175" spans="25:25" x14ac:dyDescent="0.2">
      <c r="Y22175" s="97"/>
    </row>
    <row r="22176" spans="25:25" x14ac:dyDescent="0.2">
      <c r="Y22176" s="97"/>
    </row>
    <row r="22177" spans="25:25" x14ac:dyDescent="0.2">
      <c r="Y22177" s="97"/>
    </row>
    <row r="22178" spans="25:25" x14ac:dyDescent="0.2">
      <c r="Y22178" s="97"/>
    </row>
    <row r="22179" spans="25:25" x14ac:dyDescent="0.2">
      <c r="Y22179" s="97"/>
    </row>
    <row r="22180" spans="25:25" x14ac:dyDescent="0.2">
      <c r="Y22180" s="97"/>
    </row>
    <row r="22181" spans="25:25" x14ac:dyDescent="0.2">
      <c r="Y22181" s="97"/>
    </row>
    <row r="22182" spans="25:25" x14ac:dyDescent="0.2">
      <c r="Y22182" s="97"/>
    </row>
    <row r="22183" spans="25:25" x14ac:dyDescent="0.2">
      <c r="Y22183" s="97"/>
    </row>
    <row r="22184" spans="25:25" x14ac:dyDescent="0.2">
      <c r="Y22184" s="97"/>
    </row>
    <row r="22185" spans="25:25" x14ac:dyDescent="0.2">
      <c r="Y22185" s="97"/>
    </row>
    <row r="22186" spans="25:25" x14ac:dyDescent="0.2">
      <c r="Y22186" s="97"/>
    </row>
    <row r="22187" spans="25:25" x14ac:dyDescent="0.2">
      <c r="Y22187" s="97"/>
    </row>
    <row r="22188" spans="25:25" x14ac:dyDescent="0.2">
      <c r="Y22188" s="97"/>
    </row>
    <row r="22189" spans="25:25" x14ac:dyDescent="0.2">
      <c r="Y22189" s="97"/>
    </row>
    <row r="22190" spans="25:25" x14ac:dyDescent="0.2">
      <c r="Y22190" s="97"/>
    </row>
    <row r="22191" spans="25:25" x14ac:dyDescent="0.2">
      <c r="Y22191" s="97"/>
    </row>
    <row r="22192" spans="25:25" x14ac:dyDescent="0.2">
      <c r="Y22192" s="97"/>
    </row>
    <row r="22193" spans="25:25" x14ac:dyDescent="0.2">
      <c r="Y22193" s="97"/>
    </row>
    <row r="22194" spans="25:25" x14ac:dyDescent="0.2">
      <c r="Y22194" s="97"/>
    </row>
    <row r="22195" spans="25:25" x14ac:dyDescent="0.2">
      <c r="Y22195" s="97"/>
    </row>
    <row r="22196" spans="25:25" x14ac:dyDescent="0.2">
      <c r="Y22196" s="97"/>
    </row>
    <row r="22197" spans="25:25" x14ac:dyDescent="0.2">
      <c r="Y22197" s="97"/>
    </row>
    <row r="22198" spans="25:25" x14ac:dyDescent="0.2">
      <c r="Y22198" s="97"/>
    </row>
    <row r="22199" spans="25:25" x14ac:dyDescent="0.2">
      <c r="Y22199" s="97"/>
    </row>
    <row r="22200" spans="25:25" x14ac:dyDescent="0.2">
      <c r="Y22200" s="97"/>
    </row>
    <row r="22201" spans="25:25" x14ac:dyDescent="0.2">
      <c r="Y22201" s="97"/>
    </row>
    <row r="22202" spans="25:25" x14ac:dyDescent="0.2">
      <c r="Y22202" s="97"/>
    </row>
    <row r="22203" spans="25:25" x14ac:dyDescent="0.2">
      <c r="Y22203" s="97"/>
    </row>
    <row r="22204" spans="25:25" x14ac:dyDescent="0.2">
      <c r="Y22204" s="97"/>
    </row>
    <row r="22205" spans="25:25" x14ac:dyDescent="0.2">
      <c r="Y22205" s="97"/>
    </row>
    <row r="22206" spans="25:25" x14ac:dyDescent="0.2">
      <c r="Y22206" s="97"/>
    </row>
    <row r="22207" spans="25:25" x14ac:dyDescent="0.2">
      <c r="Y22207" s="97"/>
    </row>
    <row r="22208" spans="25:25" x14ac:dyDescent="0.2">
      <c r="Y22208" s="97"/>
    </row>
    <row r="22209" spans="25:25" x14ac:dyDescent="0.2">
      <c r="Y22209" s="97"/>
    </row>
    <row r="22210" spans="25:25" x14ac:dyDescent="0.2">
      <c r="Y22210" s="97"/>
    </row>
    <row r="22211" spans="25:25" x14ac:dyDescent="0.2">
      <c r="Y22211" s="97"/>
    </row>
    <row r="22212" spans="25:25" x14ac:dyDescent="0.2">
      <c r="Y22212" s="97"/>
    </row>
    <row r="22213" spans="25:25" x14ac:dyDescent="0.2">
      <c r="Y22213" s="97"/>
    </row>
    <row r="22214" spans="25:25" x14ac:dyDescent="0.2">
      <c r="Y22214" s="97"/>
    </row>
    <row r="22215" spans="25:25" x14ac:dyDescent="0.2">
      <c r="Y22215" s="97"/>
    </row>
    <row r="22216" spans="25:25" x14ac:dyDescent="0.2">
      <c r="Y22216" s="97"/>
    </row>
    <row r="22217" spans="25:25" x14ac:dyDescent="0.2">
      <c r="Y22217" s="97"/>
    </row>
    <row r="22218" spans="25:25" x14ac:dyDescent="0.2">
      <c r="Y22218" s="97"/>
    </row>
    <row r="22219" spans="25:25" x14ac:dyDescent="0.2">
      <c r="Y22219" s="97"/>
    </row>
    <row r="22220" spans="25:25" x14ac:dyDescent="0.2">
      <c r="Y22220" s="97"/>
    </row>
    <row r="22221" spans="25:25" x14ac:dyDescent="0.2">
      <c r="Y22221" s="97"/>
    </row>
    <row r="22222" spans="25:25" x14ac:dyDescent="0.2">
      <c r="Y22222" s="97"/>
    </row>
    <row r="22223" spans="25:25" x14ac:dyDescent="0.2">
      <c r="Y22223" s="97"/>
    </row>
    <row r="22224" spans="25:25" x14ac:dyDescent="0.2">
      <c r="Y22224" s="97"/>
    </row>
    <row r="22225" spans="25:25" x14ac:dyDescent="0.2">
      <c r="Y22225" s="97"/>
    </row>
    <row r="22226" spans="25:25" x14ac:dyDescent="0.2">
      <c r="Y22226" s="97"/>
    </row>
    <row r="22227" spans="25:25" x14ac:dyDescent="0.2">
      <c r="Y22227" s="97"/>
    </row>
    <row r="22228" spans="25:25" x14ac:dyDescent="0.2">
      <c r="Y22228" s="97"/>
    </row>
    <row r="22229" spans="25:25" x14ac:dyDescent="0.2">
      <c r="Y22229" s="97"/>
    </row>
    <row r="22230" spans="25:25" x14ac:dyDescent="0.2">
      <c r="Y22230" s="97"/>
    </row>
    <row r="22231" spans="25:25" x14ac:dyDescent="0.2">
      <c r="Y22231" s="97"/>
    </row>
    <row r="22232" spans="25:25" x14ac:dyDescent="0.2">
      <c r="Y22232" s="97"/>
    </row>
    <row r="22233" spans="25:25" x14ac:dyDescent="0.2">
      <c r="Y22233" s="97"/>
    </row>
    <row r="22234" spans="25:25" x14ac:dyDescent="0.2">
      <c r="Y22234" s="97"/>
    </row>
    <row r="22235" spans="25:25" x14ac:dyDescent="0.2">
      <c r="Y22235" s="97"/>
    </row>
    <row r="22236" spans="25:25" x14ac:dyDescent="0.2">
      <c r="Y22236" s="97"/>
    </row>
    <row r="22237" spans="25:25" x14ac:dyDescent="0.2">
      <c r="Y22237" s="97"/>
    </row>
    <row r="22238" spans="25:25" x14ac:dyDescent="0.2">
      <c r="Y22238" s="97"/>
    </row>
    <row r="22239" spans="25:25" x14ac:dyDescent="0.2">
      <c r="Y22239" s="97"/>
    </row>
    <row r="22240" spans="25:25" x14ac:dyDescent="0.2">
      <c r="Y22240" s="97"/>
    </row>
    <row r="22241" spans="25:25" x14ac:dyDescent="0.2">
      <c r="Y22241" s="97"/>
    </row>
    <row r="22242" spans="25:25" x14ac:dyDescent="0.2">
      <c r="Y22242" s="97"/>
    </row>
    <row r="22243" spans="25:25" x14ac:dyDescent="0.2">
      <c r="Y22243" s="97"/>
    </row>
    <row r="22244" spans="25:25" x14ac:dyDescent="0.2">
      <c r="Y22244" s="97"/>
    </row>
    <row r="22245" spans="25:25" x14ac:dyDescent="0.2">
      <c r="Y22245" s="97"/>
    </row>
    <row r="22246" spans="25:25" x14ac:dyDescent="0.2">
      <c r="Y22246" s="97"/>
    </row>
    <row r="22247" spans="25:25" x14ac:dyDescent="0.2">
      <c r="Y22247" s="97"/>
    </row>
    <row r="22248" spans="25:25" x14ac:dyDescent="0.2">
      <c r="Y22248" s="97"/>
    </row>
    <row r="22249" spans="25:25" x14ac:dyDescent="0.2">
      <c r="Y22249" s="97"/>
    </row>
    <row r="22250" spans="25:25" x14ac:dyDescent="0.2">
      <c r="Y22250" s="97"/>
    </row>
    <row r="22251" spans="25:25" x14ac:dyDescent="0.2">
      <c r="Y22251" s="97"/>
    </row>
    <row r="22252" spans="25:25" x14ac:dyDescent="0.2">
      <c r="Y22252" s="97"/>
    </row>
    <row r="22253" spans="25:25" x14ac:dyDescent="0.2">
      <c r="Y22253" s="97"/>
    </row>
    <row r="22254" spans="25:25" x14ac:dyDescent="0.2">
      <c r="Y22254" s="97"/>
    </row>
    <row r="22255" spans="25:25" x14ac:dyDescent="0.2">
      <c r="Y22255" s="97"/>
    </row>
    <row r="22256" spans="25:25" x14ac:dyDescent="0.2">
      <c r="Y22256" s="97"/>
    </row>
    <row r="22257" spans="25:25" x14ac:dyDescent="0.2">
      <c r="Y22257" s="97"/>
    </row>
    <row r="22258" spans="25:25" x14ac:dyDescent="0.2">
      <c r="Y22258" s="97"/>
    </row>
    <row r="22259" spans="25:25" x14ac:dyDescent="0.2">
      <c r="Y22259" s="97"/>
    </row>
    <row r="22260" spans="25:25" x14ac:dyDescent="0.2">
      <c r="Y22260" s="97"/>
    </row>
    <row r="22261" spans="25:25" x14ac:dyDescent="0.2">
      <c r="Y22261" s="97"/>
    </row>
    <row r="22262" spans="25:25" x14ac:dyDescent="0.2">
      <c r="Y22262" s="97"/>
    </row>
    <row r="22263" spans="25:25" x14ac:dyDescent="0.2">
      <c r="Y22263" s="97"/>
    </row>
    <row r="22264" spans="25:25" x14ac:dyDescent="0.2">
      <c r="Y22264" s="97"/>
    </row>
    <row r="22265" spans="25:25" x14ac:dyDescent="0.2">
      <c r="Y22265" s="97"/>
    </row>
    <row r="22266" spans="25:25" x14ac:dyDescent="0.2">
      <c r="Y22266" s="97"/>
    </row>
    <row r="22267" spans="25:25" x14ac:dyDescent="0.2">
      <c r="Y22267" s="97"/>
    </row>
    <row r="22268" spans="25:25" x14ac:dyDescent="0.2">
      <c r="Y22268" s="97"/>
    </row>
    <row r="22269" spans="25:25" x14ac:dyDescent="0.2">
      <c r="Y22269" s="97"/>
    </row>
    <row r="22270" spans="25:25" x14ac:dyDescent="0.2">
      <c r="Y22270" s="97"/>
    </row>
    <row r="22271" spans="25:25" x14ac:dyDescent="0.2">
      <c r="Y22271" s="97"/>
    </row>
    <row r="22272" spans="25:25" x14ac:dyDescent="0.2">
      <c r="Y22272" s="97"/>
    </row>
    <row r="22273" spans="25:25" x14ac:dyDescent="0.2">
      <c r="Y22273" s="97"/>
    </row>
    <row r="22274" spans="25:25" x14ac:dyDescent="0.2">
      <c r="Y22274" s="97"/>
    </row>
    <row r="22275" spans="25:25" x14ac:dyDescent="0.2">
      <c r="Y22275" s="97"/>
    </row>
    <row r="22276" spans="25:25" x14ac:dyDescent="0.2">
      <c r="Y22276" s="97"/>
    </row>
    <row r="22277" spans="25:25" x14ac:dyDescent="0.2">
      <c r="Y22277" s="97"/>
    </row>
    <row r="22278" spans="25:25" x14ac:dyDescent="0.2">
      <c r="Y22278" s="97"/>
    </row>
    <row r="22279" spans="25:25" x14ac:dyDescent="0.2">
      <c r="Y22279" s="97"/>
    </row>
    <row r="22280" spans="25:25" x14ac:dyDescent="0.2">
      <c r="Y22280" s="97"/>
    </row>
    <row r="22281" spans="25:25" x14ac:dyDescent="0.2">
      <c r="Y22281" s="97"/>
    </row>
    <row r="22282" spans="25:25" x14ac:dyDescent="0.2">
      <c r="Y22282" s="97"/>
    </row>
    <row r="22283" spans="25:25" x14ac:dyDescent="0.2">
      <c r="Y22283" s="97"/>
    </row>
    <row r="22284" spans="25:25" x14ac:dyDescent="0.2">
      <c r="Y22284" s="97"/>
    </row>
    <row r="22285" spans="25:25" x14ac:dyDescent="0.2">
      <c r="Y22285" s="97"/>
    </row>
    <row r="22286" spans="25:25" x14ac:dyDescent="0.2">
      <c r="Y22286" s="97"/>
    </row>
    <row r="22287" spans="25:25" x14ac:dyDescent="0.2">
      <c r="Y22287" s="97"/>
    </row>
    <row r="22288" spans="25:25" x14ac:dyDescent="0.2">
      <c r="Y22288" s="97"/>
    </row>
    <row r="22289" spans="25:25" x14ac:dyDescent="0.2">
      <c r="Y22289" s="97"/>
    </row>
    <row r="22290" spans="25:25" x14ac:dyDescent="0.2">
      <c r="Y22290" s="97"/>
    </row>
    <row r="22291" spans="25:25" x14ac:dyDescent="0.2">
      <c r="Y22291" s="97"/>
    </row>
    <row r="22292" spans="25:25" x14ac:dyDescent="0.2">
      <c r="Y22292" s="97"/>
    </row>
    <row r="22293" spans="25:25" x14ac:dyDescent="0.2">
      <c r="Y22293" s="97"/>
    </row>
    <row r="22294" spans="25:25" x14ac:dyDescent="0.2">
      <c r="Y22294" s="97"/>
    </row>
    <row r="22295" spans="25:25" x14ac:dyDescent="0.2">
      <c r="Y22295" s="97"/>
    </row>
    <row r="22296" spans="25:25" x14ac:dyDescent="0.2">
      <c r="Y22296" s="97"/>
    </row>
    <row r="22297" spans="25:25" x14ac:dyDescent="0.2">
      <c r="Y22297" s="97"/>
    </row>
    <row r="22298" spans="25:25" x14ac:dyDescent="0.2">
      <c r="Y22298" s="97"/>
    </row>
    <row r="22299" spans="25:25" x14ac:dyDescent="0.2">
      <c r="Y22299" s="97"/>
    </row>
    <row r="22300" spans="25:25" x14ac:dyDescent="0.2">
      <c r="Y22300" s="97"/>
    </row>
    <row r="22301" spans="25:25" x14ac:dyDescent="0.2">
      <c r="Y22301" s="97"/>
    </row>
    <row r="22302" spans="25:25" x14ac:dyDescent="0.2">
      <c r="Y22302" s="97"/>
    </row>
    <row r="22303" spans="25:25" x14ac:dyDescent="0.2">
      <c r="Y22303" s="97"/>
    </row>
    <row r="22304" spans="25:25" x14ac:dyDescent="0.2">
      <c r="Y22304" s="97"/>
    </row>
    <row r="22305" spans="25:25" x14ac:dyDescent="0.2">
      <c r="Y22305" s="97"/>
    </row>
    <row r="22306" spans="25:25" x14ac:dyDescent="0.2">
      <c r="Y22306" s="97"/>
    </row>
    <row r="22307" spans="25:25" x14ac:dyDescent="0.2">
      <c r="Y22307" s="97"/>
    </row>
    <row r="22308" spans="25:25" x14ac:dyDescent="0.2">
      <c r="Y22308" s="97"/>
    </row>
    <row r="22309" spans="25:25" x14ac:dyDescent="0.2">
      <c r="Y22309" s="97"/>
    </row>
    <row r="22310" spans="25:25" x14ac:dyDescent="0.2">
      <c r="Y22310" s="97"/>
    </row>
    <row r="22311" spans="25:25" x14ac:dyDescent="0.2">
      <c r="Y22311" s="97"/>
    </row>
    <row r="22312" spans="25:25" x14ac:dyDescent="0.2">
      <c r="Y22312" s="97"/>
    </row>
    <row r="22313" spans="25:25" x14ac:dyDescent="0.2">
      <c r="Y22313" s="97"/>
    </row>
    <row r="22314" spans="25:25" x14ac:dyDescent="0.2">
      <c r="Y22314" s="97"/>
    </row>
    <row r="22315" spans="25:25" x14ac:dyDescent="0.2">
      <c r="Y22315" s="97"/>
    </row>
    <row r="22316" spans="25:25" x14ac:dyDescent="0.2">
      <c r="Y22316" s="97"/>
    </row>
    <row r="22317" spans="25:25" x14ac:dyDescent="0.2">
      <c r="Y22317" s="97"/>
    </row>
    <row r="22318" spans="25:25" x14ac:dyDescent="0.2">
      <c r="Y22318" s="97"/>
    </row>
    <row r="22319" spans="25:25" x14ac:dyDescent="0.2">
      <c r="Y22319" s="97"/>
    </row>
    <row r="22320" spans="25:25" x14ac:dyDescent="0.2">
      <c r="Y22320" s="97"/>
    </row>
    <row r="22321" spans="25:25" x14ac:dyDescent="0.2">
      <c r="Y22321" s="97"/>
    </row>
    <row r="22322" spans="25:25" x14ac:dyDescent="0.2">
      <c r="Y22322" s="97"/>
    </row>
    <row r="22323" spans="25:25" x14ac:dyDescent="0.2">
      <c r="Y22323" s="97"/>
    </row>
    <row r="22324" spans="25:25" x14ac:dyDescent="0.2">
      <c r="Y22324" s="97"/>
    </row>
    <row r="22325" spans="25:25" x14ac:dyDescent="0.2">
      <c r="Y22325" s="97"/>
    </row>
    <row r="22326" spans="25:25" x14ac:dyDescent="0.2">
      <c r="Y22326" s="97"/>
    </row>
    <row r="22327" spans="25:25" x14ac:dyDescent="0.2">
      <c r="Y22327" s="97"/>
    </row>
    <row r="22328" spans="25:25" x14ac:dyDescent="0.2">
      <c r="Y22328" s="97"/>
    </row>
    <row r="22329" spans="25:25" x14ac:dyDescent="0.2">
      <c r="Y22329" s="97"/>
    </row>
    <row r="22330" spans="25:25" x14ac:dyDescent="0.2">
      <c r="Y22330" s="97"/>
    </row>
    <row r="22331" spans="25:25" x14ac:dyDescent="0.2">
      <c r="Y22331" s="97"/>
    </row>
    <row r="22332" spans="25:25" x14ac:dyDescent="0.2">
      <c r="Y22332" s="97"/>
    </row>
    <row r="22333" spans="25:25" x14ac:dyDescent="0.2">
      <c r="Y22333" s="97"/>
    </row>
    <row r="22334" spans="25:25" x14ac:dyDescent="0.2">
      <c r="Y22334" s="97"/>
    </row>
    <row r="22335" spans="25:25" x14ac:dyDescent="0.2">
      <c r="Y22335" s="97"/>
    </row>
    <row r="22336" spans="25:25" x14ac:dyDescent="0.2">
      <c r="Y22336" s="97"/>
    </row>
    <row r="22337" spans="25:25" x14ac:dyDescent="0.2">
      <c r="Y22337" s="97"/>
    </row>
    <row r="22338" spans="25:25" x14ac:dyDescent="0.2">
      <c r="Y22338" s="97"/>
    </row>
    <row r="22339" spans="25:25" x14ac:dyDescent="0.2">
      <c r="Y22339" s="97"/>
    </row>
    <row r="22340" spans="25:25" x14ac:dyDescent="0.2">
      <c r="Y22340" s="97"/>
    </row>
    <row r="22341" spans="25:25" x14ac:dyDescent="0.2">
      <c r="Y22341" s="97"/>
    </row>
    <row r="22342" spans="25:25" x14ac:dyDescent="0.2">
      <c r="Y22342" s="97"/>
    </row>
    <row r="22343" spans="25:25" x14ac:dyDescent="0.2">
      <c r="Y22343" s="97"/>
    </row>
    <row r="22344" spans="25:25" x14ac:dyDescent="0.2">
      <c r="Y22344" s="97"/>
    </row>
    <row r="22345" spans="25:25" x14ac:dyDescent="0.2">
      <c r="Y22345" s="97"/>
    </row>
    <row r="22346" spans="25:25" x14ac:dyDescent="0.2">
      <c r="Y22346" s="97"/>
    </row>
    <row r="22347" spans="25:25" x14ac:dyDescent="0.2">
      <c r="Y22347" s="97"/>
    </row>
    <row r="22348" spans="25:25" x14ac:dyDescent="0.2">
      <c r="Y22348" s="97"/>
    </row>
    <row r="22349" spans="25:25" x14ac:dyDescent="0.2">
      <c r="Y22349" s="97"/>
    </row>
    <row r="22350" spans="25:25" x14ac:dyDescent="0.2">
      <c r="Y22350" s="97"/>
    </row>
    <row r="22351" spans="25:25" x14ac:dyDescent="0.2">
      <c r="Y22351" s="97"/>
    </row>
    <row r="22352" spans="25:25" x14ac:dyDescent="0.2">
      <c r="Y22352" s="97"/>
    </row>
    <row r="22353" spans="25:25" x14ac:dyDescent="0.2">
      <c r="Y22353" s="97"/>
    </row>
    <row r="22354" spans="25:25" x14ac:dyDescent="0.2">
      <c r="Y22354" s="97"/>
    </row>
    <row r="22355" spans="25:25" x14ac:dyDescent="0.2">
      <c r="Y22355" s="97"/>
    </row>
    <row r="22356" spans="25:25" x14ac:dyDescent="0.2">
      <c r="Y22356" s="97"/>
    </row>
    <row r="22357" spans="25:25" x14ac:dyDescent="0.2">
      <c r="Y22357" s="97"/>
    </row>
    <row r="22358" spans="25:25" x14ac:dyDescent="0.2">
      <c r="Y22358" s="97"/>
    </row>
    <row r="22359" spans="25:25" x14ac:dyDescent="0.2">
      <c r="Y22359" s="97"/>
    </row>
    <row r="22360" spans="25:25" x14ac:dyDescent="0.2">
      <c r="Y22360" s="97"/>
    </row>
    <row r="22361" spans="25:25" x14ac:dyDescent="0.2">
      <c r="Y22361" s="97"/>
    </row>
    <row r="22362" spans="25:25" x14ac:dyDescent="0.2">
      <c r="Y22362" s="97"/>
    </row>
    <row r="22363" spans="25:25" x14ac:dyDescent="0.2">
      <c r="Y22363" s="97"/>
    </row>
    <row r="22364" spans="25:25" x14ac:dyDescent="0.2">
      <c r="Y22364" s="97"/>
    </row>
    <row r="22365" spans="25:25" x14ac:dyDescent="0.2">
      <c r="Y22365" s="97"/>
    </row>
    <row r="22366" spans="25:25" x14ac:dyDescent="0.2">
      <c r="Y22366" s="97"/>
    </row>
    <row r="22367" spans="25:25" x14ac:dyDescent="0.2">
      <c r="Y22367" s="97"/>
    </row>
    <row r="22368" spans="25:25" x14ac:dyDescent="0.2">
      <c r="Y22368" s="97"/>
    </row>
    <row r="22369" spans="25:25" x14ac:dyDescent="0.2">
      <c r="Y22369" s="97"/>
    </row>
    <row r="22370" spans="25:25" x14ac:dyDescent="0.2">
      <c r="Y22370" s="97"/>
    </row>
    <row r="22371" spans="25:25" x14ac:dyDescent="0.2">
      <c r="Y22371" s="97"/>
    </row>
    <row r="22372" spans="25:25" x14ac:dyDescent="0.2">
      <c r="Y22372" s="97"/>
    </row>
    <row r="22373" spans="25:25" x14ac:dyDescent="0.2">
      <c r="Y22373" s="97"/>
    </row>
    <row r="22374" spans="25:25" x14ac:dyDescent="0.2">
      <c r="Y22374" s="97"/>
    </row>
    <row r="22375" spans="25:25" x14ac:dyDescent="0.2">
      <c r="Y22375" s="97"/>
    </row>
    <row r="22376" spans="25:25" x14ac:dyDescent="0.2">
      <c r="Y22376" s="97"/>
    </row>
    <row r="22377" spans="25:25" x14ac:dyDescent="0.2">
      <c r="Y22377" s="97"/>
    </row>
    <row r="22378" spans="25:25" x14ac:dyDescent="0.2">
      <c r="Y22378" s="97"/>
    </row>
    <row r="22379" spans="25:25" x14ac:dyDescent="0.2">
      <c r="Y22379" s="97"/>
    </row>
    <row r="22380" spans="25:25" x14ac:dyDescent="0.2">
      <c r="Y22380" s="97"/>
    </row>
    <row r="22381" spans="25:25" x14ac:dyDescent="0.2">
      <c r="Y22381" s="97"/>
    </row>
    <row r="22382" spans="25:25" x14ac:dyDescent="0.2">
      <c r="Y22382" s="97"/>
    </row>
    <row r="22383" spans="25:25" x14ac:dyDescent="0.2">
      <c r="Y22383" s="97"/>
    </row>
    <row r="22384" spans="25:25" x14ac:dyDescent="0.2">
      <c r="Y22384" s="97"/>
    </row>
    <row r="22385" spans="25:25" x14ac:dyDescent="0.2">
      <c r="Y22385" s="97"/>
    </row>
    <row r="22386" spans="25:25" x14ac:dyDescent="0.2">
      <c r="Y22386" s="97"/>
    </row>
    <row r="22387" spans="25:25" x14ac:dyDescent="0.2">
      <c r="Y22387" s="97"/>
    </row>
    <row r="22388" spans="25:25" x14ac:dyDescent="0.2">
      <c r="Y22388" s="97"/>
    </row>
    <row r="22389" spans="25:25" x14ac:dyDescent="0.2">
      <c r="Y22389" s="97"/>
    </row>
    <row r="22390" spans="25:25" x14ac:dyDescent="0.2">
      <c r="Y22390" s="97"/>
    </row>
    <row r="22391" spans="25:25" x14ac:dyDescent="0.2">
      <c r="Y22391" s="97"/>
    </row>
    <row r="22392" spans="25:25" x14ac:dyDescent="0.2">
      <c r="Y22392" s="97"/>
    </row>
    <row r="22393" spans="25:25" x14ac:dyDescent="0.2">
      <c r="Y22393" s="97"/>
    </row>
    <row r="22394" spans="25:25" x14ac:dyDescent="0.2">
      <c r="Y22394" s="97"/>
    </row>
    <row r="22395" spans="25:25" x14ac:dyDescent="0.2">
      <c r="Y22395" s="97"/>
    </row>
    <row r="22396" spans="25:25" x14ac:dyDescent="0.2">
      <c r="Y22396" s="97"/>
    </row>
    <row r="22397" spans="25:25" x14ac:dyDescent="0.2">
      <c r="Y22397" s="97"/>
    </row>
    <row r="22398" spans="25:25" x14ac:dyDescent="0.2">
      <c r="Y22398" s="97"/>
    </row>
    <row r="22399" spans="25:25" x14ac:dyDescent="0.2">
      <c r="Y22399" s="97"/>
    </row>
    <row r="22400" spans="25:25" x14ac:dyDescent="0.2">
      <c r="Y22400" s="97"/>
    </row>
    <row r="22401" spans="25:25" x14ac:dyDescent="0.2">
      <c r="Y22401" s="97"/>
    </row>
    <row r="22402" spans="25:25" x14ac:dyDescent="0.2">
      <c r="Y22402" s="97"/>
    </row>
    <row r="22403" spans="25:25" x14ac:dyDescent="0.2">
      <c r="Y22403" s="97"/>
    </row>
    <row r="22404" spans="25:25" x14ac:dyDescent="0.2">
      <c r="Y22404" s="97"/>
    </row>
    <row r="22405" spans="25:25" x14ac:dyDescent="0.2">
      <c r="Y22405" s="97"/>
    </row>
    <row r="22406" spans="25:25" x14ac:dyDescent="0.2">
      <c r="Y22406" s="97"/>
    </row>
    <row r="22407" spans="25:25" x14ac:dyDescent="0.2">
      <c r="Y22407" s="97"/>
    </row>
    <row r="22408" spans="25:25" x14ac:dyDescent="0.2">
      <c r="Y22408" s="97"/>
    </row>
    <row r="22409" spans="25:25" x14ac:dyDescent="0.2">
      <c r="Y22409" s="97"/>
    </row>
    <row r="22410" spans="25:25" x14ac:dyDescent="0.2">
      <c r="Y22410" s="97"/>
    </row>
    <row r="22411" spans="25:25" x14ac:dyDescent="0.2">
      <c r="Y22411" s="97"/>
    </row>
    <row r="22412" spans="25:25" x14ac:dyDescent="0.2">
      <c r="Y22412" s="97"/>
    </row>
    <row r="22413" spans="25:25" x14ac:dyDescent="0.2">
      <c r="Y22413" s="97"/>
    </row>
    <row r="22414" spans="25:25" x14ac:dyDescent="0.2">
      <c r="Y22414" s="97"/>
    </row>
    <row r="22415" spans="25:25" x14ac:dyDescent="0.2">
      <c r="Y22415" s="97"/>
    </row>
    <row r="22416" spans="25:25" x14ac:dyDescent="0.2">
      <c r="Y22416" s="97"/>
    </row>
    <row r="22417" spans="25:25" x14ac:dyDescent="0.2">
      <c r="Y22417" s="97"/>
    </row>
    <row r="22418" spans="25:25" x14ac:dyDescent="0.2">
      <c r="Y22418" s="97"/>
    </row>
    <row r="22419" spans="25:25" x14ac:dyDescent="0.2">
      <c r="Y22419" s="97"/>
    </row>
    <row r="22420" spans="25:25" x14ac:dyDescent="0.2">
      <c r="Y22420" s="97"/>
    </row>
    <row r="22421" spans="25:25" x14ac:dyDescent="0.2">
      <c r="Y22421" s="97"/>
    </row>
    <row r="22422" spans="25:25" x14ac:dyDescent="0.2">
      <c r="Y22422" s="97"/>
    </row>
    <row r="22423" spans="25:25" x14ac:dyDescent="0.2">
      <c r="Y22423" s="97"/>
    </row>
    <row r="22424" spans="25:25" x14ac:dyDescent="0.2">
      <c r="Y22424" s="97"/>
    </row>
    <row r="22425" spans="25:25" x14ac:dyDescent="0.2">
      <c r="Y22425" s="97"/>
    </row>
    <row r="22426" spans="25:25" x14ac:dyDescent="0.2">
      <c r="Y22426" s="97"/>
    </row>
    <row r="22427" spans="25:25" x14ac:dyDescent="0.2">
      <c r="Y22427" s="97"/>
    </row>
    <row r="22428" spans="25:25" x14ac:dyDescent="0.2">
      <c r="Y22428" s="97"/>
    </row>
    <row r="22429" spans="25:25" x14ac:dyDescent="0.2">
      <c r="Y22429" s="97"/>
    </row>
    <row r="22430" spans="25:25" x14ac:dyDescent="0.2">
      <c r="Y22430" s="97"/>
    </row>
    <row r="22431" spans="25:25" x14ac:dyDescent="0.2">
      <c r="Y22431" s="97"/>
    </row>
    <row r="22432" spans="25:25" x14ac:dyDescent="0.2">
      <c r="Y22432" s="97"/>
    </row>
    <row r="22433" spans="25:25" x14ac:dyDescent="0.2">
      <c r="Y22433" s="97"/>
    </row>
    <row r="22434" spans="25:25" x14ac:dyDescent="0.2">
      <c r="Y22434" s="97"/>
    </row>
    <row r="22435" spans="25:25" x14ac:dyDescent="0.2">
      <c r="Y22435" s="97"/>
    </row>
    <row r="22436" spans="25:25" x14ac:dyDescent="0.2">
      <c r="Y22436" s="97"/>
    </row>
    <row r="22437" spans="25:25" x14ac:dyDescent="0.2">
      <c r="Y22437" s="97"/>
    </row>
    <row r="22438" spans="25:25" x14ac:dyDescent="0.2">
      <c r="Y22438" s="97"/>
    </row>
    <row r="22439" spans="25:25" x14ac:dyDescent="0.2">
      <c r="Y22439" s="97"/>
    </row>
    <row r="22440" spans="25:25" x14ac:dyDescent="0.2">
      <c r="Y22440" s="97"/>
    </row>
    <row r="22441" spans="25:25" x14ac:dyDescent="0.2">
      <c r="Y22441" s="97"/>
    </row>
    <row r="22442" spans="25:25" x14ac:dyDescent="0.2">
      <c r="Y22442" s="97"/>
    </row>
    <row r="22443" spans="25:25" x14ac:dyDescent="0.2">
      <c r="Y22443" s="97"/>
    </row>
    <row r="22444" spans="25:25" x14ac:dyDescent="0.2">
      <c r="Y22444" s="97"/>
    </row>
    <row r="22445" spans="25:25" x14ac:dyDescent="0.2">
      <c r="Y22445" s="97"/>
    </row>
    <row r="22446" spans="25:25" x14ac:dyDescent="0.2">
      <c r="Y22446" s="97"/>
    </row>
    <row r="22447" spans="25:25" x14ac:dyDescent="0.2">
      <c r="Y22447" s="97"/>
    </row>
    <row r="22448" spans="25:25" x14ac:dyDescent="0.2">
      <c r="Y22448" s="97"/>
    </row>
    <row r="22449" spans="25:25" x14ac:dyDescent="0.2">
      <c r="Y22449" s="97"/>
    </row>
    <row r="22450" spans="25:25" x14ac:dyDescent="0.2">
      <c r="Y22450" s="97"/>
    </row>
    <row r="22451" spans="25:25" x14ac:dyDescent="0.2">
      <c r="Y22451" s="97"/>
    </row>
    <row r="22452" spans="25:25" x14ac:dyDescent="0.2">
      <c r="Y22452" s="97"/>
    </row>
    <row r="22453" spans="25:25" x14ac:dyDescent="0.2">
      <c r="Y22453" s="97"/>
    </row>
    <row r="22454" spans="25:25" x14ac:dyDescent="0.2">
      <c r="Y22454" s="97"/>
    </row>
    <row r="22455" spans="25:25" x14ac:dyDescent="0.2">
      <c r="Y22455" s="97"/>
    </row>
    <row r="22456" spans="25:25" x14ac:dyDescent="0.2">
      <c r="Y22456" s="97"/>
    </row>
    <row r="22457" spans="25:25" x14ac:dyDescent="0.2">
      <c r="Y22457" s="97"/>
    </row>
    <row r="22458" spans="25:25" x14ac:dyDescent="0.2">
      <c r="Y22458" s="97"/>
    </row>
    <row r="22459" spans="25:25" x14ac:dyDescent="0.2">
      <c r="Y22459" s="97"/>
    </row>
    <row r="22460" spans="25:25" x14ac:dyDescent="0.2">
      <c r="Y22460" s="97"/>
    </row>
    <row r="22461" spans="25:25" x14ac:dyDescent="0.2">
      <c r="Y22461" s="97"/>
    </row>
    <row r="22462" spans="25:25" x14ac:dyDescent="0.2">
      <c r="Y22462" s="97"/>
    </row>
    <row r="22463" spans="25:25" x14ac:dyDescent="0.2">
      <c r="Y22463" s="97"/>
    </row>
    <row r="22464" spans="25:25" x14ac:dyDescent="0.2">
      <c r="Y22464" s="97"/>
    </row>
    <row r="22465" spans="25:25" x14ac:dyDescent="0.2">
      <c r="Y22465" s="97"/>
    </row>
    <row r="22466" spans="25:25" x14ac:dyDescent="0.2">
      <c r="Y22466" s="97"/>
    </row>
    <row r="22467" spans="25:25" x14ac:dyDescent="0.2">
      <c r="Y22467" s="97"/>
    </row>
    <row r="22468" spans="25:25" x14ac:dyDescent="0.2">
      <c r="Y22468" s="97"/>
    </row>
    <row r="22469" spans="25:25" x14ac:dyDescent="0.2">
      <c r="Y22469" s="97"/>
    </row>
    <row r="22470" spans="25:25" x14ac:dyDescent="0.2">
      <c r="Y22470" s="97"/>
    </row>
    <row r="22471" spans="25:25" x14ac:dyDescent="0.2">
      <c r="Y22471" s="97"/>
    </row>
    <row r="22472" spans="25:25" x14ac:dyDescent="0.2">
      <c r="Y22472" s="97"/>
    </row>
    <row r="22473" spans="25:25" x14ac:dyDescent="0.2">
      <c r="Y22473" s="97"/>
    </row>
    <row r="22474" spans="25:25" x14ac:dyDescent="0.2">
      <c r="Y22474" s="97"/>
    </row>
    <row r="22475" spans="25:25" x14ac:dyDescent="0.2">
      <c r="Y22475" s="97"/>
    </row>
    <row r="22476" spans="25:25" x14ac:dyDescent="0.2">
      <c r="Y22476" s="97"/>
    </row>
    <row r="22477" spans="25:25" x14ac:dyDescent="0.2">
      <c r="Y22477" s="97"/>
    </row>
    <row r="22478" spans="25:25" x14ac:dyDescent="0.2">
      <c r="Y22478" s="97"/>
    </row>
    <row r="22479" spans="25:25" x14ac:dyDescent="0.2">
      <c r="Y22479" s="97"/>
    </row>
    <row r="22480" spans="25:25" x14ac:dyDescent="0.2">
      <c r="Y22480" s="97"/>
    </row>
    <row r="22481" spans="25:25" x14ac:dyDescent="0.2">
      <c r="Y22481" s="97"/>
    </row>
    <row r="22482" spans="25:25" x14ac:dyDescent="0.2">
      <c r="Y22482" s="97"/>
    </row>
    <row r="22483" spans="25:25" x14ac:dyDescent="0.2">
      <c r="Y22483" s="97"/>
    </row>
    <row r="22484" spans="25:25" x14ac:dyDescent="0.2">
      <c r="Y22484" s="97"/>
    </row>
    <row r="22485" spans="25:25" x14ac:dyDescent="0.2">
      <c r="Y22485" s="97"/>
    </row>
    <row r="22486" spans="25:25" x14ac:dyDescent="0.2">
      <c r="Y22486" s="97"/>
    </row>
    <row r="22487" spans="25:25" x14ac:dyDescent="0.2">
      <c r="Y22487" s="97"/>
    </row>
    <row r="22488" spans="25:25" x14ac:dyDescent="0.2">
      <c r="Y22488" s="97"/>
    </row>
    <row r="22489" spans="25:25" x14ac:dyDescent="0.2">
      <c r="Y22489" s="97"/>
    </row>
    <row r="22490" spans="25:25" x14ac:dyDescent="0.2">
      <c r="Y22490" s="97"/>
    </row>
    <row r="22491" spans="25:25" x14ac:dyDescent="0.2">
      <c r="Y22491" s="97"/>
    </row>
    <row r="22492" spans="25:25" x14ac:dyDescent="0.2">
      <c r="Y22492" s="97"/>
    </row>
    <row r="22493" spans="25:25" x14ac:dyDescent="0.2">
      <c r="Y22493" s="97"/>
    </row>
    <row r="22494" spans="25:25" x14ac:dyDescent="0.2">
      <c r="Y22494" s="97"/>
    </row>
    <row r="22495" spans="25:25" x14ac:dyDescent="0.2">
      <c r="Y22495" s="97"/>
    </row>
    <row r="22496" spans="25:25" x14ac:dyDescent="0.2">
      <c r="Y22496" s="97"/>
    </row>
    <row r="22497" spans="25:25" x14ac:dyDescent="0.2">
      <c r="Y22497" s="97"/>
    </row>
    <row r="22498" spans="25:25" x14ac:dyDescent="0.2">
      <c r="Y22498" s="97"/>
    </row>
    <row r="22499" spans="25:25" x14ac:dyDescent="0.2">
      <c r="Y22499" s="97"/>
    </row>
    <row r="22500" spans="25:25" x14ac:dyDescent="0.2">
      <c r="Y22500" s="97"/>
    </row>
    <row r="22501" spans="25:25" x14ac:dyDescent="0.2">
      <c r="Y22501" s="97"/>
    </row>
    <row r="22502" spans="25:25" x14ac:dyDescent="0.2">
      <c r="Y22502" s="97"/>
    </row>
    <row r="22503" spans="25:25" x14ac:dyDescent="0.2">
      <c r="Y22503" s="97"/>
    </row>
    <row r="22504" spans="25:25" x14ac:dyDescent="0.2">
      <c r="Y22504" s="97"/>
    </row>
    <row r="22505" spans="25:25" x14ac:dyDescent="0.2">
      <c r="Y22505" s="97"/>
    </row>
    <row r="22506" spans="25:25" x14ac:dyDescent="0.2">
      <c r="Y22506" s="97"/>
    </row>
    <row r="22507" spans="25:25" x14ac:dyDescent="0.2">
      <c r="Y22507" s="97"/>
    </row>
    <row r="22508" spans="25:25" x14ac:dyDescent="0.2">
      <c r="Y22508" s="97"/>
    </row>
    <row r="22509" spans="25:25" x14ac:dyDescent="0.2">
      <c r="Y22509" s="97"/>
    </row>
    <row r="22510" spans="25:25" x14ac:dyDescent="0.2">
      <c r="Y22510" s="97"/>
    </row>
    <row r="22511" spans="25:25" x14ac:dyDescent="0.2">
      <c r="Y22511" s="97"/>
    </row>
    <row r="22512" spans="25:25" x14ac:dyDescent="0.2">
      <c r="Y22512" s="97"/>
    </row>
    <row r="22513" spans="25:25" x14ac:dyDescent="0.2">
      <c r="Y22513" s="97"/>
    </row>
    <row r="22514" spans="25:25" x14ac:dyDescent="0.2">
      <c r="Y22514" s="97"/>
    </row>
    <row r="22515" spans="25:25" x14ac:dyDescent="0.2">
      <c r="Y22515" s="97"/>
    </row>
    <row r="22516" spans="25:25" x14ac:dyDescent="0.2">
      <c r="Y22516" s="97"/>
    </row>
    <row r="22517" spans="25:25" x14ac:dyDescent="0.2">
      <c r="Y22517" s="97"/>
    </row>
    <row r="22518" spans="25:25" x14ac:dyDescent="0.2">
      <c r="Y22518" s="97"/>
    </row>
    <row r="22519" spans="25:25" x14ac:dyDescent="0.2">
      <c r="Y22519" s="97"/>
    </row>
    <row r="22520" spans="25:25" x14ac:dyDescent="0.2">
      <c r="Y22520" s="97"/>
    </row>
    <row r="22521" spans="25:25" x14ac:dyDescent="0.2">
      <c r="Y22521" s="97"/>
    </row>
    <row r="22522" spans="25:25" x14ac:dyDescent="0.2">
      <c r="Y22522" s="97"/>
    </row>
    <row r="22523" spans="25:25" x14ac:dyDescent="0.2">
      <c r="Y22523" s="97"/>
    </row>
    <row r="22524" spans="25:25" x14ac:dyDescent="0.2">
      <c r="Y22524" s="97"/>
    </row>
    <row r="22525" spans="25:25" x14ac:dyDescent="0.2">
      <c r="Y22525" s="97"/>
    </row>
    <row r="22526" spans="25:25" x14ac:dyDescent="0.2">
      <c r="Y22526" s="97"/>
    </row>
    <row r="22527" spans="25:25" x14ac:dyDescent="0.2">
      <c r="Y22527" s="97"/>
    </row>
    <row r="22528" spans="25:25" x14ac:dyDescent="0.2">
      <c r="Y22528" s="97"/>
    </row>
    <row r="22529" spans="25:25" x14ac:dyDescent="0.2">
      <c r="Y22529" s="97"/>
    </row>
    <row r="22530" spans="25:25" x14ac:dyDescent="0.2">
      <c r="Y22530" s="97"/>
    </row>
    <row r="22531" spans="25:25" x14ac:dyDescent="0.2">
      <c r="Y22531" s="97"/>
    </row>
    <row r="22532" spans="25:25" x14ac:dyDescent="0.2">
      <c r="Y22532" s="97"/>
    </row>
    <row r="22533" spans="25:25" x14ac:dyDescent="0.2">
      <c r="Y22533" s="97"/>
    </row>
    <row r="22534" spans="25:25" x14ac:dyDescent="0.2">
      <c r="Y22534" s="97"/>
    </row>
    <row r="22535" spans="25:25" x14ac:dyDescent="0.2">
      <c r="Y22535" s="97"/>
    </row>
    <row r="22536" spans="25:25" x14ac:dyDescent="0.2">
      <c r="Y22536" s="97"/>
    </row>
    <row r="22537" spans="25:25" x14ac:dyDescent="0.2">
      <c r="Y22537" s="97"/>
    </row>
    <row r="22538" spans="25:25" x14ac:dyDescent="0.2">
      <c r="Y22538" s="97"/>
    </row>
    <row r="22539" spans="25:25" x14ac:dyDescent="0.2">
      <c r="Y22539" s="97"/>
    </row>
    <row r="22540" spans="25:25" x14ac:dyDescent="0.2">
      <c r="Y22540" s="97"/>
    </row>
    <row r="22541" spans="25:25" x14ac:dyDescent="0.2">
      <c r="Y22541" s="97"/>
    </row>
    <row r="22542" spans="25:25" x14ac:dyDescent="0.2">
      <c r="Y22542" s="97"/>
    </row>
    <row r="22543" spans="25:25" x14ac:dyDescent="0.2">
      <c r="Y22543" s="97"/>
    </row>
    <row r="22544" spans="25:25" x14ac:dyDescent="0.2">
      <c r="Y22544" s="97"/>
    </row>
    <row r="22545" spans="25:25" x14ac:dyDescent="0.2">
      <c r="Y22545" s="97"/>
    </row>
    <row r="22546" spans="25:25" x14ac:dyDescent="0.2">
      <c r="Y22546" s="97"/>
    </row>
    <row r="22547" spans="25:25" x14ac:dyDescent="0.2">
      <c r="Y22547" s="97"/>
    </row>
    <row r="22548" spans="25:25" x14ac:dyDescent="0.2">
      <c r="Y22548" s="97"/>
    </row>
    <row r="22549" spans="25:25" x14ac:dyDescent="0.2">
      <c r="Y22549" s="97"/>
    </row>
    <row r="22550" spans="25:25" x14ac:dyDescent="0.2">
      <c r="Y22550" s="97"/>
    </row>
    <row r="22551" spans="25:25" x14ac:dyDescent="0.2">
      <c r="Y22551" s="97"/>
    </row>
    <row r="22552" spans="25:25" x14ac:dyDescent="0.2">
      <c r="Y22552" s="97"/>
    </row>
    <row r="22553" spans="25:25" x14ac:dyDescent="0.2">
      <c r="Y22553" s="97"/>
    </row>
    <row r="22554" spans="25:25" x14ac:dyDescent="0.2">
      <c r="Y22554" s="97"/>
    </row>
    <row r="22555" spans="25:25" x14ac:dyDescent="0.2">
      <c r="Y22555" s="97"/>
    </row>
    <row r="22556" spans="25:25" x14ac:dyDescent="0.2">
      <c r="Y22556" s="97"/>
    </row>
    <row r="22557" spans="25:25" x14ac:dyDescent="0.2">
      <c r="Y22557" s="97"/>
    </row>
    <row r="22558" spans="25:25" x14ac:dyDescent="0.2">
      <c r="Y22558" s="97"/>
    </row>
    <row r="22559" spans="25:25" x14ac:dyDescent="0.2">
      <c r="Y22559" s="97"/>
    </row>
    <row r="22560" spans="25:25" x14ac:dyDescent="0.2">
      <c r="Y22560" s="97"/>
    </row>
    <row r="22561" spans="25:25" x14ac:dyDescent="0.2">
      <c r="Y22561" s="97"/>
    </row>
    <row r="22562" spans="25:25" x14ac:dyDescent="0.2">
      <c r="Y22562" s="97"/>
    </row>
    <row r="22563" spans="25:25" x14ac:dyDescent="0.2">
      <c r="Y22563" s="97"/>
    </row>
    <row r="22564" spans="25:25" x14ac:dyDescent="0.2">
      <c r="Y22564" s="97"/>
    </row>
    <row r="22565" spans="25:25" x14ac:dyDescent="0.2">
      <c r="Y22565" s="97"/>
    </row>
    <row r="22566" spans="25:25" x14ac:dyDescent="0.2">
      <c r="Y22566" s="97"/>
    </row>
    <row r="22567" spans="25:25" x14ac:dyDescent="0.2">
      <c r="Y22567" s="97"/>
    </row>
    <row r="22568" spans="25:25" x14ac:dyDescent="0.2">
      <c r="Y22568" s="97"/>
    </row>
    <row r="22569" spans="25:25" x14ac:dyDescent="0.2">
      <c r="Y22569" s="97"/>
    </row>
    <row r="22570" spans="25:25" x14ac:dyDescent="0.2">
      <c r="Y22570" s="97"/>
    </row>
    <row r="22571" spans="25:25" x14ac:dyDescent="0.2">
      <c r="Y22571" s="97"/>
    </row>
    <row r="22572" spans="25:25" x14ac:dyDescent="0.2">
      <c r="Y22572" s="97"/>
    </row>
    <row r="22573" spans="25:25" x14ac:dyDescent="0.2">
      <c r="Y22573" s="97"/>
    </row>
    <row r="22574" spans="25:25" x14ac:dyDescent="0.2">
      <c r="Y22574" s="97"/>
    </row>
    <row r="22575" spans="25:25" x14ac:dyDescent="0.2">
      <c r="Y22575" s="97"/>
    </row>
    <row r="22576" spans="25:25" x14ac:dyDescent="0.2">
      <c r="Y22576" s="97"/>
    </row>
    <row r="22577" spans="25:25" x14ac:dyDescent="0.2">
      <c r="Y22577" s="97"/>
    </row>
    <row r="22578" spans="25:25" x14ac:dyDescent="0.2">
      <c r="Y22578" s="97"/>
    </row>
    <row r="22579" spans="25:25" x14ac:dyDescent="0.2">
      <c r="Y22579" s="97"/>
    </row>
    <row r="22580" spans="25:25" x14ac:dyDescent="0.2">
      <c r="Y22580" s="97"/>
    </row>
    <row r="22581" spans="25:25" x14ac:dyDescent="0.2">
      <c r="Y22581" s="97"/>
    </row>
    <row r="22582" spans="25:25" x14ac:dyDescent="0.2">
      <c r="Y22582" s="97"/>
    </row>
    <row r="22583" spans="25:25" x14ac:dyDescent="0.2">
      <c r="Y22583" s="97"/>
    </row>
    <row r="22584" spans="25:25" x14ac:dyDescent="0.2">
      <c r="Y22584" s="97"/>
    </row>
    <row r="22585" spans="25:25" x14ac:dyDescent="0.2">
      <c r="Y22585" s="97"/>
    </row>
    <row r="22586" spans="25:25" x14ac:dyDescent="0.2">
      <c r="Y22586" s="97"/>
    </row>
    <row r="22587" spans="25:25" x14ac:dyDescent="0.2">
      <c r="Y22587" s="97"/>
    </row>
    <row r="22588" spans="25:25" x14ac:dyDescent="0.2">
      <c r="Y22588" s="97"/>
    </row>
    <row r="22589" spans="25:25" x14ac:dyDescent="0.2">
      <c r="Y22589" s="97"/>
    </row>
    <row r="22590" spans="25:25" x14ac:dyDescent="0.2">
      <c r="Y22590" s="97"/>
    </row>
    <row r="22591" spans="25:25" x14ac:dyDescent="0.2">
      <c r="Y22591" s="97"/>
    </row>
    <row r="22592" spans="25:25" x14ac:dyDescent="0.2">
      <c r="Y22592" s="97"/>
    </row>
    <row r="22593" spans="25:25" x14ac:dyDescent="0.2">
      <c r="Y22593" s="97"/>
    </row>
    <row r="22594" spans="25:25" x14ac:dyDescent="0.2">
      <c r="Y22594" s="97"/>
    </row>
    <row r="22595" spans="25:25" x14ac:dyDescent="0.2">
      <c r="Y22595" s="97"/>
    </row>
    <row r="22596" spans="25:25" x14ac:dyDescent="0.2">
      <c r="Y22596" s="97"/>
    </row>
    <row r="22597" spans="25:25" x14ac:dyDescent="0.2">
      <c r="Y22597" s="97"/>
    </row>
    <row r="22598" spans="25:25" x14ac:dyDescent="0.2">
      <c r="Y22598" s="97"/>
    </row>
    <row r="22599" spans="25:25" x14ac:dyDescent="0.2">
      <c r="Y22599" s="97"/>
    </row>
    <row r="22600" spans="25:25" x14ac:dyDescent="0.2">
      <c r="Y22600" s="97"/>
    </row>
    <row r="22601" spans="25:25" x14ac:dyDescent="0.2">
      <c r="Y22601" s="97"/>
    </row>
    <row r="22602" spans="25:25" x14ac:dyDescent="0.2">
      <c r="Y22602" s="97"/>
    </row>
    <row r="22603" spans="25:25" x14ac:dyDescent="0.2">
      <c r="Y22603" s="97"/>
    </row>
    <row r="22604" spans="25:25" x14ac:dyDescent="0.2">
      <c r="Y22604" s="97"/>
    </row>
    <row r="22605" spans="25:25" x14ac:dyDescent="0.2">
      <c r="Y22605" s="97"/>
    </row>
    <row r="22606" spans="25:25" x14ac:dyDescent="0.2">
      <c r="Y22606" s="97"/>
    </row>
    <row r="22607" spans="25:25" x14ac:dyDescent="0.2">
      <c r="Y22607" s="97"/>
    </row>
    <row r="22608" spans="25:25" x14ac:dyDescent="0.2">
      <c r="Y22608" s="97"/>
    </row>
    <row r="22609" spans="25:25" x14ac:dyDescent="0.2">
      <c r="Y22609" s="97"/>
    </row>
    <row r="22610" spans="25:25" x14ac:dyDescent="0.2">
      <c r="Y22610" s="97"/>
    </row>
    <row r="22611" spans="25:25" x14ac:dyDescent="0.2">
      <c r="Y22611" s="97"/>
    </row>
    <row r="22612" spans="25:25" x14ac:dyDescent="0.2">
      <c r="Y22612" s="97"/>
    </row>
    <row r="22613" spans="25:25" x14ac:dyDescent="0.2">
      <c r="Y22613" s="97"/>
    </row>
    <row r="22614" spans="25:25" x14ac:dyDescent="0.2">
      <c r="Y22614" s="97"/>
    </row>
    <row r="22615" spans="25:25" x14ac:dyDescent="0.2">
      <c r="Y22615" s="97"/>
    </row>
    <row r="22616" spans="25:25" x14ac:dyDescent="0.2">
      <c r="Y22616" s="97"/>
    </row>
    <row r="22617" spans="25:25" x14ac:dyDescent="0.2">
      <c r="Y22617" s="97"/>
    </row>
    <row r="22618" spans="25:25" x14ac:dyDescent="0.2">
      <c r="Y22618" s="97"/>
    </row>
    <row r="22619" spans="25:25" x14ac:dyDescent="0.2">
      <c r="Y22619" s="97"/>
    </row>
    <row r="22620" spans="25:25" x14ac:dyDescent="0.2">
      <c r="Y22620" s="97"/>
    </row>
    <row r="22621" spans="25:25" x14ac:dyDescent="0.2">
      <c r="Y22621" s="97"/>
    </row>
    <row r="22622" spans="25:25" x14ac:dyDescent="0.2">
      <c r="Y22622" s="97"/>
    </row>
    <row r="22623" spans="25:25" x14ac:dyDescent="0.2">
      <c r="Y22623" s="97"/>
    </row>
    <row r="22624" spans="25:25" x14ac:dyDescent="0.2">
      <c r="Y22624" s="97"/>
    </row>
    <row r="22625" spans="25:25" x14ac:dyDescent="0.2">
      <c r="Y22625" s="97"/>
    </row>
    <row r="22626" spans="25:25" x14ac:dyDescent="0.2">
      <c r="Y22626" s="97"/>
    </row>
    <row r="22627" spans="25:25" x14ac:dyDescent="0.2">
      <c r="Y22627" s="97"/>
    </row>
    <row r="22628" spans="25:25" x14ac:dyDescent="0.2">
      <c r="Y22628" s="97"/>
    </row>
    <row r="22629" spans="25:25" x14ac:dyDescent="0.2">
      <c r="Y22629" s="97"/>
    </row>
    <row r="22630" spans="25:25" x14ac:dyDescent="0.2">
      <c r="Y22630" s="97"/>
    </row>
    <row r="22631" spans="25:25" x14ac:dyDescent="0.2">
      <c r="Y22631" s="97"/>
    </row>
    <row r="22632" spans="25:25" x14ac:dyDescent="0.2">
      <c r="Y22632" s="97"/>
    </row>
    <row r="22633" spans="25:25" x14ac:dyDescent="0.2">
      <c r="Y22633" s="97"/>
    </row>
    <row r="22634" spans="25:25" x14ac:dyDescent="0.2">
      <c r="Y22634" s="97"/>
    </row>
    <row r="22635" spans="25:25" x14ac:dyDescent="0.2">
      <c r="Y22635" s="97"/>
    </row>
    <row r="22636" spans="25:25" x14ac:dyDescent="0.2">
      <c r="Y22636" s="97"/>
    </row>
    <row r="22637" spans="25:25" x14ac:dyDescent="0.2">
      <c r="Y22637" s="97"/>
    </row>
    <row r="22638" spans="25:25" x14ac:dyDescent="0.2">
      <c r="Y22638" s="97"/>
    </row>
    <row r="22639" spans="25:25" x14ac:dyDescent="0.2">
      <c r="Y22639" s="97"/>
    </row>
    <row r="22640" spans="25:25" x14ac:dyDescent="0.2">
      <c r="Y22640" s="97"/>
    </row>
    <row r="22641" spans="25:25" x14ac:dyDescent="0.2">
      <c r="Y22641" s="97"/>
    </row>
    <row r="22642" spans="25:25" x14ac:dyDescent="0.2">
      <c r="Y22642" s="97"/>
    </row>
    <row r="22643" spans="25:25" x14ac:dyDescent="0.2">
      <c r="Y22643" s="97"/>
    </row>
    <row r="22644" spans="25:25" x14ac:dyDescent="0.2">
      <c r="Y22644" s="97"/>
    </row>
    <row r="22645" spans="25:25" x14ac:dyDescent="0.2">
      <c r="Y22645" s="97"/>
    </row>
    <row r="22646" spans="25:25" x14ac:dyDescent="0.2">
      <c r="Y22646" s="97"/>
    </row>
    <row r="22647" spans="25:25" x14ac:dyDescent="0.2">
      <c r="Y22647" s="97"/>
    </row>
    <row r="22648" spans="25:25" x14ac:dyDescent="0.2">
      <c r="Y22648" s="97"/>
    </row>
    <row r="22649" spans="25:25" x14ac:dyDescent="0.2">
      <c r="Y22649" s="97"/>
    </row>
    <row r="22650" spans="25:25" x14ac:dyDescent="0.2">
      <c r="Y22650" s="97"/>
    </row>
    <row r="22651" spans="25:25" x14ac:dyDescent="0.2">
      <c r="Y22651" s="97"/>
    </row>
    <row r="22652" spans="25:25" x14ac:dyDescent="0.2">
      <c r="Y22652" s="97"/>
    </row>
    <row r="22653" spans="25:25" x14ac:dyDescent="0.2">
      <c r="Y22653" s="97"/>
    </row>
    <row r="22654" spans="25:25" x14ac:dyDescent="0.2">
      <c r="Y22654" s="97"/>
    </row>
    <row r="22655" spans="25:25" x14ac:dyDescent="0.2">
      <c r="Y22655" s="97"/>
    </row>
    <row r="22656" spans="25:25" x14ac:dyDescent="0.2">
      <c r="Y22656" s="97"/>
    </row>
    <row r="22657" spans="25:25" x14ac:dyDescent="0.2">
      <c r="Y22657" s="97"/>
    </row>
    <row r="22658" spans="25:25" x14ac:dyDescent="0.2">
      <c r="Y22658" s="97"/>
    </row>
    <row r="22659" spans="25:25" x14ac:dyDescent="0.2">
      <c r="Y22659" s="97"/>
    </row>
    <row r="22660" spans="25:25" x14ac:dyDescent="0.2">
      <c r="Y22660" s="97"/>
    </row>
    <row r="22661" spans="25:25" x14ac:dyDescent="0.2">
      <c r="Y22661" s="97"/>
    </row>
    <row r="22662" spans="25:25" x14ac:dyDescent="0.2">
      <c r="Y22662" s="97"/>
    </row>
    <row r="22663" spans="25:25" x14ac:dyDescent="0.2">
      <c r="Y22663" s="97"/>
    </row>
    <row r="22664" spans="25:25" x14ac:dyDescent="0.2">
      <c r="Y22664" s="97"/>
    </row>
    <row r="22665" spans="25:25" x14ac:dyDescent="0.2">
      <c r="Y22665" s="97"/>
    </row>
    <row r="22666" spans="25:25" x14ac:dyDescent="0.2">
      <c r="Y22666" s="97"/>
    </row>
    <row r="22667" spans="25:25" x14ac:dyDescent="0.2">
      <c r="Y22667" s="97"/>
    </row>
    <row r="22668" spans="25:25" x14ac:dyDescent="0.2">
      <c r="Y22668" s="97"/>
    </row>
    <row r="22669" spans="25:25" x14ac:dyDescent="0.2">
      <c r="Y22669" s="97"/>
    </row>
    <row r="22670" spans="25:25" x14ac:dyDescent="0.2">
      <c r="Y22670" s="97"/>
    </row>
    <row r="22671" spans="25:25" x14ac:dyDescent="0.2">
      <c r="Y22671" s="97"/>
    </row>
    <row r="22672" spans="25:25" x14ac:dyDescent="0.2">
      <c r="Y22672" s="97"/>
    </row>
    <row r="22673" spans="25:25" x14ac:dyDescent="0.2">
      <c r="Y22673" s="97"/>
    </row>
    <row r="22674" spans="25:25" x14ac:dyDescent="0.2">
      <c r="Y22674" s="97"/>
    </row>
    <row r="22675" spans="25:25" x14ac:dyDescent="0.2">
      <c r="Y22675" s="97"/>
    </row>
    <row r="22676" spans="25:25" x14ac:dyDescent="0.2">
      <c r="Y22676" s="97"/>
    </row>
    <row r="22677" spans="25:25" x14ac:dyDescent="0.2">
      <c r="Y22677" s="97"/>
    </row>
    <row r="22678" spans="25:25" x14ac:dyDescent="0.2">
      <c r="Y22678" s="97"/>
    </row>
    <row r="22679" spans="25:25" x14ac:dyDescent="0.2">
      <c r="Y22679" s="97"/>
    </row>
    <row r="22680" spans="25:25" x14ac:dyDescent="0.2">
      <c r="Y22680" s="97"/>
    </row>
    <row r="22681" spans="25:25" x14ac:dyDescent="0.2">
      <c r="Y22681" s="97"/>
    </row>
    <row r="22682" spans="25:25" x14ac:dyDescent="0.2">
      <c r="Y22682" s="97"/>
    </row>
    <row r="22683" spans="25:25" x14ac:dyDescent="0.2">
      <c r="Y22683" s="97"/>
    </row>
    <row r="22684" spans="25:25" x14ac:dyDescent="0.2">
      <c r="Y22684" s="97"/>
    </row>
    <row r="22685" spans="25:25" x14ac:dyDescent="0.2">
      <c r="Y22685" s="97"/>
    </row>
    <row r="22686" spans="25:25" x14ac:dyDescent="0.2">
      <c r="Y22686" s="97"/>
    </row>
    <row r="22687" spans="25:25" x14ac:dyDescent="0.2">
      <c r="Y22687" s="97"/>
    </row>
    <row r="22688" spans="25:25" x14ac:dyDescent="0.2">
      <c r="Y22688" s="97"/>
    </row>
    <row r="22689" spans="25:25" x14ac:dyDescent="0.2">
      <c r="Y22689" s="97"/>
    </row>
    <row r="22690" spans="25:25" x14ac:dyDescent="0.2">
      <c r="Y22690" s="97"/>
    </row>
    <row r="22691" spans="25:25" x14ac:dyDescent="0.2">
      <c r="Y22691" s="97"/>
    </row>
    <row r="22692" spans="25:25" x14ac:dyDescent="0.2">
      <c r="Y22692" s="97"/>
    </row>
    <row r="22693" spans="25:25" x14ac:dyDescent="0.2">
      <c r="Y22693" s="97"/>
    </row>
    <row r="22694" spans="25:25" x14ac:dyDescent="0.2">
      <c r="Y22694" s="97"/>
    </row>
    <row r="22695" spans="25:25" x14ac:dyDescent="0.2">
      <c r="Y22695" s="97"/>
    </row>
    <row r="22696" spans="25:25" x14ac:dyDescent="0.2">
      <c r="Y22696" s="97"/>
    </row>
    <row r="22697" spans="25:25" x14ac:dyDescent="0.2">
      <c r="Y22697" s="97"/>
    </row>
    <row r="22698" spans="25:25" x14ac:dyDescent="0.2">
      <c r="Y22698" s="97"/>
    </row>
    <row r="22699" spans="25:25" x14ac:dyDescent="0.2">
      <c r="Y22699" s="97"/>
    </row>
    <row r="22700" spans="25:25" x14ac:dyDescent="0.2">
      <c r="Y22700" s="97"/>
    </row>
    <row r="22701" spans="25:25" x14ac:dyDescent="0.2">
      <c r="Y22701" s="97"/>
    </row>
    <row r="22702" spans="25:25" x14ac:dyDescent="0.2">
      <c r="Y22702" s="97"/>
    </row>
    <row r="22703" spans="25:25" x14ac:dyDescent="0.2">
      <c r="Y22703" s="97"/>
    </row>
    <row r="22704" spans="25:25" x14ac:dyDescent="0.2">
      <c r="Y22704" s="97"/>
    </row>
    <row r="22705" spans="25:25" x14ac:dyDescent="0.2">
      <c r="Y22705" s="97"/>
    </row>
    <row r="22706" spans="25:25" x14ac:dyDescent="0.2">
      <c r="Y22706" s="97"/>
    </row>
    <row r="22707" spans="25:25" x14ac:dyDescent="0.2">
      <c r="Y22707" s="97"/>
    </row>
    <row r="22708" spans="25:25" x14ac:dyDescent="0.2">
      <c r="Y22708" s="97"/>
    </row>
    <row r="22709" spans="25:25" x14ac:dyDescent="0.2">
      <c r="Y22709" s="97"/>
    </row>
    <row r="22710" spans="25:25" x14ac:dyDescent="0.2">
      <c r="Y22710" s="97"/>
    </row>
    <row r="22711" spans="25:25" x14ac:dyDescent="0.2">
      <c r="Y22711" s="97"/>
    </row>
    <row r="22712" spans="25:25" x14ac:dyDescent="0.2">
      <c r="Y22712" s="97"/>
    </row>
    <row r="22713" spans="25:25" x14ac:dyDescent="0.2">
      <c r="Y22713" s="97"/>
    </row>
    <row r="22714" spans="25:25" x14ac:dyDescent="0.2">
      <c r="Y22714" s="97"/>
    </row>
    <row r="22715" spans="25:25" x14ac:dyDescent="0.2">
      <c r="Y22715" s="97"/>
    </row>
    <row r="22716" spans="25:25" x14ac:dyDescent="0.2">
      <c r="Y22716" s="97"/>
    </row>
    <row r="22717" spans="25:25" x14ac:dyDescent="0.2">
      <c r="Y22717" s="97"/>
    </row>
    <row r="22718" spans="25:25" x14ac:dyDescent="0.2">
      <c r="Y22718" s="97"/>
    </row>
    <row r="22719" spans="25:25" x14ac:dyDescent="0.2">
      <c r="Y22719" s="97"/>
    </row>
    <row r="22720" spans="25:25" x14ac:dyDescent="0.2">
      <c r="Y22720" s="97"/>
    </row>
    <row r="22721" spans="25:25" x14ac:dyDescent="0.2">
      <c r="Y22721" s="97"/>
    </row>
    <row r="22722" spans="25:25" x14ac:dyDescent="0.2">
      <c r="Y22722" s="97"/>
    </row>
    <row r="22723" spans="25:25" x14ac:dyDescent="0.2">
      <c r="Y22723" s="97"/>
    </row>
    <row r="22724" spans="25:25" x14ac:dyDescent="0.2">
      <c r="Y22724" s="97"/>
    </row>
    <row r="22725" spans="25:25" x14ac:dyDescent="0.2">
      <c r="Y22725" s="97"/>
    </row>
    <row r="22726" spans="25:25" x14ac:dyDescent="0.2">
      <c r="Y22726" s="97"/>
    </row>
    <row r="22727" spans="25:25" x14ac:dyDescent="0.2">
      <c r="Y22727" s="97"/>
    </row>
    <row r="22728" spans="25:25" x14ac:dyDescent="0.2">
      <c r="Y22728" s="97"/>
    </row>
    <row r="22729" spans="25:25" x14ac:dyDescent="0.2">
      <c r="Y22729" s="97"/>
    </row>
    <row r="22730" spans="25:25" x14ac:dyDescent="0.2">
      <c r="Y22730" s="97"/>
    </row>
    <row r="22731" spans="25:25" x14ac:dyDescent="0.2">
      <c r="Y22731" s="97"/>
    </row>
    <row r="22732" spans="25:25" x14ac:dyDescent="0.2">
      <c r="Y22732" s="97"/>
    </row>
    <row r="22733" spans="25:25" x14ac:dyDescent="0.2">
      <c r="Y22733" s="97"/>
    </row>
    <row r="22734" spans="25:25" x14ac:dyDescent="0.2">
      <c r="Y22734" s="97"/>
    </row>
    <row r="22735" spans="25:25" x14ac:dyDescent="0.2">
      <c r="Y22735" s="97"/>
    </row>
    <row r="22736" spans="25:25" x14ac:dyDescent="0.2">
      <c r="Y22736" s="97"/>
    </row>
    <row r="22737" spans="25:25" x14ac:dyDescent="0.2">
      <c r="Y22737" s="97"/>
    </row>
    <row r="22738" spans="25:25" x14ac:dyDescent="0.2">
      <c r="Y22738" s="97"/>
    </row>
    <row r="22739" spans="25:25" x14ac:dyDescent="0.2">
      <c r="Y22739" s="97"/>
    </row>
    <row r="22740" spans="25:25" x14ac:dyDescent="0.2">
      <c r="Y22740" s="97"/>
    </row>
    <row r="22741" spans="25:25" x14ac:dyDescent="0.2">
      <c r="Y22741" s="97"/>
    </row>
    <row r="22742" spans="25:25" x14ac:dyDescent="0.2">
      <c r="Y22742" s="97"/>
    </row>
    <row r="22743" spans="25:25" x14ac:dyDescent="0.2">
      <c r="Y22743" s="97"/>
    </row>
    <row r="22744" spans="25:25" x14ac:dyDescent="0.2">
      <c r="Y22744" s="97"/>
    </row>
    <row r="22745" spans="25:25" x14ac:dyDescent="0.2">
      <c r="Y22745" s="97"/>
    </row>
    <row r="22746" spans="25:25" x14ac:dyDescent="0.2">
      <c r="Y22746" s="97"/>
    </row>
    <row r="22747" spans="25:25" x14ac:dyDescent="0.2">
      <c r="Y22747" s="97"/>
    </row>
    <row r="22748" spans="25:25" x14ac:dyDescent="0.2">
      <c r="Y22748" s="97"/>
    </row>
    <row r="22749" spans="25:25" x14ac:dyDescent="0.2">
      <c r="Y22749" s="97"/>
    </row>
    <row r="22750" spans="25:25" x14ac:dyDescent="0.2">
      <c r="Y22750" s="97"/>
    </row>
    <row r="22751" spans="25:25" x14ac:dyDescent="0.2">
      <c r="Y22751" s="97"/>
    </row>
    <row r="22752" spans="25:25" x14ac:dyDescent="0.2">
      <c r="Y22752" s="97"/>
    </row>
    <row r="22753" spans="25:25" x14ac:dyDescent="0.2">
      <c r="Y22753" s="97"/>
    </row>
    <row r="22754" spans="25:25" x14ac:dyDescent="0.2">
      <c r="Y22754" s="97"/>
    </row>
    <row r="22755" spans="25:25" x14ac:dyDescent="0.2">
      <c r="Y22755" s="97"/>
    </row>
    <row r="22756" spans="25:25" x14ac:dyDescent="0.2">
      <c r="Y22756" s="97"/>
    </row>
    <row r="22757" spans="25:25" x14ac:dyDescent="0.2">
      <c r="Y22757" s="97"/>
    </row>
    <row r="22758" spans="25:25" x14ac:dyDescent="0.2">
      <c r="Y22758" s="97"/>
    </row>
    <row r="22759" spans="25:25" x14ac:dyDescent="0.2">
      <c r="Y22759" s="97"/>
    </row>
    <row r="22760" spans="25:25" x14ac:dyDescent="0.2">
      <c r="Y22760" s="97"/>
    </row>
    <row r="22761" spans="25:25" x14ac:dyDescent="0.2">
      <c r="Y22761" s="97"/>
    </row>
    <row r="22762" spans="25:25" x14ac:dyDescent="0.2">
      <c r="Y22762" s="97"/>
    </row>
    <row r="22763" spans="25:25" x14ac:dyDescent="0.2">
      <c r="Y22763" s="97"/>
    </row>
    <row r="22764" spans="25:25" x14ac:dyDescent="0.2">
      <c r="Y22764" s="97"/>
    </row>
    <row r="22765" spans="25:25" x14ac:dyDescent="0.2">
      <c r="Y22765" s="97"/>
    </row>
    <row r="22766" spans="25:25" x14ac:dyDescent="0.2">
      <c r="Y22766" s="97"/>
    </row>
    <row r="22767" spans="25:25" x14ac:dyDescent="0.2">
      <c r="Y22767" s="97"/>
    </row>
    <row r="22768" spans="25:25" x14ac:dyDescent="0.2">
      <c r="Y22768" s="97"/>
    </row>
    <row r="22769" spans="25:25" x14ac:dyDescent="0.2">
      <c r="Y22769" s="97"/>
    </row>
    <row r="22770" spans="25:25" x14ac:dyDescent="0.2">
      <c r="Y22770" s="97"/>
    </row>
    <row r="22771" spans="25:25" x14ac:dyDescent="0.2">
      <c r="Y22771" s="97"/>
    </row>
    <row r="22772" spans="25:25" x14ac:dyDescent="0.2">
      <c r="Y22772" s="97"/>
    </row>
    <row r="22773" spans="25:25" x14ac:dyDescent="0.2">
      <c r="Y22773" s="97"/>
    </row>
    <row r="22774" spans="25:25" x14ac:dyDescent="0.2">
      <c r="Y22774" s="97"/>
    </row>
    <row r="22775" spans="25:25" x14ac:dyDescent="0.2">
      <c r="Y22775" s="97"/>
    </row>
    <row r="22776" spans="25:25" x14ac:dyDescent="0.2">
      <c r="Y22776" s="97"/>
    </row>
    <row r="22777" spans="25:25" x14ac:dyDescent="0.2">
      <c r="Y22777" s="97"/>
    </row>
    <row r="22778" spans="25:25" x14ac:dyDescent="0.2">
      <c r="Y22778" s="97"/>
    </row>
    <row r="22779" spans="25:25" x14ac:dyDescent="0.2">
      <c r="Y22779" s="97"/>
    </row>
    <row r="22780" spans="25:25" x14ac:dyDescent="0.2">
      <c r="Y22780" s="97"/>
    </row>
    <row r="22781" spans="25:25" x14ac:dyDescent="0.2">
      <c r="Y22781" s="97"/>
    </row>
    <row r="22782" spans="25:25" x14ac:dyDescent="0.2">
      <c r="Y22782" s="97"/>
    </row>
    <row r="22783" spans="25:25" x14ac:dyDescent="0.2">
      <c r="Y22783" s="97"/>
    </row>
    <row r="22784" spans="25:25" x14ac:dyDescent="0.2">
      <c r="Y22784" s="97"/>
    </row>
    <row r="22785" spans="25:25" x14ac:dyDescent="0.2">
      <c r="Y22785" s="97"/>
    </row>
    <row r="22786" spans="25:25" x14ac:dyDescent="0.2">
      <c r="Y22786" s="97"/>
    </row>
    <row r="22787" spans="25:25" x14ac:dyDescent="0.2">
      <c r="Y22787" s="97"/>
    </row>
    <row r="22788" spans="25:25" x14ac:dyDescent="0.2">
      <c r="Y22788" s="97"/>
    </row>
    <row r="22789" spans="25:25" x14ac:dyDescent="0.2">
      <c r="Y22789" s="97"/>
    </row>
    <row r="22790" spans="25:25" x14ac:dyDescent="0.2">
      <c r="Y22790" s="97"/>
    </row>
    <row r="22791" spans="25:25" x14ac:dyDescent="0.2">
      <c r="Y22791" s="97"/>
    </row>
    <row r="22792" spans="25:25" x14ac:dyDescent="0.2">
      <c r="Y22792" s="97"/>
    </row>
    <row r="22793" spans="25:25" x14ac:dyDescent="0.2">
      <c r="Y22793" s="97"/>
    </row>
    <row r="22794" spans="25:25" x14ac:dyDescent="0.2">
      <c r="Y22794" s="97"/>
    </row>
    <row r="22795" spans="25:25" x14ac:dyDescent="0.2">
      <c r="Y22795" s="97"/>
    </row>
    <row r="22796" spans="25:25" x14ac:dyDescent="0.2">
      <c r="Y22796" s="97"/>
    </row>
    <row r="22797" spans="25:25" x14ac:dyDescent="0.2">
      <c r="Y22797" s="97"/>
    </row>
    <row r="22798" spans="25:25" x14ac:dyDescent="0.2">
      <c r="Y22798" s="97"/>
    </row>
    <row r="22799" spans="25:25" x14ac:dyDescent="0.2">
      <c r="Y22799" s="97"/>
    </row>
    <row r="22800" spans="25:25" x14ac:dyDescent="0.2">
      <c r="Y22800" s="97"/>
    </row>
    <row r="22801" spans="25:25" x14ac:dyDescent="0.2">
      <c r="Y22801" s="97"/>
    </row>
    <row r="22802" spans="25:25" x14ac:dyDescent="0.2">
      <c r="Y22802" s="97"/>
    </row>
    <row r="22803" spans="25:25" x14ac:dyDescent="0.2">
      <c r="Y22803" s="97"/>
    </row>
    <row r="22804" spans="25:25" x14ac:dyDescent="0.2">
      <c r="Y22804" s="97"/>
    </row>
    <row r="22805" spans="25:25" x14ac:dyDescent="0.2">
      <c r="Y22805" s="97"/>
    </row>
    <row r="22806" spans="25:25" x14ac:dyDescent="0.2">
      <c r="Y22806" s="97"/>
    </row>
    <row r="22807" spans="25:25" x14ac:dyDescent="0.2">
      <c r="Y22807" s="97"/>
    </row>
    <row r="22808" spans="25:25" x14ac:dyDescent="0.2">
      <c r="Y22808" s="97"/>
    </row>
    <row r="22809" spans="25:25" x14ac:dyDescent="0.2">
      <c r="Y22809" s="97"/>
    </row>
    <row r="22810" spans="25:25" x14ac:dyDescent="0.2">
      <c r="Y22810" s="97"/>
    </row>
    <row r="22811" spans="25:25" x14ac:dyDescent="0.2">
      <c r="Y22811" s="97"/>
    </row>
    <row r="22812" spans="25:25" x14ac:dyDescent="0.2">
      <c r="Y22812" s="97"/>
    </row>
    <row r="22813" spans="25:25" x14ac:dyDescent="0.2">
      <c r="Y22813" s="97"/>
    </row>
    <row r="22814" spans="25:25" x14ac:dyDescent="0.2">
      <c r="Y22814" s="97"/>
    </row>
    <row r="22815" spans="25:25" x14ac:dyDescent="0.2">
      <c r="Y22815" s="97"/>
    </row>
    <row r="22816" spans="25:25" x14ac:dyDescent="0.2">
      <c r="Y22816" s="97"/>
    </row>
    <row r="22817" spans="25:25" x14ac:dyDescent="0.2">
      <c r="Y22817" s="97"/>
    </row>
    <row r="22818" spans="25:25" x14ac:dyDescent="0.2">
      <c r="Y22818" s="97"/>
    </row>
    <row r="22819" spans="25:25" x14ac:dyDescent="0.2">
      <c r="Y22819" s="97"/>
    </row>
    <row r="22820" spans="25:25" x14ac:dyDescent="0.2">
      <c r="Y22820" s="97"/>
    </row>
    <row r="22821" spans="25:25" x14ac:dyDescent="0.2">
      <c r="Y22821" s="97"/>
    </row>
    <row r="22822" spans="25:25" x14ac:dyDescent="0.2">
      <c r="Y22822" s="97"/>
    </row>
    <row r="22823" spans="25:25" x14ac:dyDescent="0.2">
      <c r="Y22823" s="97"/>
    </row>
    <row r="22824" spans="25:25" x14ac:dyDescent="0.2">
      <c r="Y22824" s="97"/>
    </row>
    <row r="22825" spans="25:25" x14ac:dyDescent="0.2">
      <c r="Y22825" s="97"/>
    </row>
    <row r="22826" spans="25:25" x14ac:dyDescent="0.2">
      <c r="Y22826" s="97"/>
    </row>
    <row r="22827" spans="25:25" x14ac:dyDescent="0.2">
      <c r="Y22827" s="97"/>
    </row>
    <row r="22828" spans="25:25" x14ac:dyDescent="0.2">
      <c r="Y22828" s="97"/>
    </row>
    <row r="22829" spans="25:25" x14ac:dyDescent="0.2">
      <c r="Y22829" s="97"/>
    </row>
    <row r="22830" spans="25:25" x14ac:dyDescent="0.2">
      <c r="Y22830" s="97"/>
    </row>
    <row r="22831" spans="25:25" x14ac:dyDescent="0.2">
      <c r="Y22831" s="97"/>
    </row>
    <row r="22832" spans="25:25" x14ac:dyDescent="0.2">
      <c r="Y22832" s="97"/>
    </row>
    <row r="22833" spans="25:25" x14ac:dyDescent="0.2">
      <c r="Y22833" s="97"/>
    </row>
    <row r="22834" spans="25:25" x14ac:dyDescent="0.2">
      <c r="Y22834" s="97"/>
    </row>
    <row r="22835" spans="25:25" x14ac:dyDescent="0.2">
      <c r="Y22835" s="97"/>
    </row>
    <row r="22836" spans="25:25" x14ac:dyDescent="0.2">
      <c r="Y22836" s="97"/>
    </row>
    <row r="22837" spans="25:25" x14ac:dyDescent="0.2">
      <c r="Y22837" s="97"/>
    </row>
    <row r="22838" spans="25:25" x14ac:dyDescent="0.2">
      <c r="Y22838" s="97"/>
    </row>
    <row r="22839" spans="25:25" x14ac:dyDescent="0.2">
      <c r="Y22839" s="97"/>
    </row>
    <row r="22840" spans="25:25" x14ac:dyDescent="0.2">
      <c r="Y22840" s="97"/>
    </row>
    <row r="22841" spans="25:25" x14ac:dyDescent="0.2">
      <c r="Y22841" s="97"/>
    </row>
    <row r="22842" spans="25:25" x14ac:dyDescent="0.2">
      <c r="Y22842" s="97"/>
    </row>
    <row r="22843" spans="25:25" x14ac:dyDescent="0.2">
      <c r="Y22843" s="97"/>
    </row>
    <row r="22844" spans="25:25" x14ac:dyDescent="0.2">
      <c r="Y22844" s="97"/>
    </row>
    <row r="22845" spans="25:25" x14ac:dyDescent="0.2">
      <c r="Y22845" s="97"/>
    </row>
    <row r="22846" spans="25:25" x14ac:dyDescent="0.2">
      <c r="Y22846" s="97"/>
    </row>
    <row r="22847" spans="25:25" x14ac:dyDescent="0.2">
      <c r="Y22847" s="97"/>
    </row>
    <row r="22848" spans="25:25" x14ac:dyDescent="0.2">
      <c r="Y22848" s="97"/>
    </row>
    <row r="22849" spans="25:25" x14ac:dyDescent="0.2">
      <c r="Y22849" s="97"/>
    </row>
    <row r="22850" spans="25:25" x14ac:dyDescent="0.2">
      <c r="Y22850" s="97"/>
    </row>
    <row r="22851" spans="25:25" x14ac:dyDescent="0.2">
      <c r="Y22851" s="97"/>
    </row>
    <row r="22852" spans="25:25" x14ac:dyDescent="0.2">
      <c r="Y22852" s="97"/>
    </row>
    <row r="22853" spans="25:25" x14ac:dyDescent="0.2">
      <c r="Y22853" s="97"/>
    </row>
    <row r="22854" spans="25:25" x14ac:dyDescent="0.2">
      <c r="Y22854" s="97"/>
    </row>
    <row r="22855" spans="25:25" x14ac:dyDescent="0.2">
      <c r="Y22855" s="97"/>
    </row>
    <row r="22856" spans="25:25" x14ac:dyDescent="0.2">
      <c r="Y22856" s="97"/>
    </row>
    <row r="22857" spans="25:25" x14ac:dyDescent="0.2">
      <c r="Y22857" s="97"/>
    </row>
    <row r="22858" spans="25:25" x14ac:dyDescent="0.2">
      <c r="Y22858" s="97"/>
    </row>
    <row r="22859" spans="25:25" x14ac:dyDescent="0.2">
      <c r="Y22859" s="97"/>
    </row>
    <row r="22860" spans="25:25" x14ac:dyDescent="0.2">
      <c r="Y22860" s="97"/>
    </row>
    <row r="22861" spans="25:25" x14ac:dyDescent="0.2">
      <c r="Y22861" s="97"/>
    </row>
    <row r="22862" spans="25:25" x14ac:dyDescent="0.2">
      <c r="Y22862" s="97"/>
    </row>
    <row r="22863" spans="25:25" x14ac:dyDescent="0.2">
      <c r="Y22863" s="97"/>
    </row>
    <row r="22864" spans="25:25" x14ac:dyDescent="0.2">
      <c r="Y22864" s="97"/>
    </row>
    <row r="22865" spans="25:25" x14ac:dyDescent="0.2">
      <c r="Y22865" s="97"/>
    </row>
    <row r="22866" spans="25:25" x14ac:dyDescent="0.2">
      <c r="Y22866" s="97"/>
    </row>
    <row r="22867" spans="25:25" x14ac:dyDescent="0.2">
      <c r="Y22867" s="97"/>
    </row>
    <row r="22868" spans="25:25" x14ac:dyDescent="0.2">
      <c r="Y22868" s="97"/>
    </row>
    <row r="22869" spans="25:25" x14ac:dyDescent="0.2">
      <c r="Y22869" s="97"/>
    </row>
    <row r="22870" spans="25:25" x14ac:dyDescent="0.2">
      <c r="Y22870" s="97"/>
    </row>
    <row r="22871" spans="25:25" x14ac:dyDescent="0.2">
      <c r="Y22871" s="97"/>
    </row>
    <row r="22872" spans="25:25" x14ac:dyDescent="0.2">
      <c r="Y22872" s="97"/>
    </row>
    <row r="22873" spans="25:25" x14ac:dyDescent="0.2">
      <c r="Y22873" s="97"/>
    </row>
    <row r="22874" spans="25:25" x14ac:dyDescent="0.2">
      <c r="Y22874" s="97"/>
    </row>
    <row r="22875" spans="25:25" x14ac:dyDescent="0.2">
      <c r="Y22875" s="97"/>
    </row>
    <row r="22876" spans="25:25" x14ac:dyDescent="0.2">
      <c r="Y22876" s="97"/>
    </row>
    <row r="22877" spans="25:25" x14ac:dyDescent="0.2">
      <c r="Y22877" s="97"/>
    </row>
    <row r="22878" spans="25:25" x14ac:dyDescent="0.2">
      <c r="Y22878" s="97"/>
    </row>
    <row r="22879" spans="25:25" x14ac:dyDescent="0.2">
      <c r="Y22879" s="97"/>
    </row>
    <row r="22880" spans="25:25" x14ac:dyDescent="0.2">
      <c r="Y22880" s="97"/>
    </row>
    <row r="22881" spans="25:25" x14ac:dyDescent="0.2">
      <c r="Y22881" s="97"/>
    </row>
    <row r="22882" spans="25:25" x14ac:dyDescent="0.2">
      <c r="Y22882" s="97"/>
    </row>
    <row r="22883" spans="25:25" x14ac:dyDescent="0.2">
      <c r="Y22883" s="97"/>
    </row>
    <row r="22884" spans="25:25" x14ac:dyDescent="0.2">
      <c r="Y22884" s="97"/>
    </row>
    <row r="22885" spans="25:25" x14ac:dyDescent="0.2">
      <c r="Y22885" s="97"/>
    </row>
    <row r="22886" spans="25:25" x14ac:dyDescent="0.2">
      <c r="Y22886" s="97"/>
    </row>
    <row r="22887" spans="25:25" x14ac:dyDescent="0.2">
      <c r="Y22887" s="97"/>
    </row>
    <row r="22888" spans="25:25" x14ac:dyDescent="0.2">
      <c r="Y22888" s="97"/>
    </row>
    <row r="22889" spans="25:25" x14ac:dyDescent="0.2">
      <c r="Y22889" s="97"/>
    </row>
    <row r="22890" spans="25:25" x14ac:dyDescent="0.2">
      <c r="Y22890" s="97"/>
    </row>
    <row r="22891" spans="25:25" x14ac:dyDescent="0.2">
      <c r="Y22891" s="97"/>
    </row>
    <row r="22892" spans="25:25" x14ac:dyDescent="0.2">
      <c r="Y22892" s="97"/>
    </row>
    <row r="22893" spans="25:25" x14ac:dyDescent="0.2">
      <c r="Y22893" s="97"/>
    </row>
    <row r="22894" spans="25:25" x14ac:dyDescent="0.2">
      <c r="Y22894" s="97"/>
    </row>
    <row r="22895" spans="25:25" x14ac:dyDescent="0.2">
      <c r="Y22895" s="97"/>
    </row>
    <row r="22896" spans="25:25" x14ac:dyDescent="0.2">
      <c r="Y22896" s="97"/>
    </row>
    <row r="22897" spans="25:25" x14ac:dyDescent="0.2">
      <c r="Y22897" s="97"/>
    </row>
    <row r="22898" spans="25:25" x14ac:dyDescent="0.2">
      <c r="Y22898" s="97"/>
    </row>
    <row r="22899" spans="25:25" x14ac:dyDescent="0.2">
      <c r="Y22899" s="97"/>
    </row>
    <row r="22900" spans="25:25" x14ac:dyDescent="0.2">
      <c r="Y22900" s="97"/>
    </row>
    <row r="22901" spans="25:25" x14ac:dyDescent="0.2">
      <c r="Y22901" s="97"/>
    </row>
    <row r="22902" spans="25:25" x14ac:dyDescent="0.2">
      <c r="Y22902" s="97"/>
    </row>
    <row r="22903" spans="25:25" x14ac:dyDescent="0.2">
      <c r="Y22903" s="97"/>
    </row>
    <row r="22904" spans="25:25" x14ac:dyDescent="0.2">
      <c r="Y22904" s="97"/>
    </row>
    <row r="22905" spans="25:25" x14ac:dyDescent="0.2">
      <c r="Y22905" s="97"/>
    </row>
    <row r="22906" spans="25:25" x14ac:dyDescent="0.2">
      <c r="Y22906" s="97"/>
    </row>
    <row r="22907" spans="25:25" x14ac:dyDescent="0.2">
      <c r="Y22907" s="97"/>
    </row>
    <row r="22908" spans="25:25" x14ac:dyDescent="0.2">
      <c r="Y22908" s="97"/>
    </row>
    <row r="22909" spans="25:25" x14ac:dyDescent="0.2">
      <c r="Y22909" s="97"/>
    </row>
    <row r="22910" spans="25:25" x14ac:dyDescent="0.2">
      <c r="Y22910" s="97"/>
    </row>
    <row r="22911" spans="25:25" x14ac:dyDescent="0.2">
      <c r="Y22911" s="97"/>
    </row>
    <row r="22912" spans="25:25" x14ac:dyDescent="0.2">
      <c r="Y22912" s="97"/>
    </row>
    <row r="22913" spans="25:25" x14ac:dyDescent="0.2">
      <c r="Y22913" s="97"/>
    </row>
    <row r="22914" spans="25:25" x14ac:dyDescent="0.2">
      <c r="Y22914" s="97"/>
    </row>
    <row r="22915" spans="25:25" x14ac:dyDescent="0.2">
      <c r="Y22915" s="97"/>
    </row>
    <row r="22916" spans="25:25" x14ac:dyDescent="0.2">
      <c r="Y22916" s="97"/>
    </row>
    <row r="22917" spans="25:25" x14ac:dyDescent="0.2">
      <c r="Y22917" s="97"/>
    </row>
    <row r="22918" spans="25:25" x14ac:dyDescent="0.2">
      <c r="Y22918" s="97"/>
    </row>
    <row r="22919" spans="25:25" x14ac:dyDescent="0.2">
      <c r="Y22919" s="97"/>
    </row>
    <row r="22920" spans="25:25" x14ac:dyDescent="0.2">
      <c r="Y22920" s="97"/>
    </row>
    <row r="22921" spans="25:25" x14ac:dyDescent="0.2">
      <c r="Y22921" s="97"/>
    </row>
    <row r="22922" spans="25:25" x14ac:dyDescent="0.2">
      <c r="Y22922" s="97"/>
    </row>
    <row r="22923" spans="25:25" x14ac:dyDescent="0.2">
      <c r="Y22923" s="97"/>
    </row>
    <row r="22924" spans="25:25" x14ac:dyDescent="0.2">
      <c r="Y22924" s="97"/>
    </row>
    <row r="22925" spans="25:25" x14ac:dyDescent="0.2">
      <c r="Y22925" s="97"/>
    </row>
    <row r="22926" spans="25:25" x14ac:dyDescent="0.2">
      <c r="Y22926" s="97"/>
    </row>
    <row r="22927" spans="25:25" x14ac:dyDescent="0.2">
      <c r="Y22927" s="97"/>
    </row>
    <row r="22928" spans="25:25" x14ac:dyDescent="0.2">
      <c r="Y22928" s="97"/>
    </row>
    <row r="22929" spans="25:25" x14ac:dyDescent="0.2">
      <c r="Y22929" s="97"/>
    </row>
    <row r="22930" spans="25:25" x14ac:dyDescent="0.2">
      <c r="Y22930" s="97"/>
    </row>
    <row r="22931" spans="25:25" x14ac:dyDescent="0.2">
      <c r="Y22931" s="97"/>
    </row>
    <row r="22932" spans="25:25" x14ac:dyDescent="0.2">
      <c r="Y22932" s="97"/>
    </row>
    <row r="22933" spans="25:25" x14ac:dyDescent="0.2">
      <c r="Y22933" s="97"/>
    </row>
    <row r="22934" spans="25:25" x14ac:dyDescent="0.2">
      <c r="Y22934" s="97"/>
    </row>
    <row r="22935" spans="25:25" x14ac:dyDescent="0.2">
      <c r="Y22935" s="97"/>
    </row>
    <row r="22936" spans="25:25" x14ac:dyDescent="0.2">
      <c r="Y22936" s="97"/>
    </row>
    <row r="22937" spans="25:25" x14ac:dyDescent="0.2">
      <c r="Y22937" s="97"/>
    </row>
    <row r="22938" spans="25:25" x14ac:dyDescent="0.2">
      <c r="Y22938" s="97"/>
    </row>
    <row r="22939" spans="25:25" x14ac:dyDescent="0.2">
      <c r="Y22939" s="97"/>
    </row>
    <row r="22940" spans="25:25" x14ac:dyDescent="0.2">
      <c r="Y22940" s="97"/>
    </row>
    <row r="22941" spans="25:25" x14ac:dyDescent="0.2">
      <c r="Y22941" s="97"/>
    </row>
    <row r="22942" spans="25:25" x14ac:dyDescent="0.2">
      <c r="Y22942" s="97"/>
    </row>
    <row r="22943" spans="25:25" x14ac:dyDescent="0.2">
      <c r="Y22943" s="97"/>
    </row>
    <row r="22944" spans="25:25" x14ac:dyDescent="0.2">
      <c r="Y22944" s="97"/>
    </row>
    <row r="22945" spans="25:25" x14ac:dyDescent="0.2">
      <c r="Y22945" s="97"/>
    </row>
    <row r="22946" spans="25:25" x14ac:dyDescent="0.2">
      <c r="Y22946" s="97"/>
    </row>
    <row r="22947" spans="25:25" x14ac:dyDescent="0.2">
      <c r="Y22947" s="97"/>
    </row>
    <row r="22948" spans="25:25" x14ac:dyDescent="0.2">
      <c r="Y22948" s="97"/>
    </row>
    <row r="22949" spans="25:25" x14ac:dyDescent="0.2">
      <c r="Y22949" s="97"/>
    </row>
    <row r="22950" spans="25:25" x14ac:dyDescent="0.2">
      <c r="Y22950" s="97"/>
    </row>
    <row r="22951" spans="25:25" x14ac:dyDescent="0.2">
      <c r="Y22951" s="97"/>
    </row>
    <row r="22952" spans="25:25" x14ac:dyDescent="0.2">
      <c r="Y22952" s="97"/>
    </row>
    <row r="22953" spans="25:25" x14ac:dyDescent="0.2">
      <c r="Y22953" s="97"/>
    </row>
    <row r="22954" spans="25:25" x14ac:dyDescent="0.2">
      <c r="Y22954" s="97"/>
    </row>
    <row r="22955" spans="25:25" x14ac:dyDescent="0.2">
      <c r="Y22955" s="97"/>
    </row>
    <row r="22956" spans="25:25" x14ac:dyDescent="0.2">
      <c r="Y22956" s="97"/>
    </row>
    <row r="22957" spans="25:25" x14ac:dyDescent="0.2">
      <c r="Y22957" s="97"/>
    </row>
    <row r="22958" spans="25:25" x14ac:dyDescent="0.2">
      <c r="Y22958" s="97"/>
    </row>
    <row r="22959" spans="25:25" x14ac:dyDescent="0.2">
      <c r="Y22959" s="97"/>
    </row>
    <row r="22960" spans="25:25" x14ac:dyDescent="0.2">
      <c r="Y22960" s="97"/>
    </row>
    <row r="22961" spans="25:25" x14ac:dyDescent="0.2">
      <c r="Y22961" s="97"/>
    </row>
    <row r="22962" spans="25:25" x14ac:dyDescent="0.2">
      <c r="Y22962" s="97"/>
    </row>
    <row r="22963" spans="25:25" x14ac:dyDescent="0.2">
      <c r="Y22963" s="97"/>
    </row>
    <row r="22964" spans="25:25" x14ac:dyDescent="0.2">
      <c r="Y22964" s="97"/>
    </row>
    <row r="22965" spans="25:25" x14ac:dyDescent="0.2">
      <c r="Y22965" s="97"/>
    </row>
    <row r="22966" spans="25:25" x14ac:dyDescent="0.2">
      <c r="Y22966" s="97"/>
    </row>
    <row r="22967" spans="25:25" x14ac:dyDescent="0.2">
      <c r="Y22967" s="97"/>
    </row>
    <row r="22968" spans="25:25" x14ac:dyDescent="0.2">
      <c r="Y22968" s="97"/>
    </row>
    <row r="22969" spans="25:25" x14ac:dyDescent="0.2">
      <c r="Y22969" s="97"/>
    </row>
    <row r="22970" spans="25:25" x14ac:dyDescent="0.2">
      <c r="Y22970" s="97"/>
    </row>
    <row r="22971" spans="25:25" x14ac:dyDescent="0.2">
      <c r="Y22971" s="97"/>
    </row>
    <row r="22972" spans="25:25" x14ac:dyDescent="0.2">
      <c r="Y22972" s="97"/>
    </row>
    <row r="22973" spans="25:25" x14ac:dyDescent="0.2">
      <c r="Y22973" s="97"/>
    </row>
    <row r="22974" spans="25:25" x14ac:dyDescent="0.2">
      <c r="Y22974" s="97"/>
    </row>
    <row r="22975" spans="25:25" x14ac:dyDescent="0.2">
      <c r="Y22975" s="97"/>
    </row>
    <row r="22976" spans="25:25" x14ac:dyDescent="0.2">
      <c r="Y22976" s="97"/>
    </row>
    <row r="22977" spans="25:25" x14ac:dyDescent="0.2">
      <c r="Y22977" s="97"/>
    </row>
    <row r="22978" spans="25:25" x14ac:dyDescent="0.2">
      <c r="Y22978" s="97"/>
    </row>
    <row r="22979" spans="25:25" x14ac:dyDescent="0.2">
      <c r="Y22979" s="97"/>
    </row>
    <row r="22980" spans="25:25" x14ac:dyDescent="0.2">
      <c r="Y22980" s="97"/>
    </row>
    <row r="22981" spans="25:25" x14ac:dyDescent="0.2">
      <c r="Y22981" s="97"/>
    </row>
    <row r="22982" spans="25:25" x14ac:dyDescent="0.2">
      <c r="Y22982" s="97"/>
    </row>
    <row r="22983" spans="25:25" x14ac:dyDescent="0.2">
      <c r="Y22983" s="97"/>
    </row>
    <row r="22984" spans="25:25" x14ac:dyDescent="0.2">
      <c r="Y22984" s="97"/>
    </row>
    <row r="22985" spans="25:25" x14ac:dyDescent="0.2">
      <c r="Y22985" s="97"/>
    </row>
    <row r="22986" spans="25:25" x14ac:dyDescent="0.2">
      <c r="Y22986" s="97"/>
    </row>
    <row r="22987" spans="25:25" x14ac:dyDescent="0.2">
      <c r="Y22987" s="97"/>
    </row>
    <row r="22988" spans="25:25" x14ac:dyDescent="0.2">
      <c r="Y22988" s="97"/>
    </row>
    <row r="22989" spans="25:25" x14ac:dyDescent="0.2">
      <c r="Y22989" s="97"/>
    </row>
    <row r="22990" spans="25:25" x14ac:dyDescent="0.2">
      <c r="Y22990" s="97"/>
    </row>
    <row r="22991" spans="25:25" x14ac:dyDescent="0.2">
      <c r="Y22991" s="97"/>
    </row>
    <row r="22992" spans="25:25" x14ac:dyDescent="0.2">
      <c r="Y22992" s="97"/>
    </row>
    <row r="22993" spans="25:25" x14ac:dyDescent="0.2">
      <c r="Y22993" s="97"/>
    </row>
    <row r="22994" spans="25:25" x14ac:dyDescent="0.2">
      <c r="Y22994" s="97"/>
    </row>
    <row r="22995" spans="25:25" x14ac:dyDescent="0.2">
      <c r="Y22995" s="97"/>
    </row>
    <row r="22996" spans="25:25" x14ac:dyDescent="0.2">
      <c r="Y22996" s="97"/>
    </row>
    <row r="22997" spans="25:25" x14ac:dyDescent="0.2">
      <c r="Y22997" s="97"/>
    </row>
    <row r="22998" spans="25:25" x14ac:dyDescent="0.2">
      <c r="Y22998" s="97"/>
    </row>
    <row r="22999" spans="25:25" x14ac:dyDescent="0.2">
      <c r="Y22999" s="97"/>
    </row>
    <row r="23000" spans="25:25" x14ac:dyDescent="0.2">
      <c r="Y23000" s="97"/>
    </row>
    <row r="23001" spans="25:25" x14ac:dyDescent="0.2">
      <c r="Y23001" s="97"/>
    </row>
    <row r="23002" spans="25:25" x14ac:dyDescent="0.2">
      <c r="Y23002" s="97"/>
    </row>
    <row r="23003" spans="25:25" x14ac:dyDescent="0.2">
      <c r="Y23003" s="97"/>
    </row>
    <row r="23004" spans="25:25" x14ac:dyDescent="0.2">
      <c r="Y23004" s="97"/>
    </row>
    <row r="23005" spans="25:25" x14ac:dyDescent="0.2">
      <c r="Y23005" s="97"/>
    </row>
    <row r="23006" spans="25:25" x14ac:dyDescent="0.2">
      <c r="Y23006" s="97"/>
    </row>
    <row r="23007" spans="25:25" x14ac:dyDescent="0.2">
      <c r="Y23007" s="97"/>
    </row>
    <row r="23008" spans="25:25" x14ac:dyDescent="0.2">
      <c r="Y23008" s="97"/>
    </row>
    <row r="23009" spans="25:25" x14ac:dyDescent="0.2">
      <c r="Y23009" s="97"/>
    </row>
    <row r="23010" spans="25:25" x14ac:dyDescent="0.2">
      <c r="Y23010" s="97"/>
    </row>
    <row r="23011" spans="25:25" x14ac:dyDescent="0.2">
      <c r="Y23011" s="97"/>
    </row>
    <row r="23012" spans="25:25" x14ac:dyDescent="0.2">
      <c r="Y23012" s="97"/>
    </row>
    <row r="23013" spans="25:25" x14ac:dyDescent="0.2">
      <c r="Y23013" s="97"/>
    </row>
    <row r="23014" spans="25:25" x14ac:dyDescent="0.2">
      <c r="Y23014" s="97"/>
    </row>
    <row r="23015" spans="25:25" x14ac:dyDescent="0.2">
      <c r="Y23015" s="97"/>
    </row>
    <row r="23016" spans="25:25" x14ac:dyDescent="0.2">
      <c r="Y23016" s="97"/>
    </row>
    <row r="23017" spans="25:25" x14ac:dyDescent="0.2">
      <c r="Y23017" s="97"/>
    </row>
    <row r="23018" spans="25:25" x14ac:dyDescent="0.2">
      <c r="Y23018" s="97"/>
    </row>
    <row r="23019" spans="25:25" x14ac:dyDescent="0.2">
      <c r="Y23019" s="97"/>
    </row>
    <row r="23020" spans="25:25" x14ac:dyDescent="0.2">
      <c r="Y23020" s="97"/>
    </row>
    <row r="23021" spans="25:25" x14ac:dyDescent="0.2">
      <c r="Y23021" s="97"/>
    </row>
    <row r="23022" spans="25:25" x14ac:dyDescent="0.2">
      <c r="Y23022" s="97"/>
    </row>
    <row r="23023" spans="25:25" x14ac:dyDescent="0.2">
      <c r="Y23023" s="97"/>
    </row>
    <row r="23024" spans="25:25" x14ac:dyDescent="0.2">
      <c r="Y23024" s="97"/>
    </row>
    <row r="23025" spans="25:25" x14ac:dyDescent="0.2">
      <c r="Y23025" s="97"/>
    </row>
    <row r="23026" spans="25:25" x14ac:dyDescent="0.2">
      <c r="Y23026" s="97"/>
    </row>
    <row r="23027" spans="25:25" x14ac:dyDescent="0.2">
      <c r="Y23027" s="97"/>
    </row>
    <row r="23028" spans="25:25" x14ac:dyDescent="0.2">
      <c r="Y23028" s="97"/>
    </row>
    <row r="23029" spans="25:25" x14ac:dyDescent="0.2">
      <c r="Y23029" s="97"/>
    </row>
    <row r="23030" spans="25:25" x14ac:dyDescent="0.2">
      <c r="Y23030" s="97"/>
    </row>
    <row r="23031" spans="25:25" x14ac:dyDescent="0.2">
      <c r="Y23031" s="97"/>
    </row>
    <row r="23032" spans="25:25" x14ac:dyDescent="0.2">
      <c r="Y23032" s="97"/>
    </row>
    <row r="23033" spans="25:25" x14ac:dyDescent="0.2">
      <c r="Y23033" s="97"/>
    </row>
    <row r="23034" spans="25:25" x14ac:dyDescent="0.2">
      <c r="Y23034" s="97"/>
    </row>
    <row r="23035" spans="25:25" x14ac:dyDescent="0.2">
      <c r="Y23035" s="97"/>
    </row>
    <row r="23036" spans="25:25" x14ac:dyDescent="0.2">
      <c r="Y23036" s="97"/>
    </row>
    <row r="23037" spans="25:25" x14ac:dyDescent="0.2">
      <c r="Y23037" s="97"/>
    </row>
    <row r="23038" spans="25:25" x14ac:dyDescent="0.2">
      <c r="Y23038" s="97"/>
    </row>
    <row r="23039" spans="25:25" x14ac:dyDescent="0.2">
      <c r="Y23039" s="97"/>
    </row>
    <row r="23040" spans="25:25" x14ac:dyDescent="0.2">
      <c r="Y23040" s="97"/>
    </row>
    <row r="23041" spans="25:25" x14ac:dyDescent="0.2">
      <c r="Y23041" s="97"/>
    </row>
    <row r="23042" spans="25:25" x14ac:dyDescent="0.2">
      <c r="Y23042" s="97"/>
    </row>
    <row r="23043" spans="25:25" x14ac:dyDescent="0.2">
      <c r="Y23043" s="97"/>
    </row>
    <row r="23044" spans="25:25" x14ac:dyDescent="0.2">
      <c r="Y23044" s="97"/>
    </row>
    <row r="23045" spans="25:25" x14ac:dyDescent="0.2">
      <c r="Y23045" s="97"/>
    </row>
    <row r="23046" spans="25:25" x14ac:dyDescent="0.2">
      <c r="Y23046" s="97"/>
    </row>
    <row r="23047" spans="25:25" x14ac:dyDescent="0.2">
      <c r="Y23047" s="97"/>
    </row>
    <row r="23048" spans="25:25" x14ac:dyDescent="0.2">
      <c r="Y23048" s="97"/>
    </row>
    <row r="23049" spans="25:25" x14ac:dyDescent="0.2">
      <c r="Y23049" s="97"/>
    </row>
    <row r="23050" spans="25:25" x14ac:dyDescent="0.2">
      <c r="Y23050" s="97"/>
    </row>
    <row r="23051" spans="25:25" x14ac:dyDescent="0.2">
      <c r="Y23051" s="97"/>
    </row>
    <row r="23052" spans="25:25" x14ac:dyDescent="0.2">
      <c r="Y23052" s="97"/>
    </row>
    <row r="23053" spans="25:25" x14ac:dyDescent="0.2">
      <c r="Y23053" s="97"/>
    </row>
    <row r="23054" spans="25:25" x14ac:dyDescent="0.2">
      <c r="Y23054" s="97"/>
    </row>
    <row r="23055" spans="25:25" x14ac:dyDescent="0.2">
      <c r="Y23055" s="97"/>
    </row>
    <row r="23056" spans="25:25" x14ac:dyDescent="0.2">
      <c r="Y23056" s="97"/>
    </row>
    <row r="23057" spans="25:25" x14ac:dyDescent="0.2">
      <c r="Y23057" s="97"/>
    </row>
    <row r="23058" spans="25:25" x14ac:dyDescent="0.2">
      <c r="Y23058" s="97"/>
    </row>
    <row r="23059" spans="25:25" x14ac:dyDescent="0.2">
      <c r="Y23059" s="97"/>
    </row>
    <row r="23060" spans="25:25" x14ac:dyDescent="0.2">
      <c r="Y23060" s="97"/>
    </row>
    <row r="23061" spans="25:25" x14ac:dyDescent="0.2">
      <c r="Y23061" s="97"/>
    </row>
    <row r="23062" spans="25:25" x14ac:dyDescent="0.2">
      <c r="Y23062" s="97"/>
    </row>
    <row r="23063" spans="25:25" x14ac:dyDescent="0.2">
      <c r="Y23063" s="97"/>
    </row>
    <row r="23064" spans="25:25" x14ac:dyDescent="0.2">
      <c r="Y23064" s="97"/>
    </row>
    <row r="23065" spans="25:25" x14ac:dyDescent="0.2">
      <c r="Y23065" s="97"/>
    </row>
    <row r="23066" spans="25:25" x14ac:dyDescent="0.2">
      <c r="Y23066" s="97"/>
    </row>
    <row r="23067" spans="25:25" x14ac:dyDescent="0.2">
      <c r="Y23067" s="97"/>
    </row>
    <row r="23068" spans="25:25" x14ac:dyDescent="0.2">
      <c r="Y23068" s="97"/>
    </row>
    <row r="23069" spans="25:25" x14ac:dyDescent="0.2">
      <c r="Y23069" s="97"/>
    </row>
    <row r="23070" spans="25:25" x14ac:dyDescent="0.2">
      <c r="Y23070" s="97"/>
    </row>
    <row r="23071" spans="25:25" x14ac:dyDescent="0.2">
      <c r="Y23071" s="97"/>
    </row>
    <row r="23072" spans="25:25" x14ac:dyDescent="0.2">
      <c r="Y23072" s="97"/>
    </row>
    <row r="23073" spans="25:25" x14ac:dyDescent="0.2">
      <c r="Y23073" s="97"/>
    </row>
    <row r="23074" spans="25:25" x14ac:dyDescent="0.2">
      <c r="Y23074" s="97"/>
    </row>
    <row r="23075" spans="25:25" x14ac:dyDescent="0.2">
      <c r="Y23075" s="97"/>
    </row>
    <row r="23076" spans="25:25" x14ac:dyDescent="0.2">
      <c r="Y23076" s="97"/>
    </row>
    <row r="23077" spans="25:25" x14ac:dyDescent="0.2">
      <c r="Y23077" s="97"/>
    </row>
    <row r="23078" spans="25:25" x14ac:dyDescent="0.2">
      <c r="Y23078" s="97"/>
    </row>
    <row r="23079" spans="25:25" x14ac:dyDescent="0.2">
      <c r="Y23079" s="97"/>
    </row>
    <row r="23080" spans="25:25" x14ac:dyDescent="0.2">
      <c r="Y23080" s="97"/>
    </row>
    <row r="23081" spans="25:25" x14ac:dyDescent="0.2">
      <c r="Y23081" s="97"/>
    </row>
    <row r="23082" spans="25:25" x14ac:dyDescent="0.2">
      <c r="Y23082" s="97"/>
    </row>
    <row r="23083" spans="25:25" x14ac:dyDescent="0.2">
      <c r="Y23083" s="97"/>
    </row>
    <row r="23084" spans="25:25" x14ac:dyDescent="0.2">
      <c r="Y23084" s="97"/>
    </row>
    <row r="23085" spans="25:25" x14ac:dyDescent="0.2">
      <c r="Y23085" s="97"/>
    </row>
    <row r="23086" spans="25:25" x14ac:dyDescent="0.2">
      <c r="Y23086" s="97"/>
    </row>
    <row r="23087" spans="25:25" x14ac:dyDescent="0.2">
      <c r="Y23087" s="97"/>
    </row>
    <row r="23088" spans="25:25" x14ac:dyDescent="0.2">
      <c r="Y23088" s="97"/>
    </row>
    <row r="23089" spans="25:25" x14ac:dyDescent="0.2">
      <c r="Y23089" s="97"/>
    </row>
    <row r="23090" spans="25:25" x14ac:dyDescent="0.2">
      <c r="Y23090" s="97"/>
    </row>
    <row r="23091" spans="25:25" x14ac:dyDescent="0.2">
      <c r="Y23091" s="97"/>
    </row>
    <row r="23092" spans="25:25" x14ac:dyDescent="0.2">
      <c r="Y23092" s="97"/>
    </row>
    <row r="23093" spans="25:25" x14ac:dyDescent="0.2">
      <c r="Y23093" s="97"/>
    </row>
    <row r="23094" spans="25:25" x14ac:dyDescent="0.2">
      <c r="Y23094" s="97"/>
    </row>
    <row r="23095" spans="25:25" x14ac:dyDescent="0.2">
      <c r="Y23095" s="97"/>
    </row>
    <row r="23096" spans="25:25" x14ac:dyDescent="0.2">
      <c r="Y23096" s="97"/>
    </row>
    <row r="23097" spans="25:25" x14ac:dyDescent="0.2">
      <c r="Y23097" s="97"/>
    </row>
    <row r="23098" spans="25:25" x14ac:dyDescent="0.2">
      <c r="Y23098" s="97"/>
    </row>
    <row r="23099" spans="25:25" x14ac:dyDescent="0.2">
      <c r="Y23099" s="97"/>
    </row>
    <row r="23100" spans="25:25" x14ac:dyDescent="0.2">
      <c r="Y23100" s="97"/>
    </row>
    <row r="23101" spans="25:25" x14ac:dyDescent="0.2">
      <c r="Y23101" s="97"/>
    </row>
    <row r="23102" spans="25:25" x14ac:dyDescent="0.2">
      <c r="Y23102" s="97"/>
    </row>
    <row r="23103" spans="25:25" x14ac:dyDescent="0.2">
      <c r="Y23103" s="97"/>
    </row>
    <row r="23104" spans="25:25" x14ac:dyDescent="0.2">
      <c r="Y23104" s="97"/>
    </row>
    <row r="23105" spans="25:25" x14ac:dyDescent="0.2">
      <c r="Y23105" s="97"/>
    </row>
    <row r="23106" spans="25:25" x14ac:dyDescent="0.2">
      <c r="Y23106" s="97"/>
    </row>
    <row r="23107" spans="25:25" x14ac:dyDescent="0.2">
      <c r="Y23107" s="97"/>
    </row>
    <row r="23108" spans="25:25" x14ac:dyDescent="0.2">
      <c r="Y23108" s="97"/>
    </row>
    <row r="23109" spans="25:25" x14ac:dyDescent="0.2">
      <c r="Y23109" s="97"/>
    </row>
    <row r="23110" spans="25:25" x14ac:dyDescent="0.2">
      <c r="Y23110" s="97"/>
    </row>
    <row r="23111" spans="25:25" x14ac:dyDescent="0.2">
      <c r="Y23111" s="97"/>
    </row>
    <row r="23112" spans="25:25" x14ac:dyDescent="0.2">
      <c r="Y23112" s="97"/>
    </row>
    <row r="23113" spans="25:25" x14ac:dyDescent="0.2">
      <c r="Y23113" s="97"/>
    </row>
    <row r="23114" spans="25:25" x14ac:dyDescent="0.2">
      <c r="Y23114" s="97"/>
    </row>
    <row r="23115" spans="25:25" x14ac:dyDescent="0.2">
      <c r="Y23115" s="97"/>
    </row>
    <row r="23116" spans="25:25" x14ac:dyDescent="0.2">
      <c r="Y23116" s="97"/>
    </row>
    <row r="23117" spans="25:25" x14ac:dyDescent="0.2">
      <c r="Y23117" s="97"/>
    </row>
    <row r="23118" spans="25:25" x14ac:dyDescent="0.2">
      <c r="Y23118" s="97"/>
    </row>
    <row r="23119" spans="25:25" x14ac:dyDescent="0.2">
      <c r="Y23119" s="97"/>
    </row>
    <row r="23120" spans="25:25" x14ac:dyDescent="0.2">
      <c r="Y23120" s="97"/>
    </row>
    <row r="23121" spans="25:25" x14ac:dyDescent="0.2">
      <c r="Y23121" s="97"/>
    </row>
    <row r="23122" spans="25:25" x14ac:dyDescent="0.2">
      <c r="Y23122" s="97"/>
    </row>
    <row r="23123" spans="25:25" x14ac:dyDescent="0.2">
      <c r="Y23123" s="97"/>
    </row>
    <row r="23124" spans="25:25" x14ac:dyDescent="0.2">
      <c r="Y23124" s="97"/>
    </row>
    <row r="23125" spans="25:25" x14ac:dyDescent="0.2">
      <c r="Y23125" s="97"/>
    </row>
    <row r="23126" spans="25:25" x14ac:dyDescent="0.2">
      <c r="Y23126" s="97"/>
    </row>
    <row r="23127" spans="25:25" x14ac:dyDescent="0.2">
      <c r="Y23127" s="97"/>
    </row>
    <row r="23128" spans="25:25" x14ac:dyDescent="0.2">
      <c r="Y23128" s="97"/>
    </row>
    <row r="23129" spans="25:25" x14ac:dyDescent="0.2">
      <c r="Y23129" s="97"/>
    </row>
    <row r="23130" spans="25:25" x14ac:dyDescent="0.2">
      <c r="Y23130" s="97"/>
    </row>
    <row r="23131" spans="25:25" x14ac:dyDescent="0.2">
      <c r="Y23131" s="97"/>
    </row>
    <row r="23132" spans="25:25" x14ac:dyDescent="0.2">
      <c r="Y23132" s="97"/>
    </row>
    <row r="23133" spans="25:25" x14ac:dyDescent="0.2">
      <c r="Y23133" s="97"/>
    </row>
    <row r="23134" spans="25:25" x14ac:dyDescent="0.2">
      <c r="Y23134" s="97"/>
    </row>
    <row r="23135" spans="25:25" x14ac:dyDescent="0.2">
      <c r="Y23135" s="97"/>
    </row>
    <row r="23136" spans="25:25" x14ac:dyDescent="0.2">
      <c r="Y23136" s="97"/>
    </row>
    <row r="23137" spans="25:25" x14ac:dyDescent="0.2">
      <c r="Y23137" s="97"/>
    </row>
    <row r="23138" spans="25:25" x14ac:dyDescent="0.2">
      <c r="Y23138" s="97"/>
    </row>
    <row r="23139" spans="25:25" x14ac:dyDescent="0.2">
      <c r="Y23139" s="97"/>
    </row>
    <row r="23140" spans="25:25" x14ac:dyDescent="0.2">
      <c r="Y23140" s="97"/>
    </row>
    <row r="23141" spans="25:25" x14ac:dyDescent="0.2">
      <c r="Y23141" s="97"/>
    </row>
    <row r="23142" spans="25:25" x14ac:dyDescent="0.2">
      <c r="Y23142" s="97"/>
    </row>
    <row r="23143" spans="25:25" x14ac:dyDescent="0.2">
      <c r="Y23143" s="97"/>
    </row>
    <row r="23144" spans="25:25" x14ac:dyDescent="0.2">
      <c r="Y23144" s="97"/>
    </row>
    <row r="23145" spans="25:25" x14ac:dyDescent="0.2">
      <c r="Y23145" s="97"/>
    </row>
    <row r="23146" spans="25:25" x14ac:dyDescent="0.2">
      <c r="Y23146" s="97"/>
    </row>
    <row r="23147" spans="25:25" x14ac:dyDescent="0.2">
      <c r="Y23147" s="97"/>
    </row>
    <row r="23148" spans="25:25" x14ac:dyDescent="0.2">
      <c r="Y23148" s="97"/>
    </row>
    <row r="23149" spans="25:25" x14ac:dyDescent="0.2">
      <c r="Y23149" s="97"/>
    </row>
    <row r="23150" spans="25:25" x14ac:dyDescent="0.2">
      <c r="Y23150" s="97"/>
    </row>
    <row r="23151" spans="25:25" x14ac:dyDescent="0.2">
      <c r="Y23151" s="97"/>
    </row>
    <row r="23152" spans="25:25" x14ac:dyDescent="0.2">
      <c r="Y23152" s="97"/>
    </row>
    <row r="23153" spans="25:25" x14ac:dyDescent="0.2">
      <c r="Y23153" s="97"/>
    </row>
    <row r="23154" spans="25:25" x14ac:dyDescent="0.2">
      <c r="Y23154" s="97"/>
    </row>
    <row r="23155" spans="25:25" x14ac:dyDescent="0.2">
      <c r="Y23155" s="97"/>
    </row>
    <row r="23156" spans="25:25" x14ac:dyDescent="0.2">
      <c r="Y23156" s="97"/>
    </row>
    <row r="23157" spans="25:25" x14ac:dyDescent="0.2">
      <c r="Y23157" s="97"/>
    </row>
    <row r="23158" spans="25:25" x14ac:dyDescent="0.2">
      <c r="Y23158" s="97"/>
    </row>
    <row r="23159" spans="25:25" x14ac:dyDescent="0.2">
      <c r="Y23159" s="97"/>
    </row>
    <row r="23160" spans="25:25" x14ac:dyDescent="0.2">
      <c r="Y23160" s="97"/>
    </row>
    <row r="23161" spans="25:25" x14ac:dyDescent="0.2">
      <c r="Y23161" s="97"/>
    </row>
    <row r="23162" spans="25:25" x14ac:dyDescent="0.2">
      <c r="Y23162" s="97"/>
    </row>
    <row r="23163" spans="25:25" x14ac:dyDescent="0.2">
      <c r="Y23163" s="97"/>
    </row>
    <row r="23164" spans="25:25" x14ac:dyDescent="0.2">
      <c r="Y23164" s="97"/>
    </row>
    <row r="23165" spans="25:25" x14ac:dyDescent="0.2">
      <c r="Y23165" s="97"/>
    </row>
    <row r="23166" spans="25:25" x14ac:dyDescent="0.2">
      <c r="Y23166" s="97"/>
    </row>
    <row r="23167" spans="25:25" x14ac:dyDescent="0.2">
      <c r="Y23167" s="97"/>
    </row>
    <row r="23168" spans="25:25" x14ac:dyDescent="0.2">
      <c r="Y23168" s="97"/>
    </row>
    <row r="23169" spans="25:25" x14ac:dyDescent="0.2">
      <c r="Y23169" s="97"/>
    </row>
    <row r="23170" spans="25:25" x14ac:dyDescent="0.2">
      <c r="Y23170" s="97"/>
    </row>
    <row r="23171" spans="25:25" x14ac:dyDescent="0.2">
      <c r="Y23171" s="97"/>
    </row>
    <row r="23172" spans="25:25" x14ac:dyDescent="0.2">
      <c r="Y23172" s="97"/>
    </row>
    <row r="23173" spans="25:25" x14ac:dyDescent="0.2">
      <c r="Y23173" s="97"/>
    </row>
    <row r="23174" spans="25:25" x14ac:dyDescent="0.2">
      <c r="Y23174" s="97"/>
    </row>
    <row r="23175" spans="25:25" x14ac:dyDescent="0.2">
      <c r="Y23175" s="97"/>
    </row>
    <row r="23176" spans="25:25" x14ac:dyDescent="0.2">
      <c r="Y23176" s="97"/>
    </row>
    <row r="23177" spans="25:25" x14ac:dyDescent="0.2">
      <c r="Y23177" s="97"/>
    </row>
    <row r="23178" spans="25:25" x14ac:dyDescent="0.2">
      <c r="Y23178" s="97"/>
    </row>
    <row r="23179" spans="25:25" x14ac:dyDescent="0.2">
      <c r="Y23179" s="97"/>
    </row>
    <row r="23180" spans="25:25" x14ac:dyDescent="0.2">
      <c r="Y23180" s="97"/>
    </row>
    <row r="23181" spans="25:25" x14ac:dyDescent="0.2">
      <c r="Y23181" s="97"/>
    </row>
    <row r="23182" spans="25:25" x14ac:dyDescent="0.2">
      <c r="Y23182" s="97"/>
    </row>
    <row r="23183" spans="25:25" x14ac:dyDescent="0.2">
      <c r="Y23183" s="97"/>
    </row>
    <row r="23184" spans="25:25" x14ac:dyDescent="0.2">
      <c r="Y23184" s="97"/>
    </row>
    <row r="23185" spans="25:25" x14ac:dyDescent="0.2">
      <c r="Y23185" s="97"/>
    </row>
    <row r="23186" spans="25:25" x14ac:dyDescent="0.2">
      <c r="Y23186" s="97"/>
    </row>
    <row r="23187" spans="25:25" x14ac:dyDescent="0.2">
      <c r="Y23187" s="97"/>
    </row>
    <row r="23188" spans="25:25" x14ac:dyDescent="0.2">
      <c r="Y23188" s="97"/>
    </row>
    <row r="23189" spans="25:25" x14ac:dyDescent="0.2">
      <c r="Y23189" s="97"/>
    </row>
    <row r="23190" spans="25:25" x14ac:dyDescent="0.2">
      <c r="Y23190" s="97"/>
    </row>
    <row r="23191" spans="25:25" x14ac:dyDescent="0.2">
      <c r="Y23191" s="97"/>
    </row>
    <row r="23192" spans="25:25" x14ac:dyDescent="0.2">
      <c r="Y23192" s="97"/>
    </row>
    <row r="23193" spans="25:25" x14ac:dyDescent="0.2">
      <c r="Y23193" s="97"/>
    </row>
    <row r="23194" spans="25:25" x14ac:dyDescent="0.2">
      <c r="Y23194" s="97"/>
    </row>
    <row r="23195" spans="25:25" x14ac:dyDescent="0.2">
      <c r="Y23195" s="97"/>
    </row>
    <row r="23196" spans="25:25" x14ac:dyDescent="0.2">
      <c r="Y23196" s="97"/>
    </row>
    <row r="23197" spans="25:25" x14ac:dyDescent="0.2">
      <c r="Y23197" s="97"/>
    </row>
    <row r="23198" spans="25:25" x14ac:dyDescent="0.2">
      <c r="Y23198" s="97"/>
    </row>
    <row r="23199" spans="25:25" x14ac:dyDescent="0.2">
      <c r="Y23199" s="97"/>
    </row>
    <row r="23200" spans="25:25" x14ac:dyDescent="0.2">
      <c r="Y23200" s="97"/>
    </row>
    <row r="23201" spans="25:25" x14ac:dyDescent="0.2">
      <c r="Y23201" s="97"/>
    </row>
    <row r="23202" spans="25:25" x14ac:dyDescent="0.2">
      <c r="Y23202" s="97"/>
    </row>
    <row r="23203" spans="25:25" x14ac:dyDescent="0.2">
      <c r="Y23203" s="97"/>
    </row>
    <row r="23204" spans="25:25" x14ac:dyDescent="0.2">
      <c r="Y23204" s="97"/>
    </row>
    <row r="23205" spans="25:25" x14ac:dyDescent="0.2">
      <c r="Y23205" s="97"/>
    </row>
    <row r="23206" spans="25:25" x14ac:dyDescent="0.2">
      <c r="Y23206" s="97"/>
    </row>
    <row r="23207" spans="25:25" x14ac:dyDescent="0.2">
      <c r="Y23207" s="97"/>
    </row>
    <row r="23208" spans="25:25" x14ac:dyDescent="0.2">
      <c r="Y23208" s="97"/>
    </row>
    <row r="23209" spans="25:25" x14ac:dyDescent="0.2">
      <c r="Y23209" s="97"/>
    </row>
    <row r="23210" spans="25:25" x14ac:dyDescent="0.2">
      <c r="Y23210" s="97"/>
    </row>
    <row r="23211" spans="25:25" x14ac:dyDescent="0.2">
      <c r="Y23211" s="97"/>
    </row>
    <row r="23212" spans="25:25" x14ac:dyDescent="0.2">
      <c r="Y23212" s="97"/>
    </row>
    <row r="23213" spans="25:25" x14ac:dyDescent="0.2">
      <c r="Y23213" s="97"/>
    </row>
    <row r="23214" spans="25:25" x14ac:dyDescent="0.2">
      <c r="Y23214" s="97"/>
    </row>
    <row r="23215" spans="25:25" x14ac:dyDescent="0.2">
      <c r="Y23215" s="97"/>
    </row>
    <row r="23216" spans="25:25" x14ac:dyDescent="0.2">
      <c r="Y23216" s="97"/>
    </row>
    <row r="23217" spans="25:25" x14ac:dyDescent="0.2">
      <c r="Y23217" s="97"/>
    </row>
    <row r="23218" spans="25:25" x14ac:dyDescent="0.2">
      <c r="Y23218" s="97"/>
    </row>
    <row r="23219" spans="25:25" x14ac:dyDescent="0.2">
      <c r="Y23219" s="97"/>
    </row>
    <row r="23220" spans="25:25" x14ac:dyDescent="0.2">
      <c r="Y23220" s="97"/>
    </row>
    <row r="23221" spans="25:25" x14ac:dyDescent="0.2">
      <c r="Y23221" s="97"/>
    </row>
    <row r="23222" spans="25:25" x14ac:dyDescent="0.2">
      <c r="Y23222" s="97"/>
    </row>
    <row r="23223" spans="25:25" x14ac:dyDescent="0.2">
      <c r="Y23223" s="97"/>
    </row>
    <row r="23224" spans="25:25" x14ac:dyDescent="0.2">
      <c r="Y23224" s="97"/>
    </row>
    <row r="23225" spans="25:25" x14ac:dyDescent="0.2">
      <c r="Y23225" s="97"/>
    </row>
    <row r="23226" spans="25:25" x14ac:dyDescent="0.2">
      <c r="Y23226" s="97"/>
    </row>
    <row r="23227" spans="25:25" x14ac:dyDescent="0.2">
      <c r="Y23227" s="97"/>
    </row>
    <row r="23228" spans="25:25" x14ac:dyDescent="0.2">
      <c r="Y23228" s="97"/>
    </row>
    <row r="23229" spans="25:25" x14ac:dyDescent="0.2">
      <c r="Y23229" s="97"/>
    </row>
    <row r="23230" spans="25:25" x14ac:dyDescent="0.2">
      <c r="Y23230" s="97"/>
    </row>
    <row r="23231" spans="25:25" x14ac:dyDescent="0.2">
      <c r="Y23231" s="97"/>
    </row>
    <row r="23232" spans="25:25" x14ac:dyDescent="0.2">
      <c r="Y23232" s="97"/>
    </row>
    <row r="23233" spans="25:25" x14ac:dyDescent="0.2">
      <c r="Y23233" s="97"/>
    </row>
    <row r="23234" spans="25:25" x14ac:dyDescent="0.2">
      <c r="Y23234" s="97"/>
    </row>
    <row r="23235" spans="25:25" x14ac:dyDescent="0.2">
      <c r="Y23235" s="97"/>
    </row>
    <row r="23236" spans="25:25" x14ac:dyDescent="0.2">
      <c r="Y23236" s="97"/>
    </row>
    <row r="23237" spans="25:25" x14ac:dyDescent="0.2">
      <c r="Y23237" s="97"/>
    </row>
    <row r="23238" spans="25:25" x14ac:dyDescent="0.2">
      <c r="Y23238" s="97"/>
    </row>
    <row r="23239" spans="25:25" x14ac:dyDescent="0.2">
      <c r="Y23239" s="97"/>
    </row>
    <row r="23240" spans="25:25" x14ac:dyDescent="0.2">
      <c r="Y23240" s="97"/>
    </row>
    <row r="23241" spans="25:25" x14ac:dyDescent="0.2">
      <c r="Y23241" s="97"/>
    </row>
    <row r="23242" spans="25:25" x14ac:dyDescent="0.2">
      <c r="Y23242" s="97"/>
    </row>
    <row r="23243" spans="25:25" x14ac:dyDescent="0.2">
      <c r="Y23243" s="97"/>
    </row>
    <row r="23244" spans="25:25" x14ac:dyDescent="0.2">
      <c r="Y23244" s="97"/>
    </row>
    <row r="23245" spans="25:25" x14ac:dyDescent="0.2">
      <c r="Y23245" s="97"/>
    </row>
    <row r="23246" spans="25:25" x14ac:dyDescent="0.2">
      <c r="Y23246" s="97"/>
    </row>
    <row r="23247" spans="25:25" x14ac:dyDescent="0.2">
      <c r="Y23247" s="97"/>
    </row>
    <row r="23248" spans="25:25" x14ac:dyDescent="0.2">
      <c r="Y23248" s="97"/>
    </row>
    <row r="23249" spans="25:25" x14ac:dyDescent="0.2">
      <c r="Y23249" s="97"/>
    </row>
    <row r="23250" spans="25:25" x14ac:dyDescent="0.2">
      <c r="Y23250" s="97"/>
    </row>
    <row r="23251" spans="25:25" x14ac:dyDescent="0.2">
      <c r="Y23251" s="97"/>
    </row>
    <row r="23252" spans="25:25" x14ac:dyDescent="0.2">
      <c r="Y23252" s="97"/>
    </row>
    <row r="23253" spans="25:25" x14ac:dyDescent="0.2">
      <c r="Y23253" s="97"/>
    </row>
    <row r="23254" spans="25:25" x14ac:dyDescent="0.2">
      <c r="Y23254" s="97"/>
    </row>
    <row r="23255" spans="25:25" x14ac:dyDescent="0.2">
      <c r="Y23255" s="97"/>
    </row>
    <row r="23256" spans="25:25" x14ac:dyDescent="0.2">
      <c r="Y23256" s="97"/>
    </row>
    <row r="23257" spans="25:25" x14ac:dyDescent="0.2">
      <c r="Y23257" s="97"/>
    </row>
    <row r="23258" spans="25:25" x14ac:dyDescent="0.2">
      <c r="Y23258" s="97"/>
    </row>
    <row r="23259" spans="25:25" x14ac:dyDescent="0.2">
      <c r="Y23259" s="97"/>
    </row>
    <row r="23260" spans="25:25" x14ac:dyDescent="0.2">
      <c r="Y23260" s="97"/>
    </row>
    <row r="23261" spans="25:25" x14ac:dyDescent="0.2">
      <c r="Y23261" s="97"/>
    </row>
    <row r="23262" spans="25:25" x14ac:dyDescent="0.2">
      <c r="Y23262" s="97"/>
    </row>
    <row r="23263" spans="25:25" x14ac:dyDescent="0.2">
      <c r="Y23263" s="97"/>
    </row>
    <row r="23264" spans="25:25" x14ac:dyDescent="0.2">
      <c r="Y23264" s="97"/>
    </row>
    <row r="23265" spans="25:25" x14ac:dyDescent="0.2">
      <c r="Y23265" s="97"/>
    </row>
    <row r="23266" spans="25:25" x14ac:dyDescent="0.2">
      <c r="Y23266" s="97"/>
    </row>
    <row r="23267" spans="25:25" x14ac:dyDescent="0.2">
      <c r="Y23267" s="97"/>
    </row>
    <row r="23268" spans="25:25" x14ac:dyDescent="0.2">
      <c r="Y23268" s="97"/>
    </row>
    <row r="23269" spans="25:25" x14ac:dyDescent="0.2">
      <c r="Y23269" s="97"/>
    </row>
    <row r="23270" spans="25:25" x14ac:dyDescent="0.2">
      <c r="Y23270" s="97"/>
    </row>
    <row r="23271" spans="25:25" x14ac:dyDescent="0.2">
      <c r="Y23271" s="97"/>
    </row>
    <row r="23272" spans="25:25" x14ac:dyDescent="0.2">
      <c r="Y23272" s="97"/>
    </row>
    <row r="23273" spans="25:25" x14ac:dyDescent="0.2">
      <c r="Y23273" s="97"/>
    </row>
    <row r="23274" spans="25:25" x14ac:dyDescent="0.2">
      <c r="Y23274" s="97"/>
    </row>
    <row r="23275" spans="25:25" x14ac:dyDescent="0.2">
      <c r="Y23275" s="97"/>
    </row>
    <row r="23276" spans="25:25" x14ac:dyDescent="0.2">
      <c r="Y23276" s="97"/>
    </row>
    <row r="23277" spans="25:25" x14ac:dyDescent="0.2">
      <c r="Y23277" s="97"/>
    </row>
    <row r="23278" spans="25:25" x14ac:dyDescent="0.2">
      <c r="Y23278" s="97"/>
    </row>
    <row r="23279" spans="25:25" x14ac:dyDescent="0.2">
      <c r="Y23279" s="97"/>
    </row>
    <row r="23280" spans="25:25" x14ac:dyDescent="0.2">
      <c r="Y23280" s="97"/>
    </row>
    <row r="23281" spans="25:25" x14ac:dyDescent="0.2">
      <c r="Y23281" s="97"/>
    </row>
    <row r="23282" spans="25:25" x14ac:dyDescent="0.2">
      <c r="Y23282" s="97"/>
    </row>
    <row r="23283" spans="25:25" x14ac:dyDescent="0.2">
      <c r="Y23283" s="97"/>
    </row>
    <row r="23284" spans="25:25" x14ac:dyDescent="0.2">
      <c r="Y23284" s="97"/>
    </row>
    <row r="23285" spans="25:25" x14ac:dyDescent="0.2">
      <c r="Y23285" s="97"/>
    </row>
    <row r="23286" spans="25:25" x14ac:dyDescent="0.2">
      <c r="Y23286" s="97"/>
    </row>
    <row r="23287" spans="25:25" x14ac:dyDescent="0.2">
      <c r="Y23287" s="97"/>
    </row>
    <row r="23288" spans="25:25" x14ac:dyDescent="0.2">
      <c r="Y23288" s="97"/>
    </row>
    <row r="23289" spans="25:25" x14ac:dyDescent="0.2">
      <c r="Y23289" s="97"/>
    </row>
    <row r="23290" spans="25:25" x14ac:dyDescent="0.2">
      <c r="Y23290" s="97"/>
    </row>
    <row r="23291" spans="25:25" x14ac:dyDescent="0.2">
      <c r="Y23291" s="97"/>
    </row>
    <row r="23292" spans="25:25" x14ac:dyDescent="0.2">
      <c r="Y23292" s="97"/>
    </row>
    <row r="23293" spans="25:25" x14ac:dyDescent="0.2">
      <c r="Y23293" s="97"/>
    </row>
    <row r="23294" spans="25:25" x14ac:dyDescent="0.2">
      <c r="Y23294" s="97"/>
    </row>
    <row r="23295" spans="25:25" x14ac:dyDescent="0.2">
      <c r="Y23295" s="97"/>
    </row>
    <row r="23296" spans="25:25" x14ac:dyDescent="0.2">
      <c r="Y23296" s="97"/>
    </row>
    <row r="23297" spans="25:25" x14ac:dyDescent="0.2">
      <c r="Y23297" s="97"/>
    </row>
    <row r="23298" spans="25:25" x14ac:dyDescent="0.2">
      <c r="Y23298" s="97"/>
    </row>
    <row r="23299" spans="25:25" x14ac:dyDescent="0.2">
      <c r="Y23299" s="97"/>
    </row>
    <row r="23300" spans="25:25" x14ac:dyDescent="0.2">
      <c r="Y23300" s="97"/>
    </row>
    <row r="23301" spans="25:25" x14ac:dyDescent="0.2">
      <c r="Y23301" s="97"/>
    </row>
    <row r="23302" spans="25:25" x14ac:dyDescent="0.2">
      <c r="Y23302" s="97"/>
    </row>
    <row r="23303" spans="25:25" x14ac:dyDescent="0.2">
      <c r="Y23303" s="97"/>
    </row>
    <row r="23304" spans="25:25" x14ac:dyDescent="0.2">
      <c r="Y23304" s="97"/>
    </row>
    <row r="23305" spans="25:25" x14ac:dyDescent="0.2">
      <c r="Y23305" s="97"/>
    </row>
    <row r="23306" spans="25:25" x14ac:dyDescent="0.2">
      <c r="Y23306" s="97"/>
    </row>
    <row r="23307" spans="25:25" x14ac:dyDescent="0.2">
      <c r="Y23307" s="97"/>
    </row>
    <row r="23308" spans="25:25" x14ac:dyDescent="0.2">
      <c r="Y23308" s="97"/>
    </row>
    <row r="23309" spans="25:25" x14ac:dyDescent="0.2">
      <c r="Y23309" s="97"/>
    </row>
    <row r="23310" spans="25:25" x14ac:dyDescent="0.2">
      <c r="Y23310" s="97"/>
    </row>
    <row r="23311" spans="25:25" x14ac:dyDescent="0.2">
      <c r="Y23311" s="97"/>
    </row>
    <row r="23312" spans="25:25" x14ac:dyDescent="0.2">
      <c r="Y23312" s="97"/>
    </row>
    <row r="23313" spans="25:25" x14ac:dyDescent="0.2">
      <c r="Y23313" s="97"/>
    </row>
    <row r="23314" spans="25:25" x14ac:dyDescent="0.2">
      <c r="Y23314" s="97"/>
    </row>
    <row r="23315" spans="25:25" x14ac:dyDescent="0.2">
      <c r="Y23315" s="97"/>
    </row>
    <row r="23316" spans="25:25" x14ac:dyDescent="0.2">
      <c r="Y23316" s="97"/>
    </row>
    <row r="23317" spans="25:25" x14ac:dyDescent="0.2">
      <c r="Y23317" s="97"/>
    </row>
    <row r="23318" spans="25:25" x14ac:dyDescent="0.2">
      <c r="Y23318" s="97"/>
    </row>
    <row r="23319" spans="25:25" x14ac:dyDescent="0.2">
      <c r="Y23319" s="97"/>
    </row>
    <row r="23320" spans="25:25" x14ac:dyDescent="0.2">
      <c r="Y23320" s="97"/>
    </row>
    <row r="23321" spans="25:25" x14ac:dyDescent="0.2">
      <c r="Y23321" s="97"/>
    </row>
    <row r="23322" spans="25:25" x14ac:dyDescent="0.2">
      <c r="Y23322" s="97"/>
    </row>
    <row r="23323" spans="25:25" x14ac:dyDescent="0.2">
      <c r="Y23323" s="97"/>
    </row>
    <row r="23324" spans="25:25" x14ac:dyDescent="0.2">
      <c r="Y23324" s="97"/>
    </row>
    <row r="23325" spans="25:25" x14ac:dyDescent="0.2">
      <c r="Y23325" s="97"/>
    </row>
    <row r="23326" spans="25:25" x14ac:dyDescent="0.2">
      <c r="Y23326" s="97"/>
    </row>
    <row r="23327" spans="25:25" x14ac:dyDescent="0.2">
      <c r="Y23327" s="97"/>
    </row>
    <row r="23328" spans="25:25" x14ac:dyDescent="0.2">
      <c r="Y23328" s="97"/>
    </row>
    <row r="23329" spans="25:25" x14ac:dyDescent="0.2">
      <c r="Y23329" s="97"/>
    </row>
    <row r="23330" spans="25:25" x14ac:dyDescent="0.2">
      <c r="Y23330" s="97"/>
    </row>
    <row r="23331" spans="25:25" x14ac:dyDescent="0.2">
      <c r="Y23331" s="97"/>
    </row>
    <row r="23332" spans="25:25" x14ac:dyDescent="0.2">
      <c r="Y23332" s="97"/>
    </row>
    <row r="23333" spans="25:25" x14ac:dyDescent="0.2">
      <c r="Y23333" s="97"/>
    </row>
    <row r="23334" spans="25:25" x14ac:dyDescent="0.2">
      <c r="Y23334" s="97"/>
    </row>
    <row r="23335" spans="25:25" x14ac:dyDescent="0.2">
      <c r="Y23335" s="97"/>
    </row>
    <row r="23336" spans="25:25" x14ac:dyDescent="0.2">
      <c r="Y23336" s="97"/>
    </row>
    <row r="23337" spans="25:25" x14ac:dyDescent="0.2">
      <c r="Y23337" s="97"/>
    </row>
    <row r="23338" spans="25:25" x14ac:dyDescent="0.2">
      <c r="Y23338" s="97"/>
    </row>
    <row r="23339" spans="25:25" x14ac:dyDescent="0.2">
      <c r="Y23339" s="97"/>
    </row>
    <row r="23340" spans="25:25" x14ac:dyDescent="0.2">
      <c r="Y23340" s="97"/>
    </row>
    <row r="23341" spans="25:25" x14ac:dyDescent="0.2">
      <c r="Y23341" s="97"/>
    </row>
    <row r="23342" spans="25:25" x14ac:dyDescent="0.2">
      <c r="Y23342" s="97"/>
    </row>
    <row r="23343" spans="25:25" x14ac:dyDescent="0.2">
      <c r="Y23343" s="97"/>
    </row>
    <row r="23344" spans="25:25" x14ac:dyDescent="0.2">
      <c r="Y23344" s="97"/>
    </row>
    <row r="23345" spans="25:25" x14ac:dyDescent="0.2">
      <c r="Y23345" s="97"/>
    </row>
    <row r="23346" spans="25:25" x14ac:dyDescent="0.2">
      <c r="Y23346" s="97"/>
    </row>
    <row r="23347" spans="25:25" x14ac:dyDescent="0.2">
      <c r="Y23347" s="97"/>
    </row>
    <row r="23348" spans="25:25" x14ac:dyDescent="0.2">
      <c r="Y23348" s="97"/>
    </row>
    <row r="23349" spans="25:25" x14ac:dyDescent="0.2">
      <c r="Y23349" s="97"/>
    </row>
    <row r="23350" spans="25:25" x14ac:dyDescent="0.2">
      <c r="Y23350" s="97"/>
    </row>
    <row r="23351" spans="25:25" x14ac:dyDescent="0.2">
      <c r="Y23351" s="97"/>
    </row>
    <row r="23352" spans="25:25" x14ac:dyDescent="0.2">
      <c r="Y23352" s="97"/>
    </row>
    <row r="23353" spans="25:25" x14ac:dyDescent="0.2">
      <c r="Y23353" s="97"/>
    </row>
    <row r="23354" spans="25:25" x14ac:dyDescent="0.2">
      <c r="Y23354" s="97"/>
    </row>
    <row r="23355" spans="25:25" x14ac:dyDescent="0.2">
      <c r="Y23355" s="97"/>
    </row>
    <row r="23356" spans="25:25" x14ac:dyDescent="0.2">
      <c r="Y23356" s="97"/>
    </row>
    <row r="23357" spans="25:25" x14ac:dyDescent="0.2">
      <c r="Y23357" s="97"/>
    </row>
    <row r="23358" spans="25:25" x14ac:dyDescent="0.2">
      <c r="Y23358" s="97"/>
    </row>
    <row r="23359" spans="25:25" x14ac:dyDescent="0.2">
      <c r="Y23359" s="97"/>
    </row>
    <row r="23360" spans="25:25" x14ac:dyDescent="0.2">
      <c r="Y23360" s="97"/>
    </row>
    <row r="23361" spans="25:25" x14ac:dyDescent="0.2">
      <c r="Y23361" s="97"/>
    </row>
    <row r="23362" spans="25:25" x14ac:dyDescent="0.2">
      <c r="Y23362" s="97"/>
    </row>
    <row r="23363" spans="25:25" x14ac:dyDescent="0.2">
      <c r="Y23363" s="97"/>
    </row>
    <row r="23364" spans="25:25" x14ac:dyDescent="0.2">
      <c r="Y23364" s="97"/>
    </row>
    <row r="23365" spans="25:25" x14ac:dyDescent="0.2">
      <c r="Y23365" s="97"/>
    </row>
    <row r="23366" spans="25:25" x14ac:dyDescent="0.2">
      <c r="Y23366" s="97"/>
    </row>
    <row r="23367" spans="25:25" x14ac:dyDescent="0.2">
      <c r="Y23367" s="97"/>
    </row>
    <row r="23368" spans="25:25" x14ac:dyDescent="0.2">
      <c r="Y23368" s="97"/>
    </row>
    <row r="23369" spans="25:25" x14ac:dyDescent="0.2">
      <c r="Y23369" s="97"/>
    </row>
    <row r="23370" spans="25:25" x14ac:dyDescent="0.2">
      <c r="Y23370" s="97"/>
    </row>
    <row r="23371" spans="25:25" x14ac:dyDescent="0.2">
      <c r="Y23371" s="97"/>
    </row>
    <row r="23372" spans="25:25" x14ac:dyDescent="0.2">
      <c r="Y23372" s="97"/>
    </row>
    <row r="23373" spans="25:25" x14ac:dyDescent="0.2">
      <c r="Y23373" s="97"/>
    </row>
    <row r="23374" spans="25:25" x14ac:dyDescent="0.2">
      <c r="Y23374" s="97"/>
    </row>
    <row r="23375" spans="25:25" x14ac:dyDescent="0.2">
      <c r="Y23375" s="97"/>
    </row>
    <row r="23376" spans="25:25" x14ac:dyDescent="0.2">
      <c r="Y23376" s="97"/>
    </row>
    <row r="23377" spans="25:25" x14ac:dyDescent="0.2">
      <c r="Y23377" s="97"/>
    </row>
    <row r="23378" spans="25:25" x14ac:dyDescent="0.2">
      <c r="Y23378" s="97"/>
    </row>
    <row r="23379" spans="25:25" x14ac:dyDescent="0.2">
      <c r="Y23379" s="97"/>
    </row>
    <row r="23380" spans="25:25" x14ac:dyDescent="0.2">
      <c r="Y23380" s="97"/>
    </row>
    <row r="23381" spans="25:25" x14ac:dyDescent="0.2">
      <c r="Y23381" s="97"/>
    </row>
    <row r="23382" spans="25:25" x14ac:dyDescent="0.2">
      <c r="Y23382" s="97"/>
    </row>
    <row r="23383" spans="25:25" x14ac:dyDescent="0.2">
      <c r="Y23383" s="97"/>
    </row>
    <row r="23384" spans="25:25" x14ac:dyDescent="0.2">
      <c r="Y23384" s="97"/>
    </row>
    <row r="23385" spans="25:25" x14ac:dyDescent="0.2">
      <c r="Y23385" s="97"/>
    </row>
    <row r="23386" spans="25:25" x14ac:dyDescent="0.2">
      <c r="Y23386" s="97"/>
    </row>
    <row r="23387" spans="25:25" x14ac:dyDescent="0.2">
      <c r="Y23387" s="97"/>
    </row>
    <row r="23388" spans="25:25" x14ac:dyDescent="0.2">
      <c r="Y23388" s="97"/>
    </row>
    <row r="23389" spans="25:25" x14ac:dyDescent="0.2">
      <c r="Y23389" s="97"/>
    </row>
    <row r="23390" spans="25:25" x14ac:dyDescent="0.2">
      <c r="Y23390" s="97"/>
    </row>
    <row r="23391" spans="25:25" x14ac:dyDescent="0.2">
      <c r="Y23391" s="97"/>
    </row>
    <row r="23392" spans="25:25" x14ac:dyDescent="0.2">
      <c r="Y23392" s="97"/>
    </row>
    <row r="23393" spans="25:25" x14ac:dyDescent="0.2">
      <c r="Y23393" s="97"/>
    </row>
    <row r="23394" spans="25:25" x14ac:dyDescent="0.2">
      <c r="Y23394" s="97"/>
    </row>
    <row r="23395" spans="25:25" x14ac:dyDescent="0.2">
      <c r="Y23395" s="97"/>
    </row>
    <row r="23396" spans="25:25" x14ac:dyDescent="0.2">
      <c r="Y23396" s="97"/>
    </row>
    <row r="23397" spans="25:25" x14ac:dyDescent="0.2">
      <c r="Y23397" s="97"/>
    </row>
    <row r="23398" spans="25:25" x14ac:dyDescent="0.2">
      <c r="Y23398" s="97"/>
    </row>
    <row r="23399" spans="25:25" x14ac:dyDescent="0.2">
      <c r="Y23399" s="97"/>
    </row>
    <row r="23400" spans="25:25" x14ac:dyDescent="0.2">
      <c r="Y23400" s="97"/>
    </row>
    <row r="23401" spans="25:25" x14ac:dyDescent="0.2">
      <c r="Y23401" s="97"/>
    </row>
    <row r="23402" spans="25:25" x14ac:dyDescent="0.2">
      <c r="Y23402" s="97"/>
    </row>
    <row r="23403" spans="25:25" x14ac:dyDescent="0.2">
      <c r="Y23403" s="97"/>
    </row>
    <row r="23404" spans="25:25" x14ac:dyDescent="0.2">
      <c r="Y23404" s="97"/>
    </row>
    <row r="23405" spans="25:25" x14ac:dyDescent="0.2">
      <c r="Y23405" s="97"/>
    </row>
    <row r="23406" spans="25:25" x14ac:dyDescent="0.2">
      <c r="Y23406" s="97"/>
    </row>
    <row r="23407" spans="25:25" x14ac:dyDescent="0.2">
      <c r="Y23407" s="97"/>
    </row>
    <row r="23408" spans="25:25" x14ac:dyDescent="0.2">
      <c r="Y23408" s="97"/>
    </row>
    <row r="23409" spans="25:25" x14ac:dyDescent="0.2">
      <c r="Y23409" s="97"/>
    </row>
    <row r="23410" spans="25:25" x14ac:dyDescent="0.2">
      <c r="Y23410" s="97"/>
    </row>
    <row r="23411" spans="25:25" x14ac:dyDescent="0.2">
      <c r="Y23411" s="97"/>
    </row>
    <row r="23412" spans="25:25" x14ac:dyDescent="0.2">
      <c r="Y23412" s="97"/>
    </row>
    <row r="23413" spans="25:25" x14ac:dyDescent="0.2">
      <c r="Y23413" s="97"/>
    </row>
    <row r="23414" spans="25:25" x14ac:dyDescent="0.2">
      <c r="Y23414" s="97"/>
    </row>
    <row r="23415" spans="25:25" x14ac:dyDescent="0.2">
      <c r="Y23415" s="97"/>
    </row>
    <row r="23416" spans="25:25" x14ac:dyDescent="0.2">
      <c r="Y23416" s="97"/>
    </row>
    <row r="23417" spans="25:25" x14ac:dyDescent="0.2">
      <c r="Y23417" s="97"/>
    </row>
    <row r="23418" spans="25:25" x14ac:dyDescent="0.2">
      <c r="Y23418" s="97"/>
    </row>
    <row r="23419" spans="25:25" x14ac:dyDescent="0.2">
      <c r="Y23419" s="97"/>
    </row>
    <row r="23420" spans="25:25" x14ac:dyDescent="0.2">
      <c r="Y23420" s="97"/>
    </row>
    <row r="23421" spans="25:25" x14ac:dyDescent="0.2">
      <c r="Y23421" s="97"/>
    </row>
    <row r="23422" spans="25:25" x14ac:dyDescent="0.2">
      <c r="Y23422" s="97"/>
    </row>
    <row r="23423" spans="25:25" x14ac:dyDescent="0.2">
      <c r="Y23423" s="97"/>
    </row>
    <row r="23424" spans="25:25" x14ac:dyDescent="0.2">
      <c r="Y23424" s="97"/>
    </row>
    <row r="23425" spans="25:25" x14ac:dyDescent="0.2">
      <c r="Y23425" s="97"/>
    </row>
    <row r="23426" spans="25:25" x14ac:dyDescent="0.2">
      <c r="Y23426" s="97"/>
    </row>
    <row r="23427" spans="25:25" x14ac:dyDescent="0.2">
      <c r="Y23427" s="97"/>
    </row>
    <row r="23428" spans="25:25" x14ac:dyDescent="0.2">
      <c r="Y23428" s="97"/>
    </row>
    <row r="23429" spans="25:25" x14ac:dyDescent="0.2">
      <c r="Y23429" s="97"/>
    </row>
    <row r="23430" spans="25:25" x14ac:dyDescent="0.2">
      <c r="Y23430" s="97"/>
    </row>
    <row r="23431" spans="25:25" x14ac:dyDescent="0.2">
      <c r="Y23431" s="97"/>
    </row>
    <row r="23432" spans="25:25" x14ac:dyDescent="0.2">
      <c r="Y23432" s="97"/>
    </row>
    <row r="23433" spans="25:25" x14ac:dyDescent="0.2">
      <c r="Y23433" s="97"/>
    </row>
    <row r="23434" spans="25:25" x14ac:dyDescent="0.2">
      <c r="Y23434" s="97"/>
    </row>
    <row r="23435" spans="25:25" x14ac:dyDescent="0.2">
      <c r="Y23435" s="97"/>
    </row>
    <row r="23436" spans="25:25" x14ac:dyDescent="0.2">
      <c r="Y23436" s="97"/>
    </row>
    <row r="23437" spans="25:25" x14ac:dyDescent="0.2">
      <c r="Y23437" s="97"/>
    </row>
    <row r="23438" spans="25:25" x14ac:dyDescent="0.2">
      <c r="Y23438" s="97"/>
    </row>
    <row r="23439" spans="25:25" x14ac:dyDescent="0.2">
      <c r="Y23439" s="97"/>
    </row>
    <row r="23440" spans="25:25" x14ac:dyDescent="0.2">
      <c r="Y23440" s="97"/>
    </row>
    <row r="23441" spans="25:25" x14ac:dyDescent="0.2">
      <c r="Y23441" s="97"/>
    </row>
    <row r="23442" spans="25:25" x14ac:dyDescent="0.2">
      <c r="Y23442" s="97"/>
    </row>
    <row r="23443" spans="25:25" x14ac:dyDescent="0.2">
      <c r="Y23443" s="97"/>
    </row>
    <row r="23444" spans="25:25" x14ac:dyDescent="0.2">
      <c r="Y23444" s="97"/>
    </row>
    <row r="23445" spans="25:25" x14ac:dyDescent="0.2">
      <c r="Y23445" s="97"/>
    </row>
    <row r="23446" spans="25:25" x14ac:dyDescent="0.2">
      <c r="Y23446" s="97"/>
    </row>
    <row r="23447" spans="25:25" x14ac:dyDescent="0.2">
      <c r="Y23447" s="97"/>
    </row>
    <row r="23448" spans="25:25" x14ac:dyDescent="0.2">
      <c r="Y23448" s="97"/>
    </row>
    <row r="23449" spans="25:25" x14ac:dyDescent="0.2">
      <c r="Y23449" s="97"/>
    </row>
    <row r="23450" spans="25:25" x14ac:dyDescent="0.2">
      <c r="Y23450" s="97"/>
    </row>
    <row r="23451" spans="25:25" x14ac:dyDescent="0.2">
      <c r="Y23451" s="97"/>
    </row>
    <row r="23452" spans="25:25" x14ac:dyDescent="0.2">
      <c r="Y23452" s="97"/>
    </row>
    <row r="23453" spans="25:25" x14ac:dyDescent="0.2">
      <c r="Y23453" s="97"/>
    </row>
    <row r="23454" spans="25:25" x14ac:dyDescent="0.2">
      <c r="Y23454" s="97"/>
    </row>
    <row r="23455" spans="25:25" x14ac:dyDescent="0.2">
      <c r="Y23455" s="97"/>
    </row>
    <row r="23456" spans="25:25" x14ac:dyDescent="0.2">
      <c r="Y23456" s="97"/>
    </row>
    <row r="23457" spans="25:25" x14ac:dyDescent="0.2">
      <c r="Y23457" s="97"/>
    </row>
    <row r="23458" spans="25:25" x14ac:dyDescent="0.2">
      <c r="Y23458" s="97"/>
    </row>
    <row r="23459" spans="25:25" x14ac:dyDescent="0.2">
      <c r="Y23459" s="97"/>
    </row>
    <row r="23460" spans="25:25" x14ac:dyDescent="0.2">
      <c r="Y23460" s="97"/>
    </row>
    <row r="23461" spans="25:25" x14ac:dyDescent="0.2">
      <c r="Y23461" s="97"/>
    </row>
    <row r="23462" spans="25:25" x14ac:dyDescent="0.2">
      <c r="Y23462" s="97"/>
    </row>
    <row r="23463" spans="25:25" x14ac:dyDescent="0.2">
      <c r="Y23463" s="97"/>
    </row>
    <row r="23464" spans="25:25" x14ac:dyDescent="0.2">
      <c r="Y23464" s="97"/>
    </row>
    <row r="23465" spans="25:25" x14ac:dyDescent="0.2">
      <c r="Y23465" s="97"/>
    </row>
    <row r="23466" spans="25:25" x14ac:dyDescent="0.2">
      <c r="Y23466" s="97"/>
    </row>
    <row r="23467" spans="25:25" x14ac:dyDescent="0.2">
      <c r="Y23467" s="97"/>
    </row>
    <row r="23468" spans="25:25" x14ac:dyDescent="0.2">
      <c r="Y23468" s="97"/>
    </row>
    <row r="23469" spans="25:25" x14ac:dyDescent="0.2">
      <c r="Y23469" s="97"/>
    </row>
    <row r="23470" spans="25:25" x14ac:dyDescent="0.2">
      <c r="Y23470" s="97"/>
    </row>
    <row r="23471" spans="25:25" x14ac:dyDescent="0.2">
      <c r="Y23471" s="97"/>
    </row>
    <row r="23472" spans="25:25" x14ac:dyDescent="0.2">
      <c r="Y23472" s="97"/>
    </row>
    <row r="23473" spans="25:25" x14ac:dyDescent="0.2">
      <c r="Y23473" s="97"/>
    </row>
    <row r="23474" spans="25:25" x14ac:dyDescent="0.2">
      <c r="Y23474" s="97"/>
    </row>
    <row r="23475" spans="25:25" x14ac:dyDescent="0.2">
      <c r="Y23475" s="97"/>
    </row>
    <row r="23476" spans="25:25" x14ac:dyDescent="0.2">
      <c r="Y23476" s="97"/>
    </row>
    <row r="23477" spans="25:25" x14ac:dyDescent="0.2">
      <c r="Y23477" s="97"/>
    </row>
    <row r="23478" spans="25:25" x14ac:dyDescent="0.2">
      <c r="Y23478" s="97"/>
    </row>
    <row r="23479" spans="25:25" x14ac:dyDescent="0.2">
      <c r="Y23479" s="97"/>
    </row>
    <row r="23480" spans="25:25" x14ac:dyDescent="0.2">
      <c r="Y23480" s="97"/>
    </row>
    <row r="23481" spans="25:25" x14ac:dyDescent="0.2">
      <c r="Y23481" s="97"/>
    </row>
    <row r="23482" spans="25:25" x14ac:dyDescent="0.2">
      <c r="Y23482" s="97"/>
    </row>
    <row r="23483" spans="25:25" x14ac:dyDescent="0.2">
      <c r="Y23483" s="97"/>
    </row>
    <row r="23484" spans="25:25" x14ac:dyDescent="0.2">
      <c r="Y23484" s="97"/>
    </row>
    <row r="23485" spans="25:25" x14ac:dyDescent="0.2">
      <c r="Y23485" s="97"/>
    </row>
    <row r="23486" spans="25:25" x14ac:dyDescent="0.2">
      <c r="Y23486" s="97"/>
    </row>
    <row r="23487" spans="25:25" x14ac:dyDescent="0.2">
      <c r="Y23487" s="97"/>
    </row>
    <row r="23488" spans="25:25" x14ac:dyDescent="0.2">
      <c r="Y23488" s="97"/>
    </row>
    <row r="23489" spans="25:25" x14ac:dyDescent="0.2">
      <c r="Y23489" s="97"/>
    </row>
    <row r="23490" spans="25:25" x14ac:dyDescent="0.2">
      <c r="Y23490" s="97"/>
    </row>
    <row r="23491" spans="25:25" x14ac:dyDescent="0.2">
      <c r="Y23491" s="97"/>
    </row>
    <row r="23492" spans="25:25" x14ac:dyDescent="0.2">
      <c r="Y23492" s="97"/>
    </row>
    <row r="23493" spans="25:25" x14ac:dyDescent="0.2">
      <c r="Y23493" s="97"/>
    </row>
    <row r="23494" spans="25:25" x14ac:dyDescent="0.2">
      <c r="Y23494" s="97"/>
    </row>
    <row r="23495" spans="25:25" x14ac:dyDescent="0.2">
      <c r="Y23495" s="97"/>
    </row>
    <row r="23496" spans="25:25" x14ac:dyDescent="0.2">
      <c r="Y23496" s="97"/>
    </row>
    <row r="23497" spans="25:25" x14ac:dyDescent="0.2">
      <c r="Y23497" s="97"/>
    </row>
    <row r="23498" spans="25:25" x14ac:dyDescent="0.2">
      <c r="Y23498" s="97"/>
    </row>
    <row r="23499" spans="25:25" x14ac:dyDescent="0.2">
      <c r="Y23499" s="97"/>
    </row>
    <row r="23500" spans="25:25" x14ac:dyDescent="0.2">
      <c r="Y23500" s="97"/>
    </row>
    <row r="23501" spans="25:25" x14ac:dyDescent="0.2">
      <c r="Y23501" s="97"/>
    </row>
    <row r="23502" spans="25:25" x14ac:dyDescent="0.2">
      <c r="Y23502" s="97"/>
    </row>
    <row r="23503" spans="25:25" x14ac:dyDescent="0.2">
      <c r="Y23503" s="97"/>
    </row>
    <row r="23504" spans="25:25" x14ac:dyDescent="0.2">
      <c r="Y23504" s="97"/>
    </row>
    <row r="23505" spans="25:25" x14ac:dyDescent="0.2">
      <c r="Y23505" s="97"/>
    </row>
    <row r="23506" spans="25:25" x14ac:dyDescent="0.2">
      <c r="Y23506" s="97"/>
    </row>
    <row r="23507" spans="25:25" x14ac:dyDescent="0.2">
      <c r="Y23507" s="97"/>
    </row>
    <row r="23508" spans="25:25" x14ac:dyDescent="0.2">
      <c r="Y23508" s="97"/>
    </row>
    <row r="23509" spans="25:25" x14ac:dyDescent="0.2">
      <c r="Y23509" s="97"/>
    </row>
    <row r="23510" spans="25:25" x14ac:dyDescent="0.2">
      <c r="Y23510" s="97"/>
    </row>
    <row r="23511" spans="25:25" x14ac:dyDescent="0.2">
      <c r="Y23511" s="97"/>
    </row>
    <row r="23512" spans="25:25" x14ac:dyDescent="0.2">
      <c r="Y23512" s="97"/>
    </row>
    <row r="23513" spans="25:25" x14ac:dyDescent="0.2">
      <c r="Y23513" s="97"/>
    </row>
    <row r="23514" spans="25:25" x14ac:dyDescent="0.2">
      <c r="Y23514" s="97"/>
    </row>
    <row r="23515" spans="25:25" x14ac:dyDescent="0.2">
      <c r="Y23515" s="97"/>
    </row>
    <row r="23516" spans="25:25" x14ac:dyDescent="0.2">
      <c r="Y23516" s="97"/>
    </row>
    <row r="23517" spans="25:25" x14ac:dyDescent="0.2">
      <c r="Y23517" s="97"/>
    </row>
    <row r="23518" spans="25:25" x14ac:dyDescent="0.2">
      <c r="Y23518" s="97"/>
    </row>
    <row r="23519" spans="25:25" x14ac:dyDescent="0.2">
      <c r="Y23519" s="97"/>
    </row>
    <row r="23520" spans="25:25" x14ac:dyDescent="0.2">
      <c r="Y23520" s="97"/>
    </row>
    <row r="23521" spans="25:25" x14ac:dyDescent="0.2">
      <c r="Y23521" s="97"/>
    </row>
    <row r="23522" spans="25:25" x14ac:dyDescent="0.2">
      <c r="Y23522" s="97"/>
    </row>
    <row r="23523" spans="25:25" x14ac:dyDescent="0.2">
      <c r="Y23523" s="97"/>
    </row>
    <row r="23524" spans="25:25" x14ac:dyDescent="0.2">
      <c r="Y23524" s="97"/>
    </row>
    <row r="23525" spans="25:25" x14ac:dyDescent="0.2">
      <c r="Y23525" s="97"/>
    </row>
    <row r="23526" spans="25:25" x14ac:dyDescent="0.2">
      <c r="Y23526" s="97"/>
    </row>
    <row r="23527" spans="25:25" x14ac:dyDescent="0.2">
      <c r="Y23527" s="97"/>
    </row>
    <row r="23528" spans="25:25" x14ac:dyDescent="0.2">
      <c r="Y23528" s="97"/>
    </row>
    <row r="23529" spans="25:25" x14ac:dyDescent="0.2">
      <c r="Y23529" s="97"/>
    </row>
    <row r="23530" spans="25:25" x14ac:dyDescent="0.2">
      <c r="Y23530" s="97"/>
    </row>
    <row r="23531" spans="25:25" x14ac:dyDescent="0.2">
      <c r="Y23531" s="97"/>
    </row>
    <row r="23532" spans="25:25" x14ac:dyDescent="0.2">
      <c r="Y23532" s="97"/>
    </row>
    <row r="23533" spans="25:25" x14ac:dyDescent="0.2">
      <c r="Y23533" s="97"/>
    </row>
    <row r="23534" spans="25:25" x14ac:dyDescent="0.2">
      <c r="Y23534" s="97"/>
    </row>
    <row r="23535" spans="25:25" x14ac:dyDescent="0.2">
      <c r="Y23535" s="97"/>
    </row>
    <row r="23536" spans="25:25" x14ac:dyDescent="0.2">
      <c r="Y23536" s="97"/>
    </row>
    <row r="23537" spans="25:25" x14ac:dyDescent="0.2">
      <c r="Y23537" s="97"/>
    </row>
    <row r="23538" spans="25:25" x14ac:dyDescent="0.2">
      <c r="Y23538" s="97"/>
    </row>
    <row r="23539" spans="25:25" x14ac:dyDescent="0.2">
      <c r="Y23539" s="97"/>
    </row>
    <row r="23540" spans="25:25" x14ac:dyDescent="0.2">
      <c r="Y23540" s="97"/>
    </row>
    <row r="23541" spans="25:25" x14ac:dyDescent="0.2">
      <c r="Y23541" s="97"/>
    </row>
    <row r="23542" spans="25:25" x14ac:dyDescent="0.2">
      <c r="Y23542" s="97"/>
    </row>
    <row r="23543" spans="25:25" x14ac:dyDescent="0.2">
      <c r="Y23543" s="97"/>
    </row>
    <row r="23544" spans="25:25" x14ac:dyDescent="0.2">
      <c r="Y23544" s="97"/>
    </row>
    <row r="23545" spans="25:25" x14ac:dyDescent="0.2">
      <c r="Y23545" s="97"/>
    </row>
    <row r="23546" spans="25:25" x14ac:dyDescent="0.2">
      <c r="Y23546" s="97"/>
    </row>
    <row r="23547" spans="25:25" x14ac:dyDescent="0.2">
      <c r="Y23547" s="97"/>
    </row>
    <row r="23548" spans="25:25" x14ac:dyDescent="0.2">
      <c r="Y23548" s="97"/>
    </row>
    <row r="23549" spans="25:25" x14ac:dyDescent="0.2">
      <c r="Y23549" s="97"/>
    </row>
    <row r="23550" spans="25:25" x14ac:dyDescent="0.2">
      <c r="Y23550" s="97"/>
    </row>
    <row r="23551" spans="25:25" x14ac:dyDescent="0.2">
      <c r="Y23551" s="97"/>
    </row>
    <row r="23552" spans="25:25" x14ac:dyDescent="0.2">
      <c r="Y23552" s="97"/>
    </row>
    <row r="23553" spans="25:25" x14ac:dyDescent="0.2">
      <c r="Y23553" s="97"/>
    </row>
    <row r="23554" spans="25:25" x14ac:dyDescent="0.2">
      <c r="Y23554" s="97"/>
    </row>
    <row r="23555" spans="25:25" x14ac:dyDescent="0.2">
      <c r="Y23555" s="97"/>
    </row>
    <row r="23556" spans="25:25" x14ac:dyDescent="0.2">
      <c r="Y23556" s="97"/>
    </row>
    <row r="23557" spans="25:25" x14ac:dyDescent="0.2">
      <c r="Y23557" s="97"/>
    </row>
    <row r="23558" spans="25:25" x14ac:dyDescent="0.2">
      <c r="Y23558" s="97"/>
    </row>
    <row r="23559" spans="25:25" x14ac:dyDescent="0.2">
      <c r="Y23559" s="97"/>
    </row>
    <row r="23560" spans="25:25" x14ac:dyDescent="0.2">
      <c r="Y23560" s="97"/>
    </row>
    <row r="23561" spans="25:25" x14ac:dyDescent="0.2">
      <c r="Y23561" s="97"/>
    </row>
    <row r="23562" spans="25:25" x14ac:dyDescent="0.2">
      <c r="Y23562" s="97"/>
    </row>
    <row r="23563" spans="25:25" x14ac:dyDescent="0.2">
      <c r="Y23563" s="97"/>
    </row>
    <row r="23564" spans="25:25" x14ac:dyDescent="0.2">
      <c r="Y23564" s="97"/>
    </row>
    <row r="23565" spans="25:25" x14ac:dyDescent="0.2">
      <c r="Y23565" s="97"/>
    </row>
    <row r="23566" spans="25:25" x14ac:dyDescent="0.2">
      <c r="Y23566" s="97"/>
    </row>
    <row r="23567" spans="25:25" x14ac:dyDescent="0.2">
      <c r="Y23567" s="97"/>
    </row>
    <row r="23568" spans="25:25" x14ac:dyDescent="0.2">
      <c r="Y23568" s="97"/>
    </row>
    <row r="23569" spans="25:25" x14ac:dyDescent="0.2">
      <c r="Y23569" s="97"/>
    </row>
    <row r="23570" spans="25:25" x14ac:dyDescent="0.2">
      <c r="Y23570" s="97"/>
    </row>
    <row r="23571" spans="25:25" x14ac:dyDescent="0.2">
      <c r="Y23571" s="97"/>
    </row>
    <row r="23572" spans="25:25" x14ac:dyDescent="0.2">
      <c r="Y23572" s="97"/>
    </row>
    <row r="23573" spans="25:25" x14ac:dyDescent="0.2">
      <c r="Y23573" s="97"/>
    </row>
    <row r="23574" spans="25:25" x14ac:dyDescent="0.2">
      <c r="Y23574" s="97"/>
    </row>
    <row r="23575" spans="25:25" x14ac:dyDescent="0.2">
      <c r="Y23575" s="97"/>
    </row>
    <row r="23576" spans="25:25" x14ac:dyDescent="0.2">
      <c r="Y23576" s="97"/>
    </row>
    <row r="23577" spans="25:25" x14ac:dyDescent="0.2">
      <c r="Y23577" s="97"/>
    </row>
    <row r="23578" spans="25:25" x14ac:dyDescent="0.2">
      <c r="Y23578" s="97"/>
    </row>
    <row r="23579" spans="25:25" x14ac:dyDescent="0.2">
      <c r="Y23579" s="97"/>
    </row>
    <row r="23580" spans="25:25" x14ac:dyDescent="0.2">
      <c r="Y23580" s="97"/>
    </row>
    <row r="23581" spans="25:25" x14ac:dyDescent="0.2">
      <c r="Y23581" s="97"/>
    </row>
    <row r="23582" spans="25:25" x14ac:dyDescent="0.2">
      <c r="Y23582" s="97"/>
    </row>
    <row r="23583" spans="25:25" x14ac:dyDescent="0.2">
      <c r="Y23583" s="97"/>
    </row>
    <row r="23584" spans="25:25" x14ac:dyDescent="0.2">
      <c r="Y23584" s="97"/>
    </row>
    <row r="23585" spans="25:25" x14ac:dyDescent="0.2">
      <c r="Y23585" s="97"/>
    </row>
    <row r="23586" spans="25:25" x14ac:dyDescent="0.2">
      <c r="Y23586" s="97"/>
    </row>
    <row r="23587" spans="25:25" x14ac:dyDescent="0.2">
      <c r="Y23587" s="97"/>
    </row>
    <row r="23588" spans="25:25" x14ac:dyDescent="0.2">
      <c r="Y23588" s="97"/>
    </row>
    <row r="23589" spans="25:25" x14ac:dyDescent="0.2">
      <c r="Y23589" s="97"/>
    </row>
    <row r="23590" spans="25:25" x14ac:dyDescent="0.2">
      <c r="Y23590" s="97"/>
    </row>
    <row r="23591" spans="25:25" x14ac:dyDescent="0.2">
      <c r="Y23591" s="97"/>
    </row>
    <row r="23592" spans="25:25" x14ac:dyDescent="0.2">
      <c r="Y23592" s="97"/>
    </row>
    <row r="23593" spans="25:25" x14ac:dyDescent="0.2">
      <c r="Y23593" s="97"/>
    </row>
    <row r="23594" spans="25:25" x14ac:dyDescent="0.2">
      <c r="Y23594" s="97"/>
    </row>
    <row r="23595" spans="25:25" x14ac:dyDescent="0.2">
      <c r="Y23595" s="97"/>
    </row>
    <row r="23596" spans="25:25" x14ac:dyDescent="0.2">
      <c r="Y23596" s="97"/>
    </row>
    <row r="23597" spans="25:25" x14ac:dyDescent="0.2">
      <c r="Y23597" s="97"/>
    </row>
    <row r="23598" spans="25:25" x14ac:dyDescent="0.2">
      <c r="Y23598" s="97"/>
    </row>
    <row r="23599" spans="25:25" x14ac:dyDescent="0.2">
      <c r="Y23599" s="97"/>
    </row>
    <row r="23600" spans="25:25" x14ac:dyDescent="0.2">
      <c r="Y23600" s="97"/>
    </row>
    <row r="23601" spans="25:25" x14ac:dyDescent="0.2">
      <c r="Y23601" s="97"/>
    </row>
    <row r="23602" spans="25:25" x14ac:dyDescent="0.2">
      <c r="Y23602" s="97"/>
    </row>
    <row r="23603" spans="25:25" x14ac:dyDescent="0.2">
      <c r="Y23603" s="97"/>
    </row>
    <row r="23604" spans="25:25" x14ac:dyDescent="0.2">
      <c r="Y23604" s="97"/>
    </row>
    <row r="23605" spans="25:25" x14ac:dyDescent="0.2">
      <c r="Y23605" s="97"/>
    </row>
    <row r="23606" spans="25:25" x14ac:dyDescent="0.2">
      <c r="Y23606" s="97"/>
    </row>
    <row r="23607" spans="25:25" x14ac:dyDescent="0.2">
      <c r="Y23607" s="97"/>
    </row>
    <row r="23608" spans="25:25" x14ac:dyDescent="0.2">
      <c r="Y23608" s="97"/>
    </row>
    <row r="23609" spans="25:25" x14ac:dyDescent="0.2">
      <c r="Y23609" s="97"/>
    </row>
    <row r="23610" spans="25:25" x14ac:dyDescent="0.2">
      <c r="Y23610" s="97"/>
    </row>
    <row r="23611" spans="25:25" x14ac:dyDescent="0.2">
      <c r="Y23611" s="97"/>
    </row>
    <row r="23612" spans="25:25" x14ac:dyDescent="0.2">
      <c r="Y23612" s="97"/>
    </row>
    <row r="23613" spans="25:25" x14ac:dyDescent="0.2">
      <c r="Y23613" s="97"/>
    </row>
    <row r="23614" spans="25:25" x14ac:dyDescent="0.2">
      <c r="Y23614" s="97"/>
    </row>
    <row r="23615" spans="25:25" x14ac:dyDescent="0.2">
      <c r="Y23615" s="97"/>
    </row>
    <row r="23616" spans="25:25" x14ac:dyDescent="0.2">
      <c r="Y23616" s="97"/>
    </row>
    <row r="23617" spans="25:25" x14ac:dyDescent="0.2">
      <c r="Y23617" s="97"/>
    </row>
    <row r="23618" spans="25:25" x14ac:dyDescent="0.2">
      <c r="Y23618" s="97"/>
    </row>
    <row r="23619" spans="25:25" x14ac:dyDescent="0.2">
      <c r="Y23619" s="97"/>
    </row>
    <row r="23620" spans="25:25" x14ac:dyDescent="0.2">
      <c r="Y23620" s="97"/>
    </row>
    <row r="23621" spans="25:25" x14ac:dyDescent="0.2">
      <c r="Y23621" s="97"/>
    </row>
    <row r="23622" spans="25:25" x14ac:dyDescent="0.2">
      <c r="Y23622" s="97"/>
    </row>
    <row r="23623" spans="25:25" x14ac:dyDescent="0.2">
      <c r="Y23623" s="97"/>
    </row>
    <row r="23624" spans="25:25" x14ac:dyDescent="0.2">
      <c r="Y23624" s="97"/>
    </row>
    <row r="23625" spans="25:25" x14ac:dyDescent="0.2">
      <c r="Y23625" s="97"/>
    </row>
    <row r="23626" spans="25:25" x14ac:dyDescent="0.2">
      <c r="Y23626" s="97"/>
    </row>
    <row r="23627" spans="25:25" x14ac:dyDescent="0.2">
      <c r="Y23627" s="97"/>
    </row>
    <row r="23628" spans="25:25" x14ac:dyDescent="0.2">
      <c r="Y23628" s="97"/>
    </row>
    <row r="23629" spans="25:25" x14ac:dyDescent="0.2">
      <c r="Y23629" s="97"/>
    </row>
    <row r="23630" spans="25:25" x14ac:dyDescent="0.2">
      <c r="Y23630" s="97"/>
    </row>
    <row r="23631" spans="25:25" x14ac:dyDescent="0.2">
      <c r="Y23631" s="97"/>
    </row>
    <row r="23632" spans="25:25" x14ac:dyDescent="0.2">
      <c r="Y23632" s="97"/>
    </row>
    <row r="23633" spans="25:25" x14ac:dyDescent="0.2">
      <c r="Y23633" s="97"/>
    </row>
    <row r="23634" spans="25:25" x14ac:dyDescent="0.2">
      <c r="Y23634" s="97"/>
    </row>
    <row r="23635" spans="25:25" x14ac:dyDescent="0.2">
      <c r="Y23635" s="97"/>
    </row>
    <row r="23636" spans="25:25" x14ac:dyDescent="0.2">
      <c r="Y23636" s="97"/>
    </row>
    <row r="23637" spans="25:25" x14ac:dyDescent="0.2">
      <c r="Y23637" s="97"/>
    </row>
    <row r="23638" spans="25:25" x14ac:dyDescent="0.2">
      <c r="Y23638" s="97"/>
    </row>
    <row r="23639" spans="25:25" x14ac:dyDescent="0.2">
      <c r="Y23639" s="97"/>
    </row>
    <row r="23640" spans="25:25" x14ac:dyDescent="0.2">
      <c r="Y23640" s="97"/>
    </row>
    <row r="23641" spans="25:25" x14ac:dyDescent="0.2">
      <c r="Y23641" s="97"/>
    </row>
    <row r="23642" spans="25:25" x14ac:dyDescent="0.2">
      <c r="Y23642" s="97"/>
    </row>
    <row r="23643" spans="25:25" x14ac:dyDescent="0.2">
      <c r="Y23643" s="97"/>
    </row>
    <row r="23644" spans="25:25" x14ac:dyDescent="0.2">
      <c r="Y23644" s="97"/>
    </row>
    <row r="23645" spans="25:25" x14ac:dyDescent="0.2">
      <c r="Y23645" s="97"/>
    </row>
    <row r="23646" spans="25:25" x14ac:dyDescent="0.2">
      <c r="Y23646" s="97"/>
    </row>
    <row r="23647" spans="25:25" x14ac:dyDescent="0.2">
      <c r="Y23647" s="97"/>
    </row>
    <row r="23648" spans="25:25" x14ac:dyDescent="0.2">
      <c r="Y23648" s="97"/>
    </row>
    <row r="23649" spans="25:25" x14ac:dyDescent="0.2">
      <c r="Y23649" s="97"/>
    </row>
    <row r="23650" spans="25:25" x14ac:dyDescent="0.2">
      <c r="Y23650" s="97"/>
    </row>
    <row r="23651" spans="25:25" x14ac:dyDescent="0.2">
      <c r="Y23651" s="97"/>
    </row>
    <row r="23652" spans="25:25" x14ac:dyDescent="0.2">
      <c r="Y23652" s="97"/>
    </row>
    <row r="23653" spans="25:25" x14ac:dyDescent="0.2">
      <c r="Y23653" s="97"/>
    </row>
    <row r="23654" spans="25:25" x14ac:dyDescent="0.2">
      <c r="Y23654" s="97"/>
    </row>
    <row r="23655" spans="25:25" x14ac:dyDescent="0.2">
      <c r="Y23655" s="97"/>
    </row>
    <row r="23656" spans="25:25" x14ac:dyDescent="0.2">
      <c r="Y23656" s="97"/>
    </row>
    <row r="23657" spans="25:25" x14ac:dyDescent="0.2">
      <c r="Y23657" s="97"/>
    </row>
    <row r="23658" spans="25:25" x14ac:dyDescent="0.2">
      <c r="Y23658" s="97"/>
    </row>
    <row r="23659" spans="25:25" x14ac:dyDescent="0.2">
      <c r="Y23659" s="97"/>
    </row>
    <row r="23660" spans="25:25" x14ac:dyDescent="0.2">
      <c r="Y23660" s="97"/>
    </row>
    <row r="23661" spans="25:25" x14ac:dyDescent="0.2">
      <c r="Y23661" s="97"/>
    </row>
    <row r="23662" spans="25:25" x14ac:dyDescent="0.2">
      <c r="Y23662" s="97"/>
    </row>
    <row r="23663" spans="25:25" x14ac:dyDescent="0.2">
      <c r="Y23663" s="97"/>
    </row>
    <row r="23664" spans="25:25" x14ac:dyDescent="0.2">
      <c r="Y23664" s="97"/>
    </row>
    <row r="23665" spans="25:25" x14ac:dyDescent="0.2">
      <c r="Y23665" s="97"/>
    </row>
    <row r="23666" spans="25:25" x14ac:dyDescent="0.2">
      <c r="Y23666" s="97"/>
    </row>
    <row r="23667" spans="25:25" x14ac:dyDescent="0.2">
      <c r="Y23667" s="97"/>
    </row>
    <row r="23668" spans="25:25" x14ac:dyDescent="0.2">
      <c r="Y23668" s="97"/>
    </row>
    <row r="23669" spans="25:25" x14ac:dyDescent="0.2">
      <c r="Y23669" s="97"/>
    </row>
    <row r="23670" spans="25:25" x14ac:dyDescent="0.2">
      <c r="Y23670" s="97"/>
    </row>
    <row r="23671" spans="25:25" x14ac:dyDescent="0.2">
      <c r="Y23671" s="97"/>
    </row>
    <row r="23672" spans="25:25" x14ac:dyDescent="0.2">
      <c r="Y23672" s="97"/>
    </row>
    <row r="23673" spans="25:25" x14ac:dyDescent="0.2">
      <c r="Y23673" s="97"/>
    </row>
    <row r="23674" spans="25:25" x14ac:dyDescent="0.2">
      <c r="Y23674" s="97"/>
    </row>
    <row r="23675" spans="25:25" x14ac:dyDescent="0.2">
      <c r="Y23675" s="97"/>
    </row>
    <row r="23676" spans="25:25" x14ac:dyDescent="0.2">
      <c r="Y23676" s="97"/>
    </row>
    <row r="23677" spans="25:25" x14ac:dyDescent="0.2">
      <c r="Y23677" s="97"/>
    </row>
    <row r="23678" spans="25:25" x14ac:dyDescent="0.2">
      <c r="Y23678" s="97"/>
    </row>
    <row r="23679" spans="25:25" x14ac:dyDescent="0.2">
      <c r="Y23679" s="97"/>
    </row>
    <row r="23680" spans="25:25" x14ac:dyDescent="0.2">
      <c r="Y23680" s="97"/>
    </row>
    <row r="23681" spans="25:25" x14ac:dyDescent="0.2">
      <c r="Y23681" s="97"/>
    </row>
    <row r="23682" spans="25:25" x14ac:dyDescent="0.2">
      <c r="Y23682" s="97"/>
    </row>
    <row r="23683" spans="25:25" x14ac:dyDescent="0.2">
      <c r="Y23683" s="97"/>
    </row>
    <row r="23684" spans="25:25" x14ac:dyDescent="0.2">
      <c r="Y23684" s="97"/>
    </row>
    <row r="23685" spans="25:25" x14ac:dyDescent="0.2">
      <c r="Y23685" s="97"/>
    </row>
    <row r="23686" spans="25:25" x14ac:dyDescent="0.2">
      <c r="Y23686" s="97"/>
    </row>
    <row r="23687" spans="25:25" x14ac:dyDescent="0.2">
      <c r="Y23687" s="97"/>
    </row>
    <row r="23688" spans="25:25" x14ac:dyDescent="0.2">
      <c r="Y23688" s="97"/>
    </row>
    <row r="23689" spans="25:25" x14ac:dyDescent="0.2">
      <c r="Y23689" s="97"/>
    </row>
    <row r="23690" spans="25:25" x14ac:dyDescent="0.2">
      <c r="Y23690" s="97"/>
    </row>
    <row r="23691" spans="25:25" x14ac:dyDescent="0.2">
      <c r="Y23691" s="97"/>
    </row>
    <row r="23692" spans="25:25" x14ac:dyDescent="0.2">
      <c r="Y23692" s="97"/>
    </row>
    <row r="23693" spans="25:25" x14ac:dyDescent="0.2">
      <c r="Y23693" s="97"/>
    </row>
    <row r="23694" spans="25:25" x14ac:dyDescent="0.2">
      <c r="Y23694" s="97"/>
    </row>
    <row r="23695" spans="25:25" x14ac:dyDescent="0.2">
      <c r="Y23695" s="97"/>
    </row>
    <row r="23696" spans="25:25" x14ac:dyDescent="0.2">
      <c r="Y23696" s="97"/>
    </row>
    <row r="23697" spans="25:25" x14ac:dyDescent="0.2">
      <c r="Y23697" s="97"/>
    </row>
    <row r="23698" spans="25:25" x14ac:dyDescent="0.2">
      <c r="Y23698" s="97"/>
    </row>
    <row r="23699" spans="25:25" x14ac:dyDescent="0.2">
      <c r="Y23699" s="97"/>
    </row>
    <row r="23700" spans="25:25" x14ac:dyDescent="0.2">
      <c r="Y23700" s="97"/>
    </row>
    <row r="23701" spans="25:25" x14ac:dyDescent="0.2">
      <c r="Y23701" s="97"/>
    </row>
    <row r="23702" spans="25:25" x14ac:dyDescent="0.2">
      <c r="Y23702" s="97"/>
    </row>
    <row r="23703" spans="25:25" x14ac:dyDescent="0.2">
      <c r="Y23703" s="97"/>
    </row>
    <row r="23704" spans="25:25" x14ac:dyDescent="0.2">
      <c r="Y23704" s="97"/>
    </row>
    <row r="23705" spans="25:25" x14ac:dyDescent="0.2">
      <c r="Y23705" s="97"/>
    </row>
    <row r="23706" spans="25:25" x14ac:dyDescent="0.2">
      <c r="Y23706" s="97"/>
    </row>
    <row r="23707" spans="25:25" x14ac:dyDescent="0.2">
      <c r="Y23707" s="97"/>
    </row>
    <row r="23708" spans="25:25" x14ac:dyDescent="0.2">
      <c r="Y23708" s="97"/>
    </row>
    <row r="23709" spans="25:25" x14ac:dyDescent="0.2">
      <c r="Y23709" s="97"/>
    </row>
    <row r="23710" spans="25:25" x14ac:dyDescent="0.2">
      <c r="Y23710" s="97"/>
    </row>
    <row r="23711" spans="25:25" x14ac:dyDescent="0.2">
      <c r="Y23711" s="97"/>
    </row>
    <row r="23712" spans="25:25" x14ac:dyDescent="0.2">
      <c r="Y23712" s="97"/>
    </row>
    <row r="23713" spans="25:25" x14ac:dyDescent="0.2">
      <c r="Y23713" s="97"/>
    </row>
    <row r="23714" spans="25:25" x14ac:dyDescent="0.2">
      <c r="Y23714" s="97"/>
    </row>
    <row r="23715" spans="25:25" x14ac:dyDescent="0.2">
      <c r="Y23715" s="97"/>
    </row>
    <row r="23716" spans="25:25" x14ac:dyDescent="0.2">
      <c r="Y23716" s="97"/>
    </row>
    <row r="23717" spans="25:25" x14ac:dyDescent="0.2">
      <c r="Y23717" s="97"/>
    </row>
    <row r="23718" spans="25:25" x14ac:dyDescent="0.2">
      <c r="Y23718" s="97"/>
    </row>
    <row r="23719" spans="25:25" x14ac:dyDescent="0.2">
      <c r="Y23719" s="97"/>
    </row>
    <row r="23720" spans="25:25" x14ac:dyDescent="0.2">
      <c r="Y23720" s="97"/>
    </row>
    <row r="23721" spans="25:25" x14ac:dyDescent="0.2">
      <c r="Y23721" s="97"/>
    </row>
    <row r="23722" spans="25:25" x14ac:dyDescent="0.2">
      <c r="Y23722" s="97"/>
    </row>
    <row r="23723" spans="25:25" x14ac:dyDescent="0.2">
      <c r="Y23723" s="97"/>
    </row>
    <row r="23724" spans="25:25" x14ac:dyDescent="0.2">
      <c r="Y23724" s="97"/>
    </row>
    <row r="23725" spans="25:25" x14ac:dyDescent="0.2">
      <c r="Y23725" s="97"/>
    </row>
    <row r="23726" spans="25:25" x14ac:dyDescent="0.2">
      <c r="Y23726" s="97"/>
    </row>
    <row r="23727" spans="25:25" x14ac:dyDescent="0.2">
      <c r="Y23727" s="97"/>
    </row>
    <row r="23728" spans="25:25" x14ac:dyDescent="0.2">
      <c r="Y23728" s="97"/>
    </row>
    <row r="23729" spans="25:25" x14ac:dyDescent="0.2">
      <c r="Y23729" s="97"/>
    </row>
    <row r="23730" spans="25:25" x14ac:dyDescent="0.2">
      <c r="Y23730" s="97"/>
    </row>
    <row r="23731" spans="25:25" x14ac:dyDescent="0.2">
      <c r="Y23731" s="97"/>
    </row>
    <row r="23732" spans="25:25" x14ac:dyDescent="0.2">
      <c r="Y23732" s="97"/>
    </row>
    <row r="23733" spans="25:25" x14ac:dyDescent="0.2">
      <c r="Y23733" s="97"/>
    </row>
    <row r="23734" spans="25:25" x14ac:dyDescent="0.2">
      <c r="Y23734" s="97"/>
    </row>
    <row r="23735" spans="25:25" x14ac:dyDescent="0.2">
      <c r="Y23735" s="97"/>
    </row>
    <row r="23736" spans="25:25" x14ac:dyDescent="0.2">
      <c r="Y23736" s="97"/>
    </row>
    <row r="23737" spans="25:25" x14ac:dyDescent="0.2">
      <c r="Y23737" s="97"/>
    </row>
    <row r="23738" spans="25:25" x14ac:dyDescent="0.2">
      <c r="Y23738" s="97"/>
    </row>
    <row r="23739" spans="25:25" x14ac:dyDescent="0.2">
      <c r="Y23739" s="97"/>
    </row>
    <row r="23740" spans="25:25" x14ac:dyDescent="0.2">
      <c r="Y23740" s="97"/>
    </row>
    <row r="23741" spans="25:25" x14ac:dyDescent="0.2">
      <c r="Y23741" s="97"/>
    </row>
    <row r="23742" spans="25:25" x14ac:dyDescent="0.2">
      <c r="Y23742" s="97"/>
    </row>
    <row r="23743" spans="25:25" x14ac:dyDescent="0.2">
      <c r="Y23743" s="97"/>
    </row>
    <row r="23744" spans="25:25" x14ac:dyDescent="0.2">
      <c r="Y23744" s="97"/>
    </row>
    <row r="23745" spans="25:25" x14ac:dyDescent="0.2">
      <c r="Y23745" s="97"/>
    </row>
    <row r="23746" spans="25:25" x14ac:dyDescent="0.2">
      <c r="Y23746" s="97"/>
    </row>
    <row r="23747" spans="25:25" x14ac:dyDescent="0.2">
      <c r="Y23747" s="97"/>
    </row>
    <row r="23748" spans="25:25" x14ac:dyDescent="0.2">
      <c r="Y23748" s="97"/>
    </row>
    <row r="23749" spans="25:25" x14ac:dyDescent="0.2">
      <c r="Y23749" s="97"/>
    </row>
    <row r="23750" spans="25:25" x14ac:dyDescent="0.2">
      <c r="Y23750" s="97"/>
    </row>
    <row r="23751" spans="25:25" x14ac:dyDescent="0.2">
      <c r="Y23751" s="97"/>
    </row>
    <row r="23752" spans="25:25" x14ac:dyDescent="0.2">
      <c r="Y23752" s="97"/>
    </row>
    <row r="23753" spans="25:25" x14ac:dyDescent="0.2">
      <c r="Y23753" s="97"/>
    </row>
    <row r="23754" spans="25:25" x14ac:dyDescent="0.2">
      <c r="Y23754" s="97"/>
    </row>
    <row r="23755" spans="25:25" x14ac:dyDescent="0.2">
      <c r="Y23755" s="97"/>
    </row>
    <row r="23756" spans="25:25" x14ac:dyDescent="0.2">
      <c r="Y23756" s="97"/>
    </row>
    <row r="23757" spans="25:25" x14ac:dyDescent="0.2">
      <c r="Y23757" s="97"/>
    </row>
    <row r="23758" spans="25:25" x14ac:dyDescent="0.2">
      <c r="Y23758" s="97"/>
    </row>
    <row r="23759" spans="25:25" x14ac:dyDescent="0.2">
      <c r="Y23759" s="97"/>
    </row>
    <row r="23760" spans="25:25" x14ac:dyDescent="0.2">
      <c r="Y23760" s="97"/>
    </row>
    <row r="23761" spans="25:25" x14ac:dyDescent="0.2">
      <c r="Y23761" s="97"/>
    </row>
    <row r="23762" spans="25:25" x14ac:dyDescent="0.2">
      <c r="Y23762" s="97"/>
    </row>
    <row r="23763" spans="25:25" x14ac:dyDescent="0.2">
      <c r="Y23763" s="97"/>
    </row>
    <row r="23764" spans="25:25" x14ac:dyDescent="0.2">
      <c r="Y23764" s="97"/>
    </row>
    <row r="23765" spans="25:25" x14ac:dyDescent="0.2">
      <c r="Y23765" s="97"/>
    </row>
    <row r="23766" spans="25:25" x14ac:dyDescent="0.2">
      <c r="Y23766" s="97"/>
    </row>
    <row r="23767" spans="25:25" x14ac:dyDescent="0.2">
      <c r="Y23767" s="97"/>
    </row>
    <row r="23768" spans="25:25" x14ac:dyDescent="0.2">
      <c r="Y23768" s="97"/>
    </row>
    <row r="23769" spans="25:25" x14ac:dyDescent="0.2">
      <c r="Y23769" s="97"/>
    </row>
    <row r="23770" spans="25:25" x14ac:dyDescent="0.2">
      <c r="Y23770" s="97"/>
    </row>
    <row r="23771" spans="25:25" x14ac:dyDescent="0.2">
      <c r="Y23771" s="97"/>
    </row>
    <row r="23772" spans="25:25" x14ac:dyDescent="0.2">
      <c r="Y23772" s="97"/>
    </row>
    <row r="23773" spans="25:25" x14ac:dyDescent="0.2">
      <c r="Y23773" s="97"/>
    </row>
    <row r="23774" spans="25:25" x14ac:dyDescent="0.2">
      <c r="Y23774" s="97"/>
    </row>
    <row r="23775" spans="25:25" x14ac:dyDescent="0.2">
      <c r="Y23775" s="97"/>
    </row>
    <row r="23776" spans="25:25" x14ac:dyDescent="0.2">
      <c r="Y23776" s="97"/>
    </row>
    <row r="23777" spans="25:25" x14ac:dyDescent="0.2">
      <c r="Y23777" s="97"/>
    </row>
    <row r="23778" spans="25:25" x14ac:dyDescent="0.2">
      <c r="Y23778" s="97"/>
    </row>
    <row r="23779" spans="25:25" x14ac:dyDescent="0.2">
      <c r="Y23779" s="97"/>
    </row>
    <row r="23780" spans="25:25" x14ac:dyDescent="0.2">
      <c r="Y23780" s="97"/>
    </row>
    <row r="23781" spans="25:25" x14ac:dyDescent="0.2">
      <c r="Y23781" s="97"/>
    </row>
    <row r="23782" spans="25:25" x14ac:dyDescent="0.2">
      <c r="Y23782" s="97"/>
    </row>
    <row r="23783" spans="25:25" x14ac:dyDescent="0.2">
      <c r="Y23783" s="97"/>
    </row>
    <row r="23784" spans="25:25" x14ac:dyDescent="0.2">
      <c r="Y23784" s="97"/>
    </row>
    <row r="23785" spans="25:25" x14ac:dyDescent="0.2">
      <c r="Y23785" s="97"/>
    </row>
    <row r="23786" spans="25:25" x14ac:dyDescent="0.2">
      <c r="Y23786" s="97"/>
    </row>
    <row r="23787" spans="25:25" x14ac:dyDescent="0.2">
      <c r="Y23787" s="97"/>
    </row>
    <row r="23788" spans="25:25" x14ac:dyDescent="0.2">
      <c r="Y23788" s="97"/>
    </row>
    <row r="23789" spans="25:25" x14ac:dyDescent="0.2">
      <c r="Y23789" s="97"/>
    </row>
    <row r="23790" spans="25:25" x14ac:dyDescent="0.2">
      <c r="Y23790" s="97"/>
    </row>
    <row r="23791" spans="25:25" x14ac:dyDescent="0.2">
      <c r="Y23791" s="97"/>
    </row>
    <row r="23792" spans="25:25" x14ac:dyDescent="0.2">
      <c r="Y23792" s="97"/>
    </row>
    <row r="23793" spans="25:25" x14ac:dyDescent="0.2">
      <c r="Y23793" s="97"/>
    </row>
    <row r="23794" spans="25:25" x14ac:dyDescent="0.2">
      <c r="Y23794" s="97"/>
    </row>
    <row r="23795" spans="25:25" x14ac:dyDescent="0.2">
      <c r="Y23795" s="97"/>
    </row>
    <row r="23796" spans="25:25" x14ac:dyDescent="0.2">
      <c r="Y23796" s="97"/>
    </row>
    <row r="23797" spans="25:25" x14ac:dyDescent="0.2">
      <c r="Y23797" s="97"/>
    </row>
    <row r="23798" spans="25:25" x14ac:dyDescent="0.2">
      <c r="Y23798" s="97"/>
    </row>
    <row r="23799" spans="25:25" x14ac:dyDescent="0.2">
      <c r="Y23799" s="97"/>
    </row>
    <row r="23800" spans="25:25" x14ac:dyDescent="0.2">
      <c r="Y23800" s="97"/>
    </row>
    <row r="23801" spans="25:25" x14ac:dyDescent="0.2">
      <c r="Y23801" s="97"/>
    </row>
    <row r="23802" spans="25:25" x14ac:dyDescent="0.2">
      <c r="Y23802" s="97"/>
    </row>
    <row r="23803" spans="25:25" x14ac:dyDescent="0.2">
      <c r="Y23803" s="97"/>
    </row>
    <row r="23804" spans="25:25" x14ac:dyDescent="0.2">
      <c r="Y23804" s="97"/>
    </row>
    <row r="23805" spans="25:25" x14ac:dyDescent="0.2">
      <c r="Y23805" s="97"/>
    </row>
    <row r="23806" spans="25:25" x14ac:dyDescent="0.2">
      <c r="Y23806" s="97"/>
    </row>
    <row r="23807" spans="25:25" x14ac:dyDescent="0.2">
      <c r="Y23807" s="97"/>
    </row>
    <row r="23808" spans="25:25" x14ac:dyDescent="0.2">
      <c r="Y23808" s="97"/>
    </row>
    <row r="23809" spans="25:25" x14ac:dyDescent="0.2">
      <c r="Y23809" s="97"/>
    </row>
    <row r="23810" spans="25:25" x14ac:dyDescent="0.2">
      <c r="Y23810" s="97"/>
    </row>
    <row r="23811" spans="25:25" x14ac:dyDescent="0.2">
      <c r="Y23811" s="97"/>
    </row>
    <row r="23812" spans="25:25" x14ac:dyDescent="0.2">
      <c r="Y23812" s="97"/>
    </row>
    <row r="23813" spans="25:25" x14ac:dyDescent="0.2">
      <c r="Y23813" s="97"/>
    </row>
    <row r="23814" spans="25:25" x14ac:dyDescent="0.2">
      <c r="Y23814" s="97"/>
    </row>
    <row r="23815" spans="25:25" x14ac:dyDescent="0.2">
      <c r="Y23815" s="97"/>
    </row>
    <row r="23816" spans="25:25" x14ac:dyDescent="0.2">
      <c r="Y23816" s="97"/>
    </row>
    <row r="23817" spans="25:25" x14ac:dyDescent="0.2">
      <c r="Y23817" s="97"/>
    </row>
    <row r="23818" spans="25:25" x14ac:dyDescent="0.2">
      <c r="Y23818" s="97"/>
    </row>
    <row r="23819" spans="25:25" x14ac:dyDescent="0.2">
      <c r="Y23819" s="97"/>
    </row>
    <row r="23820" spans="25:25" x14ac:dyDescent="0.2">
      <c r="Y23820" s="97"/>
    </row>
    <row r="23821" spans="25:25" x14ac:dyDescent="0.2">
      <c r="Y23821" s="97"/>
    </row>
    <row r="23822" spans="25:25" x14ac:dyDescent="0.2">
      <c r="Y23822" s="97"/>
    </row>
    <row r="23823" spans="25:25" x14ac:dyDescent="0.2">
      <c r="Y23823" s="97"/>
    </row>
    <row r="23824" spans="25:25" x14ac:dyDescent="0.2">
      <c r="Y23824" s="97"/>
    </row>
    <row r="23825" spans="25:25" x14ac:dyDescent="0.2">
      <c r="Y23825" s="97"/>
    </row>
    <row r="23826" spans="25:25" x14ac:dyDescent="0.2">
      <c r="Y23826" s="97"/>
    </row>
    <row r="23827" spans="25:25" x14ac:dyDescent="0.2">
      <c r="Y23827" s="97"/>
    </row>
    <row r="23828" spans="25:25" x14ac:dyDescent="0.2">
      <c r="Y23828" s="97"/>
    </row>
    <row r="23829" spans="25:25" x14ac:dyDescent="0.2">
      <c r="Y23829" s="97"/>
    </row>
    <row r="23830" spans="25:25" x14ac:dyDescent="0.2">
      <c r="Y23830" s="97"/>
    </row>
    <row r="23831" spans="25:25" x14ac:dyDescent="0.2">
      <c r="Y23831" s="97"/>
    </row>
    <row r="23832" spans="25:25" x14ac:dyDescent="0.2">
      <c r="Y23832" s="97"/>
    </row>
    <row r="23833" spans="25:25" x14ac:dyDescent="0.2">
      <c r="Y23833" s="97"/>
    </row>
    <row r="23834" spans="25:25" x14ac:dyDescent="0.2">
      <c r="Y23834" s="97"/>
    </row>
    <row r="23835" spans="25:25" x14ac:dyDescent="0.2">
      <c r="Y23835" s="97"/>
    </row>
    <row r="23836" spans="25:25" x14ac:dyDescent="0.2">
      <c r="Y23836" s="97"/>
    </row>
    <row r="23837" spans="25:25" x14ac:dyDescent="0.2">
      <c r="Y23837" s="97"/>
    </row>
    <row r="23838" spans="25:25" x14ac:dyDescent="0.2">
      <c r="Y23838" s="97"/>
    </row>
    <row r="23839" spans="25:25" x14ac:dyDescent="0.2">
      <c r="Y23839" s="97"/>
    </row>
    <row r="23840" spans="25:25" x14ac:dyDescent="0.2">
      <c r="Y23840" s="97"/>
    </row>
    <row r="23841" spans="25:25" x14ac:dyDescent="0.2">
      <c r="Y23841" s="97"/>
    </row>
    <row r="23842" spans="25:25" x14ac:dyDescent="0.2">
      <c r="Y23842" s="97"/>
    </row>
    <row r="23843" spans="25:25" x14ac:dyDescent="0.2">
      <c r="Y23843" s="97"/>
    </row>
    <row r="23844" spans="25:25" x14ac:dyDescent="0.2">
      <c r="Y23844" s="97"/>
    </row>
    <row r="23845" spans="25:25" x14ac:dyDescent="0.2">
      <c r="Y23845" s="97"/>
    </row>
    <row r="23846" spans="25:25" x14ac:dyDescent="0.2">
      <c r="Y23846" s="97"/>
    </row>
    <row r="23847" spans="25:25" x14ac:dyDescent="0.2">
      <c r="Y23847" s="97"/>
    </row>
    <row r="23848" spans="25:25" x14ac:dyDescent="0.2">
      <c r="Y23848" s="97"/>
    </row>
    <row r="23849" spans="25:25" x14ac:dyDescent="0.2">
      <c r="Y23849" s="97"/>
    </row>
    <row r="23850" spans="25:25" x14ac:dyDescent="0.2">
      <c r="Y23850" s="97"/>
    </row>
    <row r="23851" spans="25:25" x14ac:dyDescent="0.2">
      <c r="Y23851" s="97"/>
    </row>
    <row r="23852" spans="25:25" x14ac:dyDescent="0.2">
      <c r="Y23852" s="97"/>
    </row>
    <row r="23853" spans="25:25" x14ac:dyDescent="0.2">
      <c r="Y23853" s="97"/>
    </row>
    <row r="23854" spans="25:25" x14ac:dyDescent="0.2">
      <c r="Y23854" s="97"/>
    </row>
    <row r="23855" spans="25:25" x14ac:dyDescent="0.2">
      <c r="Y23855" s="97"/>
    </row>
    <row r="23856" spans="25:25" x14ac:dyDescent="0.2">
      <c r="Y23856" s="97"/>
    </row>
    <row r="23857" spans="25:25" x14ac:dyDescent="0.2">
      <c r="Y23857" s="97"/>
    </row>
    <row r="23858" spans="25:25" x14ac:dyDescent="0.2">
      <c r="Y23858" s="97"/>
    </row>
    <row r="23859" spans="25:25" x14ac:dyDescent="0.2">
      <c r="Y23859" s="97"/>
    </row>
    <row r="23860" spans="25:25" x14ac:dyDescent="0.2">
      <c r="Y23860" s="97"/>
    </row>
    <row r="23861" spans="25:25" x14ac:dyDescent="0.2">
      <c r="Y23861" s="97"/>
    </row>
    <row r="23862" spans="25:25" x14ac:dyDescent="0.2">
      <c r="Y23862" s="97"/>
    </row>
    <row r="23863" spans="25:25" x14ac:dyDescent="0.2">
      <c r="Y23863" s="97"/>
    </row>
    <row r="23864" spans="25:25" x14ac:dyDescent="0.2">
      <c r="Y23864" s="97"/>
    </row>
    <row r="23865" spans="25:25" x14ac:dyDescent="0.2">
      <c r="Y23865" s="97"/>
    </row>
    <row r="23866" spans="25:25" x14ac:dyDescent="0.2">
      <c r="Y23866" s="97"/>
    </row>
    <row r="23867" spans="25:25" x14ac:dyDescent="0.2">
      <c r="Y23867" s="97"/>
    </row>
    <row r="23868" spans="25:25" x14ac:dyDescent="0.2">
      <c r="Y23868" s="97"/>
    </row>
    <row r="23869" spans="25:25" x14ac:dyDescent="0.2">
      <c r="Y23869" s="97"/>
    </row>
    <row r="23870" spans="25:25" x14ac:dyDescent="0.2">
      <c r="Y23870" s="97"/>
    </row>
    <row r="23871" spans="25:25" x14ac:dyDescent="0.2">
      <c r="Y23871" s="97"/>
    </row>
    <row r="23872" spans="25:25" x14ac:dyDescent="0.2">
      <c r="Y23872" s="97"/>
    </row>
    <row r="23873" spans="25:25" x14ac:dyDescent="0.2">
      <c r="Y23873" s="97"/>
    </row>
    <row r="23874" spans="25:25" x14ac:dyDescent="0.2">
      <c r="Y23874" s="97"/>
    </row>
    <row r="23875" spans="25:25" x14ac:dyDescent="0.2">
      <c r="Y23875" s="97"/>
    </row>
    <row r="23876" spans="25:25" x14ac:dyDescent="0.2">
      <c r="Y23876" s="97"/>
    </row>
    <row r="23877" spans="25:25" x14ac:dyDescent="0.2">
      <c r="Y23877" s="97"/>
    </row>
    <row r="23878" spans="25:25" x14ac:dyDescent="0.2">
      <c r="Y23878" s="97"/>
    </row>
    <row r="23879" spans="25:25" x14ac:dyDescent="0.2">
      <c r="Y23879" s="97"/>
    </row>
    <row r="23880" spans="25:25" x14ac:dyDescent="0.2">
      <c r="Y23880" s="97"/>
    </row>
    <row r="23881" spans="25:25" x14ac:dyDescent="0.2">
      <c r="Y23881" s="97"/>
    </row>
    <row r="23882" spans="25:25" x14ac:dyDescent="0.2">
      <c r="Y23882" s="97"/>
    </row>
    <row r="23883" spans="25:25" x14ac:dyDescent="0.2">
      <c r="Y23883" s="97"/>
    </row>
    <row r="23884" spans="25:25" x14ac:dyDescent="0.2">
      <c r="Y23884" s="97"/>
    </row>
    <row r="23885" spans="25:25" x14ac:dyDescent="0.2">
      <c r="Y23885" s="97"/>
    </row>
    <row r="23886" spans="25:25" x14ac:dyDescent="0.2">
      <c r="Y23886" s="97"/>
    </row>
    <row r="23887" spans="25:25" x14ac:dyDescent="0.2">
      <c r="Y23887" s="97"/>
    </row>
    <row r="23888" spans="25:25" x14ac:dyDescent="0.2">
      <c r="Y23888" s="97"/>
    </row>
    <row r="23889" spans="25:25" x14ac:dyDescent="0.2">
      <c r="Y23889" s="97"/>
    </row>
    <row r="23890" spans="25:25" x14ac:dyDescent="0.2">
      <c r="Y23890" s="97"/>
    </row>
    <row r="23891" spans="25:25" x14ac:dyDescent="0.2">
      <c r="Y23891" s="97"/>
    </row>
    <row r="23892" spans="25:25" x14ac:dyDescent="0.2">
      <c r="Y23892" s="97"/>
    </row>
    <row r="23893" spans="25:25" x14ac:dyDescent="0.2">
      <c r="Y23893" s="97"/>
    </row>
    <row r="23894" spans="25:25" x14ac:dyDescent="0.2">
      <c r="Y23894" s="97"/>
    </row>
    <row r="23895" spans="25:25" x14ac:dyDescent="0.2">
      <c r="Y23895" s="97"/>
    </row>
    <row r="23896" spans="25:25" x14ac:dyDescent="0.2">
      <c r="Y23896" s="97"/>
    </row>
    <row r="23897" spans="25:25" x14ac:dyDescent="0.2">
      <c r="Y23897" s="97"/>
    </row>
    <row r="23898" spans="25:25" x14ac:dyDescent="0.2">
      <c r="Y23898" s="97"/>
    </row>
    <row r="23899" spans="25:25" x14ac:dyDescent="0.2">
      <c r="Y23899" s="97"/>
    </row>
    <row r="23900" spans="25:25" x14ac:dyDescent="0.2">
      <c r="Y23900" s="97"/>
    </row>
    <row r="23901" spans="25:25" x14ac:dyDescent="0.2">
      <c r="Y23901" s="97"/>
    </row>
    <row r="23902" spans="25:25" x14ac:dyDescent="0.2">
      <c r="Y23902" s="97"/>
    </row>
    <row r="23903" spans="25:25" x14ac:dyDescent="0.2">
      <c r="Y23903" s="97"/>
    </row>
    <row r="23904" spans="25:25" x14ac:dyDescent="0.2">
      <c r="Y23904" s="97"/>
    </row>
    <row r="23905" spans="25:25" x14ac:dyDescent="0.2">
      <c r="Y23905" s="97"/>
    </row>
    <row r="23906" spans="25:25" x14ac:dyDescent="0.2">
      <c r="Y23906" s="97"/>
    </row>
    <row r="23907" spans="25:25" x14ac:dyDescent="0.2">
      <c r="Y23907" s="97"/>
    </row>
    <row r="23908" spans="25:25" x14ac:dyDescent="0.2">
      <c r="Y23908" s="97"/>
    </row>
    <row r="23909" spans="25:25" x14ac:dyDescent="0.2">
      <c r="Y23909" s="97"/>
    </row>
    <row r="23910" spans="25:25" x14ac:dyDescent="0.2">
      <c r="Y23910" s="97"/>
    </row>
    <row r="23911" spans="25:25" x14ac:dyDescent="0.2">
      <c r="Y23911" s="97"/>
    </row>
    <row r="23912" spans="25:25" x14ac:dyDescent="0.2">
      <c r="Y23912" s="97"/>
    </row>
    <row r="23913" spans="25:25" x14ac:dyDescent="0.2">
      <c r="Y23913" s="97"/>
    </row>
    <row r="23914" spans="25:25" x14ac:dyDescent="0.2">
      <c r="Y23914" s="97"/>
    </row>
    <row r="23915" spans="25:25" x14ac:dyDescent="0.2">
      <c r="Y23915" s="97"/>
    </row>
    <row r="23916" spans="25:25" x14ac:dyDescent="0.2">
      <c r="Y23916" s="97"/>
    </row>
    <row r="23917" spans="25:25" x14ac:dyDescent="0.2">
      <c r="Y23917" s="97"/>
    </row>
    <row r="23918" spans="25:25" x14ac:dyDescent="0.2">
      <c r="Y23918" s="97"/>
    </row>
    <row r="23919" spans="25:25" x14ac:dyDescent="0.2">
      <c r="Y23919" s="97"/>
    </row>
    <row r="23920" spans="25:25" x14ac:dyDescent="0.2">
      <c r="Y23920" s="97"/>
    </row>
    <row r="23921" spans="25:25" x14ac:dyDescent="0.2">
      <c r="Y23921" s="97"/>
    </row>
    <row r="23922" spans="25:25" x14ac:dyDescent="0.2">
      <c r="Y23922" s="97"/>
    </row>
    <row r="23923" spans="25:25" x14ac:dyDescent="0.2">
      <c r="Y23923" s="97"/>
    </row>
    <row r="23924" spans="25:25" x14ac:dyDescent="0.2">
      <c r="Y23924" s="97"/>
    </row>
    <row r="23925" spans="25:25" x14ac:dyDescent="0.2">
      <c r="Y23925" s="97"/>
    </row>
    <row r="23926" spans="25:25" x14ac:dyDescent="0.2">
      <c r="Y23926" s="97"/>
    </row>
    <row r="23927" spans="25:25" x14ac:dyDescent="0.2">
      <c r="Y23927" s="97"/>
    </row>
    <row r="23928" spans="25:25" x14ac:dyDescent="0.2">
      <c r="Y23928" s="97"/>
    </row>
    <row r="23929" spans="25:25" x14ac:dyDescent="0.2">
      <c r="Y23929" s="97"/>
    </row>
    <row r="23930" spans="25:25" x14ac:dyDescent="0.2">
      <c r="Y23930" s="97"/>
    </row>
    <row r="23931" spans="25:25" x14ac:dyDescent="0.2">
      <c r="Y23931" s="97"/>
    </row>
    <row r="23932" spans="25:25" x14ac:dyDescent="0.2">
      <c r="Y23932" s="97"/>
    </row>
    <row r="23933" spans="25:25" x14ac:dyDescent="0.2">
      <c r="Y23933" s="97"/>
    </row>
    <row r="23934" spans="25:25" x14ac:dyDescent="0.2">
      <c r="Y23934" s="97"/>
    </row>
    <row r="23935" spans="25:25" x14ac:dyDescent="0.2">
      <c r="Y23935" s="97"/>
    </row>
    <row r="23936" spans="25:25" x14ac:dyDescent="0.2">
      <c r="Y23936" s="97"/>
    </row>
    <row r="23937" spans="25:25" x14ac:dyDescent="0.2">
      <c r="Y23937" s="97"/>
    </row>
    <row r="23938" spans="25:25" x14ac:dyDescent="0.2">
      <c r="Y23938" s="97"/>
    </row>
    <row r="23939" spans="25:25" x14ac:dyDescent="0.2">
      <c r="Y23939" s="97"/>
    </row>
    <row r="23940" spans="25:25" x14ac:dyDescent="0.2">
      <c r="Y23940" s="97"/>
    </row>
    <row r="23941" spans="25:25" x14ac:dyDescent="0.2">
      <c r="Y23941" s="97"/>
    </row>
    <row r="23942" spans="25:25" x14ac:dyDescent="0.2">
      <c r="Y23942" s="97"/>
    </row>
    <row r="23943" spans="25:25" x14ac:dyDescent="0.2">
      <c r="Y23943" s="97"/>
    </row>
    <row r="23944" spans="25:25" x14ac:dyDescent="0.2">
      <c r="Y23944" s="97"/>
    </row>
    <row r="23945" spans="25:25" x14ac:dyDescent="0.2">
      <c r="Y23945" s="97"/>
    </row>
    <row r="23946" spans="25:25" x14ac:dyDescent="0.2">
      <c r="Y23946" s="97"/>
    </row>
    <row r="23947" spans="25:25" x14ac:dyDescent="0.2">
      <c r="Y23947" s="97"/>
    </row>
    <row r="23948" spans="25:25" x14ac:dyDescent="0.2">
      <c r="Y23948" s="97"/>
    </row>
    <row r="23949" spans="25:25" x14ac:dyDescent="0.2">
      <c r="Y23949" s="97"/>
    </row>
    <row r="23950" spans="25:25" x14ac:dyDescent="0.2">
      <c r="Y23950" s="97"/>
    </row>
    <row r="23951" spans="25:25" x14ac:dyDescent="0.2">
      <c r="Y23951" s="97"/>
    </row>
    <row r="23952" spans="25:25" x14ac:dyDescent="0.2">
      <c r="Y23952" s="97"/>
    </row>
    <row r="23953" spans="25:25" x14ac:dyDescent="0.2">
      <c r="Y23953" s="97"/>
    </row>
    <row r="23954" spans="25:25" x14ac:dyDescent="0.2">
      <c r="Y23954" s="97"/>
    </row>
    <row r="23955" spans="25:25" x14ac:dyDescent="0.2">
      <c r="Y23955" s="97"/>
    </row>
    <row r="23956" spans="25:25" x14ac:dyDescent="0.2">
      <c r="Y23956" s="97"/>
    </row>
    <row r="23957" spans="25:25" x14ac:dyDescent="0.2">
      <c r="Y23957" s="97"/>
    </row>
    <row r="23958" spans="25:25" x14ac:dyDescent="0.2">
      <c r="Y23958" s="97"/>
    </row>
    <row r="23959" spans="25:25" x14ac:dyDescent="0.2">
      <c r="Y23959" s="97"/>
    </row>
    <row r="23960" spans="25:25" x14ac:dyDescent="0.2">
      <c r="Y23960" s="97"/>
    </row>
    <row r="23961" spans="25:25" x14ac:dyDescent="0.2">
      <c r="Y23961" s="97"/>
    </row>
    <row r="23962" spans="25:25" x14ac:dyDescent="0.2">
      <c r="Y23962" s="97"/>
    </row>
    <row r="23963" spans="25:25" x14ac:dyDescent="0.2">
      <c r="Y23963" s="97"/>
    </row>
    <row r="23964" spans="25:25" x14ac:dyDescent="0.2">
      <c r="Y23964" s="97"/>
    </row>
    <row r="23965" spans="25:25" x14ac:dyDescent="0.2">
      <c r="Y23965" s="97"/>
    </row>
    <row r="23966" spans="25:25" x14ac:dyDescent="0.2">
      <c r="Y23966" s="97"/>
    </row>
    <row r="23967" spans="25:25" x14ac:dyDescent="0.2">
      <c r="Y23967" s="97"/>
    </row>
    <row r="23968" spans="25:25" x14ac:dyDescent="0.2">
      <c r="Y23968" s="97"/>
    </row>
    <row r="23969" spans="25:25" x14ac:dyDescent="0.2">
      <c r="Y23969" s="97"/>
    </row>
    <row r="23970" spans="25:25" x14ac:dyDescent="0.2">
      <c r="Y23970" s="97"/>
    </row>
    <row r="23971" spans="25:25" x14ac:dyDescent="0.2">
      <c r="Y23971" s="97"/>
    </row>
    <row r="23972" spans="25:25" x14ac:dyDescent="0.2">
      <c r="Y23972" s="97"/>
    </row>
    <row r="23973" spans="25:25" x14ac:dyDescent="0.2">
      <c r="Y23973" s="97"/>
    </row>
    <row r="23974" spans="25:25" x14ac:dyDescent="0.2">
      <c r="Y23974" s="97"/>
    </row>
    <row r="23975" spans="25:25" x14ac:dyDescent="0.2">
      <c r="Y23975" s="97"/>
    </row>
    <row r="23976" spans="25:25" x14ac:dyDescent="0.2">
      <c r="Y23976" s="97"/>
    </row>
    <row r="23977" spans="25:25" x14ac:dyDescent="0.2">
      <c r="Y23977" s="97"/>
    </row>
    <row r="23978" spans="25:25" x14ac:dyDescent="0.2">
      <c r="Y23978" s="97"/>
    </row>
    <row r="23979" spans="25:25" x14ac:dyDescent="0.2">
      <c r="Y23979" s="97"/>
    </row>
    <row r="23980" spans="25:25" x14ac:dyDescent="0.2">
      <c r="Y23980" s="97"/>
    </row>
    <row r="23981" spans="25:25" x14ac:dyDescent="0.2">
      <c r="Y23981" s="97"/>
    </row>
    <row r="23982" spans="25:25" x14ac:dyDescent="0.2">
      <c r="Y23982" s="97"/>
    </row>
    <row r="23983" spans="25:25" x14ac:dyDescent="0.2">
      <c r="Y23983" s="97"/>
    </row>
    <row r="23984" spans="25:25" x14ac:dyDescent="0.2">
      <c r="Y23984" s="97"/>
    </row>
    <row r="23985" spans="25:25" x14ac:dyDescent="0.2">
      <c r="Y23985" s="97"/>
    </row>
    <row r="23986" spans="25:25" x14ac:dyDescent="0.2">
      <c r="Y23986" s="97"/>
    </row>
    <row r="23987" spans="25:25" x14ac:dyDescent="0.2">
      <c r="Y23987" s="97"/>
    </row>
    <row r="23988" spans="25:25" x14ac:dyDescent="0.2">
      <c r="Y23988" s="97"/>
    </row>
    <row r="23989" spans="25:25" x14ac:dyDescent="0.2">
      <c r="Y23989" s="97"/>
    </row>
    <row r="23990" spans="25:25" x14ac:dyDescent="0.2">
      <c r="Y23990" s="97"/>
    </row>
    <row r="23991" spans="25:25" x14ac:dyDescent="0.2">
      <c r="Y23991" s="97"/>
    </row>
    <row r="23992" spans="25:25" x14ac:dyDescent="0.2">
      <c r="Y23992" s="97"/>
    </row>
    <row r="23993" spans="25:25" x14ac:dyDescent="0.2">
      <c r="Y23993" s="97"/>
    </row>
    <row r="23994" spans="25:25" x14ac:dyDescent="0.2">
      <c r="Y23994" s="97"/>
    </row>
    <row r="23995" spans="25:25" x14ac:dyDescent="0.2">
      <c r="Y23995" s="97"/>
    </row>
    <row r="23996" spans="25:25" x14ac:dyDescent="0.2">
      <c r="Y23996" s="97"/>
    </row>
    <row r="23997" spans="25:25" x14ac:dyDescent="0.2">
      <c r="Y23997" s="97"/>
    </row>
    <row r="23998" spans="25:25" x14ac:dyDescent="0.2">
      <c r="Y23998" s="97"/>
    </row>
    <row r="23999" spans="25:25" x14ac:dyDescent="0.2">
      <c r="Y23999" s="97"/>
    </row>
    <row r="24000" spans="25:25" x14ac:dyDescent="0.2">
      <c r="Y24000" s="97"/>
    </row>
    <row r="24001" spans="25:25" x14ac:dyDescent="0.2">
      <c r="Y24001" s="97"/>
    </row>
    <row r="24002" spans="25:25" x14ac:dyDescent="0.2">
      <c r="Y24002" s="97"/>
    </row>
    <row r="24003" spans="25:25" x14ac:dyDescent="0.2">
      <c r="Y24003" s="97"/>
    </row>
    <row r="24004" spans="25:25" x14ac:dyDescent="0.2">
      <c r="Y24004" s="97"/>
    </row>
    <row r="24005" spans="25:25" x14ac:dyDescent="0.2">
      <c r="Y24005" s="97"/>
    </row>
    <row r="24006" spans="25:25" x14ac:dyDescent="0.2">
      <c r="Y24006" s="97"/>
    </row>
    <row r="24007" spans="25:25" x14ac:dyDescent="0.2">
      <c r="Y24007" s="97"/>
    </row>
    <row r="24008" spans="25:25" x14ac:dyDescent="0.2">
      <c r="Y24008" s="97"/>
    </row>
    <row r="24009" spans="25:25" x14ac:dyDescent="0.2">
      <c r="Y24009" s="97"/>
    </row>
    <row r="24010" spans="25:25" x14ac:dyDescent="0.2">
      <c r="Y24010" s="97"/>
    </row>
    <row r="24011" spans="25:25" x14ac:dyDescent="0.2">
      <c r="Y24011" s="97"/>
    </row>
    <row r="24012" spans="25:25" x14ac:dyDescent="0.2">
      <c r="Y24012" s="97"/>
    </row>
    <row r="24013" spans="25:25" x14ac:dyDescent="0.2">
      <c r="Y24013" s="97"/>
    </row>
    <row r="24014" spans="25:25" x14ac:dyDescent="0.2">
      <c r="Y24014" s="97"/>
    </row>
    <row r="24015" spans="25:25" x14ac:dyDescent="0.2">
      <c r="Y24015" s="97"/>
    </row>
    <row r="24016" spans="25:25" x14ac:dyDescent="0.2">
      <c r="Y24016" s="97"/>
    </row>
    <row r="24017" spans="25:25" x14ac:dyDescent="0.2">
      <c r="Y24017" s="97"/>
    </row>
    <row r="24018" spans="25:25" x14ac:dyDescent="0.2">
      <c r="Y24018" s="97"/>
    </row>
    <row r="24019" spans="25:25" x14ac:dyDescent="0.2">
      <c r="Y24019" s="97"/>
    </row>
    <row r="24020" spans="25:25" x14ac:dyDescent="0.2">
      <c r="Y24020" s="97"/>
    </row>
    <row r="24021" spans="25:25" x14ac:dyDescent="0.2">
      <c r="Y24021" s="97"/>
    </row>
    <row r="24022" spans="25:25" x14ac:dyDescent="0.2">
      <c r="Y24022" s="97"/>
    </row>
    <row r="24023" spans="25:25" x14ac:dyDescent="0.2">
      <c r="Y24023" s="97"/>
    </row>
    <row r="24024" spans="25:25" x14ac:dyDescent="0.2">
      <c r="Y24024" s="97"/>
    </row>
    <row r="24025" spans="25:25" x14ac:dyDescent="0.2">
      <c r="Y24025" s="97"/>
    </row>
    <row r="24026" spans="25:25" x14ac:dyDescent="0.2">
      <c r="Y24026" s="97"/>
    </row>
    <row r="24027" spans="25:25" x14ac:dyDescent="0.2">
      <c r="Y24027" s="97"/>
    </row>
    <row r="24028" spans="25:25" x14ac:dyDescent="0.2">
      <c r="Y24028" s="97"/>
    </row>
    <row r="24029" spans="25:25" x14ac:dyDescent="0.2">
      <c r="Y24029" s="97"/>
    </row>
    <row r="24030" spans="25:25" x14ac:dyDescent="0.2">
      <c r="Y24030" s="97"/>
    </row>
    <row r="24031" spans="25:25" x14ac:dyDescent="0.2">
      <c r="Y24031" s="97"/>
    </row>
    <row r="24032" spans="25:25" x14ac:dyDescent="0.2">
      <c r="Y24032" s="97"/>
    </row>
    <row r="24033" spans="25:25" x14ac:dyDescent="0.2">
      <c r="Y24033" s="97"/>
    </row>
    <row r="24034" spans="25:25" x14ac:dyDescent="0.2">
      <c r="Y24034" s="97"/>
    </row>
    <row r="24035" spans="25:25" x14ac:dyDescent="0.2">
      <c r="Y24035" s="97"/>
    </row>
    <row r="24036" spans="25:25" x14ac:dyDescent="0.2">
      <c r="Y24036" s="97"/>
    </row>
    <row r="24037" spans="25:25" x14ac:dyDescent="0.2">
      <c r="Y24037" s="97"/>
    </row>
    <row r="24038" spans="25:25" x14ac:dyDescent="0.2">
      <c r="Y24038" s="97"/>
    </row>
    <row r="24039" spans="25:25" x14ac:dyDescent="0.2">
      <c r="Y24039" s="97"/>
    </row>
    <row r="24040" spans="25:25" x14ac:dyDescent="0.2">
      <c r="Y24040" s="97"/>
    </row>
    <row r="24041" spans="25:25" x14ac:dyDescent="0.2">
      <c r="Y24041" s="97"/>
    </row>
    <row r="24042" spans="25:25" x14ac:dyDescent="0.2">
      <c r="Y24042" s="97"/>
    </row>
    <row r="24043" spans="25:25" x14ac:dyDescent="0.2">
      <c r="Y24043" s="97"/>
    </row>
    <row r="24044" spans="25:25" x14ac:dyDescent="0.2">
      <c r="Y24044" s="97"/>
    </row>
    <row r="24045" spans="25:25" x14ac:dyDescent="0.2">
      <c r="Y24045" s="97"/>
    </row>
    <row r="24046" spans="25:25" x14ac:dyDescent="0.2">
      <c r="Y24046" s="97"/>
    </row>
    <row r="24047" spans="25:25" x14ac:dyDescent="0.2">
      <c r="Y24047" s="97"/>
    </row>
    <row r="24048" spans="25:25" x14ac:dyDescent="0.2">
      <c r="Y24048" s="97"/>
    </row>
    <row r="24049" spans="25:25" x14ac:dyDescent="0.2">
      <c r="Y24049" s="97"/>
    </row>
    <row r="24050" spans="25:25" x14ac:dyDescent="0.2">
      <c r="Y24050" s="97"/>
    </row>
    <row r="24051" spans="25:25" x14ac:dyDescent="0.2">
      <c r="Y24051" s="97"/>
    </row>
    <row r="24052" spans="25:25" x14ac:dyDescent="0.2">
      <c r="Y24052" s="97"/>
    </row>
    <row r="24053" spans="25:25" x14ac:dyDescent="0.2">
      <c r="Y24053" s="97"/>
    </row>
    <row r="24054" spans="25:25" x14ac:dyDescent="0.2">
      <c r="Y24054" s="97"/>
    </row>
    <row r="24055" spans="25:25" x14ac:dyDescent="0.2">
      <c r="Y24055" s="97"/>
    </row>
    <row r="24056" spans="25:25" x14ac:dyDescent="0.2">
      <c r="Y24056" s="97"/>
    </row>
    <row r="24057" spans="25:25" x14ac:dyDescent="0.2">
      <c r="Y24057" s="97"/>
    </row>
    <row r="24058" spans="25:25" x14ac:dyDescent="0.2">
      <c r="Y24058" s="97"/>
    </row>
    <row r="24059" spans="25:25" x14ac:dyDescent="0.2">
      <c r="Y24059" s="97"/>
    </row>
    <row r="24060" spans="25:25" x14ac:dyDescent="0.2">
      <c r="Y24060" s="97"/>
    </row>
    <row r="24061" spans="25:25" x14ac:dyDescent="0.2">
      <c r="Y24061" s="97"/>
    </row>
    <row r="24062" spans="25:25" x14ac:dyDescent="0.2">
      <c r="Y24062" s="97"/>
    </row>
    <row r="24063" spans="25:25" x14ac:dyDescent="0.2">
      <c r="Y24063" s="97"/>
    </row>
    <row r="24064" spans="25:25" x14ac:dyDescent="0.2">
      <c r="Y24064" s="97"/>
    </row>
    <row r="24065" spans="25:25" x14ac:dyDescent="0.2">
      <c r="Y24065" s="97"/>
    </row>
    <row r="24066" spans="25:25" x14ac:dyDescent="0.2">
      <c r="Y24066" s="97"/>
    </row>
    <row r="24067" spans="25:25" x14ac:dyDescent="0.2">
      <c r="Y24067" s="97"/>
    </row>
    <row r="24068" spans="25:25" x14ac:dyDescent="0.2">
      <c r="Y24068" s="97"/>
    </row>
    <row r="24069" spans="25:25" x14ac:dyDescent="0.2">
      <c r="Y24069" s="97"/>
    </row>
    <row r="24070" spans="25:25" x14ac:dyDescent="0.2">
      <c r="Y24070" s="97"/>
    </row>
    <row r="24071" spans="25:25" x14ac:dyDescent="0.2">
      <c r="Y24071" s="97"/>
    </row>
    <row r="24072" spans="25:25" x14ac:dyDescent="0.2">
      <c r="Y24072" s="97"/>
    </row>
    <row r="24073" spans="25:25" x14ac:dyDescent="0.2">
      <c r="Y24073" s="97"/>
    </row>
    <row r="24074" spans="25:25" x14ac:dyDescent="0.2">
      <c r="Y24074" s="97"/>
    </row>
    <row r="24075" spans="25:25" x14ac:dyDescent="0.2">
      <c r="Y24075" s="97"/>
    </row>
    <row r="24076" spans="25:25" x14ac:dyDescent="0.2">
      <c r="Y24076" s="97"/>
    </row>
    <row r="24077" spans="25:25" x14ac:dyDescent="0.2">
      <c r="Y24077" s="97"/>
    </row>
    <row r="24078" spans="25:25" x14ac:dyDescent="0.2">
      <c r="Y24078" s="97"/>
    </row>
    <row r="24079" spans="25:25" x14ac:dyDescent="0.2">
      <c r="Y24079" s="97"/>
    </row>
    <row r="24080" spans="25:25" x14ac:dyDescent="0.2">
      <c r="Y24080" s="97"/>
    </row>
    <row r="24081" spans="25:25" x14ac:dyDescent="0.2">
      <c r="Y24081" s="97"/>
    </row>
    <row r="24082" spans="25:25" x14ac:dyDescent="0.2">
      <c r="Y24082" s="97"/>
    </row>
    <row r="24083" spans="25:25" x14ac:dyDescent="0.2">
      <c r="Y24083" s="97"/>
    </row>
    <row r="24084" spans="25:25" x14ac:dyDescent="0.2">
      <c r="Y24084" s="97"/>
    </row>
    <row r="24085" spans="25:25" x14ac:dyDescent="0.2">
      <c r="Y24085" s="97"/>
    </row>
    <row r="24086" spans="25:25" x14ac:dyDescent="0.2">
      <c r="Y24086" s="97"/>
    </row>
    <row r="24087" spans="25:25" x14ac:dyDescent="0.2">
      <c r="Y24087" s="97"/>
    </row>
    <row r="24088" spans="25:25" x14ac:dyDescent="0.2">
      <c r="Y24088" s="97"/>
    </row>
    <row r="24089" spans="25:25" x14ac:dyDescent="0.2">
      <c r="Y24089" s="97"/>
    </row>
    <row r="24090" spans="25:25" x14ac:dyDescent="0.2">
      <c r="Y24090" s="97"/>
    </row>
    <row r="24091" spans="25:25" x14ac:dyDescent="0.2">
      <c r="Y24091" s="97"/>
    </row>
    <row r="24092" spans="25:25" x14ac:dyDescent="0.2">
      <c r="Y24092" s="97"/>
    </row>
    <row r="24093" spans="25:25" x14ac:dyDescent="0.2">
      <c r="Y24093" s="97"/>
    </row>
    <row r="24094" spans="25:25" x14ac:dyDescent="0.2">
      <c r="Y24094" s="97"/>
    </row>
    <row r="24095" spans="25:25" x14ac:dyDescent="0.2">
      <c r="Y24095" s="97"/>
    </row>
    <row r="24096" spans="25:25" x14ac:dyDescent="0.2">
      <c r="Y24096" s="97"/>
    </row>
    <row r="24097" spans="25:25" x14ac:dyDescent="0.2">
      <c r="Y24097" s="97"/>
    </row>
    <row r="24098" spans="25:25" x14ac:dyDescent="0.2">
      <c r="Y24098" s="97"/>
    </row>
    <row r="24099" spans="25:25" x14ac:dyDescent="0.2">
      <c r="Y24099" s="97"/>
    </row>
    <row r="24100" spans="25:25" x14ac:dyDescent="0.2">
      <c r="Y24100" s="97"/>
    </row>
    <row r="24101" spans="25:25" x14ac:dyDescent="0.2">
      <c r="Y24101" s="97"/>
    </row>
    <row r="24102" spans="25:25" x14ac:dyDescent="0.2">
      <c r="Y24102" s="97"/>
    </row>
    <row r="24103" spans="25:25" x14ac:dyDescent="0.2">
      <c r="Y24103" s="97"/>
    </row>
    <row r="24104" spans="25:25" x14ac:dyDescent="0.2">
      <c r="Y24104" s="97"/>
    </row>
    <row r="24105" spans="25:25" x14ac:dyDescent="0.2">
      <c r="Y24105" s="97"/>
    </row>
    <row r="24106" spans="25:25" x14ac:dyDescent="0.2">
      <c r="Y24106" s="97"/>
    </row>
    <row r="24107" spans="25:25" x14ac:dyDescent="0.2">
      <c r="Y24107" s="97"/>
    </row>
    <row r="24108" spans="25:25" x14ac:dyDescent="0.2">
      <c r="Y24108" s="97"/>
    </row>
    <row r="24109" spans="25:25" x14ac:dyDescent="0.2">
      <c r="Y24109" s="97"/>
    </row>
    <row r="24110" spans="25:25" x14ac:dyDescent="0.2">
      <c r="Y24110" s="97"/>
    </row>
    <row r="24111" spans="25:25" x14ac:dyDescent="0.2">
      <c r="Y24111" s="97"/>
    </row>
    <row r="24112" spans="25:25" x14ac:dyDescent="0.2">
      <c r="Y24112" s="97"/>
    </row>
    <row r="24113" spans="25:25" x14ac:dyDescent="0.2">
      <c r="Y24113" s="97"/>
    </row>
    <row r="24114" spans="25:25" x14ac:dyDescent="0.2">
      <c r="Y24114" s="97"/>
    </row>
    <row r="24115" spans="25:25" x14ac:dyDescent="0.2">
      <c r="Y24115" s="97"/>
    </row>
    <row r="24116" spans="25:25" x14ac:dyDescent="0.2">
      <c r="Y24116" s="97"/>
    </row>
    <row r="24117" spans="25:25" x14ac:dyDescent="0.2">
      <c r="Y24117" s="97"/>
    </row>
    <row r="24118" spans="25:25" x14ac:dyDescent="0.2">
      <c r="Y24118" s="97"/>
    </row>
    <row r="24119" spans="25:25" x14ac:dyDescent="0.2">
      <c r="Y24119" s="97"/>
    </row>
    <row r="24120" spans="25:25" x14ac:dyDescent="0.2">
      <c r="Y24120" s="97"/>
    </row>
    <row r="24121" spans="25:25" x14ac:dyDescent="0.2">
      <c r="Y24121" s="97"/>
    </row>
    <row r="24122" spans="25:25" x14ac:dyDescent="0.2">
      <c r="Y24122" s="97"/>
    </row>
    <row r="24123" spans="25:25" x14ac:dyDescent="0.2">
      <c r="Y24123" s="97"/>
    </row>
    <row r="24124" spans="25:25" x14ac:dyDescent="0.2">
      <c r="Y24124" s="97"/>
    </row>
    <row r="24125" spans="25:25" x14ac:dyDescent="0.2">
      <c r="Y24125" s="97"/>
    </row>
    <row r="24126" spans="25:25" x14ac:dyDescent="0.2">
      <c r="Y24126" s="97"/>
    </row>
    <row r="24127" spans="25:25" x14ac:dyDescent="0.2">
      <c r="Y24127" s="97"/>
    </row>
    <row r="24128" spans="25:25" x14ac:dyDescent="0.2">
      <c r="Y24128" s="97"/>
    </row>
    <row r="24129" spans="25:25" x14ac:dyDescent="0.2">
      <c r="Y24129" s="97"/>
    </row>
    <row r="24130" spans="25:25" x14ac:dyDescent="0.2">
      <c r="Y24130" s="97"/>
    </row>
    <row r="24131" spans="25:25" x14ac:dyDescent="0.2">
      <c r="Y24131" s="97"/>
    </row>
    <row r="24132" spans="25:25" x14ac:dyDescent="0.2">
      <c r="Y24132" s="97"/>
    </row>
    <row r="24133" spans="25:25" x14ac:dyDescent="0.2">
      <c r="Y24133" s="97"/>
    </row>
    <row r="24134" spans="25:25" x14ac:dyDescent="0.2">
      <c r="Y24134" s="97"/>
    </row>
    <row r="24135" spans="25:25" x14ac:dyDescent="0.2">
      <c r="Y24135" s="97"/>
    </row>
    <row r="24136" spans="25:25" x14ac:dyDescent="0.2">
      <c r="Y24136" s="97"/>
    </row>
    <row r="24137" spans="25:25" x14ac:dyDescent="0.2">
      <c r="Y24137" s="97"/>
    </row>
    <row r="24138" spans="25:25" x14ac:dyDescent="0.2">
      <c r="Y24138" s="97"/>
    </row>
    <row r="24139" spans="25:25" x14ac:dyDescent="0.2">
      <c r="Y24139" s="97"/>
    </row>
    <row r="24140" spans="25:25" x14ac:dyDescent="0.2">
      <c r="Y24140" s="97"/>
    </row>
    <row r="24141" spans="25:25" x14ac:dyDescent="0.2">
      <c r="Y24141" s="97"/>
    </row>
    <row r="24142" spans="25:25" x14ac:dyDescent="0.2">
      <c r="Y24142" s="97"/>
    </row>
    <row r="24143" spans="25:25" x14ac:dyDescent="0.2">
      <c r="Y24143" s="97"/>
    </row>
    <row r="24144" spans="25:25" x14ac:dyDescent="0.2">
      <c r="Y24144" s="97"/>
    </row>
    <row r="24145" spans="25:25" x14ac:dyDescent="0.2">
      <c r="Y24145" s="97"/>
    </row>
    <row r="24146" spans="25:25" x14ac:dyDescent="0.2">
      <c r="Y24146" s="97"/>
    </row>
    <row r="24147" spans="25:25" x14ac:dyDescent="0.2">
      <c r="Y24147" s="97"/>
    </row>
    <row r="24148" spans="25:25" x14ac:dyDescent="0.2">
      <c r="Y24148" s="97"/>
    </row>
    <row r="24149" spans="25:25" x14ac:dyDescent="0.2">
      <c r="Y24149" s="97"/>
    </row>
    <row r="24150" spans="25:25" x14ac:dyDescent="0.2">
      <c r="Y24150" s="97"/>
    </row>
    <row r="24151" spans="25:25" x14ac:dyDescent="0.2">
      <c r="Y24151" s="97"/>
    </row>
    <row r="24152" spans="25:25" x14ac:dyDescent="0.2">
      <c r="Y24152" s="97"/>
    </row>
    <row r="24153" spans="25:25" x14ac:dyDescent="0.2">
      <c r="Y24153" s="97"/>
    </row>
    <row r="24154" spans="25:25" x14ac:dyDescent="0.2">
      <c r="Y24154" s="97"/>
    </row>
    <row r="24155" spans="25:25" x14ac:dyDescent="0.2">
      <c r="Y24155" s="97"/>
    </row>
    <row r="24156" spans="25:25" x14ac:dyDescent="0.2">
      <c r="Y24156" s="97"/>
    </row>
    <row r="24157" spans="25:25" x14ac:dyDescent="0.2">
      <c r="Y24157" s="97"/>
    </row>
    <row r="24158" spans="25:25" x14ac:dyDescent="0.2">
      <c r="Y24158" s="97"/>
    </row>
    <row r="24159" spans="25:25" x14ac:dyDescent="0.2">
      <c r="Y24159" s="97"/>
    </row>
    <row r="24160" spans="25:25" x14ac:dyDescent="0.2">
      <c r="Y24160" s="97"/>
    </row>
    <row r="24161" spans="25:25" x14ac:dyDescent="0.2">
      <c r="Y24161" s="97"/>
    </row>
    <row r="24162" spans="25:25" x14ac:dyDescent="0.2">
      <c r="Y24162" s="97"/>
    </row>
    <row r="24163" spans="25:25" x14ac:dyDescent="0.2">
      <c r="Y24163" s="97"/>
    </row>
    <row r="24164" spans="25:25" x14ac:dyDescent="0.2">
      <c r="Y24164" s="97"/>
    </row>
    <row r="24165" spans="25:25" x14ac:dyDescent="0.2">
      <c r="Y24165" s="97"/>
    </row>
    <row r="24166" spans="25:25" x14ac:dyDescent="0.2">
      <c r="Y24166" s="97"/>
    </row>
    <row r="24167" spans="25:25" x14ac:dyDescent="0.2">
      <c r="Y24167" s="97"/>
    </row>
    <row r="24168" spans="25:25" x14ac:dyDescent="0.2">
      <c r="Y24168" s="97"/>
    </row>
    <row r="24169" spans="25:25" x14ac:dyDescent="0.2">
      <c r="Y24169" s="97"/>
    </row>
    <row r="24170" spans="25:25" x14ac:dyDescent="0.2">
      <c r="Y24170" s="97"/>
    </row>
    <row r="24171" spans="25:25" x14ac:dyDescent="0.2">
      <c r="Y24171" s="97"/>
    </row>
    <row r="24172" spans="25:25" x14ac:dyDescent="0.2">
      <c r="Y24172" s="97"/>
    </row>
    <row r="24173" spans="25:25" x14ac:dyDescent="0.2">
      <c r="Y24173" s="97"/>
    </row>
    <row r="24174" spans="25:25" x14ac:dyDescent="0.2">
      <c r="Y24174" s="97"/>
    </row>
    <row r="24175" spans="25:25" x14ac:dyDescent="0.2">
      <c r="Y24175" s="97"/>
    </row>
    <row r="24176" spans="25:25" x14ac:dyDescent="0.2">
      <c r="Y24176" s="97"/>
    </row>
    <row r="24177" spans="25:25" x14ac:dyDescent="0.2">
      <c r="Y24177" s="97"/>
    </row>
    <row r="24178" spans="25:25" x14ac:dyDescent="0.2">
      <c r="Y24178" s="97"/>
    </row>
    <row r="24179" spans="25:25" x14ac:dyDescent="0.2">
      <c r="Y24179" s="97"/>
    </row>
    <row r="24180" spans="25:25" x14ac:dyDescent="0.2">
      <c r="Y24180" s="97"/>
    </row>
    <row r="24181" spans="25:25" x14ac:dyDescent="0.2">
      <c r="Y24181" s="97"/>
    </row>
    <row r="24182" spans="25:25" x14ac:dyDescent="0.2">
      <c r="Y24182" s="97"/>
    </row>
    <row r="24183" spans="25:25" x14ac:dyDescent="0.2">
      <c r="Y24183" s="97"/>
    </row>
    <row r="24184" spans="25:25" x14ac:dyDescent="0.2">
      <c r="Y24184" s="97"/>
    </row>
    <row r="24185" spans="25:25" x14ac:dyDescent="0.2">
      <c r="Y24185" s="97"/>
    </row>
    <row r="24186" spans="25:25" x14ac:dyDescent="0.2">
      <c r="Y24186" s="97"/>
    </row>
    <row r="24187" spans="25:25" x14ac:dyDescent="0.2">
      <c r="Y24187" s="97"/>
    </row>
    <row r="24188" spans="25:25" x14ac:dyDescent="0.2">
      <c r="Y24188" s="97"/>
    </row>
    <row r="24189" spans="25:25" x14ac:dyDescent="0.2">
      <c r="Y24189" s="97"/>
    </row>
    <row r="24190" spans="25:25" x14ac:dyDescent="0.2">
      <c r="Y24190" s="97"/>
    </row>
    <row r="24191" spans="25:25" x14ac:dyDescent="0.2">
      <c r="Y24191" s="97"/>
    </row>
    <row r="24192" spans="25:25" x14ac:dyDescent="0.2">
      <c r="Y24192" s="97"/>
    </row>
    <row r="24193" spans="25:25" x14ac:dyDescent="0.2">
      <c r="Y24193" s="97"/>
    </row>
    <row r="24194" spans="25:25" x14ac:dyDescent="0.2">
      <c r="Y24194" s="97"/>
    </row>
    <row r="24195" spans="25:25" x14ac:dyDescent="0.2">
      <c r="Y24195" s="97"/>
    </row>
    <row r="24196" spans="25:25" x14ac:dyDescent="0.2">
      <c r="Y24196" s="97"/>
    </row>
    <row r="24197" spans="25:25" x14ac:dyDescent="0.2">
      <c r="Y24197" s="97"/>
    </row>
    <row r="24198" spans="25:25" x14ac:dyDescent="0.2">
      <c r="Y24198" s="97"/>
    </row>
    <row r="24199" spans="25:25" x14ac:dyDescent="0.2">
      <c r="Y24199" s="97"/>
    </row>
    <row r="24200" spans="25:25" x14ac:dyDescent="0.2">
      <c r="Y24200" s="97"/>
    </row>
    <row r="24201" spans="25:25" x14ac:dyDescent="0.2">
      <c r="Y24201" s="97"/>
    </row>
    <row r="24202" spans="25:25" x14ac:dyDescent="0.2">
      <c r="Y24202" s="97"/>
    </row>
    <row r="24203" spans="25:25" x14ac:dyDescent="0.2">
      <c r="Y24203" s="97"/>
    </row>
    <row r="24204" spans="25:25" x14ac:dyDescent="0.2">
      <c r="Y24204" s="97"/>
    </row>
    <row r="24205" spans="25:25" x14ac:dyDescent="0.2">
      <c r="Y24205" s="97"/>
    </row>
    <row r="24206" spans="25:25" x14ac:dyDescent="0.2">
      <c r="Y24206" s="97"/>
    </row>
    <row r="24207" spans="25:25" x14ac:dyDescent="0.2">
      <c r="Y24207" s="97"/>
    </row>
    <row r="24208" spans="25:25" x14ac:dyDescent="0.2">
      <c r="Y24208" s="97"/>
    </row>
    <row r="24209" spans="25:25" x14ac:dyDescent="0.2">
      <c r="Y24209" s="97"/>
    </row>
    <row r="24210" spans="25:25" x14ac:dyDescent="0.2">
      <c r="Y24210" s="97"/>
    </row>
    <row r="24211" spans="25:25" x14ac:dyDescent="0.2">
      <c r="Y24211" s="97"/>
    </row>
    <row r="24212" spans="25:25" x14ac:dyDescent="0.2">
      <c r="Y24212" s="97"/>
    </row>
    <row r="24213" spans="25:25" x14ac:dyDescent="0.2">
      <c r="Y24213" s="97"/>
    </row>
    <row r="24214" spans="25:25" x14ac:dyDescent="0.2">
      <c r="Y24214" s="97"/>
    </row>
    <row r="24215" spans="25:25" x14ac:dyDescent="0.2">
      <c r="Y24215" s="97"/>
    </row>
    <row r="24216" spans="25:25" x14ac:dyDescent="0.2">
      <c r="Y24216" s="97"/>
    </row>
    <row r="24217" spans="25:25" x14ac:dyDescent="0.2">
      <c r="Y24217" s="97"/>
    </row>
    <row r="24218" spans="25:25" x14ac:dyDescent="0.2">
      <c r="Y24218" s="97"/>
    </row>
    <row r="24219" spans="25:25" x14ac:dyDescent="0.2">
      <c r="Y24219" s="97"/>
    </row>
    <row r="24220" spans="25:25" x14ac:dyDescent="0.2">
      <c r="Y24220" s="97"/>
    </row>
    <row r="24221" spans="25:25" x14ac:dyDescent="0.2">
      <c r="Y24221" s="97"/>
    </row>
    <row r="24222" spans="25:25" x14ac:dyDescent="0.2">
      <c r="Y24222" s="97"/>
    </row>
    <row r="24223" spans="25:25" x14ac:dyDescent="0.2">
      <c r="Y24223" s="97"/>
    </row>
    <row r="24224" spans="25:25" x14ac:dyDescent="0.2">
      <c r="Y24224" s="97"/>
    </row>
    <row r="24225" spans="25:25" x14ac:dyDescent="0.2">
      <c r="Y24225" s="97"/>
    </row>
    <row r="24226" spans="25:25" x14ac:dyDescent="0.2">
      <c r="Y24226" s="97"/>
    </row>
    <row r="24227" spans="25:25" x14ac:dyDescent="0.2">
      <c r="Y24227" s="97"/>
    </row>
    <row r="24228" spans="25:25" x14ac:dyDescent="0.2">
      <c r="Y24228" s="97"/>
    </row>
    <row r="24229" spans="25:25" x14ac:dyDescent="0.2">
      <c r="Y24229" s="97"/>
    </row>
    <row r="24230" spans="25:25" x14ac:dyDescent="0.2">
      <c r="Y24230" s="97"/>
    </row>
    <row r="24231" spans="25:25" x14ac:dyDescent="0.2">
      <c r="Y24231" s="97"/>
    </row>
    <row r="24232" spans="25:25" x14ac:dyDescent="0.2">
      <c r="Y24232" s="97"/>
    </row>
    <row r="24233" spans="25:25" x14ac:dyDescent="0.2">
      <c r="Y24233" s="97"/>
    </row>
    <row r="24234" spans="25:25" x14ac:dyDescent="0.2">
      <c r="Y24234" s="97"/>
    </row>
    <row r="24235" spans="25:25" x14ac:dyDescent="0.2">
      <c r="Y24235" s="97"/>
    </row>
    <row r="24236" spans="25:25" x14ac:dyDescent="0.2">
      <c r="Y24236" s="97"/>
    </row>
    <row r="24237" spans="25:25" x14ac:dyDescent="0.2">
      <c r="Y24237" s="97"/>
    </row>
    <row r="24238" spans="25:25" x14ac:dyDescent="0.2">
      <c r="Y24238" s="97"/>
    </row>
    <row r="24239" spans="25:25" x14ac:dyDescent="0.2">
      <c r="Y24239" s="97"/>
    </row>
    <row r="24240" spans="25:25" x14ac:dyDescent="0.2">
      <c r="Y24240" s="97"/>
    </row>
    <row r="24241" spans="25:25" x14ac:dyDescent="0.2">
      <c r="Y24241" s="97"/>
    </row>
    <row r="24242" spans="25:25" x14ac:dyDescent="0.2">
      <c r="Y24242" s="97"/>
    </row>
    <row r="24243" spans="25:25" x14ac:dyDescent="0.2">
      <c r="Y24243" s="97"/>
    </row>
    <row r="24244" spans="25:25" x14ac:dyDescent="0.2">
      <c r="Y24244" s="97"/>
    </row>
    <row r="24245" spans="25:25" x14ac:dyDescent="0.2">
      <c r="Y24245" s="97"/>
    </row>
    <row r="24246" spans="25:25" x14ac:dyDescent="0.2">
      <c r="Y24246" s="97"/>
    </row>
    <row r="24247" spans="25:25" x14ac:dyDescent="0.2">
      <c r="Y24247" s="97"/>
    </row>
    <row r="24248" spans="25:25" x14ac:dyDescent="0.2">
      <c r="Y24248" s="97"/>
    </row>
    <row r="24249" spans="25:25" x14ac:dyDescent="0.2">
      <c r="Y24249" s="97"/>
    </row>
    <row r="24250" spans="25:25" x14ac:dyDescent="0.2">
      <c r="Y24250" s="97"/>
    </row>
    <row r="24251" spans="25:25" x14ac:dyDescent="0.2">
      <c r="Y24251" s="97"/>
    </row>
    <row r="24252" spans="25:25" x14ac:dyDescent="0.2">
      <c r="Y24252" s="97"/>
    </row>
    <row r="24253" spans="25:25" x14ac:dyDescent="0.2">
      <c r="Y24253" s="97"/>
    </row>
    <row r="24254" spans="25:25" x14ac:dyDescent="0.2">
      <c r="Y24254" s="97"/>
    </row>
    <row r="24255" spans="25:25" x14ac:dyDescent="0.2">
      <c r="Y24255" s="97"/>
    </row>
    <row r="24256" spans="25:25" x14ac:dyDescent="0.2">
      <c r="Y24256" s="97"/>
    </row>
    <row r="24257" spans="25:25" x14ac:dyDescent="0.2">
      <c r="Y24257" s="97"/>
    </row>
    <row r="24258" spans="25:25" x14ac:dyDescent="0.2">
      <c r="Y24258" s="97"/>
    </row>
    <row r="24259" spans="25:25" x14ac:dyDescent="0.2">
      <c r="Y24259" s="97"/>
    </row>
    <row r="24260" spans="25:25" x14ac:dyDescent="0.2">
      <c r="Y24260" s="97"/>
    </row>
    <row r="24261" spans="25:25" x14ac:dyDescent="0.2">
      <c r="Y24261" s="97"/>
    </row>
    <row r="24262" spans="25:25" x14ac:dyDescent="0.2">
      <c r="Y24262" s="97"/>
    </row>
    <row r="24263" spans="25:25" x14ac:dyDescent="0.2">
      <c r="Y24263" s="97"/>
    </row>
    <row r="24264" spans="25:25" x14ac:dyDescent="0.2">
      <c r="Y24264" s="97"/>
    </row>
    <row r="24265" spans="25:25" x14ac:dyDescent="0.2">
      <c r="Y24265" s="97"/>
    </row>
    <row r="24266" spans="25:25" x14ac:dyDescent="0.2">
      <c r="Y24266" s="97"/>
    </row>
    <row r="24267" spans="25:25" x14ac:dyDescent="0.2">
      <c r="Y24267" s="97"/>
    </row>
    <row r="24268" spans="25:25" x14ac:dyDescent="0.2">
      <c r="Y24268" s="97"/>
    </row>
    <row r="24269" spans="25:25" x14ac:dyDescent="0.2">
      <c r="Y24269" s="97"/>
    </row>
    <row r="24270" spans="25:25" x14ac:dyDescent="0.2">
      <c r="Y24270" s="97"/>
    </row>
    <row r="24271" spans="25:25" x14ac:dyDescent="0.2">
      <c r="Y24271" s="97"/>
    </row>
    <row r="24272" spans="25:25" x14ac:dyDescent="0.2">
      <c r="Y24272" s="97"/>
    </row>
    <row r="24273" spans="25:25" x14ac:dyDescent="0.2">
      <c r="Y24273" s="97"/>
    </row>
    <row r="24274" spans="25:25" x14ac:dyDescent="0.2">
      <c r="Y24274" s="97"/>
    </row>
    <row r="24275" spans="25:25" x14ac:dyDescent="0.2">
      <c r="Y24275" s="97"/>
    </row>
    <row r="24276" spans="25:25" x14ac:dyDescent="0.2">
      <c r="Y24276" s="97"/>
    </row>
    <row r="24277" spans="25:25" x14ac:dyDescent="0.2">
      <c r="Y24277" s="97"/>
    </row>
    <row r="24278" spans="25:25" x14ac:dyDescent="0.2">
      <c r="Y24278" s="97"/>
    </row>
    <row r="24279" spans="25:25" x14ac:dyDescent="0.2">
      <c r="Y24279" s="97"/>
    </row>
    <row r="24280" spans="25:25" x14ac:dyDescent="0.2">
      <c r="Y24280" s="97"/>
    </row>
    <row r="24281" spans="25:25" x14ac:dyDescent="0.2">
      <c r="Y24281" s="97"/>
    </row>
    <row r="24282" spans="25:25" x14ac:dyDescent="0.2">
      <c r="Y24282" s="97"/>
    </row>
    <row r="24283" spans="25:25" x14ac:dyDescent="0.2">
      <c r="Y24283" s="97"/>
    </row>
    <row r="24284" spans="25:25" x14ac:dyDescent="0.2">
      <c r="Y24284" s="97"/>
    </row>
    <row r="24285" spans="25:25" x14ac:dyDescent="0.2">
      <c r="Y24285" s="97"/>
    </row>
    <row r="24286" spans="25:25" x14ac:dyDescent="0.2">
      <c r="Y24286" s="97"/>
    </row>
    <row r="24287" spans="25:25" x14ac:dyDescent="0.2">
      <c r="Y24287" s="97"/>
    </row>
    <row r="24288" spans="25:25" x14ac:dyDescent="0.2">
      <c r="Y24288" s="97"/>
    </row>
    <row r="24289" spans="25:25" x14ac:dyDescent="0.2">
      <c r="Y24289" s="97"/>
    </row>
    <row r="24290" spans="25:25" x14ac:dyDescent="0.2">
      <c r="Y24290" s="97"/>
    </row>
    <row r="24291" spans="25:25" x14ac:dyDescent="0.2">
      <c r="Y24291" s="97"/>
    </row>
    <row r="24292" spans="25:25" x14ac:dyDescent="0.2">
      <c r="Y24292" s="97"/>
    </row>
    <row r="24293" spans="25:25" x14ac:dyDescent="0.2">
      <c r="Y24293" s="97"/>
    </row>
    <row r="24294" spans="25:25" x14ac:dyDescent="0.2">
      <c r="Y24294" s="97"/>
    </row>
    <row r="24295" spans="25:25" x14ac:dyDescent="0.2">
      <c r="Y24295" s="97"/>
    </row>
    <row r="24296" spans="25:25" x14ac:dyDescent="0.2">
      <c r="Y24296" s="97"/>
    </row>
    <row r="24297" spans="25:25" x14ac:dyDescent="0.2">
      <c r="Y24297" s="97"/>
    </row>
    <row r="24298" spans="25:25" x14ac:dyDescent="0.2">
      <c r="Y24298" s="97"/>
    </row>
    <row r="24299" spans="25:25" x14ac:dyDescent="0.2">
      <c r="Y24299" s="97"/>
    </row>
    <row r="24300" spans="25:25" x14ac:dyDescent="0.2">
      <c r="Y24300" s="97"/>
    </row>
    <row r="24301" spans="25:25" x14ac:dyDescent="0.2">
      <c r="Y24301" s="97"/>
    </row>
    <row r="24302" spans="25:25" x14ac:dyDescent="0.2">
      <c r="Y24302" s="97"/>
    </row>
    <row r="24303" spans="25:25" x14ac:dyDescent="0.2">
      <c r="Y24303" s="97"/>
    </row>
    <row r="24304" spans="25:25" x14ac:dyDescent="0.2">
      <c r="Y24304" s="97"/>
    </row>
    <row r="24305" spans="25:25" x14ac:dyDescent="0.2">
      <c r="Y24305" s="97"/>
    </row>
    <row r="24306" spans="25:25" x14ac:dyDescent="0.2">
      <c r="Y24306" s="97"/>
    </row>
    <row r="24307" spans="25:25" x14ac:dyDescent="0.2">
      <c r="Y24307" s="97"/>
    </row>
    <row r="24308" spans="25:25" x14ac:dyDescent="0.2">
      <c r="Y24308" s="97"/>
    </row>
    <row r="24309" spans="25:25" x14ac:dyDescent="0.2">
      <c r="Y24309" s="97"/>
    </row>
    <row r="24310" spans="25:25" x14ac:dyDescent="0.2">
      <c r="Y24310" s="97"/>
    </row>
    <row r="24311" spans="25:25" x14ac:dyDescent="0.2">
      <c r="Y24311" s="97"/>
    </row>
    <row r="24312" spans="25:25" x14ac:dyDescent="0.2">
      <c r="Y24312" s="97"/>
    </row>
    <row r="24313" spans="25:25" x14ac:dyDescent="0.2">
      <c r="Y24313" s="97"/>
    </row>
    <row r="24314" spans="25:25" x14ac:dyDescent="0.2">
      <c r="Y24314" s="97"/>
    </row>
    <row r="24315" spans="25:25" x14ac:dyDescent="0.2">
      <c r="Y24315" s="97"/>
    </row>
    <row r="24316" spans="25:25" x14ac:dyDescent="0.2">
      <c r="Y24316" s="97"/>
    </row>
    <row r="24317" spans="25:25" x14ac:dyDescent="0.2">
      <c r="Y24317" s="97"/>
    </row>
    <row r="24318" spans="25:25" x14ac:dyDescent="0.2">
      <c r="Y24318" s="97"/>
    </row>
    <row r="24319" spans="25:25" x14ac:dyDescent="0.2">
      <c r="Y24319" s="97"/>
    </row>
    <row r="24320" spans="25:25" x14ac:dyDescent="0.2">
      <c r="Y24320" s="97"/>
    </row>
    <row r="24321" spans="25:25" x14ac:dyDescent="0.2">
      <c r="Y24321" s="97"/>
    </row>
    <row r="24322" spans="25:25" x14ac:dyDescent="0.2">
      <c r="Y24322" s="97"/>
    </row>
    <row r="24323" spans="25:25" x14ac:dyDescent="0.2">
      <c r="Y24323" s="97"/>
    </row>
    <row r="24324" spans="25:25" x14ac:dyDescent="0.2">
      <c r="Y24324" s="97"/>
    </row>
    <row r="24325" spans="25:25" x14ac:dyDescent="0.2">
      <c r="Y24325" s="97"/>
    </row>
    <row r="24326" spans="25:25" x14ac:dyDescent="0.2">
      <c r="Y24326" s="97"/>
    </row>
    <row r="24327" spans="25:25" x14ac:dyDescent="0.2">
      <c r="Y24327" s="97"/>
    </row>
    <row r="24328" spans="25:25" x14ac:dyDescent="0.2">
      <c r="Y24328" s="97"/>
    </row>
    <row r="24329" spans="25:25" x14ac:dyDescent="0.2">
      <c r="Y24329" s="97"/>
    </row>
    <row r="24330" spans="25:25" x14ac:dyDescent="0.2">
      <c r="Y24330" s="97"/>
    </row>
    <row r="24331" spans="25:25" x14ac:dyDescent="0.2">
      <c r="Y24331" s="97"/>
    </row>
    <row r="24332" spans="25:25" x14ac:dyDescent="0.2">
      <c r="Y24332" s="97"/>
    </row>
    <row r="24333" spans="25:25" x14ac:dyDescent="0.2">
      <c r="Y24333" s="97"/>
    </row>
    <row r="24334" spans="25:25" x14ac:dyDescent="0.2">
      <c r="Y24334" s="97"/>
    </row>
    <row r="24335" spans="25:25" x14ac:dyDescent="0.2">
      <c r="Y24335" s="97"/>
    </row>
    <row r="24336" spans="25:25" x14ac:dyDescent="0.2">
      <c r="Y24336" s="97"/>
    </row>
    <row r="24337" spans="25:25" x14ac:dyDescent="0.2">
      <c r="Y24337" s="97"/>
    </row>
    <row r="24338" spans="25:25" x14ac:dyDescent="0.2">
      <c r="Y24338" s="97"/>
    </row>
    <row r="24339" spans="25:25" x14ac:dyDescent="0.2">
      <c r="Y24339" s="97"/>
    </row>
    <row r="24340" spans="25:25" x14ac:dyDescent="0.2">
      <c r="Y24340" s="97"/>
    </row>
    <row r="24341" spans="25:25" x14ac:dyDescent="0.2">
      <c r="Y24341" s="97"/>
    </row>
    <row r="24342" spans="25:25" x14ac:dyDescent="0.2">
      <c r="Y24342" s="97"/>
    </row>
    <row r="24343" spans="25:25" x14ac:dyDescent="0.2">
      <c r="Y24343" s="97"/>
    </row>
    <row r="24344" spans="25:25" x14ac:dyDescent="0.2">
      <c r="Y24344" s="97"/>
    </row>
    <row r="24345" spans="25:25" x14ac:dyDescent="0.2">
      <c r="Y24345" s="97"/>
    </row>
    <row r="24346" spans="25:25" x14ac:dyDescent="0.2">
      <c r="Y24346" s="97"/>
    </row>
    <row r="24347" spans="25:25" x14ac:dyDescent="0.2">
      <c r="Y24347" s="97"/>
    </row>
    <row r="24348" spans="25:25" x14ac:dyDescent="0.2">
      <c r="Y24348" s="97"/>
    </row>
    <row r="24349" spans="25:25" x14ac:dyDescent="0.2">
      <c r="Y24349" s="97"/>
    </row>
    <row r="24350" spans="25:25" x14ac:dyDescent="0.2">
      <c r="Y24350" s="97"/>
    </row>
    <row r="24351" spans="25:25" x14ac:dyDescent="0.2">
      <c r="Y24351" s="97"/>
    </row>
    <row r="24352" spans="25:25" x14ac:dyDescent="0.2">
      <c r="Y24352" s="97"/>
    </row>
    <row r="24353" spans="25:25" x14ac:dyDescent="0.2">
      <c r="Y24353" s="97"/>
    </row>
    <row r="24354" spans="25:25" x14ac:dyDescent="0.2">
      <c r="Y24354" s="97"/>
    </row>
    <row r="24355" spans="25:25" x14ac:dyDescent="0.2">
      <c r="Y24355" s="97"/>
    </row>
    <row r="24356" spans="25:25" x14ac:dyDescent="0.2">
      <c r="Y24356" s="97"/>
    </row>
    <row r="24357" spans="25:25" x14ac:dyDescent="0.2">
      <c r="Y24357" s="97"/>
    </row>
    <row r="24358" spans="25:25" x14ac:dyDescent="0.2">
      <c r="Y24358" s="97"/>
    </row>
    <row r="24359" spans="25:25" x14ac:dyDescent="0.2">
      <c r="Y24359" s="97"/>
    </row>
    <row r="24360" spans="25:25" x14ac:dyDescent="0.2">
      <c r="Y24360" s="97"/>
    </row>
    <row r="24361" spans="25:25" x14ac:dyDescent="0.2">
      <c r="Y24361" s="97"/>
    </row>
    <row r="24362" spans="25:25" x14ac:dyDescent="0.2">
      <c r="Y24362" s="97"/>
    </row>
    <row r="24363" spans="25:25" x14ac:dyDescent="0.2">
      <c r="Y24363" s="97"/>
    </row>
    <row r="24364" spans="25:25" x14ac:dyDescent="0.2">
      <c r="Y24364" s="97"/>
    </row>
    <row r="24365" spans="25:25" x14ac:dyDescent="0.2">
      <c r="Y24365" s="97"/>
    </row>
    <row r="24366" spans="25:25" x14ac:dyDescent="0.2">
      <c r="Y24366" s="97"/>
    </row>
    <row r="24367" spans="25:25" x14ac:dyDescent="0.2">
      <c r="Y24367" s="97"/>
    </row>
    <row r="24368" spans="25:25" x14ac:dyDescent="0.2">
      <c r="Y24368" s="97"/>
    </row>
    <row r="24369" spans="25:25" x14ac:dyDescent="0.2">
      <c r="Y24369" s="97"/>
    </row>
    <row r="24370" spans="25:25" x14ac:dyDescent="0.2">
      <c r="Y24370" s="97"/>
    </row>
    <row r="24371" spans="25:25" x14ac:dyDescent="0.2">
      <c r="Y24371" s="97"/>
    </row>
    <row r="24372" spans="25:25" x14ac:dyDescent="0.2">
      <c r="Y24372" s="97"/>
    </row>
    <row r="24373" spans="25:25" x14ac:dyDescent="0.2">
      <c r="Y24373" s="97"/>
    </row>
    <row r="24374" spans="25:25" x14ac:dyDescent="0.2">
      <c r="Y24374" s="97"/>
    </row>
    <row r="24375" spans="25:25" x14ac:dyDescent="0.2">
      <c r="Y24375" s="97"/>
    </row>
    <row r="24376" spans="25:25" x14ac:dyDescent="0.2">
      <c r="Y24376" s="97"/>
    </row>
    <row r="24377" spans="25:25" x14ac:dyDescent="0.2">
      <c r="Y24377" s="97"/>
    </row>
    <row r="24378" spans="25:25" x14ac:dyDescent="0.2">
      <c r="Y24378" s="97"/>
    </row>
    <row r="24379" spans="25:25" x14ac:dyDescent="0.2">
      <c r="Y24379" s="97"/>
    </row>
    <row r="24380" spans="25:25" x14ac:dyDescent="0.2">
      <c r="Y24380" s="97"/>
    </row>
    <row r="24381" spans="25:25" x14ac:dyDescent="0.2">
      <c r="Y24381" s="97"/>
    </row>
    <row r="24382" spans="25:25" x14ac:dyDescent="0.2">
      <c r="Y24382" s="97"/>
    </row>
    <row r="24383" spans="25:25" x14ac:dyDescent="0.2">
      <c r="Y24383" s="97"/>
    </row>
    <row r="24384" spans="25:25" x14ac:dyDescent="0.2">
      <c r="Y24384" s="97"/>
    </row>
    <row r="24385" spans="25:25" x14ac:dyDescent="0.2">
      <c r="Y24385" s="97"/>
    </row>
    <row r="24386" spans="25:25" x14ac:dyDescent="0.2">
      <c r="Y24386" s="97"/>
    </row>
    <row r="24387" spans="25:25" x14ac:dyDescent="0.2">
      <c r="Y24387" s="97"/>
    </row>
    <row r="24388" spans="25:25" x14ac:dyDescent="0.2">
      <c r="Y24388" s="97"/>
    </row>
    <row r="24389" spans="25:25" x14ac:dyDescent="0.2">
      <c r="Y24389" s="97"/>
    </row>
    <row r="24390" spans="25:25" x14ac:dyDescent="0.2">
      <c r="Y24390" s="97"/>
    </row>
    <row r="24391" spans="25:25" x14ac:dyDescent="0.2">
      <c r="Y24391" s="97"/>
    </row>
    <row r="24392" spans="25:25" x14ac:dyDescent="0.2">
      <c r="Y24392" s="97"/>
    </row>
    <row r="24393" spans="25:25" x14ac:dyDescent="0.2">
      <c r="Y24393" s="97"/>
    </row>
    <row r="24394" spans="25:25" x14ac:dyDescent="0.2">
      <c r="Y24394" s="97"/>
    </row>
    <row r="24395" spans="25:25" x14ac:dyDescent="0.2">
      <c r="Y24395" s="97"/>
    </row>
    <row r="24396" spans="25:25" x14ac:dyDescent="0.2">
      <c r="Y24396" s="97"/>
    </row>
    <row r="24397" spans="25:25" x14ac:dyDescent="0.2">
      <c r="Y24397" s="97"/>
    </row>
    <row r="24398" spans="25:25" x14ac:dyDescent="0.2">
      <c r="Y24398" s="97"/>
    </row>
    <row r="24399" spans="25:25" x14ac:dyDescent="0.2">
      <c r="Y24399" s="97"/>
    </row>
    <row r="24400" spans="25:25" x14ac:dyDescent="0.2">
      <c r="Y24400" s="97"/>
    </row>
    <row r="24401" spans="25:25" x14ac:dyDescent="0.2">
      <c r="Y24401" s="97"/>
    </row>
    <row r="24402" spans="25:25" x14ac:dyDescent="0.2">
      <c r="Y24402" s="97"/>
    </row>
    <row r="24403" spans="25:25" x14ac:dyDescent="0.2">
      <c r="Y24403" s="97"/>
    </row>
    <row r="24404" spans="25:25" x14ac:dyDescent="0.2">
      <c r="Y24404" s="97"/>
    </row>
    <row r="24405" spans="25:25" x14ac:dyDescent="0.2">
      <c r="Y24405" s="97"/>
    </row>
    <row r="24406" spans="25:25" x14ac:dyDescent="0.2">
      <c r="Y24406" s="97"/>
    </row>
    <row r="24407" spans="25:25" x14ac:dyDescent="0.2">
      <c r="Y24407" s="97"/>
    </row>
    <row r="24408" spans="25:25" x14ac:dyDescent="0.2">
      <c r="Y24408" s="97"/>
    </row>
    <row r="24409" spans="25:25" x14ac:dyDescent="0.2">
      <c r="Y24409" s="97"/>
    </row>
    <row r="24410" spans="25:25" x14ac:dyDescent="0.2">
      <c r="Y24410" s="97"/>
    </row>
    <row r="24411" spans="25:25" x14ac:dyDescent="0.2">
      <c r="Y24411" s="97"/>
    </row>
    <row r="24412" spans="25:25" x14ac:dyDescent="0.2">
      <c r="Y24412" s="97"/>
    </row>
    <row r="24413" spans="25:25" x14ac:dyDescent="0.2">
      <c r="Y24413" s="97"/>
    </row>
    <row r="24414" spans="25:25" x14ac:dyDescent="0.2">
      <c r="Y24414" s="97"/>
    </row>
    <row r="24415" spans="25:25" x14ac:dyDescent="0.2">
      <c r="Y24415" s="97"/>
    </row>
    <row r="24416" spans="25:25" x14ac:dyDescent="0.2">
      <c r="Y24416" s="97"/>
    </row>
    <row r="24417" spans="25:25" x14ac:dyDescent="0.2">
      <c r="Y24417" s="97"/>
    </row>
    <row r="24418" spans="25:25" x14ac:dyDescent="0.2">
      <c r="Y24418" s="97"/>
    </row>
    <row r="24419" spans="25:25" x14ac:dyDescent="0.2">
      <c r="Y24419" s="97"/>
    </row>
    <row r="24420" spans="25:25" x14ac:dyDescent="0.2">
      <c r="Y24420" s="97"/>
    </row>
    <row r="24421" spans="25:25" x14ac:dyDescent="0.2">
      <c r="Y24421" s="97"/>
    </row>
    <row r="24422" spans="25:25" x14ac:dyDescent="0.2">
      <c r="Y24422" s="97"/>
    </row>
    <row r="24423" spans="25:25" x14ac:dyDescent="0.2">
      <c r="Y24423" s="97"/>
    </row>
    <row r="24424" spans="25:25" x14ac:dyDescent="0.2">
      <c r="Y24424" s="97"/>
    </row>
    <row r="24425" spans="25:25" x14ac:dyDescent="0.2">
      <c r="Y24425" s="97"/>
    </row>
    <row r="24426" spans="25:25" x14ac:dyDescent="0.2">
      <c r="Y24426" s="97"/>
    </row>
    <row r="24427" spans="25:25" x14ac:dyDescent="0.2">
      <c r="Y24427" s="97"/>
    </row>
    <row r="24428" spans="25:25" x14ac:dyDescent="0.2">
      <c r="Y24428" s="97"/>
    </row>
    <row r="24429" spans="25:25" x14ac:dyDescent="0.2">
      <c r="Y24429" s="97"/>
    </row>
    <row r="24430" spans="25:25" x14ac:dyDescent="0.2">
      <c r="Y24430" s="97"/>
    </row>
    <row r="24431" spans="25:25" x14ac:dyDescent="0.2">
      <c r="Y24431" s="97"/>
    </row>
    <row r="24432" spans="25:25" x14ac:dyDescent="0.2">
      <c r="Y24432" s="97"/>
    </row>
    <row r="24433" spans="25:25" x14ac:dyDescent="0.2">
      <c r="Y24433" s="97"/>
    </row>
    <row r="24434" spans="25:25" x14ac:dyDescent="0.2">
      <c r="Y24434" s="97"/>
    </row>
    <row r="24435" spans="25:25" x14ac:dyDescent="0.2">
      <c r="Y24435" s="97"/>
    </row>
    <row r="24436" spans="25:25" x14ac:dyDescent="0.2">
      <c r="Y24436" s="97"/>
    </row>
    <row r="24437" spans="25:25" x14ac:dyDescent="0.2">
      <c r="Y24437" s="97"/>
    </row>
    <row r="24438" spans="25:25" x14ac:dyDescent="0.2">
      <c r="Y24438" s="97"/>
    </row>
    <row r="24439" spans="25:25" x14ac:dyDescent="0.2">
      <c r="Y24439" s="97"/>
    </row>
    <row r="24440" spans="25:25" x14ac:dyDescent="0.2">
      <c r="Y24440" s="97"/>
    </row>
    <row r="24441" spans="25:25" x14ac:dyDescent="0.2">
      <c r="Y24441" s="97"/>
    </row>
    <row r="24442" spans="25:25" x14ac:dyDescent="0.2">
      <c r="Y24442" s="97"/>
    </row>
    <row r="24443" spans="25:25" x14ac:dyDescent="0.2">
      <c r="Y24443" s="97"/>
    </row>
    <row r="24444" spans="25:25" x14ac:dyDescent="0.2">
      <c r="Y24444" s="97"/>
    </row>
    <row r="24445" spans="25:25" x14ac:dyDescent="0.2">
      <c r="Y24445" s="97"/>
    </row>
    <row r="24446" spans="25:25" x14ac:dyDescent="0.2">
      <c r="Y24446" s="97"/>
    </row>
    <row r="24447" spans="25:25" x14ac:dyDescent="0.2">
      <c r="Y24447" s="97"/>
    </row>
    <row r="24448" spans="25:25" x14ac:dyDescent="0.2">
      <c r="Y24448" s="97"/>
    </row>
    <row r="24449" spans="25:25" x14ac:dyDescent="0.2">
      <c r="Y24449" s="97"/>
    </row>
    <row r="24450" spans="25:25" x14ac:dyDescent="0.2">
      <c r="Y24450" s="97"/>
    </row>
    <row r="24451" spans="25:25" x14ac:dyDescent="0.2">
      <c r="Y24451" s="97"/>
    </row>
    <row r="24452" spans="25:25" x14ac:dyDescent="0.2">
      <c r="Y24452" s="97"/>
    </row>
    <row r="24453" spans="25:25" x14ac:dyDescent="0.2">
      <c r="Y24453" s="97"/>
    </row>
    <row r="24454" spans="25:25" x14ac:dyDescent="0.2">
      <c r="Y24454" s="97"/>
    </row>
    <row r="24455" spans="25:25" x14ac:dyDescent="0.2">
      <c r="Y24455" s="97"/>
    </row>
    <row r="24456" spans="25:25" x14ac:dyDescent="0.2">
      <c r="Y24456" s="97"/>
    </row>
    <row r="24457" spans="25:25" x14ac:dyDescent="0.2">
      <c r="Y24457" s="97"/>
    </row>
    <row r="24458" spans="25:25" x14ac:dyDescent="0.2">
      <c r="Y24458" s="97"/>
    </row>
    <row r="24459" spans="25:25" x14ac:dyDescent="0.2">
      <c r="Y24459" s="97"/>
    </row>
    <row r="24460" spans="25:25" x14ac:dyDescent="0.2">
      <c r="Y24460" s="97"/>
    </row>
    <row r="24461" spans="25:25" x14ac:dyDescent="0.2">
      <c r="Y24461" s="97"/>
    </row>
    <row r="24462" spans="25:25" x14ac:dyDescent="0.2">
      <c r="Y24462" s="97"/>
    </row>
    <row r="24463" spans="25:25" x14ac:dyDescent="0.2">
      <c r="Y24463" s="97"/>
    </row>
    <row r="24464" spans="25:25" x14ac:dyDescent="0.2">
      <c r="Y24464" s="97"/>
    </row>
    <row r="24465" spans="25:25" x14ac:dyDescent="0.2">
      <c r="Y24465" s="97"/>
    </row>
    <row r="24466" spans="25:25" x14ac:dyDescent="0.2">
      <c r="Y24466" s="97"/>
    </row>
    <row r="24467" spans="25:25" x14ac:dyDescent="0.2">
      <c r="Y24467" s="97"/>
    </row>
    <row r="24468" spans="25:25" x14ac:dyDescent="0.2">
      <c r="Y24468" s="97"/>
    </row>
    <row r="24469" spans="25:25" x14ac:dyDescent="0.2">
      <c r="Y24469" s="97"/>
    </row>
    <row r="24470" spans="25:25" x14ac:dyDescent="0.2">
      <c r="Y24470" s="97"/>
    </row>
    <row r="24471" spans="25:25" x14ac:dyDescent="0.2">
      <c r="Y24471" s="97"/>
    </row>
    <row r="24472" spans="25:25" x14ac:dyDescent="0.2">
      <c r="Y24472" s="97"/>
    </row>
    <row r="24473" spans="25:25" x14ac:dyDescent="0.2">
      <c r="Y24473" s="97"/>
    </row>
    <row r="24474" spans="25:25" x14ac:dyDescent="0.2">
      <c r="Y24474" s="97"/>
    </row>
    <row r="24475" spans="25:25" x14ac:dyDescent="0.2">
      <c r="Y24475" s="97"/>
    </row>
    <row r="24476" spans="25:25" x14ac:dyDescent="0.2">
      <c r="Y24476" s="97"/>
    </row>
    <row r="24477" spans="25:25" x14ac:dyDescent="0.2">
      <c r="Y24477" s="97"/>
    </row>
    <row r="24478" spans="25:25" x14ac:dyDescent="0.2">
      <c r="Y24478" s="97"/>
    </row>
    <row r="24479" spans="25:25" x14ac:dyDescent="0.2">
      <c r="Y24479" s="97"/>
    </row>
    <row r="24480" spans="25:25" x14ac:dyDescent="0.2">
      <c r="Y24480" s="97"/>
    </row>
    <row r="24481" spans="25:25" x14ac:dyDescent="0.2">
      <c r="Y24481" s="97"/>
    </row>
    <row r="24482" spans="25:25" x14ac:dyDescent="0.2">
      <c r="Y24482" s="97"/>
    </row>
    <row r="24483" spans="25:25" x14ac:dyDescent="0.2">
      <c r="Y24483" s="97"/>
    </row>
    <row r="24484" spans="25:25" x14ac:dyDescent="0.2">
      <c r="Y24484" s="97"/>
    </row>
    <row r="24485" spans="25:25" x14ac:dyDescent="0.2">
      <c r="Y24485" s="97"/>
    </row>
    <row r="24486" spans="25:25" x14ac:dyDescent="0.2">
      <c r="Y24486" s="97"/>
    </row>
    <row r="24487" spans="25:25" x14ac:dyDescent="0.2">
      <c r="Y24487" s="97"/>
    </row>
    <row r="24488" spans="25:25" x14ac:dyDescent="0.2">
      <c r="Y24488" s="97"/>
    </row>
    <row r="24489" spans="25:25" x14ac:dyDescent="0.2">
      <c r="Y24489" s="97"/>
    </row>
    <row r="24490" spans="25:25" x14ac:dyDescent="0.2">
      <c r="Y24490" s="97"/>
    </row>
    <row r="24491" spans="25:25" x14ac:dyDescent="0.2">
      <c r="Y24491" s="97"/>
    </row>
    <row r="24492" spans="25:25" x14ac:dyDescent="0.2">
      <c r="Y24492" s="97"/>
    </row>
    <row r="24493" spans="25:25" x14ac:dyDescent="0.2">
      <c r="Y24493" s="97"/>
    </row>
    <row r="24494" spans="25:25" x14ac:dyDescent="0.2">
      <c r="Y24494" s="97"/>
    </row>
    <row r="24495" spans="25:25" x14ac:dyDescent="0.2">
      <c r="Y24495" s="97"/>
    </row>
    <row r="24496" spans="25:25" x14ac:dyDescent="0.2">
      <c r="Y24496" s="97"/>
    </row>
    <row r="24497" spans="25:25" x14ac:dyDescent="0.2">
      <c r="Y24497" s="97"/>
    </row>
    <row r="24498" spans="25:25" x14ac:dyDescent="0.2">
      <c r="Y24498" s="97"/>
    </row>
    <row r="24499" spans="25:25" x14ac:dyDescent="0.2">
      <c r="Y24499" s="97"/>
    </row>
    <row r="24500" spans="25:25" x14ac:dyDescent="0.2">
      <c r="Y24500" s="97"/>
    </row>
    <row r="24501" spans="25:25" x14ac:dyDescent="0.2">
      <c r="Y24501" s="97"/>
    </row>
    <row r="24502" spans="25:25" x14ac:dyDescent="0.2">
      <c r="Y24502" s="97"/>
    </row>
    <row r="24503" spans="25:25" x14ac:dyDescent="0.2">
      <c r="Y24503" s="97"/>
    </row>
    <row r="24504" spans="25:25" x14ac:dyDescent="0.2">
      <c r="Y24504" s="97"/>
    </row>
    <row r="24505" spans="25:25" x14ac:dyDescent="0.2">
      <c r="Y24505" s="97"/>
    </row>
    <row r="24506" spans="25:25" x14ac:dyDescent="0.2">
      <c r="Y24506" s="97"/>
    </row>
    <row r="24507" spans="25:25" x14ac:dyDescent="0.2">
      <c r="Y24507" s="97"/>
    </row>
    <row r="24508" spans="25:25" x14ac:dyDescent="0.2">
      <c r="Y24508" s="97"/>
    </row>
    <row r="24509" spans="25:25" x14ac:dyDescent="0.2">
      <c r="Y24509" s="97"/>
    </row>
    <row r="24510" spans="25:25" x14ac:dyDescent="0.2">
      <c r="Y24510" s="97"/>
    </row>
    <row r="24511" spans="25:25" x14ac:dyDescent="0.2">
      <c r="Y24511" s="97"/>
    </row>
    <row r="24512" spans="25:25" x14ac:dyDescent="0.2">
      <c r="Y24512" s="97"/>
    </row>
    <row r="24513" spans="25:25" x14ac:dyDescent="0.2">
      <c r="Y24513" s="97"/>
    </row>
    <row r="24514" spans="25:25" x14ac:dyDescent="0.2">
      <c r="Y24514" s="97"/>
    </row>
    <row r="24515" spans="25:25" x14ac:dyDescent="0.2">
      <c r="Y24515" s="97"/>
    </row>
    <row r="24516" spans="25:25" x14ac:dyDescent="0.2">
      <c r="Y24516" s="97"/>
    </row>
    <row r="24517" spans="25:25" x14ac:dyDescent="0.2">
      <c r="Y24517" s="97"/>
    </row>
    <row r="24518" spans="25:25" x14ac:dyDescent="0.2">
      <c r="Y24518" s="97"/>
    </row>
    <row r="24519" spans="25:25" x14ac:dyDescent="0.2">
      <c r="Y24519" s="97"/>
    </row>
    <row r="24520" spans="25:25" x14ac:dyDescent="0.2">
      <c r="Y24520" s="97"/>
    </row>
    <row r="24521" spans="25:25" x14ac:dyDescent="0.2">
      <c r="Y24521" s="97"/>
    </row>
    <row r="24522" spans="25:25" x14ac:dyDescent="0.2">
      <c r="Y24522" s="97"/>
    </row>
    <row r="24523" spans="25:25" x14ac:dyDescent="0.2">
      <c r="Y24523" s="97"/>
    </row>
    <row r="24524" spans="25:25" x14ac:dyDescent="0.2">
      <c r="Y24524" s="97"/>
    </row>
    <row r="24525" spans="25:25" x14ac:dyDescent="0.2">
      <c r="Y24525" s="97"/>
    </row>
    <row r="24526" spans="25:25" x14ac:dyDescent="0.2">
      <c r="Y24526" s="97"/>
    </row>
    <row r="24527" spans="25:25" x14ac:dyDescent="0.2">
      <c r="Y24527" s="97"/>
    </row>
    <row r="24528" spans="25:25" x14ac:dyDescent="0.2">
      <c r="Y24528" s="97"/>
    </row>
    <row r="24529" spans="25:25" x14ac:dyDescent="0.2">
      <c r="Y24529" s="97"/>
    </row>
    <row r="24530" spans="25:25" x14ac:dyDescent="0.2">
      <c r="Y24530" s="97"/>
    </row>
    <row r="24531" spans="25:25" x14ac:dyDescent="0.2">
      <c r="Y24531" s="97"/>
    </row>
    <row r="24532" spans="25:25" x14ac:dyDescent="0.2">
      <c r="Y24532" s="97"/>
    </row>
    <row r="24533" spans="25:25" x14ac:dyDescent="0.2">
      <c r="Y24533" s="97"/>
    </row>
    <row r="24534" spans="25:25" x14ac:dyDescent="0.2">
      <c r="Y24534" s="97"/>
    </row>
    <row r="24535" spans="25:25" x14ac:dyDescent="0.2">
      <c r="Y24535" s="97"/>
    </row>
    <row r="24536" spans="25:25" x14ac:dyDescent="0.2">
      <c r="Y24536" s="97"/>
    </row>
    <row r="24537" spans="25:25" x14ac:dyDescent="0.2">
      <c r="Y24537" s="97"/>
    </row>
    <row r="24538" spans="25:25" x14ac:dyDescent="0.2">
      <c r="Y24538" s="97"/>
    </row>
    <row r="24539" spans="25:25" x14ac:dyDescent="0.2">
      <c r="Y24539" s="97"/>
    </row>
    <row r="24540" spans="25:25" x14ac:dyDescent="0.2">
      <c r="Y24540" s="97"/>
    </row>
    <row r="24541" spans="25:25" x14ac:dyDescent="0.2">
      <c r="Y24541" s="97"/>
    </row>
    <row r="24542" spans="25:25" x14ac:dyDescent="0.2">
      <c r="Y24542" s="97"/>
    </row>
    <row r="24543" spans="25:25" x14ac:dyDescent="0.2">
      <c r="Y24543" s="97"/>
    </row>
    <row r="24544" spans="25:25" x14ac:dyDescent="0.2">
      <c r="Y24544" s="97"/>
    </row>
    <row r="24545" spans="25:25" x14ac:dyDescent="0.2">
      <c r="Y24545" s="97"/>
    </row>
    <row r="24546" spans="25:25" x14ac:dyDescent="0.2">
      <c r="Y24546" s="97"/>
    </row>
    <row r="24547" spans="25:25" x14ac:dyDescent="0.2">
      <c r="Y24547" s="97"/>
    </row>
    <row r="24548" spans="25:25" x14ac:dyDescent="0.2">
      <c r="Y24548" s="97"/>
    </row>
    <row r="24549" spans="25:25" x14ac:dyDescent="0.2">
      <c r="Y24549" s="97"/>
    </row>
    <row r="24550" spans="25:25" x14ac:dyDescent="0.2">
      <c r="Y24550" s="97"/>
    </row>
    <row r="24551" spans="25:25" x14ac:dyDescent="0.2">
      <c r="Y24551" s="97"/>
    </row>
    <row r="24552" spans="25:25" x14ac:dyDescent="0.2">
      <c r="Y24552" s="97"/>
    </row>
    <row r="24553" spans="25:25" x14ac:dyDescent="0.2">
      <c r="Y24553" s="97"/>
    </row>
    <row r="24554" spans="25:25" x14ac:dyDescent="0.2">
      <c r="Y24554" s="97"/>
    </row>
    <row r="24555" spans="25:25" x14ac:dyDescent="0.2">
      <c r="Y24555" s="97"/>
    </row>
    <row r="24556" spans="25:25" x14ac:dyDescent="0.2">
      <c r="Y24556" s="97"/>
    </row>
    <row r="24557" spans="25:25" x14ac:dyDescent="0.2">
      <c r="Y24557" s="97"/>
    </row>
    <row r="24558" spans="25:25" x14ac:dyDescent="0.2">
      <c r="Y24558" s="97"/>
    </row>
    <row r="24559" spans="25:25" x14ac:dyDescent="0.2">
      <c r="Y24559" s="97"/>
    </row>
    <row r="24560" spans="25:25" x14ac:dyDescent="0.2">
      <c r="Y24560" s="97"/>
    </row>
    <row r="24561" spans="25:25" x14ac:dyDescent="0.2">
      <c r="Y24561" s="97"/>
    </row>
    <row r="24562" spans="25:25" x14ac:dyDescent="0.2">
      <c r="Y24562" s="97"/>
    </row>
    <row r="24563" spans="25:25" x14ac:dyDescent="0.2">
      <c r="Y24563" s="97"/>
    </row>
    <row r="24564" spans="25:25" x14ac:dyDescent="0.2">
      <c r="Y24564" s="97"/>
    </row>
    <row r="24565" spans="25:25" x14ac:dyDescent="0.2">
      <c r="Y24565" s="97"/>
    </row>
    <row r="24566" spans="25:25" x14ac:dyDescent="0.2">
      <c r="Y24566" s="97"/>
    </row>
    <row r="24567" spans="25:25" x14ac:dyDescent="0.2">
      <c r="Y24567" s="97"/>
    </row>
    <row r="24568" spans="25:25" x14ac:dyDescent="0.2">
      <c r="Y24568" s="97"/>
    </row>
    <row r="24569" spans="25:25" x14ac:dyDescent="0.2">
      <c r="Y24569" s="97"/>
    </row>
    <row r="24570" spans="25:25" x14ac:dyDescent="0.2">
      <c r="Y24570" s="97"/>
    </row>
    <row r="24571" spans="25:25" x14ac:dyDescent="0.2">
      <c r="Y24571" s="97"/>
    </row>
    <row r="24572" spans="25:25" x14ac:dyDescent="0.2">
      <c r="Y24572" s="97"/>
    </row>
    <row r="24573" spans="25:25" x14ac:dyDescent="0.2">
      <c r="Y24573" s="97"/>
    </row>
    <row r="24574" spans="25:25" x14ac:dyDescent="0.2">
      <c r="Y24574" s="97"/>
    </row>
    <row r="24575" spans="25:25" x14ac:dyDescent="0.2">
      <c r="Y24575" s="97"/>
    </row>
    <row r="24576" spans="25:25" x14ac:dyDescent="0.2">
      <c r="Y24576" s="97"/>
    </row>
    <row r="24577" spans="25:25" x14ac:dyDescent="0.2">
      <c r="Y24577" s="97"/>
    </row>
    <row r="24578" spans="25:25" x14ac:dyDescent="0.2">
      <c r="Y24578" s="97"/>
    </row>
    <row r="24579" spans="25:25" x14ac:dyDescent="0.2">
      <c r="Y24579" s="97"/>
    </row>
    <row r="24580" spans="25:25" x14ac:dyDescent="0.2">
      <c r="Y24580" s="97"/>
    </row>
    <row r="24581" spans="25:25" x14ac:dyDescent="0.2">
      <c r="Y24581" s="97"/>
    </row>
    <row r="24582" spans="25:25" x14ac:dyDescent="0.2">
      <c r="Y24582" s="97"/>
    </row>
    <row r="24583" spans="25:25" x14ac:dyDescent="0.2">
      <c r="Y24583" s="97"/>
    </row>
    <row r="24584" spans="25:25" x14ac:dyDescent="0.2">
      <c r="Y24584" s="97"/>
    </row>
    <row r="24585" spans="25:25" x14ac:dyDescent="0.2">
      <c r="Y24585" s="97"/>
    </row>
    <row r="24586" spans="25:25" x14ac:dyDescent="0.2">
      <c r="Y24586" s="97"/>
    </row>
    <row r="24587" spans="25:25" x14ac:dyDescent="0.2">
      <c r="Y24587" s="97"/>
    </row>
    <row r="24588" spans="25:25" x14ac:dyDescent="0.2">
      <c r="Y24588" s="97"/>
    </row>
    <row r="24589" spans="25:25" x14ac:dyDescent="0.2">
      <c r="Y24589" s="97"/>
    </row>
    <row r="24590" spans="25:25" x14ac:dyDescent="0.2">
      <c r="Y24590" s="97"/>
    </row>
    <row r="24591" spans="25:25" x14ac:dyDescent="0.2">
      <c r="Y24591" s="97"/>
    </row>
    <row r="24592" spans="25:25" x14ac:dyDescent="0.2">
      <c r="Y24592" s="97"/>
    </row>
    <row r="24593" spans="25:25" x14ac:dyDescent="0.2">
      <c r="Y24593" s="97"/>
    </row>
    <row r="24594" spans="25:25" x14ac:dyDescent="0.2">
      <c r="Y24594" s="97"/>
    </row>
    <row r="24595" spans="25:25" x14ac:dyDescent="0.2">
      <c r="Y24595" s="97"/>
    </row>
    <row r="24596" spans="25:25" x14ac:dyDescent="0.2">
      <c r="Y24596" s="97"/>
    </row>
    <row r="24597" spans="25:25" x14ac:dyDescent="0.2">
      <c r="Y24597" s="97"/>
    </row>
    <row r="24598" spans="25:25" x14ac:dyDescent="0.2">
      <c r="Y24598" s="97"/>
    </row>
    <row r="24599" spans="25:25" x14ac:dyDescent="0.2">
      <c r="Y24599" s="97"/>
    </row>
    <row r="24600" spans="25:25" x14ac:dyDescent="0.2">
      <c r="Y24600" s="97"/>
    </row>
    <row r="24601" spans="25:25" x14ac:dyDescent="0.2">
      <c r="Y24601" s="97"/>
    </row>
    <row r="24602" spans="25:25" x14ac:dyDescent="0.2">
      <c r="Y24602" s="97"/>
    </row>
    <row r="24603" spans="25:25" x14ac:dyDescent="0.2">
      <c r="Y24603" s="97"/>
    </row>
    <row r="24604" spans="25:25" x14ac:dyDescent="0.2">
      <c r="Y24604" s="97"/>
    </row>
    <row r="24605" spans="25:25" x14ac:dyDescent="0.2">
      <c r="Y24605" s="97"/>
    </row>
    <row r="24606" spans="25:25" x14ac:dyDescent="0.2">
      <c r="Y24606" s="97"/>
    </row>
    <row r="24607" spans="25:25" x14ac:dyDescent="0.2">
      <c r="Y24607" s="97"/>
    </row>
    <row r="24608" spans="25:25" x14ac:dyDescent="0.2">
      <c r="Y24608" s="97"/>
    </row>
    <row r="24609" spans="25:25" x14ac:dyDescent="0.2">
      <c r="Y24609" s="97"/>
    </row>
    <row r="24610" spans="25:25" x14ac:dyDescent="0.2">
      <c r="Y24610" s="97"/>
    </row>
    <row r="24611" spans="25:25" x14ac:dyDescent="0.2">
      <c r="Y24611" s="97"/>
    </row>
    <row r="24612" spans="25:25" x14ac:dyDescent="0.2">
      <c r="Y24612" s="97"/>
    </row>
    <row r="24613" spans="25:25" x14ac:dyDescent="0.2">
      <c r="Y24613" s="97"/>
    </row>
    <row r="24614" spans="25:25" x14ac:dyDescent="0.2">
      <c r="Y24614" s="97"/>
    </row>
    <row r="24615" spans="25:25" x14ac:dyDescent="0.2">
      <c r="Y24615" s="97"/>
    </row>
    <row r="24616" spans="25:25" x14ac:dyDescent="0.2">
      <c r="Y24616" s="97"/>
    </row>
    <row r="24617" spans="25:25" x14ac:dyDescent="0.2">
      <c r="Y24617" s="97"/>
    </row>
    <row r="24618" spans="25:25" x14ac:dyDescent="0.2">
      <c r="Y24618" s="97"/>
    </row>
    <row r="24619" spans="25:25" x14ac:dyDescent="0.2">
      <c r="Y24619" s="97"/>
    </row>
    <row r="24620" spans="25:25" x14ac:dyDescent="0.2">
      <c r="Y24620" s="97"/>
    </row>
    <row r="24621" spans="25:25" x14ac:dyDescent="0.2">
      <c r="Y24621" s="97"/>
    </row>
    <row r="24622" spans="25:25" x14ac:dyDescent="0.2">
      <c r="Y24622" s="97"/>
    </row>
    <row r="24623" spans="25:25" x14ac:dyDescent="0.2">
      <c r="Y24623" s="97"/>
    </row>
    <row r="24624" spans="25:25" x14ac:dyDescent="0.2">
      <c r="Y24624" s="97"/>
    </row>
    <row r="24625" spans="25:25" x14ac:dyDescent="0.2">
      <c r="Y24625" s="97"/>
    </row>
    <row r="24626" spans="25:25" x14ac:dyDescent="0.2">
      <c r="Y24626" s="97"/>
    </row>
    <row r="24627" spans="25:25" x14ac:dyDescent="0.2">
      <c r="Y24627" s="97"/>
    </row>
    <row r="24628" spans="25:25" x14ac:dyDescent="0.2">
      <c r="Y24628" s="97"/>
    </row>
    <row r="24629" spans="25:25" x14ac:dyDescent="0.2">
      <c r="Y24629" s="97"/>
    </row>
    <row r="24630" spans="25:25" x14ac:dyDescent="0.2">
      <c r="Y24630" s="97"/>
    </row>
    <row r="24631" spans="25:25" x14ac:dyDescent="0.2">
      <c r="Y24631" s="97"/>
    </row>
    <row r="24632" spans="25:25" x14ac:dyDescent="0.2">
      <c r="Y24632" s="97"/>
    </row>
    <row r="24633" spans="25:25" x14ac:dyDescent="0.2">
      <c r="Y24633" s="97"/>
    </row>
    <row r="24634" spans="25:25" x14ac:dyDescent="0.2">
      <c r="Y24634" s="97"/>
    </row>
    <row r="24635" spans="25:25" x14ac:dyDescent="0.2">
      <c r="Y24635" s="97"/>
    </row>
    <row r="24636" spans="25:25" x14ac:dyDescent="0.2">
      <c r="Y24636" s="97"/>
    </row>
    <row r="24637" spans="25:25" x14ac:dyDescent="0.2">
      <c r="Y24637" s="97"/>
    </row>
    <row r="24638" spans="25:25" x14ac:dyDescent="0.2">
      <c r="Y24638" s="97"/>
    </row>
    <row r="24639" spans="25:25" x14ac:dyDescent="0.2">
      <c r="Y24639" s="97"/>
    </row>
    <row r="24640" spans="25:25" x14ac:dyDescent="0.2">
      <c r="Y24640" s="97"/>
    </row>
    <row r="24641" spans="25:25" x14ac:dyDescent="0.2">
      <c r="Y24641" s="97"/>
    </row>
    <row r="24642" spans="25:25" x14ac:dyDescent="0.2">
      <c r="Y24642" s="97"/>
    </row>
    <row r="24643" spans="25:25" x14ac:dyDescent="0.2">
      <c r="Y24643" s="97"/>
    </row>
    <row r="24644" spans="25:25" x14ac:dyDescent="0.2">
      <c r="Y24644" s="97"/>
    </row>
    <row r="24645" spans="25:25" x14ac:dyDescent="0.2">
      <c r="Y24645" s="97"/>
    </row>
    <row r="24646" spans="25:25" x14ac:dyDescent="0.2">
      <c r="Y24646" s="97"/>
    </row>
    <row r="24647" spans="25:25" x14ac:dyDescent="0.2">
      <c r="Y24647" s="97"/>
    </row>
    <row r="24648" spans="25:25" x14ac:dyDescent="0.2">
      <c r="Y24648" s="97"/>
    </row>
    <row r="24649" spans="25:25" x14ac:dyDescent="0.2">
      <c r="Y24649" s="97"/>
    </row>
    <row r="24650" spans="25:25" x14ac:dyDescent="0.2">
      <c r="Y24650" s="97"/>
    </row>
    <row r="24651" spans="25:25" x14ac:dyDescent="0.2">
      <c r="Y24651" s="97"/>
    </row>
    <row r="24652" spans="25:25" x14ac:dyDescent="0.2">
      <c r="Y24652" s="97"/>
    </row>
    <row r="24653" spans="25:25" x14ac:dyDescent="0.2">
      <c r="Y24653" s="97"/>
    </row>
    <row r="24654" spans="25:25" x14ac:dyDescent="0.2">
      <c r="Y24654" s="97"/>
    </row>
    <row r="24655" spans="25:25" x14ac:dyDescent="0.2">
      <c r="Y24655" s="97"/>
    </row>
    <row r="24656" spans="25:25" x14ac:dyDescent="0.2">
      <c r="Y24656" s="97"/>
    </row>
    <row r="24657" spans="25:25" x14ac:dyDescent="0.2">
      <c r="Y24657" s="97"/>
    </row>
    <row r="24658" spans="25:25" x14ac:dyDescent="0.2">
      <c r="Y24658" s="97"/>
    </row>
    <row r="24659" spans="25:25" x14ac:dyDescent="0.2">
      <c r="Y24659" s="97"/>
    </row>
    <row r="24660" spans="25:25" x14ac:dyDescent="0.2">
      <c r="Y24660" s="97"/>
    </row>
    <row r="24661" spans="25:25" x14ac:dyDescent="0.2">
      <c r="Y24661" s="97"/>
    </row>
    <row r="24662" spans="25:25" x14ac:dyDescent="0.2">
      <c r="Y24662" s="97"/>
    </row>
    <row r="24663" spans="25:25" x14ac:dyDescent="0.2">
      <c r="Y24663" s="97"/>
    </row>
    <row r="24664" spans="25:25" x14ac:dyDescent="0.2">
      <c r="Y24664" s="97"/>
    </row>
    <row r="24665" spans="25:25" x14ac:dyDescent="0.2">
      <c r="Y24665" s="97"/>
    </row>
    <row r="24666" spans="25:25" x14ac:dyDescent="0.2">
      <c r="Y24666" s="97"/>
    </row>
    <row r="24667" spans="25:25" x14ac:dyDescent="0.2">
      <c r="Y24667" s="97"/>
    </row>
    <row r="24668" spans="25:25" x14ac:dyDescent="0.2">
      <c r="Y24668" s="97"/>
    </row>
    <row r="24669" spans="25:25" x14ac:dyDescent="0.2">
      <c r="Y24669" s="97"/>
    </row>
    <row r="24670" spans="25:25" x14ac:dyDescent="0.2">
      <c r="Y24670" s="97"/>
    </row>
    <row r="24671" spans="25:25" x14ac:dyDescent="0.2">
      <c r="Y24671" s="97"/>
    </row>
    <row r="24672" spans="25:25" x14ac:dyDescent="0.2">
      <c r="Y24672" s="97"/>
    </row>
    <row r="24673" spans="25:25" x14ac:dyDescent="0.2">
      <c r="Y24673" s="97"/>
    </row>
    <row r="24674" spans="25:25" x14ac:dyDescent="0.2">
      <c r="Y24674" s="97"/>
    </row>
    <row r="24675" spans="25:25" x14ac:dyDescent="0.2">
      <c r="Y24675" s="97"/>
    </row>
    <row r="24676" spans="25:25" x14ac:dyDescent="0.2">
      <c r="Y24676" s="97"/>
    </row>
    <row r="24677" spans="25:25" x14ac:dyDescent="0.2">
      <c r="Y24677" s="97"/>
    </row>
    <row r="24678" spans="25:25" x14ac:dyDescent="0.2">
      <c r="Y24678" s="97"/>
    </row>
    <row r="24679" spans="25:25" x14ac:dyDescent="0.2">
      <c r="Y24679" s="97"/>
    </row>
    <row r="24680" spans="25:25" x14ac:dyDescent="0.2">
      <c r="Y24680" s="97"/>
    </row>
    <row r="24681" spans="25:25" x14ac:dyDescent="0.2">
      <c r="Y24681" s="97"/>
    </row>
    <row r="24682" spans="25:25" x14ac:dyDescent="0.2">
      <c r="Y24682" s="97"/>
    </row>
    <row r="24683" spans="25:25" x14ac:dyDescent="0.2">
      <c r="Y24683" s="97"/>
    </row>
    <row r="24684" spans="25:25" x14ac:dyDescent="0.2">
      <c r="Y24684" s="97"/>
    </row>
    <row r="24685" spans="25:25" x14ac:dyDescent="0.2">
      <c r="Y24685" s="97"/>
    </row>
    <row r="24686" spans="25:25" x14ac:dyDescent="0.2">
      <c r="Y24686" s="97"/>
    </row>
    <row r="24687" spans="25:25" x14ac:dyDescent="0.2">
      <c r="Y24687" s="97"/>
    </row>
    <row r="24688" spans="25:25" x14ac:dyDescent="0.2">
      <c r="Y24688" s="97"/>
    </row>
    <row r="24689" spans="25:25" x14ac:dyDescent="0.2">
      <c r="Y24689" s="97"/>
    </row>
    <row r="24690" spans="25:25" x14ac:dyDescent="0.2">
      <c r="Y24690" s="97"/>
    </row>
    <row r="24691" spans="25:25" x14ac:dyDescent="0.2">
      <c r="Y24691" s="97"/>
    </row>
    <row r="24692" spans="25:25" x14ac:dyDescent="0.2">
      <c r="Y24692" s="97"/>
    </row>
    <row r="24693" spans="25:25" x14ac:dyDescent="0.2">
      <c r="Y24693" s="97"/>
    </row>
    <row r="24694" spans="25:25" x14ac:dyDescent="0.2">
      <c r="Y24694" s="97"/>
    </row>
    <row r="24695" spans="25:25" x14ac:dyDescent="0.2">
      <c r="Y24695" s="97"/>
    </row>
    <row r="24696" spans="25:25" x14ac:dyDescent="0.2">
      <c r="Y24696" s="97"/>
    </row>
    <row r="24697" spans="25:25" x14ac:dyDescent="0.2">
      <c r="Y24697" s="97"/>
    </row>
    <row r="24698" spans="25:25" x14ac:dyDescent="0.2">
      <c r="Y24698" s="97"/>
    </row>
    <row r="24699" spans="25:25" x14ac:dyDescent="0.2">
      <c r="Y24699" s="97"/>
    </row>
    <row r="24700" spans="25:25" x14ac:dyDescent="0.2">
      <c r="Y24700" s="97"/>
    </row>
    <row r="24701" spans="25:25" x14ac:dyDescent="0.2">
      <c r="Y24701" s="97"/>
    </row>
    <row r="24702" spans="25:25" x14ac:dyDescent="0.2">
      <c r="Y24702" s="97"/>
    </row>
    <row r="24703" spans="25:25" x14ac:dyDescent="0.2">
      <c r="Y24703" s="97"/>
    </row>
    <row r="24704" spans="25:25" x14ac:dyDescent="0.2">
      <c r="Y24704" s="97"/>
    </row>
    <row r="24705" spans="25:25" x14ac:dyDescent="0.2">
      <c r="Y24705" s="97"/>
    </row>
    <row r="24706" spans="25:25" x14ac:dyDescent="0.2">
      <c r="Y24706" s="97"/>
    </row>
    <row r="24707" spans="25:25" x14ac:dyDescent="0.2">
      <c r="Y24707" s="97"/>
    </row>
    <row r="24708" spans="25:25" x14ac:dyDescent="0.2">
      <c r="Y24708" s="97"/>
    </row>
    <row r="24709" spans="25:25" x14ac:dyDescent="0.2">
      <c r="Y24709" s="97"/>
    </row>
    <row r="24710" spans="25:25" x14ac:dyDescent="0.2">
      <c r="Y24710" s="97"/>
    </row>
    <row r="24711" spans="25:25" x14ac:dyDescent="0.2">
      <c r="Y24711" s="97"/>
    </row>
    <row r="24712" spans="25:25" x14ac:dyDescent="0.2">
      <c r="Y24712" s="97"/>
    </row>
    <row r="24713" spans="25:25" x14ac:dyDescent="0.2">
      <c r="Y24713" s="97"/>
    </row>
    <row r="24714" spans="25:25" x14ac:dyDescent="0.2">
      <c r="Y24714" s="97"/>
    </row>
    <row r="24715" spans="25:25" x14ac:dyDescent="0.2">
      <c r="Y24715" s="97"/>
    </row>
    <row r="24716" spans="25:25" x14ac:dyDescent="0.2">
      <c r="Y24716" s="97"/>
    </row>
    <row r="24717" spans="25:25" x14ac:dyDescent="0.2">
      <c r="Y24717" s="97"/>
    </row>
    <row r="24718" spans="25:25" x14ac:dyDescent="0.2">
      <c r="Y24718" s="97"/>
    </row>
    <row r="24719" spans="25:25" x14ac:dyDescent="0.2">
      <c r="Y24719" s="97"/>
    </row>
    <row r="24720" spans="25:25" x14ac:dyDescent="0.2">
      <c r="Y24720" s="97"/>
    </row>
    <row r="24721" spans="25:25" x14ac:dyDescent="0.2">
      <c r="Y24721" s="97"/>
    </row>
    <row r="24722" spans="25:25" x14ac:dyDescent="0.2">
      <c r="Y24722" s="97"/>
    </row>
    <row r="24723" spans="25:25" x14ac:dyDescent="0.2">
      <c r="Y24723" s="97"/>
    </row>
    <row r="24724" spans="25:25" x14ac:dyDescent="0.2">
      <c r="Y24724" s="97"/>
    </row>
    <row r="24725" spans="25:25" x14ac:dyDescent="0.2">
      <c r="Y24725" s="97"/>
    </row>
    <row r="24726" spans="25:25" x14ac:dyDescent="0.2">
      <c r="Y24726" s="97"/>
    </row>
    <row r="24727" spans="25:25" x14ac:dyDescent="0.2">
      <c r="Y24727" s="97"/>
    </row>
    <row r="24728" spans="25:25" x14ac:dyDescent="0.2">
      <c r="Y24728" s="97"/>
    </row>
    <row r="24729" spans="25:25" x14ac:dyDescent="0.2">
      <c r="Y24729" s="97"/>
    </row>
    <row r="24730" spans="25:25" x14ac:dyDescent="0.2">
      <c r="Y24730" s="97"/>
    </row>
    <row r="24731" spans="25:25" x14ac:dyDescent="0.2">
      <c r="Y24731" s="97"/>
    </row>
    <row r="24732" spans="25:25" x14ac:dyDescent="0.2">
      <c r="Y24732" s="97"/>
    </row>
    <row r="24733" spans="25:25" x14ac:dyDescent="0.2">
      <c r="Y24733" s="97"/>
    </row>
    <row r="24734" spans="25:25" x14ac:dyDescent="0.2">
      <c r="Y24734" s="97"/>
    </row>
    <row r="24735" spans="25:25" x14ac:dyDescent="0.2">
      <c r="Y24735" s="97"/>
    </row>
    <row r="24736" spans="25:25" x14ac:dyDescent="0.2">
      <c r="Y24736" s="97"/>
    </row>
    <row r="24737" spans="25:25" x14ac:dyDescent="0.2">
      <c r="Y24737" s="97"/>
    </row>
    <row r="24738" spans="25:25" x14ac:dyDescent="0.2">
      <c r="Y24738" s="97"/>
    </row>
    <row r="24739" spans="25:25" x14ac:dyDescent="0.2">
      <c r="Y24739" s="97"/>
    </row>
    <row r="24740" spans="25:25" x14ac:dyDescent="0.2">
      <c r="Y24740" s="97"/>
    </row>
    <row r="24741" spans="25:25" x14ac:dyDescent="0.2">
      <c r="Y24741" s="97"/>
    </row>
    <row r="24742" spans="25:25" x14ac:dyDescent="0.2">
      <c r="Y24742" s="97"/>
    </row>
    <row r="24743" spans="25:25" x14ac:dyDescent="0.2">
      <c r="Y24743" s="97"/>
    </row>
    <row r="24744" spans="25:25" x14ac:dyDescent="0.2">
      <c r="Y24744" s="97"/>
    </row>
    <row r="24745" spans="25:25" x14ac:dyDescent="0.2">
      <c r="Y24745" s="97"/>
    </row>
    <row r="24746" spans="25:25" x14ac:dyDescent="0.2">
      <c r="Y24746" s="97"/>
    </row>
    <row r="24747" spans="25:25" x14ac:dyDescent="0.2">
      <c r="Y24747" s="97"/>
    </row>
    <row r="24748" spans="25:25" x14ac:dyDescent="0.2">
      <c r="Y24748" s="97"/>
    </row>
    <row r="24749" spans="25:25" x14ac:dyDescent="0.2">
      <c r="Y24749" s="97"/>
    </row>
    <row r="24750" spans="25:25" x14ac:dyDescent="0.2">
      <c r="Y24750" s="97"/>
    </row>
    <row r="24751" spans="25:25" x14ac:dyDescent="0.2">
      <c r="Y24751" s="97"/>
    </row>
    <row r="24752" spans="25:25" x14ac:dyDescent="0.2">
      <c r="Y24752" s="97"/>
    </row>
    <row r="24753" spans="25:25" x14ac:dyDescent="0.2">
      <c r="Y24753" s="97"/>
    </row>
    <row r="24754" spans="25:25" x14ac:dyDescent="0.2">
      <c r="Y24754" s="97"/>
    </row>
    <row r="24755" spans="25:25" x14ac:dyDescent="0.2">
      <c r="Y24755" s="97"/>
    </row>
    <row r="24756" spans="25:25" x14ac:dyDescent="0.2">
      <c r="Y24756" s="97"/>
    </row>
    <row r="24757" spans="25:25" x14ac:dyDescent="0.2">
      <c r="Y24757" s="97"/>
    </row>
    <row r="24758" spans="25:25" x14ac:dyDescent="0.2">
      <c r="Y24758" s="97"/>
    </row>
    <row r="24759" spans="25:25" x14ac:dyDescent="0.2">
      <c r="Y24759" s="97"/>
    </row>
    <row r="24760" spans="25:25" x14ac:dyDescent="0.2">
      <c r="Y24760" s="97"/>
    </row>
    <row r="24761" spans="25:25" x14ac:dyDescent="0.2">
      <c r="Y24761" s="97"/>
    </row>
    <row r="24762" spans="25:25" x14ac:dyDescent="0.2">
      <c r="Y24762" s="97"/>
    </row>
    <row r="24763" spans="25:25" x14ac:dyDescent="0.2">
      <c r="Y24763" s="97"/>
    </row>
    <row r="24764" spans="25:25" x14ac:dyDescent="0.2">
      <c r="Y24764" s="97"/>
    </row>
    <row r="24765" spans="25:25" x14ac:dyDescent="0.2">
      <c r="Y24765" s="97"/>
    </row>
    <row r="24766" spans="25:25" x14ac:dyDescent="0.2">
      <c r="Y24766" s="97"/>
    </row>
    <row r="24767" spans="25:25" x14ac:dyDescent="0.2">
      <c r="Y24767" s="97"/>
    </row>
    <row r="24768" spans="25:25" x14ac:dyDescent="0.2">
      <c r="Y24768" s="97"/>
    </row>
    <row r="24769" spans="25:25" x14ac:dyDescent="0.2">
      <c r="Y24769" s="97"/>
    </row>
    <row r="24770" spans="25:25" x14ac:dyDescent="0.2">
      <c r="Y24770" s="97"/>
    </row>
    <row r="24771" spans="25:25" x14ac:dyDescent="0.2">
      <c r="Y24771" s="97"/>
    </row>
    <row r="24772" spans="25:25" x14ac:dyDescent="0.2">
      <c r="Y24772" s="97"/>
    </row>
    <row r="24773" spans="25:25" x14ac:dyDescent="0.2">
      <c r="Y24773" s="97"/>
    </row>
    <row r="24774" spans="25:25" x14ac:dyDescent="0.2">
      <c r="Y24774" s="97"/>
    </row>
    <row r="24775" spans="25:25" x14ac:dyDescent="0.2">
      <c r="Y24775" s="97"/>
    </row>
    <row r="24776" spans="25:25" x14ac:dyDescent="0.2">
      <c r="Y24776" s="97"/>
    </row>
    <row r="24777" spans="25:25" x14ac:dyDescent="0.2">
      <c r="Y24777" s="97"/>
    </row>
    <row r="24778" spans="25:25" x14ac:dyDescent="0.2">
      <c r="Y24778" s="97"/>
    </row>
    <row r="24779" spans="25:25" x14ac:dyDescent="0.2">
      <c r="Y24779" s="97"/>
    </row>
    <row r="24780" spans="25:25" x14ac:dyDescent="0.2">
      <c r="Y24780" s="97"/>
    </row>
    <row r="24781" spans="25:25" x14ac:dyDescent="0.2">
      <c r="Y24781" s="97"/>
    </row>
    <row r="24782" spans="25:25" x14ac:dyDescent="0.2">
      <c r="Y24782" s="97"/>
    </row>
    <row r="24783" spans="25:25" x14ac:dyDescent="0.2">
      <c r="Y24783" s="97"/>
    </row>
    <row r="24784" spans="25:25" x14ac:dyDescent="0.2">
      <c r="Y24784" s="97"/>
    </row>
    <row r="24785" spans="25:25" x14ac:dyDescent="0.2">
      <c r="Y24785" s="97"/>
    </row>
    <row r="24786" spans="25:25" x14ac:dyDescent="0.2">
      <c r="Y24786" s="97"/>
    </row>
    <row r="24787" spans="25:25" x14ac:dyDescent="0.2">
      <c r="Y24787" s="97"/>
    </row>
    <row r="24788" spans="25:25" x14ac:dyDescent="0.2">
      <c r="Y24788" s="97"/>
    </row>
    <row r="24789" spans="25:25" x14ac:dyDescent="0.2">
      <c r="Y24789" s="97"/>
    </row>
    <row r="24790" spans="25:25" x14ac:dyDescent="0.2">
      <c r="Y24790" s="97"/>
    </row>
    <row r="24791" spans="25:25" x14ac:dyDescent="0.2">
      <c r="Y24791" s="97"/>
    </row>
    <row r="24792" spans="25:25" x14ac:dyDescent="0.2">
      <c r="Y24792" s="97"/>
    </row>
    <row r="24793" spans="25:25" x14ac:dyDescent="0.2">
      <c r="Y24793" s="97"/>
    </row>
    <row r="24794" spans="25:25" x14ac:dyDescent="0.2">
      <c r="Y24794" s="97"/>
    </row>
    <row r="24795" spans="25:25" x14ac:dyDescent="0.2">
      <c r="Y24795" s="97"/>
    </row>
    <row r="24796" spans="25:25" x14ac:dyDescent="0.2">
      <c r="Y24796" s="97"/>
    </row>
    <row r="24797" spans="25:25" x14ac:dyDescent="0.2">
      <c r="Y24797" s="97"/>
    </row>
    <row r="24798" spans="25:25" x14ac:dyDescent="0.2">
      <c r="Y24798" s="97"/>
    </row>
    <row r="24799" spans="25:25" x14ac:dyDescent="0.2">
      <c r="Y24799" s="97"/>
    </row>
    <row r="24800" spans="25:25" x14ac:dyDescent="0.2">
      <c r="Y24800" s="97"/>
    </row>
    <row r="24801" spans="25:25" x14ac:dyDescent="0.2">
      <c r="Y24801" s="97"/>
    </row>
    <row r="24802" spans="25:25" x14ac:dyDescent="0.2">
      <c r="Y24802" s="97"/>
    </row>
    <row r="24803" spans="25:25" x14ac:dyDescent="0.2">
      <c r="Y24803" s="97"/>
    </row>
    <row r="24804" spans="25:25" x14ac:dyDescent="0.2">
      <c r="Y24804" s="97"/>
    </row>
    <row r="24805" spans="25:25" x14ac:dyDescent="0.2">
      <c r="Y24805" s="97"/>
    </row>
    <row r="24806" spans="25:25" x14ac:dyDescent="0.2">
      <c r="Y24806" s="97"/>
    </row>
    <row r="24807" spans="25:25" x14ac:dyDescent="0.2">
      <c r="Y24807" s="97"/>
    </row>
    <row r="24808" spans="25:25" x14ac:dyDescent="0.2">
      <c r="Y24808" s="97"/>
    </row>
    <row r="24809" spans="25:25" x14ac:dyDescent="0.2">
      <c r="Y24809" s="97"/>
    </row>
    <row r="24810" spans="25:25" x14ac:dyDescent="0.2">
      <c r="Y24810" s="97"/>
    </row>
    <row r="24811" spans="25:25" x14ac:dyDescent="0.2">
      <c r="Y24811" s="97"/>
    </row>
    <row r="24812" spans="25:25" x14ac:dyDescent="0.2">
      <c r="Y24812" s="97"/>
    </row>
    <row r="24813" spans="25:25" x14ac:dyDescent="0.2">
      <c r="Y24813" s="97"/>
    </row>
    <row r="24814" spans="25:25" x14ac:dyDescent="0.2">
      <c r="Y24814" s="97"/>
    </row>
    <row r="24815" spans="25:25" x14ac:dyDescent="0.2">
      <c r="Y24815" s="97"/>
    </row>
    <row r="24816" spans="25:25" x14ac:dyDescent="0.2">
      <c r="Y24816" s="97"/>
    </row>
    <row r="24817" spans="25:25" x14ac:dyDescent="0.2">
      <c r="Y24817" s="97"/>
    </row>
    <row r="24818" spans="25:25" x14ac:dyDescent="0.2">
      <c r="Y24818" s="97"/>
    </row>
    <row r="24819" spans="25:25" x14ac:dyDescent="0.2">
      <c r="Y24819" s="97"/>
    </row>
    <row r="24820" spans="25:25" x14ac:dyDescent="0.2">
      <c r="Y24820" s="97"/>
    </row>
    <row r="24821" spans="25:25" x14ac:dyDescent="0.2">
      <c r="Y24821" s="97"/>
    </row>
    <row r="24822" spans="25:25" x14ac:dyDescent="0.2">
      <c r="Y24822" s="97"/>
    </row>
    <row r="24823" spans="25:25" x14ac:dyDescent="0.2">
      <c r="Y24823" s="97"/>
    </row>
    <row r="24824" spans="25:25" x14ac:dyDescent="0.2">
      <c r="Y24824" s="97"/>
    </row>
    <row r="24825" spans="25:25" x14ac:dyDescent="0.2">
      <c r="Y24825" s="97"/>
    </row>
    <row r="24826" spans="25:25" x14ac:dyDescent="0.2">
      <c r="Y24826" s="97"/>
    </row>
    <row r="24827" spans="25:25" x14ac:dyDescent="0.2">
      <c r="Y24827" s="97"/>
    </row>
    <row r="24828" spans="25:25" x14ac:dyDescent="0.2">
      <c r="Y24828" s="97"/>
    </row>
    <row r="24829" spans="25:25" x14ac:dyDescent="0.2">
      <c r="Y24829" s="97"/>
    </row>
    <row r="24830" spans="25:25" x14ac:dyDescent="0.2">
      <c r="Y24830" s="97"/>
    </row>
    <row r="24831" spans="25:25" x14ac:dyDescent="0.2">
      <c r="Y24831" s="97"/>
    </row>
    <row r="24832" spans="25:25" x14ac:dyDescent="0.2">
      <c r="Y24832" s="97"/>
    </row>
    <row r="24833" spans="25:25" x14ac:dyDescent="0.2">
      <c r="Y24833" s="97"/>
    </row>
    <row r="24834" spans="25:25" x14ac:dyDescent="0.2">
      <c r="Y24834" s="97"/>
    </row>
    <row r="24835" spans="25:25" x14ac:dyDescent="0.2">
      <c r="Y24835" s="97"/>
    </row>
    <row r="24836" spans="25:25" x14ac:dyDescent="0.2">
      <c r="Y24836" s="97"/>
    </row>
    <row r="24837" spans="25:25" x14ac:dyDescent="0.2">
      <c r="Y24837" s="97"/>
    </row>
    <row r="24838" spans="25:25" x14ac:dyDescent="0.2">
      <c r="Y24838" s="97"/>
    </row>
    <row r="24839" spans="25:25" x14ac:dyDescent="0.2">
      <c r="Y24839" s="97"/>
    </row>
    <row r="24840" spans="25:25" x14ac:dyDescent="0.2">
      <c r="Y24840" s="97"/>
    </row>
    <row r="24841" spans="25:25" x14ac:dyDescent="0.2">
      <c r="Y24841" s="97"/>
    </row>
    <row r="24842" spans="25:25" x14ac:dyDescent="0.2">
      <c r="Y24842" s="97"/>
    </row>
    <row r="24843" spans="25:25" x14ac:dyDescent="0.2">
      <c r="Y24843" s="97"/>
    </row>
    <row r="24844" spans="25:25" x14ac:dyDescent="0.2">
      <c r="Y24844" s="97"/>
    </row>
    <row r="24845" spans="25:25" x14ac:dyDescent="0.2">
      <c r="Y24845" s="97"/>
    </row>
    <row r="24846" spans="25:25" x14ac:dyDescent="0.2">
      <c r="Y24846" s="97"/>
    </row>
    <row r="24847" spans="25:25" x14ac:dyDescent="0.2">
      <c r="Y24847" s="97"/>
    </row>
    <row r="24848" spans="25:25" x14ac:dyDescent="0.2">
      <c r="Y24848" s="97"/>
    </row>
    <row r="24849" spans="25:25" x14ac:dyDescent="0.2">
      <c r="Y24849" s="97"/>
    </row>
    <row r="24850" spans="25:25" x14ac:dyDescent="0.2">
      <c r="Y24850" s="97"/>
    </row>
    <row r="24851" spans="25:25" x14ac:dyDescent="0.2">
      <c r="Y24851" s="97"/>
    </row>
    <row r="24852" spans="25:25" x14ac:dyDescent="0.2">
      <c r="Y24852" s="97"/>
    </row>
    <row r="24853" spans="25:25" x14ac:dyDescent="0.2">
      <c r="Y24853" s="97"/>
    </row>
    <row r="24854" spans="25:25" x14ac:dyDescent="0.2">
      <c r="Y24854" s="97"/>
    </row>
    <row r="24855" spans="25:25" x14ac:dyDescent="0.2">
      <c r="Y24855" s="97"/>
    </row>
    <row r="24856" spans="25:25" x14ac:dyDescent="0.2">
      <c r="Y24856" s="97"/>
    </row>
    <row r="24857" spans="25:25" x14ac:dyDescent="0.2">
      <c r="Y24857" s="97"/>
    </row>
    <row r="24858" spans="25:25" x14ac:dyDescent="0.2">
      <c r="Y24858" s="97"/>
    </row>
    <row r="24859" spans="25:25" x14ac:dyDescent="0.2">
      <c r="Y24859" s="97"/>
    </row>
    <row r="24860" spans="25:25" x14ac:dyDescent="0.2">
      <c r="Y24860" s="97"/>
    </row>
    <row r="24861" spans="25:25" x14ac:dyDescent="0.2">
      <c r="Y24861" s="97"/>
    </row>
    <row r="24862" spans="25:25" x14ac:dyDescent="0.2">
      <c r="Y24862" s="97"/>
    </row>
    <row r="24863" spans="25:25" x14ac:dyDescent="0.2">
      <c r="Y24863" s="97"/>
    </row>
    <row r="24864" spans="25:25" x14ac:dyDescent="0.2">
      <c r="Y24864" s="97"/>
    </row>
    <row r="24865" spans="25:25" x14ac:dyDescent="0.2">
      <c r="Y24865" s="97"/>
    </row>
    <row r="24866" spans="25:25" x14ac:dyDescent="0.2">
      <c r="Y24866" s="97"/>
    </row>
    <row r="24867" spans="25:25" x14ac:dyDescent="0.2">
      <c r="Y24867" s="97"/>
    </row>
    <row r="24868" spans="25:25" x14ac:dyDescent="0.2">
      <c r="Y24868" s="97"/>
    </row>
    <row r="24869" spans="25:25" x14ac:dyDescent="0.2">
      <c r="Y24869" s="97"/>
    </row>
    <row r="24870" spans="25:25" x14ac:dyDescent="0.2">
      <c r="Y24870" s="97"/>
    </row>
    <row r="24871" spans="25:25" x14ac:dyDescent="0.2">
      <c r="Y24871" s="97"/>
    </row>
    <row r="24872" spans="25:25" x14ac:dyDescent="0.2">
      <c r="Y24872" s="97"/>
    </row>
    <row r="24873" spans="25:25" x14ac:dyDescent="0.2">
      <c r="Y24873" s="97"/>
    </row>
    <row r="24874" spans="25:25" x14ac:dyDescent="0.2">
      <c r="Y24874" s="97"/>
    </row>
    <row r="24875" spans="25:25" x14ac:dyDescent="0.2">
      <c r="Y24875" s="97"/>
    </row>
    <row r="24876" spans="25:25" x14ac:dyDescent="0.2">
      <c r="Y24876" s="97"/>
    </row>
    <row r="24877" spans="25:25" x14ac:dyDescent="0.2">
      <c r="Y24877" s="97"/>
    </row>
    <row r="24878" spans="25:25" x14ac:dyDescent="0.2">
      <c r="Y24878" s="97"/>
    </row>
    <row r="24879" spans="25:25" x14ac:dyDescent="0.2">
      <c r="Y24879" s="97"/>
    </row>
    <row r="24880" spans="25:25" x14ac:dyDescent="0.2">
      <c r="Y24880" s="97"/>
    </row>
    <row r="24881" spans="25:25" x14ac:dyDescent="0.2">
      <c r="Y24881" s="97"/>
    </row>
    <row r="24882" spans="25:25" x14ac:dyDescent="0.2">
      <c r="Y24882" s="97"/>
    </row>
    <row r="24883" spans="25:25" x14ac:dyDescent="0.2">
      <c r="Y24883" s="97"/>
    </row>
    <row r="24884" spans="25:25" x14ac:dyDescent="0.2">
      <c r="Y24884" s="97"/>
    </row>
    <row r="24885" spans="25:25" x14ac:dyDescent="0.2">
      <c r="Y24885" s="97"/>
    </row>
    <row r="24886" spans="25:25" x14ac:dyDescent="0.2">
      <c r="Y24886" s="97"/>
    </row>
    <row r="24887" spans="25:25" x14ac:dyDescent="0.2">
      <c r="Y24887" s="97"/>
    </row>
    <row r="24888" spans="25:25" x14ac:dyDescent="0.2">
      <c r="Y24888" s="97"/>
    </row>
    <row r="24889" spans="25:25" x14ac:dyDescent="0.2">
      <c r="Y24889" s="97"/>
    </row>
    <row r="24890" spans="25:25" x14ac:dyDescent="0.2">
      <c r="Y24890" s="97"/>
    </row>
    <row r="24891" spans="25:25" x14ac:dyDescent="0.2">
      <c r="Y24891" s="97"/>
    </row>
    <row r="24892" spans="25:25" x14ac:dyDescent="0.2">
      <c r="Y24892" s="97"/>
    </row>
    <row r="24893" spans="25:25" x14ac:dyDescent="0.2">
      <c r="Y24893" s="97"/>
    </row>
    <row r="24894" spans="25:25" x14ac:dyDescent="0.2">
      <c r="Y24894" s="97"/>
    </row>
    <row r="24895" spans="25:25" x14ac:dyDescent="0.2">
      <c r="Y24895" s="97"/>
    </row>
    <row r="24896" spans="25:25" x14ac:dyDescent="0.2">
      <c r="Y24896" s="97"/>
    </row>
    <row r="24897" spans="25:25" x14ac:dyDescent="0.2">
      <c r="Y24897" s="97"/>
    </row>
    <row r="24898" spans="25:25" x14ac:dyDescent="0.2">
      <c r="Y24898" s="97"/>
    </row>
    <row r="24899" spans="25:25" x14ac:dyDescent="0.2">
      <c r="Y24899" s="97"/>
    </row>
    <row r="24900" spans="25:25" x14ac:dyDescent="0.2">
      <c r="Y24900" s="97"/>
    </row>
    <row r="24901" spans="25:25" x14ac:dyDescent="0.2">
      <c r="Y24901" s="97"/>
    </row>
    <row r="24902" spans="25:25" x14ac:dyDescent="0.2">
      <c r="Y24902" s="97"/>
    </row>
    <row r="24903" spans="25:25" x14ac:dyDescent="0.2">
      <c r="Y24903" s="97"/>
    </row>
    <row r="24904" spans="25:25" x14ac:dyDescent="0.2">
      <c r="Y24904" s="97"/>
    </row>
    <row r="24905" spans="25:25" x14ac:dyDescent="0.2">
      <c r="Y24905" s="97"/>
    </row>
    <row r="24906" spans="25:25" x14ac:dyDescent="0.2">
      <c r="Y24906" s="97"/>
    </row>
    <row r="24907" spans="25:25" x14ac:dyDescent="0.2">
      <c r="Y24907" s="97"/>
    </row>
    <row r="24908" spans="25:25" x14ac:dyDescent="0.2">
      <c r="Y24908" s="97"/>
    </row>
    <row r="24909" spans="25:25" x14ac:dyDescent="0.2">
      <c r="Y24909" s="97"/>
    </row>
    <row r="24910" spans="25:25" x14ac:dyDescent="0.2">
      <c r="Y24910" s="97"/>
    </row>
    <row r="24911" spans="25:25" x14ac:dyDescent="0.2">
      <c r="Y24911" s="97"/>
    </row>
    <row r="24912" spans="25:25" x14ac:dyDescent="0.2">
      <c r="Y24912" s="97"/>
    </row>
    <row r="24913" spans="25:25" x14ac:dyDescent="0.2">
      <c r="Y24913" s="97"/>
    </row>
    <row r="24914" spans="25:25" x14ac:dyDescent="0.2">
      <c r="Y24914" s="97"/>
    </row>
    <row r="24915" spans="25:25" x14ac:dyDescent="0.2">
      <c r="Y24915" s="97"/>
    </row>
    <row r="24916" spans="25:25" x14ac:dyDescent="0.2">
      <c r="Y24916" s="97"/>
    </row>
    <row r="24917" spans="25:25" x14ac:dyDescent="0.2">
      <c r="Y24917" s="97"/>
    </row>
    <row r="24918" spans="25:25" x14ac:dyDescent="0.2">
      <c r="Y24918" s="97"/>
    </row>
    <row r="24919" spans="25:25" x14ac:dyDescent="0.2">
      <c r="Y24919" s="97"/>
    </row>
    <row r="24920" spans="25:25" x14ac:dyDescent="0.2">
      <c r="Y24920" s="97"/>
    </row>
    <row r="24921" spans="25:25" x14ac:dyDescent="0.2">
      <c r="Y24921" s="97"/>
    </row>
    <row r="24922" spans="25:25" x14ac:dyDescent="0.2">
      <c r="Y24922" s="97"/>
    </row>
    <row r="24923" spans="25:25" x14ac:dyDescent="0.2">
      <c r="Y24923" s="97"/>
    </row>
    <row r="24924" spans="25:25" x14ac:dyDescent="0.2">
      <c r="Y24924" s="97"/>
    </row>
    <row r="24925" spans="25:25" x14ac:dyDescent="0.2">
      <c r="Y24925" s="97"/>
    </row>
    <row r="24926" spans="25:25" x14ac:dyDescent="0.2">
      <c r="Y24926" s="97"/>
    </row>
    <row r="24927" spans="25:25" x14ac:dyDescent="0.2">
      <c r="Y24927" s="97"/>
    </row>
    <row r="24928" spans="25:25" x14ac:dyDescent="0.2">
      <c r="Y24928" s="97"/>
    </row>
    <row r="24929" spans="25:25" x14ac:dyDescent="0.2">
      <c r="Y24929" s="97"/>
    </row>
    <row r="24930" spans="25:25" x14ac:dyDescent="0.2">
      <c r="Y24930" s="97"/>
    </row>
    <row r="24931" spans="25:25" x14ac:dyDescent="0.2">
      <c r="Y24931" s="97"/>
    </row>
    <row r="24932" spans="25:25" x14ac:dyDescent="0.2">
      <c r="Y24932" s="97"/>
    </row>
    <row r="24933" spans="25:25" x14ac:dyDescent="0.2">
      <c r="Y24933" s="97"/>
    </row>
    <row r="24934" spans="25:25" x14ac:dyDescent="0.2">
      <c r="Y24934" s="97"/>
    </row>
    <row r="24935" spans="25:25" x14ac:dyDescent="0.2">
      <c r="Y24935" s="97"/>
    </row>
    <row r="24936" spans="25:25" x14ac:dyDescent="0.2">
      <c r="Y24936" s="97"/>
    </row>
    <row r="24937" spans="25:25" x14ac:dyDescent="0.2">
      <c r="Y24937" s="97"/>
    </row>
    <row r="24938" spans="25:25" x14ac:dyDescent="0.2">
      <c r="Y24938" s="97"/>
    </row>
    <row r="24939" spans="25:25" x14ac:dyDescent="0.2">
      <c r="Y24939" s="97"/>
    </row>
    <row r="24940" spans="25:25" x14ac:dyDescent="0.2">
      <c r="Y24940" s="97"/>
    </row>
    <row r="24941" spans="25:25" x14ac:dyDescent="0.2">
      <c r="Y24941" s="97"/>
    </row>
    <row r="24942" spans="25:25" x14ac:dyDescent="0.2">
      <c r="Y24942" s="97"/>
    </row>
    <row r="24943" spans="25:25" x14ac:dyDescent="0.2">
      <c r="Y24943" s="97"/>
    </row>
    <row r="24944" spans="25:25" x14ac:dyDescent="0.2">
      <c r="Y24944" s="97"/>
    </row>
    <row r="24945" spans="25:25" x14ac:dyDescent="0.2">
      <c r="Y24945" s="97"/>
    </row>
    <row r="24946" spans="25:25" x14ac:dyDescent="0.2">
      <c r="Y24946" s="97"/>
    </row>
    <row r="24947" spans="25:25" x14ac:dyDescent="0.2">
      <c r="Y24947" s="97"/>
    </row>
    <row r="24948" spans="25:25" x14ac:dyDescent="0.2">
      <c r="Y24948" s="97"/>
    </row>
    <row r="24949" spans="25:25" x14ac:dyDescent="0.2">
      <c r="Y24949" s="97"/>
    </row>
    <row r="24950" spans="25:25" x14ac:dyDescent="0.2">
      <c r="Y24950" s="97"/>
    </row>
    <row r="24951" spans="25:25" x14ac:dyDescent="0.2">
      <c r="Y24951" s="97"/>
    </row>
    <row r="24952" spans="25:25" x14ac:dyDescent="0.2">
      <c r="Y24952" s="97"/>
    </row>
    <row r="24953" spans="25:25" x14ac:dyDescent="0.2">
      <c r="Y24953" s="97"/>
    </row>
    <row r="24954" spans="25:25" x14ac:dyDescent="0.2">
      <c r="Y24954" s="97"/>
    </row>
    <row r="24955" spans="25:25" x14ac:dyDescent="0.2">
      <c r="Y24955" s="97"/>
    </row>
    <row r="24956" spans="25:25" x14ac:dyDescent="0.2">
      <c r="Y24956" s="97"/>
    </row>
    <row r="24957" spans="25:25" x14ac:dyDescent="0.2">
      <c r="Y24957" s="97"/>
    </row>
    <row r="24958" spans="25:25" x14ac:dyDescent="0.2">
      <c r="Y24958" s="97"/>
    </row>
    <row r="24959" spans="25:25" x14ac:dyDescent="0.2">
      <c r="Y24959" s="97"/>
    </row>
    <row r="24960" spans="25:25" x14ac:dyDescent="0.2">
      <c r="Y24960" s="97"/>
    </row>
    <row r="24961" spans="25:25" x14ac:dyDescent="0.2">
      <c r="Y24961" s="97"/>
    </row>
    <row r="24962" spans="25:25" x14ac:dyDescent="0.2">
      <c r="Y24962" s="97"/>
    </row>
    <row r="24963" spans="25:25" x14ac:dyDescent="0.2">
      <c r="Y24963" s="97"/>
    </row>
    <row r="24964" spans="25:25" x14ac:dyDescent="0.2">
      <c r="Y24964" s="97"/>
    </row>
    <row r="24965" spans="25:25" x14ac:dyDescent="0.2">
      <c r="Y24965" s="97"/>
    </row>
    <row r="24966" spans="25:25" x14ac:dyDescent="0.2">
      <c r="Y24966" s="97"/>
    </row>
    <row r="24967" spans="25:25" x14ac:dyDescent="0.2">
      <c r="Y24967" s="97"/>
    </row>
    <row r="24968" spans="25:25" x14ac:dyDescent="0.2">
      <c r="Y24968" s="97"/>
    </row>
    <row r="24969" spans="25:25" x14ac:dyDescent="0.2">
      <c r="Y24969" s="97"/>
    </row>
    <row r="24970" spans="25:25" x14ac:dyDescent="0.2">
      <c r="Y24970" s="97"/>
    </row>
    <row r="24971" spans="25:25" x14ac:dyDescent="0.2">
      <c r="Y24971" s="97"/>
    </row>
    <row r="24972" spans="25:25" x14ac:dyDescent="0.2">
      <c r="Y24972" s="97"/>
    </row>
    <row r="24973" spans="25:25" x14ac:dyDescent="0.2">
      <c r="Y24973" s="97"/>
    </row>
    <row r="24974" spans="25:25" x14ac:dyDescent="0.2">
      <c r="Y24974" s="97"/>
    </row>
    <row r="24975" spans="25:25" x14ac:dyDescent="0.2">
      <c r="Y24975" s="97"/>
    </row>
    <row r="24976" spans="25:25" x14ac:dyDescent="0.2">
      <c r="Y24976" s="97"/>
    </row>
    <row r="24977" spans="25:25" x14ac:dyDescent="0.2">
      <c r="Y24977" s="97"/>
    </row>
    <row r="24978" spans="25:25" x14ac:dyDescent="0.2">
      <c r="Y24978" s="97"/>
    </row>
    <row r="24979" spans="25:25" x14ac:dyDescent="0.2">
      <c r="Y24979" s="97"/>
    </row>
    <row r="24980" spans="25:25" x14ac:dyDescent="0.2">
      <c r="Y24980" s="97"/>
    </row>
    <row r="24981" spans="25:25" x14ac:dyDescent="0.2">
      <c r="Y24981" s="97"/>
    </row>
    <row r="24982" spans="25:25" x14ac:dyDescent="0.2">
      <c r="Y24982" s="97"/>
    </row>
    <row r="24983" spans="25:25" x14ac:dyDescent="0.2">
      <c r="Y24983" s="97"/>
    </row>
    <row r="24984" spans="25:25" x14ac:dyDescent="0.2">
      <c r="Y24984" s="97"/>
    </row>
    <row r="24985" spans="25:25" x14ac:dyDescent="0.2">
      <c r="Y24985" s="97"/>
    </row>
    <row r="24986" spans="25:25" x14ac:dyDescent="0.2">
      <c r="Y24986" s="97"/>
    </row>
    <row r="24987" spans="25:25" x14ac:dyDescent="0.2">
      <c r="Y24987" s="97"/>
    </row>
    <row r="24988" spans="25:25" x14ac:dyDescent="0.2">
      <c r="Y24988" s="97"/>
    </row>
    <row r="24989" spans="25:25" x14ac:dyDescent="0.2">
      <c r="Y24989" s="97"/>
    </row>
    <row r="24990" spans="25:25" x14ac:dyDescent="0.2">
      <c r="Y24990" s="97"/>
    </row>
    <row r="24991" spans="25:25" x14ac:dyDescent="0.2">
      <c r="Y24991" s="97"/>
    </row>
    <row r="24992" spans="25:25" x14ac:dyDescent="0.2">
      <c r="Y24992" s="97"/>
    </row>
    <row r="24993" spans="25:25" x14ac:dyDescent="0.2">
      <c r="Y24993" s="97"/>
    </row>
    <row r="24994" spans="25:25" x14ac:dyDescent="0.2">
      <c r="Y24994" s="97"/>
    </row>
    <row r="24995" spans="25:25" x14ac:dyDescent="0.2">
      <c r="Y24995" s="97"/>
    </row>
    <row r="24996" spans="25:25" x14ac:dyDescent="0.2">
      <c r="Y24996" s="97"/>
    </row>
    <row r="24997" spans="25:25" x14ac:dyDescent="0.2">
      <c r="Y24997" s="97"/>
    </row>
    <row r="24998" spans="25:25" x14ac:dyDescent="0.2">
      <c r="Y24998" s="97"/>
    </row>
    <row r="24999" spans="25:25" x14ac:dyDescent="0.2">
      <c r="Y24999" s="97"/>
    </row>
    <row r="25000" spans="25:25" x14ac:dyDescent="0.2">
      <c r="Y25000" s="97"/>
    </row>
    <row r="25001" spans="25:25" x14ac:dyDescent="0.2">
      <c r="Y25001" s="97"/>
    </row>
    <row r="25002" spans="25:25" x14ac:dyDescent="0.2">
      <c r="Y25002" s="97"/>
    </row>
    <row r="25003" spans="25:25" x14ac:dyDescent="0.2">
      <c r="Y25003" s="97"/>
    </row>
    <row r="25004" spans="25:25" x14ac:dyDescent="0.2">
      <c r="Y25004" s="97"/>
    </row>
    <row r="25005" spans="25:25" x14ac:dyDescent="0.2">
      <c r="Y25005" s="97"/>
    </row>
    <row r="25006" spans="25:25" x14ac:dyDescent="0.2">
      <c r="Y25006" s="97"/>
    </row>
    <row r="25007" spans="25:25" x14ac:dyDescent="0.2">
      <c r="Y25007" s="97"/>
    </row>
    <row r="25008" spans="25:25" x14ac:dyDescent="0.2">
      <c r="Y25008" s="97"/>
    </row>
    <row r="25009" spans="25:25" x14ac:dyDescent="0.2">
      <c r="Y25009" s="97"/>
    </row>
    <row r="25010" spans="25:25" x14ac:dyDescent="0.2">
      <c r="Y25010" s="97"/>
    </row>
    <row r="25011" spans="25:25" x14ac:dyDescent="0.2">
      <c r="Y25011" s="97"/>
    </row>
    <row r="25012" spans="25:25" x14ac:dyDescent="0.2">
      <c r="Y25012" s="97"/>
    </row>
    <row r="25013" spans="25:25" x14ac:dyDescent="0.2">
      <c r="Y25013" s="97"/>
    </row>
    <row r="25014" spans="25:25" x14ac:dyDescent="0.2">
      <c r="Y25014" s="97"/>
    </row>
    <row r="25015" spans="25:25" x14ac:dyDescent="0.2">
      <c r="Y25015" s="97"/>
    </row>
    <row r="25016" spans="25:25" x14ac:dyDescent="0.2">
      <c r="Y25016" s="97"/>
    </row>
    <row r="25017" spans="25:25" x14ac:dyDescent="0.2">
      <c r="Y25017" s="97"/>
    </row>
    <row r="25018" spans="25:25" x14ac:dyDescent="0.2">
      <c r="Y25018" s="97"/>
    </row>
    <row r="25019" spans="25:25" x14ac:dyDescent="0.2">
      <c r="Y25019" s="97"/>
    </row>
    <row r="25020" spans="25:25" x14ac:dyDescent="0.2">
      <c r="Y25020" s="97"/>
    </row>
    <row r="25021" spans="25:25" x14ac:dyDescent="0.2">
      <c r="Y25021" s="97"/>
    </row>
    <row r="25022" spans="25:25" x14ac:dyDescent="0.2">
      <c r="Y25022" s="97"/>
    </row>
    <row r="25023" spans="25:25" x14ac:dyDescent="0.2">
      <c r="Y25023" s="97"/>
    </row>
    <row r="25024" spans="25:25" x14ac:dyDescent="0.2">
      <c r="Y25024" s="97"/>
    </row>
    <row r="25025" spans="25:25" x14ac:dyDescent="0.2">
      <c r="Y25025" s="97"/>
    </row>
    <row r="25026" spans="25:25" x14ac:dyDescent="0.2">
      <c r="Y25026" s="97"/>
    </row>
    <row r="25027" spans="25:25" x14ac:dyDescent="0.2">
      <c r="Y25027" s="97"/>
    </row>
    <row r="25028" spans="25:25" x14ac:dyDescent="0.2">
      <c r="Y25028" s="97"/>
    </row>
    <row r="25029" spans="25:25" x14ac:dyDescent="0.2">
      <c r="Y25029" s="97"/>
    </row>
    <row r="25030" spans="25:25" x14ac:dyDescent="0.2">
      <c r="Y25030" s="97"/>
    </row>
    <row r="25031" spans="25:25" x14ac:dyDescent="0.2">
      <c r="Y25031" s="97"/>
    </row>
    <row r="25032" spans="25:25" x14ac:dyDescent="0.2">
      <c r="Y25032" s="97"/>
    </row>
    <row r="25033" spans="25:25" x14ac:dyDescent="0.2">
      <c r="Y25033" s="97"/>
    </row>
    <row r="25034" spans="25:25" x14ac:dyDescent="0.2">
      <c r="Y25034" s="97"/>
    </row>
    <row r="25035" spans="25:25" x14ac:dyDescent="0.2">
      <c r="Y25035" s="97"/>
    </row>
    <row r="25036" spans="25:25" x14ac:dyDescent="0.2">
      <c r="Y25036" s="97"/>
    </row>
    <row r="25037" spans="25:25" x14ac:dyDescent="0.2">
      <c r="Y25037" s="97"/>
    </row>
    <row r="25038" spans="25:25" x14ac:dyDescent="0.2">
      <c r="Y25038" s="97"/>
    </row>
    <row r="25039" spans="25:25" x14ac:dyDescent="0.2">
      <c r="Y25039" s="97"/>
    </row>
    <row r="25040" spans="25:25" x14ac:dyDescent="0.2">
      <c r="Y25040" s="97"/>
    </row>
    <row r="25041" spans="25:25" x14ac:dyDescent="0.2">
      <c r="Y25041" s="97"/>
    </row>
    <row r="25042" spans="25:25" x14ac:dyDescent="0.2">
      <c r="Y25042" s="97"/>
    </row>
    <row r="25043" spans="25:25" x14ac:dyDescent="0.2">
      <c r="Y25043" s="97"/>
    </row>
    <row r="25044" spans="25:25" x14ac:dyDescent="0.2">
      <c r="Y25044" s="97"/>
    </row>
    <row r="25045" spans="25:25" x14ac:dyDescent="0.2">
      <c r="Y25045" s="97"/>
    </row>
    <row r="25046" spans="25:25" x14ac:dyDescent="0.2">
      <c r="Y25046" s="97"/>
    </row>
    <row r="25047" spans="25:25" x14ac:dyDescent="0.2">
      <c r="Y25047" s="97"/>
    </row>
    <row r="25048" spans="25:25" x14ac:dyDescent="0.2">
      <c r="Y25048" s="97"/>
    </row>
    <row r="25049" spans="25:25" x14ac:dyDescent="0.2">
      <c r="Y25049" s="97"/>
    </row>
    <row r="25050" spans="25:25" x14ac:dyDescent="0.2">
      <c r="Y25050" s="97"/>
    </row>
    <row r="25051" spans="25:25" x14ac:dyDescent="0.2">
      <c r="Y25051" s="97"/>
    </row>
    <row r="25052" spans="25:25" x14ac:dyDescent="0.2">
      <c r="Y25052" s="97"/>
    </row>
    <row r="25053" spans="25:25" x14ac:dyDescent="0.2">
      <c r="Y25053" s="97"/>
    </row>
    <row r="25054" spans="25:25" x14ac:dyDescent="0.2">
      <c r="Y25054" s="97"/>
    </row>
    <row r="25055" spans="25:25" x14ac:dyDescent="0.2">
      <c r="Y25055" s="97"/>
    </row>
    <row r="25056" spans="25:25" x14ac:dyDescent="0.2">
      <c r="Y25056" s="97"/>
    </row>
    <row r="25057" spans="25:25" x14ac:dyDescent="0.2">
      <c r="Y25057" s="97"/>
    </row>
    <row r="25058" spans="25:25" x14ac:dyDescent="0.2">
      <c r="Y25058" s="97"/>
    </row>
    <row r="25059" spans="25:25" x14ac:dyDescent="0.2">
      <c r="Y25059" s="97"/>
    </row>
    <row r="25060" spans="25:25" x14ac:dyDescent="0.2">
      <c r="Y25060" s="97"/>
    </row>
    <row r="25061" spans="25:25" x14ac:dyDescent="0.2">
      <c r="Y25061" s="97"/>
    </row>
    <row r="25062" spans="25:25" x14ac:dyDescent="0.2">
      <c r="Y25062" s="97"/>
    </row>
    <row r="25063" spans="25:25" x14ac:dyDescent="0.2">
      <c r="Y25063" s="97"/>
    </row>
    <row r="25064" spans="25:25" x14ac:dyDescent="0.2">
      <c r="Y25064" s="97"/>
    </row>
    <row r="25065" spans="25:25" x14ac:dyDescent="0.2">
      <c r="Y25065" s="97"/>
    </row>
    <row r="25066" spans="25:25" x14ac:dyDescent="0.2">
      <c r="Y25066" s="97"/>
    </row>
    <row r="25067" spans="25:25" x14ac:dyDescent="0.2">
      <c r="Y25067" s="97"/>
    </row>
    <row r="25068" spans="25:25" x14ac:dyDescent="0.2">
      <c r="Y25068" s="97"/>
    </row>
    <row r="25069" spans="25:25" x14ac:dyDescent="0.2">
      <c r="Y25069" s="97"/>
    </row>
    <row r="25070" spans="25:25" x14ac:dyDescent="0.2">
      <c r="Y25070" s="97"/>
    </row>
    <row r="25071" spans="25:25" x14ac:dyDescent="0.2">
      <c r="Y25071" s="97"/>
    </row>
    <row r="25072" spans="25:25" x14ac:dyDescent="0.2">
      <c r="Y25072" s="97"/>
    </row>
    <row r="25073" spans="25:25" x14ac:dyDescent="0.2">
      <c r="Y25073" s="97"/>
    </row>
    <row r="25074" spans="25:25" x14ac:dyDescent="0.2">
      <c r="Y25074" s="97"/>
    </row>
    <row r="25075" spans="25:25" x14ac:dyDescent="0.2">
      <c r="Y25075" s="97"/>
    </row>
    <row r="25076" spans="25:25" x14ac:dyDescent="0.2">
      <c r="Y25076" s="97"/>
    </row>
    <row r="25077" spans="25:25" x14ac:dyDescent="0.2">
      <c r="Y25077" s="97"/>
    </row>
    <row r="25078" spans="25:25" x14ac:dyDescent="0.2">
      <c r="Y25078" s="97"/>
    </row>
    <row r="25079" spans="25:25" x14ac:dyDescent="0.2">
      <c r="Y25079" s="97"/>
    </row>
    <row r="25080" spans="25:25" x14ac:dyDescent="0.2">
      <c r="Y25080" s="97"/>
    </row>
    <row r="25081" spans="25:25" x14ac:dyDescent="0.2">
      <c r="Y25081" s="97"/>
    </row>
    <row r="25082" spans="25:25" x14ac:dyDescent="0.2">
      <c r="Y25082" s="97"/>
    </row>
    <row r="25083" spans="25:25" x14ac:dyDescent="0.2">
      <c r="Y25083" s="97"/>
    </row>
    <row r="25084" spans="25:25" x14ac:dyDescent="0.2">
      <c r="Y25084" s="97"/>
    </row>
    <row r="25085" spans="25:25" x14ac:dyDescent="0.2">
      <c r="Y25085" s="97"/>
    </row>
    <row r="25086" spans="25:25" x14ac:dyDescent="0.2">
      <c r="Y25086" s="97"/>
    </row>
    <row r="25087" spans="25:25" x14ac:dyDescent="0.2">
      <c r="Y25087" s="97"/>
    </row>
    <row r="25088" spans="25:25" x14ac:dyDescent="0.2">
      <c r="Y25088" s="97"/>
    </row>
    <row r="25089" spans="25:25" x14ac:dyDescent="0.2">
      <c r="Y25089" s="97"/>
    </row>
    <row r="25090" spans="25:25" x14ac:dyDescent="0.2">
      <c r="Y25090" s="97"/>
    </row>
    <row r="25091" spans="25:25" x14ac:dyDescent="0.2">
      <c r="Y25091" s="97"/>
    </row>
    <row r="25092" spans="25:25" x14ac:dyDescent="0.2">
      <c r="Y25092" s="97"/>
    </row>
    <row r="25093" spans="25:25" x14ac:dyDescent="0.2">
      <c r="Y25093" s="97"/>
    </row>
    <row r="25094" spans="25:25" x14ac:dyDescent="0.2">
      <c r="Y25094" s="97"/>
    </row>
    <row r="25095" spans="25:25" x14ac:dyDescent="0.2">
      <c r="Y25095" s="97"/>
    </row>
    <row r="25096" spans="25:25" x14ac:dyDescent="0.2">
      <c r="Y25096" s="97"/>
    </row>
    <row r="25097" spans="25:25" x14ac:dyDescent="0.2">
      <c r="Y25097" s="97"/>
    </row>
    <row r="25098" spans="25:25" x14ac:dyDescent="0.2">
      <c r="Y25098" s="97"/>
    </row>
    <row r="25099" spans="25:25" x14ac:dyDescent="0.2">
      <c r="Y25099" s="97"/>
    </row>
    <row r="25100" spans="25:25" x14ac:dyDescent="0.2">
      <c r="Y25100" s="97"/>
    </row>
    <row r="25101" spans="25:25" x14ac:dyDescent="0.2">
      <c r="Y25101" s="97"/>
    </row>
    <row r="25102" spans="25:25" x14ac:dyDescent="0.2">
      <c r="Y25102" s="97"/>
    </row>
    <row r="25103" spans="25:25" x14ac:dyDescent="0.2">
      <c r="Y25103" s="97"/>
    </row>
    <row r="25104" spans="25:25" x14ac:dyDescent="0.2">
      <c r="Y25104" s="97"/>
    </row>
    <row r="25105" spans="25:25" x14ac:dyDescent="0.2">
      <c r="Y25105" s="97"/>
    </row>
    <row r="25106" spans="25:25" x14ac:dyDescent="0.2">
      <c r="Y25106" s="97"/>
    </row>
    <row r="25107" spans="25:25" x14ac:dyDescent="0.2">
      <c r="Y25107" s="97"/>
    </row>
    <row r="25108" spans="25:25" x14ac:dyDescent="0.2">
      <c r="Y25108" s="97"/>
    </row>
    <row r="25109" spans="25:25" x14ac:dyDescent="0.2">
      <c r="Y25109" s="97"/>
    </row>
    <row r="25110" spans="25:25" x14ac:dyDescent="0.2">
      <c r="Y25110" s="97"/>
    </row>
    <row r="25111" spans="25:25" x14ac:dyDescent="0.2">
      <c r="Y25111" s="97"/>
    </row>
    <row r="25112" spans="25:25" x14ac:dyDescent="0.2">
      <c r="Y25112" s="97"/>
    </row>
    <row r="25113" spans="25:25" x14ac:dyDescent="0.2">
      <c r="Y25113" s="97"/>
    </row>
    <row r="25114" spans="25:25" x14ac:dyDescent="0.2">
      <c r="Y25114" s="97"/>
    </row>
    <row r="25115" spans="25:25" x14ac:dyDescent="0.2">
      <c r="Y25115" s="97"/>
    </row>
    <row r="25116" spans="25:25" x14ac:dyDescent="0.2">
      <c r="Y25116" s="97"/>
    </row>
    <row r="25117" spans="25:25" x14ac:dyDescent="0.2">
      <c r="Y25117" s="97"/>
    </row>
    <row r="25118" spans="25:25" x14ac:dyDescent="0.2">
      <c r="Y25118" s="97"/>
    </row>
    <row r="25119" spans="25:25" x14ac:dyDescent="0.2">
      <c r="Y25119" s="97"/>
    </row>
    <row r="25120" spans="25:25" x14ac:dyDescent="0.2">
      <c r="Y25120" s="97"/>
    </row>
    <row r="25121" spans="25:25" x14ac:dyDescent="0.2">
      <c r="Y25121" s="97"/>
    </row>
    <row r="25122" spans="25:25" x14ac:dyDescent="0.2">
      <c r="Y25122" s="97"/>
    </row>
    <row r="25123" spans="25:25" x14ac:dyDescent="0.2">
      <c r="Y25123" s="97"/>
    </row>
    <row r="25124" spans="25:25" x14ac:dyDescent="0.2">
      <c r="Y25124" s="97"/>
    </row>
    <row r="25125" spans="25:25" x14ac:dyDescent="0.2">
      <c r="Y25125" s="97"/>
    </row>
    <row r="25126" spans="25:25" x14ac:dyDescent="0.2">
      <c r="Y25126" s="97"/>
    </row>
    <row r="25127" spans="25:25" x14ac:dyDescent="0.2">
      <c r="Y25127" s="97"/>
    </row>
    <row r="25128" spans="25:25" x14ac:dyDescent="0.2">
      <c r="Y25128" s="97"/>
    </row>
    <row r="25129" spans="25:25" x14ac:dyDescent="0.2">
      <c r="Y25129" s="97"/>
    </row>
    <row r="25130" spans="25:25" x14ac:dyDescent="0.2">
      <c r="Y25130" s="97"/>
    </row>
    <row r="25131" spans="25:25" x14ac:dyDescent="0.2">
      <c r="Y25131" s="97"/>
    </row>
    <row r="25132" spans="25:25" x14ac:dyDescent="0.2">
      <c r="Y25132" s="97"/>
    </row>
    <row r="25133" spans="25:25" x14ac:dyDescent="0.2">
      <c r="Y25133" s="97"/>
    </row>
    <row r="25134" spans="25:25" x14ac:dyDescent="0.2">
      <c r="Y25134" s="97"/>
    </row>
    <row r="25135" spans="25:25" x14ac:dyDescent="0.2">
      <c r="Y25135" s="97"/>
    </row>
    <row r="25136" spans="25:25" x14ac:dyDescent="0.2">
      <c r="Y25136" s="97"/>
    </row>
    <row r="25137" spans="25:25" x14ac:dyDescent="0.2">
      <c r="Y25137" s="97"/>
    </row>
    <row r="25138" spans="25:25" x14ac:dyDescent="0.2">
      <c r="Y25138" s="97"/>
    </row>
    <row r="25139" spans="25:25" x14ac:dyDescent="0.2">
      <c r="Y25139" s="97"/>
    </row>
    <row r="25140" spans="25:25" x14ac:dyDescent="0.2">
      <c r="Y25140" s="97"/>
    </row>
    <row r="25141" spans="25:25" x14ac:dyDescent="0.2">
      <c r="Y25141" s="97"/>
    </row>
    <row r="25142" spans="25:25" x14ac:dyDescent="0.2">
      <c r="Y25142" s="97"/>
    </row>
    <row r="25143" spans="25:25" x14ac:dyDescent="0.2">
      <c r="Y25143" s="97"/>
    </row>
    <row r="25144" spans="25:25" x14ac:dyDescent="0.2">
      <c r="Y25144" s="97"/>
    </row>
    <row r="25145" spans="25:25" x14ac:dyDescent="0.2">
      <c r="Y25145" s="97"/>
    </row>
    <row r="25146" spans="25:25" x14ac:dyDescent="0.2">
      <c r="Y25146" s="97"/>
    </row>
    <row r="25147" spans="25:25" x14ac:dyDescent="0.2">
      <c r="Y25147" s="97"/>
    </row>
    <row r="25148" spans="25:25" x14ac:dyDescent="0.2">
      <c r="Y25148" s="97"/>
    </row>
    <row r="25149" spans="25:25" x14ac:dyDescent="0.2">
      <c r="Y25149" s="97"/>
    </row>
    <row r="25150" spans="25:25" x14ac:dyDescent="0.2">
      <c r="Y25150" s="97"/>
    </row>
    <row r="25151" spans="25:25" x14ac:dyDescent="0.2">
      <c r="Y25151" s="97"/>
    </row>
    <row r="25152" spans="25:25" x14ac:dyDescent="0.2">
      <c r="Y25152" s="97"/>
    </row>
    <row r="25153" spans="25:25" x14ac:dyDescent="0.2">
      <c r="Y25153" s="97"/>
    </row>
    <row r="25154" spans="25:25" x14ac:dyDescent="0.2">
      <c r="Y25154" s="97"/>
    </row>
    <row r="25155" spans="25:25" x14ac:dyDescent="0.2">
      <c r="Y25155" s="97"/>
    </row>
    <row r="25156" spans="25:25" x14ac:dyDescent="0.2">
      <c r="Y25156" s="97"/>
    </row>
    <row r="25157" spans="25:25" x14ac:dyDescent="0.2">
      <c r="Y25157" s="97"/>
    </row>
    <row r="25158" spans="25:25" x14ac:dyDescent="0.2">
      <c r="Y25158" s="97"/>
    </row>
    <row r="25159" spans="25:25" x14ac:dyDescent="0.2">
      <c r="Y25159" s="97"/>
    </row>
    <row r="25160" spans="25:25" x14ac:dyDescent="0.2">
      <c r="Y25160" s="97"/>
    </row>
    <row r="25161" spans="25:25" x14ac:dyDescent="0.2">
      <c r="Y25161" s="97"/>
    </row>
    <row r="25162" spans="25:25" x14ac:dyDescent="0.2">
      <c r="Y25162" s="97"/>
    </row>
    <row r="25163" spans="25:25" x14ac:dyDescent="0.2">
      <c r="Y25163" s="97"/>
    </row>
    <row r="25164" spans="25:25" x14ac:dyDescent="0.2">
      <c r="Y25164" s="97"/>
    </row>
    <row r="25165" spans="25:25" x14ac:dyDescent="0.2">
      <c r="Y25165" s="97"/>
    </row>
    <row r="25166" spans="25:25" x14ac:dyDescent="0.2">
      <c r="Y25166" s="97"/>
    </row>
    <row r="25167" spans="25:25" x14ac:dyDescent="0.2">
      <c r="Y25167" s="97"/>
    </row>
    <row r="25168" spans="25:25" x14ac:dyDescent="0.2">
      <c r="Y25168" s="97"/>
    </row>
    <row r="25169" spans="25:25" x14ac:dyDescent="0.2">
      <c r="Y25169" s="97"/>
    </row>
    <row r="25170" spans="25:25" x14ac:dyDescent="0.2">
      <c r="Y25170" s="97"/>
    </row>
    <row r="25171" spans="25:25" x14ac:dyDescent="0.2">
      <c r="Y25171" s="97"/>
    </row>
    <row r="25172" spans="25:25" x14ac:dyDescent="0.2">
      <c r="Y25172" s="97"/>
    </row>
    <row r="25173" spans="25:25" x14ac:dyDescent="0.2">
      <c r="Y25173" s="97"/>
    </row>
    <row r="25174" spans="25:25" x14ac:dyDescent="0.2">
      <c r="Y25174" s="97"/>
    </row>
    <row r="25175" spans="25:25" x14ac:dyDescent="0.2">
      <c r="Y25175" s="97"/>
    </row>
    <row r="25176" spans="25:25" x14ac:dyDescent="0.2">
      <c r="Y25176" s="97"/>
    </row>
    <row r="25177" spans="25:25" x14ac:dyDescent="0.2">
      <c r="Y25177" s="97"/>
    </row>
    <row r="25178" spans="25:25" x14ac:dyDescent="0.2">
      <c r="Y25178" s="97"/>
    </row>
    <row r="25179" spans="25:25" x14ac:dyDescent="0.2">
      <c r="Y25179" s="97"/>
    </row>
    <row r="25180" spans="25:25" x14ac:dyDescent="0.2">
      <c r="Y25180" s="97"/>
    </row>
    <row r="25181" spans="25:25" x14ac:dyDescent="0.2">
      <c r="Y25181" s="97"/>
    </row>
    <row r="25182" spans="25:25" x14ac:dyDescent="0.2">
      <c r="Y25182" s="97"/>
    </row>
    <row r="25183" spans="25:25" x14ac:dyDescent="0.2">
      <c r="Y25183" s="97"/>
    </row>
    <row r="25184" spans="25:25" x14ac:dyDescent="0.2">
      <c r="Y25184" s="97"/>
    </row>
    <row r="25185" spans="25:25" x14ac:dyDescent="0.2">
      <c r="Y25185" s="97"/>
    </row>
    <row r="25186" spans="25:25" x14ac:dyDescent="0.2">
      <c r="Y25186" s="97"/>
    </row>
    <row r="25187" spans="25:25" x14ac:dyDescent="0.2">
      <c r="Y25187" s="97"/>
    </row>
    <row r="25188" spans="25:25" x14ac:dyDescent="0.2">
      <c r="Y25188" s="97"/>
    </row>
    <row r="25189" spans="25:25" x14ac:dyDescent="0.2">
      <c r="Y25189" s="97"/>
    </row>
    <row r="25190" spans="25:25" x14ac:dyDescent="0.2">
      <c r="Y25190" s="97"/>
    </row>
    <row r="25191" spans="25:25" x14ac:dyDescent="0.2">
      <c r="Y25191" s="97"/>
    </row>
    <row r="25192" spans="25:25" x14ac:dyDescent="0.2">
      <c r="Y25192" s="97"/>
    </row>
    <row r="25193" spans="25:25" x14ac:dyDescent="0.2">
      <c r="Y25193" s="97"/>
    </row>
    <row r="25194" spans="25:25" x14ac:dyDescent="0.2">
      <c r="Y25194" s="97"/>
    </row>
    <row r="25195" spans="25:25" x14ac:dyDescent="0.2">
      <c r="Y25195" s="97"/>
    </row>
    <row r="25196" spans="25:25" x14ac:dyDescent="0.2">
      <c r="Y25196" s="97"/>
    </row>
    <row r="25197" spans="25:25" x14ac:dyDescent="0.2">
      <c r="Y25197" s="97"/>
    </row>
    <row r="25198" spans="25:25" x14ac:dyDescent="0.2">
      <c r="Y25198" s="97"/>
    </row>
    <row r="25199" spans="25:25" x14ac:dyDescent="0.2">
      <c r="Y25199" s="97"/>
    </row>
    <row r="25200" spans="25:25" x14ac:dyDescent="0.2">
      <c r="Y25200" s="97"/>
    </row>
    <row r="25201" spans="25:25" x14ac:dyDescent="0.2">
      <c r="Y25201" s="97"/>
    </row>
    <row r="25202" spans="25:25" x14ac:dyDescent="0.2">
      <c r="Y25202" s="97"/>
    </row>
    <row r="25203" spans="25:25" x14ac:dyDescent="0.2">
      <c r="Y25203" s="97"/>
    </row>
    <row r="25204" spans="25:25" x14ac:dyDescent="0.2">
      <c r="Y25204" s="97"/>
    </row>
    <row r="25205" spans="25:25" x14ac:dyDescent="0.2">
      <c r="Y25205" s="97"/>
    </row>
    <row r="25206" spans="25:25" x14ac:dyDescent="0.2">
      <c r="Y25206" s="97"/>
    </row>
    <row r="25207" spans="25:25" x14ac:dyDescent="0.2">
      <c r="Y25207" s="97"/>
    </row>
    <row r="25208" spans="25:25" x14ac:dyDescent="0.2">
      <c r="Y25208" s="97"/>
    </row>
    <row r="25209" spans="25:25" x14ac:dyDescent="0.2">
      <c r="Y25209" s="97"/>
    </row>
    <row r="25210" spans="25:25" x14ac:dyDescent="0.2">
      <c r="Y25210" s="97"/>
    </row>
    <row r="25211" spans="25:25" x14ac:dyDescent="0.2">
      <c r="Y25211" s="97"/>
    </row>
    <row r="25212" spans="25:25" x14ac:dyDescent="0.2">
      <c r="Y25212" s="97"/>
    </row>
    <row r="25213" spans="25:25" x14ac:dyDescent="0.2">
      <c r="Y25213" s="97"/>
    </row>
    <row r="25214" spans="25:25" x14ac:dyDescent="0.2">
      <c r="Y25214" s="97"/>
    </row>
    <row r="25215" spans="25:25" x14ac:dyDescent="0.2">
      <c r="Y25215" s="97"/>
    </row>
    <row r="25216" spans="25:25" x14ac:dyDescent="0.2">
      <c r="Y25216" s="97"/>
    </row>
    <row r="25217" spans="25:25" x14ac:dyDescent="0.2">
      <c r="Y25217" s="97"/>
    </row>
    <row r="25218" spans="25:25" x14ac:dyDescent="0.2">
      <c r="Y25218" s="97"/>
    </row>
    <row r="25219" spans="25:25" x14ac:dyDescent="0.2">
      <c r="Y25219" s="97"/>
    </row>
    <row r="25220" spans="25:25" x14ac:dyDescent="0.2">
      <c r="Y25220" s="97"/>
    </row>
    <row r="25221" spans="25:25" x14ac:dyDescent="0.2">
      <c r="Y25221" s="97"/>
    </row>
    <row r="25222" spans="25:25" x14ac:dyDescent="0.2">
      <c r="Y25222" s="97"/>
    </row>
    <row r="25223" spans="25:25" x14ac:dyDescent="0.2">
      <c r="Y25223" s="97"/>
    </row>
    <row r="25224" spans="25:25" x14ac:dyDescent="0.2">
      <c r="Y25224" s="97"/>
    </row>
    <row r="25225" spans="25:25" x14ac:dyDescent="0.2">
      <c r="Y25225" s="97"/>
    </row>
    <row r="25226" spans="25:25" x14ac:dyDescent="0.2">
      <c r="Y25226" s="97"/>
    </row>
    <row r="25227" spans="25:25" x14ac:dyDescent="0.2">
      <c r="Y25227" s="97"/>
    </row>
    <row r="25228" spans="25:25" x14ac:dyDescent="0.2">
      <c r="Y25228" s="97"/>
    </row>
    <row r="25229" spans="25:25" x14ac:dyDescent="0.2">
      <c r="Y25229" s="97"/>
    </row>
    <row r="25230" spans="25:25" x14ac:dyDescent="0.2">
      <c r="Y25230" s="97"/>
    </row>
    <row r="25231" spans="25:25" x14ac:dyDescent="0.2">
      <c r="Y25231" s="97"/>
    </row>
    <row r="25232" spans="25:25" x14ac:dyDescent="0.2">
      <c r="Y25232" s="97"/>
    </row>
    <row r="25233" spans="25:25" x14ac:dyDescent="0.2">
      <c r="Y25233" s="97"/>
    </row>
    <row r="25234" spans="25:25" x14ac:dyDescent="0.2">
      <c r="Y25234" s="97"/>
    </row>
    <row r="25235" spans="25:25" x14ac:dyDescent="0.2">
      <c r="Y25235" s="97"/>
    </row>
    <row r="25236" spans="25:25" x14ac:dyDescent="0.2">
      <c r="Y25236" s="97"/>
    </row>
    <row r="25237" spans="25:25" x14ac:dyDescent="0.2">
      <c r="Y25237" s="97"/>
    </row>
    <row r="25238" spans="25:25" x14ac:dyDescent="0.2">
      <c r="Y25238" s="97"/>
    </row>
    <row r="25239" spans="25:25" x14ac:dyDescent="0.2">
      <c r="Y25239" s="97"/>
    </row>
    <row r="25240" spans="25:25" x14ac:dyDescent="0.2">
      <c r="Y25240" s="97"/>
    </row>
    <row r="25241" spans="25:25" x14ac:dyDescent="0.2">
      <c r="Y25241" s="97"/>
    </row>
    <row r="25242" spans="25:25" x14ac:dyDescent="0.2">
      <c r="Y25242" s="97"/>
    </row>
    <row r="25243" spans="25:25" x14ac:dyDescent="0.2">
      <c r="Y25243" s="97"/>
    </row>
    <row r="25244" spans="25:25" x14ac:dyDescent="0.2">
      <c r="Y25244" s="97"/>
    </row>
    <row r="25245" spans="25:25" x14ac:dyDescent="0.2">
      <c r="Y25245" s="97"/>
    </row>
    <row r="25246" spans="25:25" x14ac:dyDescent="0.2">
      <c r="Y25246" s="97"/>
    </row>
    <row r="25247" spans="25:25" x14ac:dyDescent="0.2">
      <c r="Y25247" s="97"/>
    </row>
    <row r="25248" spans="25:25" x14ac:dyDescent="0.2">
      <c r="Y25248" s="97"/>
    </row>
    <row r="25249" spans="25:25" x14ac:dyDescent="0.2">
      <c r="Y25249" s="97"/>
    </row>
    <row r="25250" spans="25:25" x14ac:dyDescent="0.2">
      <c r="Y25250" s="97"/>
    </row>
    <row r="25251" spans="25:25" x14ac:dyDescent="0.2">
      <c r="Y25251" s="97"/>
    </row>
    <row r="25252" spans="25:25" x14ac:dyDescent="0.2">
      <c r="Y25252" s="97"/>
    </row>
    <row r="25253" spans="25:25" x14ac:dyDescent="0.2">
      <c r="Y25253" s="97"/>
    </row>
    <row r="25254" spans="25:25" x14ac:dyDescent="0.2">
      <c r="Y25254" s="97"/>
    </row>
    <row r="25255" spans="25:25" x14ac:dyDescent="0.2">
      <c r="Y25255" s="97"/>
    </row>
    <row r="25256" spans="25:25" x14ac:dyDescent="0.2">
      <c r="Y25256" s="97"/>
    </row>
    <row r="25257" spans="25:25" x14ac:dyDescent="0.2">
      <c r="Y25257" s="97"/>
    </row>
    <row r="25258" spans="25:25" x14ac:dyDescent="0.2">
      <c r="Y25258" s="97"/>
    </row>
    <row r="25259" spans="25:25" x14ac:dyDescent="0.2">
      <c r="Y25259" s="97"/>
    </row>
    <row r="25260" spans="25:25" x14ac:dyDescent="0.2">
      <c r="Y25260" s="97"/>
    </row>
    <row r="25261" spans="25:25" x14ac:dyDescent="0.2">
      <c r="Y25261" s="97"/>
    </row>
    <row r="25262" spans="25:25" x14ac:dyDescent="0.2">
      <c r="Y25262" s="97"/>
    </row>
    <row r="25263" spans="25:25" x14ac:dyDescent="0.2">
      <c r="Y25263" s="97"/>
    </row>
    <row r="25264" spans="25:25" x14ac:dyDescent="0.2">
      <c r="Y25264" s="97"/>
    </row>
    <row r="25265" spans="25:25" x14ac:dyDescent="0.2">
      <c r="Y25265" s="97"/>
    </row>
    <row r="25266" spans="25:25" x14ac:dyDescent="0.2">
      <c r="Y25266" s="97"/>
    </row>
    <row r="25267" spans="25:25" x14ac:dyDescent="0.2">
      <c r="Y25267" s="97"/>
    </row>
    <row r="25268" spans="25:25" x14ac:dyDescent="0.2">
      <c r="Y25268" s="97"/>
    </row>
    <row r="25269" spans="25:25" x14ac:dyDescent="0.2">
      <c r="Y25269" s="97"/>
    </row>
    <row r="25270" spans="25:25" x14ac:dyDescent="0.2">
      <c r="Y25270" s="97"/>
    </row>
    <row r="25271" spans="25:25" x14ac:dyDescent="0.2">
      <c r="Y25271" s="97"/>
    </row>
    <row r="25272" spans="25:25" x14ac:dyDescent="0.2">
      <c r="Y25272" s="97"/>
    </row>
    <row r="25273" spans="25:25" x14ac:dyDescent="0.2">
      <c r="Y25273" s="97"/>
    </row>
    <row r="25274" spans="25:25" x14ac:dyDescent="0.2">
      <c r="Y25274" s="97"/>
    </row>
    <row r="25275" spans="25:25" x14ac:dyDescent="0.2">
      <c r="Y25275" s="97"/>
    </row>
    <row r="25276" spans="25:25" x14ac:dyDescent="0.2">
      <c r="Y25276" s="97"/>
    </row>
    <row r="25277" spans="25:25" x14ac:dyDescent="0.2">
      <c r="Y25277" s="97"/>
    </row>
    <row r="25278" spans="25:25" x14ac:dyDescent="0.2">
      <c r="Y25278" s="97"/>
    </row>
    <row r="25279" spans="25:25" x14ac:dyDescent="0.2">
      <c r="Y25279" s="97"/>
    </row>
    <row r="25280" spans="25:25" x14ac:dyDescent="0.2">
      <c r="Y25280" s="97"/>
    </row>
    <row r="25281" spans="25:25" x14ac:dyDescent="0.2">
      <c r="Y25281" s="97"/>
    </row>
    <row r="25282" spans="25:25" x14ac:dyDescent="0.2">
      <c r="Y25282" s="97"/>
    </row>
    <row r="25283" spans="25:25" x14ac:dyDescent="0.2">
      <c r="Y25283" s="97"/>
    </row>
    <row r="25284" spans="25:25" x14ac:dyDescent="0.2">
      <c r="Y25284" s="97"/>
    </row>
    <row r="25285" spans="25:25" x14ac:dyDescent="0.2">
      <c r="Y25285" s="97"/>
    </row>
    <row r="25286" spans="25:25" x14ac:dyDescent="0.2">
      <c r="Y25286" s="97"/>
    </row>
    <row r="25287" spans="25:25" x14ac:dyDescent="0.2">
      <c r="Y25287" s="97"/>
    </row>
    <row r="25288" spans="25:25" x14ac:dyDescent="0.2">
      <c r="Y25288" s="97"/>
    </row>
    <row r="25289" spans="25:25" x14ac:dyDescent="0.2">
      <c r="Y25289" s="97"/>
    </row>
    <row r="25290" spans="25:25" x14ac:dyDescent="0.2">
      <c r="Y25290" s="97"/>
    </row>
    <row r="25291" spans="25:25" x14ac:dyDescent="0.2">
      <c r="Y25291" s="97"/>
    </row>
    <row r="25292" spans="25:25" x14ac:dyDescent="0.2">
      <c r="Y25292" s="97"/>
    </row>
    <row r="25293" spans="25:25" x14ac:dyDescent="0.2">
      <c r="Y25293" s="97"/>
    </row>
    <row r="25294" spans="25:25" x14ac:dyDescent="0.2">
      <c r="Y25294" s="97"/>
    </row>
    <row r="25295" spans="25:25" x14ac:dyDescent="0.2">
      <c r="Y25295" s="97"/>
    </row>
    <row r="25296" spans="25:25" x14ac:dyDescent="0.2">
      <c r="Y25296" s="97"/>
    </row>
    <row r="25297" spans="25:25" x14ac:dyDescent="0.2">
      <c r="Y25297" s="97"/>
    </row>
    <row r="25298" spans="25:25" x14ac:dyDescent="0.2">
      <c r="Y25298" s="97"/>
    </row>
    <row r="25299" spans="25:25" x14ac:dyDescent="0.2">
      <c r="Y25299" s="97"/>
    </row>
    <row r="25300" spans="25:25" x14ac:dyDescent="0.2">
      <c r="Y25300" s="97"/>
    </row>
    <row r="25301" spans="25:25" x14ac:dyDescent="0.2">
      <c r="Y25301" s="97"/>
    </row>
    <row r="25302" spans="25:25" x14ac:dyDescent="0.2">
      <c r="Y25302" s="97"/>
    </row>
    <row r="25303" spans="25:25" x14ac:dyDescent="0.2">
      <c r="Y25303" s="97"/>
    </row>
    <row r="25304" spans="25:25" x14ac:dyDescent="0.2">
      <c r="Y25304" s="97"/>
    </row>
    <row r="25305" spans="25:25" x14ac:dyDescent="0.2">
      <c r="Y25305" s="97"/>
    </row>
    <row r="25306" spans="25:25" x14ac:dyDescent="0.2">
      <c r="Y25306" s="97"/>
    </row>
    <row r="25307" spans="25:25" x14ac:dyDescent="0.2">
      <c r="Y25307" s="97"/>
    </row>
    <row r="25308" spans="25:25" x14ac:dyDescent="0.2">
      <c r="Y25308" s="97"/>
    </row>
    <row r="25309" spans="25:25" x14ac:dyDescent="0.2">
      <c r="Y25309" s="97"/>
    </row>
    <row r="25310" spans="25:25" x14ac:dyDescent="0.2">
      <c r="Y25310" s="97"/>
    </row>
    <row r="25311" spans="25:25" x14ac:dyDescent="0.2">
      <c r="Y25311" s="97"/>
    </row>
    <row r="25312" spans="25:25" x14ac:dyDescent="0.2">
      <c r="Y25312" s="97"/>
    </row>
    <row r="25313" spans="25:25" x14ac:dyDescent="0.2">
      <c r="Y25313" s="97"/>
    </row>
    <row r="25314" spans="25:25" x14ac:dyDescent="0.2">
      <c r="Y25314" s="97"/>
    </row>
    <row r="25315" spans="25:25" x14ac:dyDescent="0.2">
      <c r="Y25315" s="97"/>
    </row>
    <row r="25316" spans="25:25" x14ac:dyDescent="0.2">
      <c r="Y25316" s="97"/>
    </row>
    <row r="25317" spans="25:25" x14ac:dyDescent="0.2">
      <c r="Y25317" s="97"/>
    </row>
    <row r="25318" spans="25:25" x14ac:dyDescent="0.2">
      <c r="Y25318" s="97"/>
    </row>
    <row r="25319" spans="25:25" x14ac:dyDescent="0.2">
      <c r="Y25319" s="97"/>
    </row>
    <row r="25320" spans="25:25" x14ac:dyDescent="0.2">
      <c r="Y25320" s="97"/>
    </row>
    <row r="25321" spans="25:25" x14ac:dyDescent="0.2">
      <c r="Y25321" s="97"/>
    </row>
    <row r="25322" spans="25:25" x14ac:dyDescent="0.2">
      <c r="Y25322" s="97"/>
    </row>
    <row r="25323" spans="25:25" x14ac:dyDescent="0.2">
      <c r="Y25323" s="97"/>
    </row>
    <row r="25324" spans="25:25" x14ac:dyDescent="0.2">
      <c r="Y25324" s="97"/>
    </row>
    <row r="25325" spans="25:25" x14ac:dyDescent="0.2">
      <c r="Y25325" s="97"/>
    </row>
    <row r="25326" spans="25:25" x14ac:dyDescent="0.2">
      <c r="Y25326" s="97"/>
    </row>
    <row r="25327" spans="25:25" x14ac:dyDescent="0.2">
      <c r="Y25327" s="97"/>
    </row>
    <row r="25328" spans="25:25" x14ac:dyDescent="0.2">
      <c r="Y25328" s="97"/>
    </row>
    <row r="25329" spans="25:25" x14ac:dyDescent="0.2">
      <c r="Y25329" s="97"/>
    </row>
    <row r="25330" spans="25:25" x14ac:dyDescent="0.2">
      <c r="Y25330" s="97"/>
    </row>
    <row r="25331" spans="25:25" x14ac:dyDescent="0.2">
      <c r="Y25331" s="97"/>
    </row>
    <row r="25332" spans="25:25" x14ac:dyDescent="0.2">
      <c r="Y25332" s="97"/>
    </row>
    <row r="25333" spans="25:25" x14ac:dyDescent="0.2">
      <c r="Y25333" s="97"/>
    </row>
    <row r="25334" spans="25:25" x14ac:dyDescent="0.2">
      <c r="Y25334" s="97"/>
    </row>
    <row r="25335" spans="25:25" x14ac:dyDescent="0.2">
      <c r="Y25335" s="97"/>
    </row>
    <row r="25336" spans="25:25" x14ac:dyDescent="0.2">
      <c r="Y25336" s="97"/>
    </row>
    <row r="25337" spans="25:25" x14ac:dyDescent="0.2">
      <c r="Y25337" s="97"/>
    </row>
    <row r="25338" spans="25:25" x14ac:dyDescent="0.2">
      <c r="Y25338" s="97"/>
    </row>
    <row r="25339" spans="25:25" x14ac:dyDescent="0.2">
      <c r="Y25339" s="97"/>
    </row>
    <row r="25340" spans="25:25" x14ac:dyDescent="0.2">
      <c r="Y25340" s="97"/>
    </row>
    <row r="25341" spans="25:25" x14ac:dyDescent="0.2">
      <c r="Y25341" s="97"/>
    </row>
    <row r="25342" spans="25:25" x14ac:dyDescent="0.2">
      <c r="Y25342" s="97"/>
    </row>
    <row r="25343" spans="25:25" x14ac:dyDescent="0.2">
      <c r="Y25343" s="97"/>
    </row>
    <row r="25344" spans="25:25" x14ac:dyDescent="0.2">
      <c r="Y25344" s="97"/>
    </row>
    <row r="25345" spans="25:25" x14ac:dyDescent="0.2">
      <c r="Y25345" s="97"/>
    </row>
    <row r="25346" spans="25:25" x14ac:dyDescent="0.2">
      <c r="Y25346" s="97"/>
    </row>
    <row r="25347" spans="25:25" x14ac:dyDescent="0.2">
      <c r="Y25347" s="97"/>
    </row>
    <row r="25348" spans="25:25" x14ac:dyDescent="0.2">
      <c r="Y25348" s="97"/>
    </row>
    <row r="25349" spans="25:25" x14ac:dyDescent="0.2">
      <c r="Y25349" s="97"/>
    </row>
    <row r="25350" spans="25:25" x14ac:dyDescent="0.2">
      <c r="Y25350" s="97"/>
    </row>
    <row r="25351" spans="25:25" x14ac:dyDescent="0.2">
      <c r="Y25351" s="97"/>
    </row>
    <row r="25352" spans="25:25" x14ac:dyDescent="0.2">
      <c r="Y25352" s="97"/>
    </row>
    <row r="25353" spans="25:25" x14ac:dyDescent="0.2">
      <c r="Y25353" s="97"/>
    </row>
    <row r="25354" spans="25:25" x14ac:dyDescent="0.2">
      <c r="Y25354" s="97"/>
    </row>
    <row r="25355" spans="25:25" x14ac:dyDescent="0.2">
      <c r="Y25355" s="97"/>
    </row>
    <row r="25356" spans="25:25" x14ac:dyDescent="0.2">
      <c r="Y25356" s="97"/>
    </row>
    <row r="25357" spans="25:25" x14ac:dyDescent="0.2">
      <c r="Y25357" s="97"/>
    </row>
    <row r="25358" spans="25:25" x14ac:dyDescent="0.2">
      <c r="Y25358" s="97"/>
    </row>
    <row r="25359" spans="25:25" x14ac:dyDescent="0.2">
      <c r="Y25359" s="97"/>
    </row>
    <row r="25360" spans="25:25" x14ac:dyDescent="0.2">
      <c r="Y25360" s="97"/>
    </row>
    <row r="25361" spans="25:25" x14ac:dyDescent="0.2">
      <c r="Y25361" s="97"/>
    </row>
    <row r="25362" spans="25:25" x14ac:dyDescent="0.2">
      <c r="Y25362" s="97"/>
    </row>
    <row r="25363" spans="25:25" x14ac:dyDescent="0.2">
      <c r="Y25363" s="97"/>
    </row>
    <row r="25364" spans="25:25" x14ac:dyDescent="0.2">
      <c r="Y25364" s="97"/>
    </row>
    <row r="25365" spans="25:25" x14ac:dyDescent="0.2">
      <c r="Y25365" s="97"/>
    </row>
    <row r="25366" spans="25:25" x14ac:dyDescent="0.2">
      <c r="Y25366" s="97"/>
    </row>
    <row r="25367" spans="25:25" x14ac:dyDescent="0.2">
      <c r="Y25367" s="97"/>
    </row>
    <row r="25368" spans="25:25" x14ac:dyDescent="0.2">
      <c r="Y25368" s="97"/>
    </row>
    <row r="25369" spans="25:25" x14ac:dyDescent="0.2">
      <c r="Y25369" s="97"/>
    </row>
    <row r="25370" spans="25:25" x14ac:dyDescent="0.2">
      <c r="Y25370" s="97"/>
    </row>
    <row r="25371" spans="25:25" x14ac:dyDescent="0.2">
      <c r="Y25371" s="97"/>
    </row>
    <row r="25372" spans="25:25" x14ac:dyDescent="0.2">
      <c r="Y25372" s="97"/>
    </row>
    <row r="25373" spans="25:25" x14ac:dyDescent="0.2">
      <c r="Y25373" s="97"/>
    </row>
    <row r="25374" spans="25:25" x14ac:dyDescent="0.2">
      <c r="Y25374" s="97"/>
    </row>
    <row r="25375" spans="25:25" x14ac:dyDescent="0.2">
      <c r="Y25375" s="97"/>
    </row>
    <row r="25376" spans="25:25" x14ac:dyDescent="0.2">
      <c r="Y25376" s="97"/>
    </row>
    <row r="25377" spans="25:25" x14ac:dyDescent="0.2">
      <c r="Y25377" s="97"/>
    </row>
    <row r="25378" spans="25:25" x14ac:dyDescent="0.2">
      <c r="Y25378" s="97"/>
    </row>
    <row r="25379" spans="25:25" x14ac:dyDescent="0.2">
      <c r="Y25379" s="97"/>
    </row>
    <row r="25380" spans="25:25" x14ac:dyDescent="0.2">
      <c r="Y25380" s="97"/>
    </row>
    <row r="25381" spans="25:25" x14ac:dyDescent="0.2">
      <c r="Y25381" s="97"/>
    </row>
    <row r="25382" spans="25:25" x14ac:dyDescent="0.2">
      <c r="Y25382" s="97"/>
    </row>
    <row r="25383" spans="25:25" x14ac:dyDescent="0.2">
      <c r="Y25383" s="97"/>
    </row>
    <row r="25384" spans="25:25" x14ac:dyDescent="0.2">
      <c r="Y25384" s="97"/>
    </row>
    <row r="25385" spans="25:25" x14ac:dyDescent="0.2">
      <c r="Y25385" s="97"/>
    </row>
    <row r="25386" spans="25:25" x14ac:dyDescent="0.2">
      <c r="Y25386" s="97"/>
    </row>
    <row r="25387" spans="25:25" x14ac:dyDescent="0.2">
      <c r="Y25387" s="97"/>
    </row>
    <row r="25388" spans="25:25" x14ac:dyDescent="0.2">
      <c r="Y25388" s="97"/>
    </row>
    <row r="25389" spans="25:25" x14ac:dyDescent="0.2">
      <c r="Y25389" s="97"/>
    </row>
    <row r="25390" spans="25:25" x14ac:dyDescent="0.2">
      <c r="Y25390" s="97"/>
    </row>
    <row r="25391" spans="25:25" x14ac:dyDescent="0.2">
      <c r="Y25391" s="97"/>
    </row>
    <row r="25392" spans="25:25" x14ac:dyDescent="0.2">
      <c r="Y25392" s="97"/>
    </row>
    <row r="25393" spans="25:25" x14ac:dyDescent="0.2">
      <c r="Y25393" s="97"/>
    </row>
    <row r="25394" spans="25:25" x14ac:dyDescent="0.2">
      <c r="Y25394" s="97"/>
    </row>
    <row r="25395" spans="25:25" x14ac:dyDescent="0.2">
      <c r="Y25395" s="97"/>
    </row>
    <row r="25396" spans="25:25" x14ac:dyDescent="0.2">
      <c r="Y25396" s="97"/>
    </row>
    <row r="25397" spans="25:25" x14ac:dyDescent="0.2">
      <c r="Y25397" s="97"/>
    </row>
    <row r="25398" spans="25:25" x14ac:dyDescent="0.2">
      <c r="Y25398" s="97"/>
    </row>
    <row r="25399" spans="25:25" x14ac:dyDescent="0.2">
      <c r="Y25399" s="97"/>
    </row>
    <row r="25400" spans="25:25" x14ac:dyDescent="0.2">
      <c r="Y25400" s="97"/>
    </row>
    <row r="25401" spans="25:25" x14ac:dyDescent="0.2">
      <c r="Y25401" s="97"/>
    </row>
    <row r="25402" spans="25:25" x14ac:dyDescent="0.2">
      <c r="Y25402" s="97"/>
    </row>
    <row r="25403" spans="25:25" x14ac:dyDescent="0.2">
      <c r="Y25403" s="97"/>
    </row>
    <row r="25404" spans="25:25" x14ac:dyDescent="0.2">
      <c r="Y25404" s="97"/>
    </row>
    <row r="25405" spans="25:25" x14ac:dyDescent="0.2">
      <c r="Y25405" s="97"/>
    </row>
    <row r="25406" spans="25:25" x14ac:dyDescent="0.2">
      <c r="Y25406" s="97"/>
    </row>
    <row r="25407" spans="25:25" x14ac:dyDescent="0.2">
      <c r="Y25407" s="97"/>
    </row>
    <row r="25408" spans="25:25" x14ac:dyDescent="0.2">
      <c r="Y25408" s="97"/>
    </row>
    <row r="25409" spans="25:25" x14ac:dyDescent="0.2">
      <c r="Y25409" s="97"/>
    </row>
    <row r="25410" spans="25:25" x14ac:dyDescent="0.2">
      <c r="Y25410" s="97"/>
    </row>
    <row r="25411" spans="25:25" x14ac:dyDescent="0.2">
      <c r="Y25411" s="97"/>
    </row>
    <row r="25412" spans="25:25" x14ac:dyDescent="0.2">
      <c r="Y25412" s="97"/>
    </row>
    <row r="25413" spans="25:25" x14ac:dyDescent="0.2">
      <c r="Y25413" s="97"/>
    </row>
    <row r="25414" spans="25:25" x14ac:dyDescent="0.2">
      <c r="Y25414" s="97"/>
    </row>
    <row r="25415" spans="25:25" x14ac:dyDescent="0.2">
      <c r="Y25415" s="97"/>
    </row>
    <row r="25416" spans="25:25" x14ac:dyDescent="0.2">
      <c r="Y25416" s="97"/>
    </row>
    <row r="25417" spans="25:25" x14ac:dyDescent="0.2">
      <c r="Y25417" s="97"/>
    </row>
    <row r="25418" spans="25:25" x14ac:dyDescent="0.2">
      <c r="Y25418" s="97"/>
    </row>
    <row r="25419" spans="25:25" x14ac:dyDescent="0.2">
      <c r="Y25419" s="97"/>
    </row>
    <row r="25420" spans="25:25" x14ac:dyDescent="0.2">
      <c r="Y25420" s="97"/>
    </row>
    <row r="25421" spans="25:25" x14ac:dyDescent="0.2">
      <c r="Y25421" s="97"/>
    </row>
    <row r="25422" spans="25:25" x14ac:dyDescent="0.2">
      <c r="Y25422" s="97"/>
    </row>
    <row r="25423" spans="25:25" x14ac:dyDescent="0.2">
      <c r="Y25423" s="97"/>
    </row>
    <row r="25424" spans="25:25" x14ac:dyDescent="0.2">
      <c r="Y25424" s="97"/>
    </row>
    <row r="25425" spans="25:25" x14ac:dyDescent="0.2">
      <c r="Y25425" s="97"/>
    </row>
    <row r="25426" spans="25:25" x14ac:dyDescent="0.2">
      <c r="Y25426" s="97"/>
    </row>
    <row r="25427" spans="25:25" x14ac:dyDescent="0.2">
      <c r="Y25427" s="97"/>
    </row>
    <row r="25428" spans="25:25" x14ac:dyDescent="0.2">
      <c r="Y25428" s="97"/>
    </row>
    <row r="25429" spans="25:25" x14ac:dyDescent="0.2">
      <c r="Y25429" s="97"/>
    </row>
    <row r="25430" spans="25:25" x14ac:dyDescent="0.2">
      <c r="Y25430" s="97"/>
    </row>
    <row r="25431" spans="25:25" x14ac:dyDescent="0.2">
      <c r="Y25431" s="97"/>
    </row>
    <row r="25432" spans="25:25" x14ac:dyDescent="0.2">
      <c r="Y25432" s="97"/>
    </row>
    <row r="25433" spans="25:25" x14ac:dyDescent="0.2">
      <c r="Y25433" s="97"/>
    </row>
    <row r="25434" spans="25:25" x14ac:dyDescent="0.2">
      <c r="Y25434" s="97"/>
    </row>
    <row r="25435" spans="25:25" x14ac:dyDescent="0.2">
      <c r="Y25435" s="97"/>
    </row>
    <row r="25436" spans="25:25" x14ac:dyDescent="0.2">
      <c r="Y25436" s="97"/>
    </row>
    <row r="25437" spans="25:25" x14ac:dyDescent="0.2">
      <c r="Y25437" s="97"/>
    </row>
    <row r="25438" spans="25:25" x14ac:dyDescent="0.2">
      <c r="Y25438" s="97"/>
    </row>
    <row r="25439" spans="25:25" x14ac:dyDescent="0.2">
      <c r="Y25439" s="97"/>
    </row>
    <row r="25440" spans="25:25" x14ac:dyDescent="0.2">
      <c r="Y25440" s="97"/>
    </row>
    <row r="25441" spans="25:25" x14ac:dyDescent="0.2">
      <c r="Y25441" s="97"/>
    </row>
    <row r="25442" spans="25:25" x14ac:dyDescent="0.2">
      <c r="Y25442" s="97"/>
    </row>
    <row r="25443" spans="25:25" x14ac:dyDescent="0.2">
      <c r="Y25443" s="97"/>
    </row>
    <row r="25444" spans="25:25" x14ac:dyDescent="0.2">
      <c r="Y25444" s="97"/>
    </row>
    <row r="25445" spans="25:25" x14ac:dyDescent="0.2">
      <c r="Y25445" s="97"/>
    </row>
    <row r="25446" spans="25:25" x14ac:dyDescent="0.2">
      <c r="Y25446" s="97"/>
    </row>
    <row r="25447" spans="25:25" x14ac:dyDescent="0.2">
      <c r="Y25447" s="97"/>
    </row>
    <row r="25448" spans="25:25" x14ac:dyDescent="0.2">
      <c r="Y25448" s="97"/>
    </row>
    <row r="25449" spans="25:25" x14ac:dyDescent="0.2">
      <c r="Y25449" s="97"/>
    </row>
    <row r="25450" spans="25:25" x14ac:dyDescent="0.2">
      <c r="Y25450" s="97"/>
    </row>
    <row r="25451" spans="25:25" x14ac:dyDescent="0.2">
      <c r="Y25451" s="97"/>
    </row>
    <row r="25452" spans="25:25" x14ac:dyDescent="0.2">
      <c r="Y25452" s="97"/>
    </row>
    <row r="25453" spans="25:25" x14ac:dyDescent="0.2">
      <c r="Y25453" s="97"/>
    </row>
    <row r="25454" spans="25:25" x14ac:dyDescent="0.2">
      <c r="Y25454" s="97"/>
    </row>
    <row r="25455" spans="25:25" x14ac:dyDescent="0.2">
      <c r="Y25455" s="97"/>
    </row>
    <row r="25456" spans="25:25" x14ac:dyDescent="0.2">
      <c r="Y25456" s="97"/>
    </row>
    <row r="25457" spans="25:25" x14ac:dyDescent="0.2">
      <c r="Y25457" s="97"/>
    </row>
    <row r="25458" spans="25:25" x14ac:dyDescent="0.2">
      <c r="Y25458" s="97"/>
    </row>
    <row r="25459" spans="25:25" x14ac:dyDescent="0.2">
      <c r="Y25459" s="97"/>
    </row>
    <row r="25460" spans="25:25" x14ac:dyDescent="0.2">
      <c r="Y25460" s="97"/>
    </row>
    <row r="25461" spans="25:25" x14ac:dyDescent="0.2">
      <c r="Y25461" s="97"/>
    </row>
    <row r="25462" spans="25:25" x14ac:dyDescent="0.2">
      <c r="Y25462" s="97"/>
    </row>
    <row r="25463" spans="25:25" x14ac:dyDescent="0.2">
      <c r="Y25463" s="97"/>
    </row>
    <row r="25464" spans="25:25" x14ac:dyDescent="0.2">
      <c r="Y25464" s="97"/>
    </row>
    <row r="25465" spans="25:25" x14ac:dyDescent="0.2">
      <c r="Y25465" s="97"/>
    </row>
    <row r="25466" spans="25:25" x14ac:dyDescent="0.2">
      <c r="Y25466" s="97"/>
    </row>
    <row r="25467" spans="25:25" x14ac:dyDescent="0.2">
      <c r="Y25467" s="97"/>
    </row>
    <row r="25468" spans="25:25" x14ac:dyDescent="0.2">
      <c r="Y25468" s="97"/>
    </row>
    <row r="25469" spans="25:25" x14ac:dyDescent="0.2">
      <c r="Y25469" s="97"/>
    </row>
    <row r="25470" spans="25:25" x14ac:dyDescent="0.2">
      <c r="Y25470" s="97"/>
    </row>
    <row r="25471" spans="25:25" x14ac:dyDescent="0.2">
      <c r="Y25471" s="97"/>
    </row>
    <row r="25472" spans="25:25" x14ac:dyDescent="0.2">
      <c r="Y25472" s="97"/>
    </row>
    <row r="25473" spans="25:25" x14ac:dyDescent="0.2">
      <c r="Y25473" s="97"/>
    </row>
    <row r="25474" spans="25:25" x14ac:dyDescent="0.2">
      <c r="Y25474" s="97"/>
    </row>
    <row r="25475" spans="25:25" x14ac:dyDescent="0.2">
      <c r="Y25475" s="97"/>
    </row>
    <row r="25476" spans="25:25" x14ac:dyDescent="0.2">
      <c r="Y25476" s="97"/>
    </row>
    <row r="25477" spans="25:25" x14ac:dyDescent="0.2">
      <c r="Y25477" s="97"/>
    </row>
    <row r="25478" spans="25:25" x14ac:dyDescent="0.2">
      <c r="Y25478" s="97"/>
    </row>
    <row r="25479" spans="25:25" x14ac:dyDescent="0.2">
      <c r="Y25479" s="97"/>
    </row>
    <row r="25480" spans="25:25" x14ac:dyDescent="0.2">
      <c r="Y25480" s="97"/>
    </row>
    <row r="25481" spans="25:25" x14ac:dyDescent="0.2">
      <c r="Y25481" s="97"/>
    </row>
    <row r="25482" spans="25:25" x14ac:dyDescent="0.2">
      <c r="Y25482" s="97"/>
    </row>
    <row r="25483" spans="25:25" x14ac:dyDescent="0.2">
      <c r="Y25483" s="97"/>
    </row>
    <row r="25484" spans="25:25" x14ac:dyDescent="0.2">
      <c r="Y25484" s="97"/>
    </row>
    <row r="25485" spans="25:25" x14ac:dyDescent="0.2">
      <c r="Y25485" s="97"/>
    </row>
    <row r="25486" spans="25:25" x14ac:dyDescent="0.2">
      <c r="Y25486" s="97"/>
    </row>
    <row r="25487" spans="25:25" x14ac:dyDescent="0.2">
      <c r="Y25487" s="97"/>
    </row>
    <row r="25488" spans="25:25" x14ac:dyDescent="0.2">
      <c r="Y25488" s="97"/>
    </row>
    <row r="25489" spans="25:25" x14ac:dyDescent="0.2">
      <c r="Y25489" s="97"/>
    </row>
    <row r="25490" spans="25:25" x14ac:dyDescent="0.2">
      <c r="Y25490" s="97"/>
    </row>
    <row r="25491" spans="25:25" x14ac:dyDescent="0.2">
      <c r="Y25491" s="97"/>
    </row>
    <row r="25492" spans="25:25" x14ac:dyDescent="0.2">
      <c r="Y25492" s="97"/>
    </row>
    <row r="25493" spans="25:25" x14ac:dyDescent="0.2">
      <c r="Y25493" s="97"/>
    </row>
    <row r="25494" spans="25:25" x14ac:dyDescent="0.2">
      <c r="Y25494" s="97"/>
    </row>
    <row r="25495" spans="25:25" x14ac:dyDescent="0.2">
      <c r="Y25495" s="97"/>
    </row>
    <row r="25496" spans="25:25" x14ac:dyDescent="0.2">
      <c r="Y25496" s="97"/>
    </row>
    <row r="25497" spans="25:25" x14ac:dyDescent="0.2">
      <c r="Y25497" s="97"/>
    </row>
    <row r="25498" spans="25:25" x14ac:dyDescent="0.2">
      <c r="Y25498" s="97"/>
    </row>
    <row r="25499" spans="25:25" x14ac:dyDescent="0.2">
      <c r="Y25499" s="97"/>
    </row>
    <row r="25500" spans="25:25" x14ac:dyDescent="0.2">
      <c r="Y25500" s="97"/>
    </row>
    <row r="25501" spans="25:25" x14ac:dyDescent="0.2">
      <c r="Y25501" s="97"/>
    </row>
    <row r="25502" spans="25:25" x14ac:dyDescent="0.2">
      <c r="Y25502" s="97"/>
    </row>
    <row r="25503" spans="25:25" x14ac:dyDescent="0.2">
      <c r="Y25503" s="97"/>
    </row>
    <row r="25504" spans="25:25" x14ac:dyDescent="0.2">
      <c r="Y25504" s="97"/>
    </row>
    <row r="25505" spans="25:25" x14ac:dyDescent="0.2">
      <c r="Y25505" s="97"/>
    </row>
    <row r="25506" spans="25:25" x14ac:dyDescent="0.2">
      <c r="Y25506" s="97"/>
    </row>
    <row r="25507" spans="25:25" x14ac:dyDescent="0.2">
      <c r="Y25507" s="97"/>
    </row>
    <row r="25508" spans="25:25" x14ac:dyDescent="0.2">
      <c r="Y25508" s="97"/>
    </row>
    <row r="25509" spans="25:25" x14ac:dyDescent="0.2">
      <c r="Y25509" s="97"/>
    </row>
    <row r="25510" spans="25:25" x14ac:dyDescent="0.2">
      <c r="Y25510" s="97"/>
    </row>
    <row r="25511" spans="25:25" x14ac:dyDescent="0.2">
      <c r="Y25511" s="97"/>
    </row>
    <row r="25512" spans="25:25" x14ac:dyDescent="0.2">
      <c r="Y25512" s="97"/>
    </row>
    <row r="25513" spans="25:25" x14ac:dyDescent="0.2">
      <c r="Y25513" s="97"/>
    </row>
    <row r="25514" spans="25:25" x14ac:dyDescent="0.2">
      <c r="Y25514" s="97"/>
    </row>
    <row r="25515" spans="25:25" x14ac:dyDescent="0.2">
      <c r="Y25515" s="97"/>
    </row>
    <row r="25516" spans="25:25" x14ac:dyDescent="0.2">
      <c r="Y25516" s="97"/>
    </row>
    <row r="25517" spans="25:25" x14ac:dyDescent="0.2">
      <c r="Y25517" s="97"/>
    </row>
    <row r="25518" spans="25:25" x14ac:dyDescent="0.2">
      <c r="Y25518" s="97"/>
    </row>
    <row r="25519" spans="25:25" x14ac:dyDescent="0.2">
      <c r="Y25519" s="97"/>
    </row>
    <row r="25520" spans="25:25" x14ac:dyDescent="0.2">
      <c r="Y25520" s="97"/>
    </row>
    <row r="25521" spans="25:25" x14ac:dyDescent="0.2">
      <c r="Y25521" s="97"/>
    </row>
    <row r="25522" spans="25:25" x14ac:dyDescent="0.2">
      <c r="Y25522" s="97"/>
    </row>
    <row r="25523" spans="25:25" x14ac:dyDescent="0.2">
      <c r="Y25523" s="97"/>
    </row>
    <row r="25524" spans="25:25" x14ac:dyDescent="0.2">
      <c r="Y25524" s="97"/>
    </row>
    <row r="25525" spans="25:25" x14ac:dyDescent="0.2">
      <c r="Y25525" s="97"/>
    </row>
    <row r="25526" spans="25:25" x14ac:dyDescent="0.2">
      <c r="Y25526" s="97"/>
    </row>
    <row r="25527" spans="25:25" x14ac:dyDescent="0.2">
      <c r="Y25527" s="97"/>
    </row>
    <row r="25528" spans="25:25" x14ac:dyDescent="0.2">
      <c r="Y25528" s="97"/>
    </row>
    <row r="25529" spans="25:25" x14ac:dyDescent="0.2">
      <c r="Y25529" s="97"/>
    </row>
    <row r="25530" spans="25:25" x14ac:dyDescent="0.2">
      <c r="Y25530" s="97"/>
    </row>
    <row r="25531" spans="25:25" x14ac:dyDescent="0.2">
      <c r="Y25531" s="97"/>
    </row>
    <row r="25532" spans="25:25" x14ac:dyDescent="0.2">
      <c r="Y25532" s="97"/>
    </row>
    <row r="25533" spans="25:25" x14ac:dyDescent="0.2">
      <c r="Y25533" s="97"/>
    </row>
    <row r="25534" spans="25:25" x14ac:dyDescent="0.2">
      <c r="Y25534" s="97"/>
    </row>
    <row r="25535" spans="25:25" x14ac:dyDescent="0.2">
      <c r="Y25535" s="97"/>
    </row>
    <row r="25536" spans="25:25" x14ac:dyDescent="0.2">
      <c r="Y25536" s="97"/>
    </row>
    <row r="25537" spans="25:25" x14ac:dyDescent="0.2">
      <c r="Y25537" s="97"/>
    </row>
    <row r="25538" spans="25:25" x14ac:dyDescent="0.2">
      <c r="Y25538" s="97"/>
    </row>
    <row r="25539" spans="25:25" x14ac:dyDescent="0.2">
      <c r="Y25539" s="97"/>
    </row>
    <row r="25540" spans="25:25" x14ac:dyDescent="0.2">
      <c r="Y25540" s="97"/>
    </row>
    <row r="25541" spans="25:25" x14ac:dyDescent="0.2">
      <c r="Y25541" s="97"/>
    </row>
    <row r="25542" spans="25:25" x14ac:dyDescent="0.2">
      <c r="Y25542" s="97"/>
    </row>
    <row r="25543" spans="25:25" x14ac:dyDescent="0.2">
      <c r="Y25543" s="97"/>
    </row>
    <row r="25544" spans="25:25" x14ac:dyDescent="0.2">
      <c r="Y25544" s="97"/>
    </row>
    <row r="25545" spans="25:25" x14ac:dyDescent="0.2">
      <c r="Y25545" s="97"/>
    </row>
    <row r="25546" spans="25:25" x14ac:dyDescent="0.2">
      <c r="Y25546" s="97"/>
    </row>
    <row r="25547" spans="25:25" x14ac:dyDescent="0.2">
      <c r="Y25547" s="97"/>
    </row>
    <row r="25548" spans="25:25" x14ac:dyDescent="0.2">
      <c r="Y25548" s="97"/>
    </row>
    <row r="25549" spans="25:25" x14ac:dyDescent="0.2">
      <c r="Y25549" s="97"/>
    </row>
    <row r="25550" spans="25:25" x14ac:dyDescent="0.2">
      <c r="Y25550" s="97"/>
    </row>
    <row r="25551" spans="25:25" x14ac:dyDescent="0.2">
      <c r="Y25551" s="97"/>
    </row>
    <row r="25552" spans="25:25" x14ac:dyDescent="0.2">
      <c r="Y25552" s="97"/>
    </row>
    <row r="25553" spans="25:25" x14ac:dyDescent="0.2">
      <c r="Y25553" s="97"/>
    </row>
    <row r="25554" spans="25:25" x14ac:dyDescent="0.2">
      <c r="Y25554" s="97"/>
    </row>
    <row r="25555" spans="25:25" x14ac:dyDescent="0.2">
      <c r="Y25555" s="97"/>
    </row>
    <row r="25556" spans="25:25" x14ac:dyDescent="0.2">
      <c r="Y25556" s="97"/>
    </row>
    <row r="25557" spans="25:25" x14ac:dyDescent="0.2">
      <c r="Y25557" s="97"/>
    </row>
    <row r="25558" spans="25:25" x14ac:dyDescent="0.2">
      <c r="Y25558" s="97"/>
    </row>
    <row r="25559" spans="25:25" x14ac:dyDescent="0.2">
      <c r="Y25559" s="97"/>
    </row>
    <row r="25560" spans="25:25" x14ac:dyDescent="0.2">
      <c r="Y25560" s="97"/>
    </row>
    <row r="25561" spans="25:25" x14ac:dyDescent="0.2">
      <c r="Y25561" s="97"/>
    </row>
    <row r="25562" spans="25:25" x14ac:dyDescent="0.2">
      <c r="Y25562" s="97"/>
    </row>
    <row r="25563" spans="25:25" x14ac:dyDescent="0.2">
      <c r="Y25563" s="97"/>
    </row>
    <row r="25564" spans="25:25" x14ac:dyDescent="0.2">
      <c r="Y25564" s="97"/>
    </row>
    <row r="25565" spans="25:25" x14ac:dyDescent="0.2">
      <c r="Y25565" s="97"/>
    </row>
    <row r="25566" spans="25:25" x14ac:dyDescent="0.2">
      <c r="Y25566" s="97"/>
    </row>
    <row r="25567" spans="25:25" x14ac:dyDescent="0.2">
      <c r="Y25567" s="97"/>
    </row>
    <row r="25568" spans="25:25" x14ac:dyDescent="0.2">
      <c r="Y25568" s="97"/>
    </row>
    <row r="25569" spans="25:25" x14ac:dyDescent="0.2">
      <c r="Y25569" s="97"/>
    </row>
    <row r="25570" spans="25:25" x14ac:dyDescent="0.2">
      <c r="Y25570" s="97"/>
    </row>
    <row r="25571" spans="25:25" x14ac:dyDescent="0.2">
      <c r="Y25571" s="97"/>
    </row>
    <row r="25572" spans="25:25" x14ac:dyDescent="0.2">
      <c r="Y25572" s="97"/>
    </row>
    <row r="25573" spans="25:25" x14ac:dyDescent="0.2">
      <c r="Y25573" s="97"/>
    </row>
    <row r="25574" spans="25:25" x14ac:dyDescent="0.2">
      <c r="Y25574" s="97"/>
    </row>
    <row r="25575" spans="25:25" x14ac:dyDescent="0.2">
      <c r="Y25575" s="97"/>
    </row>
    <row r="25576" spans="25:25" x14ac:dyDescent="0.2">
      <c r="Y25576" s="97"/>
    </row>
    <row r="25577" spans="25:25" x14ac:dyDescent="0.2">
      <c r="Y25577" s="97"/>
    </row>
    <row r="25578" spans="25:25" x14ac:dyDescent="0.2">
      <c r="Y25578" s="97"/>
    </row>
    <row r="25579" spans="25:25" x14ac:dyDescent="0.2">
      <c r="Y25579" s="97"/>
    </row>
    <row r="25580" spans="25:25" x14ac:dyDescent="0.2">
      <c r="Y25580" s="97"/>
    </row>
    <row r="25581" spans="25:25" x14ac:dyDescent="0.2">
      <c r="Y25581" s="97"/>
    </row>
    <row r="25582" spans="25:25" x14ac:dyDescent="0.2">
      <c r="Y25582" s="97"/>
    </row>
    <row r="25583" spans="25:25" x14ac:dyDescent="0.2">
      <c r="Y25583" s="97"/>
    </row>
    <row r="25584" spans="25:25" x14ac:dyDescent="0.2">
      <c r="Y25584" s="97"/>
    </row>
    <row r="25585" spans="25:25" x14ac:dyDescent="0.2">
      <c r="Y25585" s="97"/>
    </row>
    <row r="25586" spans="25:25" x14ac:dyDescent="0.2">
      <c r="Y25586" s="97"/>
    </row>
    <row r="25587" spans="25:25" x14ac:dyDescent="0.2">
      <c r="Y25587" s="97"/>
    </row>
    <row r="25588" spans="25:25" x14ac:dyDescent="0.2">
      <c r="Y25588" s="97"/>
    </row>
    <row r="25589" spans="25:25" x14ac:dyDescent="0.2">
      <c r="Y25589" s="97"/>
    </row>
    <row r="25590" spans="25:25" x14ac:dyDescent="0.2">
      <c r="Y25590" s="97"/>
    </row>
    <row r="25591" spans="25:25" x14ac:dyDescent="0.2">
      <c r="Y25591" s="97"/>
    </row>
    <row r="25592" spans="25:25" x14ac:dyDescent="0.2">
      <c r="Y25592" s="97"/>
    </row>
    <row r="25593" spans="25:25" x14ac:dyDescent="0.2">
      <c r="Y25593" s="97"/>
    </row>
    <row r="25594" spans="25:25" x14ac:dyDescent="0.2">
      <c r="Y25594" s="97"/>
    </row>
    <row r="25595" spans="25:25" x14ac:dyDescent="0.2">
      <c r="Y25595" s="97"/>
    </row>
    <row r="25596" spans="25:25" x14ac:dyDescent="0.2">
      <c r="Y25596" s="97"/>
    </row>
    <row r="25597" spans="25:25" x14ac:dyDescent="0.2">
      <c r="Y25597" s="97"/>
    </row>
    <row r="25598" spans="25:25" x14ac:dyDescent="0.2">
      <c r="Y25598" s="97"/>
    </row>
    <row r="25599" spans="25:25" x14ac:dyDescent="0.2">
      <c r="Y25599" s="97"/>
    </row>
    <row r="25600" spans="25:25" x14ac:dyDescent="0.2">
      <c r="Y25600" s="97"/>
    </row>
    <row r="25601" spans="25:25" x14ac:dyDescent="0.2">
      <c r="Y25601" s="97"/>
    </row>
    <row r="25602" spans="25:25" x14ac:dyDescent="0.2">
      <c r="Y25602" s="97"/>
    </row>
    <row r="25603" spans="25:25" x14ac:dyDescent="0.2">
      <c r="Y25603" s="97"/>
    </row>
    <row r="25604" spans="25:25" x14ac:dyDescent="0.2">
      <c r="Y25604" s="97"/>
    </row>
    <row r="25605" spans="25:25" x14ac:dyDescent="0.2">
      <c r="Y25605" s="97"/>
    </row>
    <row r="25606" spans="25:25" x14ac:dyDescent="0.2">
      <c r="Y25606" s="97"/>
    </row>
    <row r="25607" spans="25:25" x14ac:dyDescent="0.2">
      <c r="Y25607" s="97"/>
    </row>
    <row r="25608" spans="25:25" x14ac:dyDescent="0.2">
      <c r="Y25608" s="97"/>
    </row>
    <row r="25609" spans="25:25" x14ac:dyDescent="0.2">
      <c r="Y25609" s="97"/>
    </row>
    <row r="25610" spans="25:25" x14ac:dyDescent="0.2">
      <c r="Y25610" s="97"/>
    </row>
    <row r="25611" spans="25:25" x14ac:dyDescent="0.2">
      <c r="Y25611" s="97"/>
    </row>
    <row r="25612" spans="25:25" x14ac:dyDescent="0.2">
      <c r="Y25612" s="97"/>
    </row>
    <row r="25613" spans="25:25" x14ac:dyDescent="0.2">
      <c r="Y25613" s="97"/>
    </row>
    <row r="25614" spans="25:25" x14ac:dyDescent="0.2">
      <c r="Y25614" s="97"/>
    </row>
    <row r="25615" spans="25:25" x14ac:dyDescent="0.2">
      <c r="Y25615" s="97"/>
    </row>
    <row r="25616" spans="25:25" x14ac:dyDescent="0.2">
      <c r="Y25616" s="97"/>
    </row>
    <row r="25617" spans="25:25" x14ac:dyDescent="0.2">
      <c r="Y25617" s="97"/>
    </row>
    <row r="25618" spans="25:25" x14ac:dyDescent="0.2">
      <c r="Y25618" s="97"/>
    </row>
    <row r="25619" spans="25:25" x14ac:dyDescent="0.2">
      <c r="Y25619" s="97"/>
    </row>
    <row r="25620" spans="25:25" x14ac:dyDescent="0.2">
      <c r="Y25620" s="97"/>
    </row>
    <row r="25621" spans="25:25" x14ac:dyDescent="0.2">
      <c r="Y25621" s="97"/>
    </row>
    <row r="25622" spans="25:25" x14ac:dyDescent="0.2">
      <c r="Y25622" s="97"/>
    </row>
    <row r="25623" spans="25:25" x14ac:dyDescent="0.2">
      <c r="Y25623" s="97"/>
    </row>
    <row r="25624" spans="25:25" x14ac:dyDescent="0.2">
      <c r="Y25624" s="97"/>
    </row>
    <row r="25625" spans="25:25" x14ac:dyDescent="0.2">
      <c r="Y25625" s="97"/>
    </row>
    <row r="25626" spans="25:25" x14ac:dyDescent="0.2">
      <c r="Y25626" s="97"/>
    </row>
    <row r="25627" spans="25:25" x14ac:dyDescent="0.2">
      <c r="Y25627" s="97"/>
    </row>
    <row r="25628" spans="25:25" x14ac:dyDescent="0.2">
      <c r="Y25628" s="97"/>
    </row>
    <row r="25629" spans="25:25" x14ac:dyDescent="0.2">
      <c r="Y25629" s="97"/>
    </row>
    <row r="25630" spans="25:25" x14ac:dyDescent="0.2">
      <c r="Y25630" s="97"/>
    </row>
    <row r="25631" spans="25:25" x14ac:dyDescent="0.2">
      <c r="Y25631" s="97"/>
    </row>
    <row r="25632" spans="25:25" x14ac:dyDescent="0.2">
      <c r="Y25632" s="97"/>
    </row>
    <row r="25633" spans="25:25" x14ac:dyDescent="0.2">
      <c r="Y25633" s="97"/>
    </row>
    <row r="25634" spans="25:25" x14ac:dyDescent="0.2">
      <c r="Y25634" s="97"/>
    </row>
    <row r="25635" spans="25:25" x14ac:dyDescent="0.2">
      <c r="Y25635" s="97"/>
    </row>
    <row r="25636" spans="25:25" x14ac:dyDescent="0.2">
      <c r="Y25636" s="97"/>
    </row>
    <row r="25637" spans="25:25" x14ac:dyDescent="0.2">
      <c r="Y25637" s="97"/>
    </row>
    <row r="25638" spans="25:25" x14ac:dyDescent="0.2">
      <c r="Y25638" s="97"/>
    </row>
    <row r="25639" spans="25:25" x14ac:dyDescent="0.2">
      <c r="Y25639" s="97"/>
    </row>
    <row r="25640" spans="25:25" x14ac:dyDescent="0.2">
      <c r="Y25640" s="97"/>
    </row>
    <row r="25641" spans="25:25" x14ac:dyDescent="0.2">
      <c r="Y25641" s="97"/>
    </row>
    <row r="25642" spans="25:25" x14ac:dyDescent="0.2">
      <c r="Y25642" s="97"/>
    </row>
    <row r="25643" spans="25:25" x14ac:dyDescent="0.2">
      <c r="Y25643" s="97"/>
    </row>
    <row r="25644" spans="25:25" x14ac:dyDescent="0.2">
      <c r="Y25644" s="97"/>
    </row>
    <row r="25645" spans="25:25" x14ac:dyDescent="0.2">
      <c r="Y25645" s="97"/>
    </row>
    <row r="25646" spans="25:25" x14ac:dyDescent="0.2">
      <c r="Y25646" s="97"/>
    </row>
    <row r="25647" spans="25:25" x14ac:dyDescent="0.2">
      <c r="Y25647" s="97"/>
    </row>
    <row r="25648" spans="25:25" x14ac:dyDescent="0.2">
      <c r="Y25648" s="97"/>
    </row>
    <row r="25649" spans="25:25" x14ac:dyDescent="0.2">
      <c r="Y25649" s="97"/>
    </row>
    <row r="25650" spans="25:25" x14ac:dyDescent="0.2">
      <c r="Y25650" s="97"/>
    </row>
    <row r="25651" spans="25:25" x14ac:dyDescent="0.2">
      <c r="Y25651" s="97"/>
    </row>
    <row r="25652" spans="25:25" x14ac:dyDescent="0.2">
      <c r="Y25652" s="97"/>
    </row>
    <row r="25653" spans="25:25" x14ac:dyDescent="0.2">
      <c r="Y25653" s="97"/>
    </row>
    <row r="25654" spans="25:25" x14ac:dyDescent="0.2">
      <c r="Y25654" s="97"/>
    </row>
    <row r="25655" spans="25:25" x14ac:dyDescent="0.2">
      <c r="Y25655" s="97"/>
    </row>
    <row r="25656" spans="25:25" x14ac:dyDescent="0.2">
      <c r="Y25656" s="97"/>
    </row>
    <row r="25657" spans="25:25" x14ac:dyDescent="0.2">
      <c r="Y25657" s="97"/>
    </row>
    <row r="25658" spans="25:25" x14ac:dyDescent="0.2">
      <c r="Y25658" s="97"/>
    </row>
    <row r="25659" spans="25:25" x14ac:dyDescent="0.2">
      <c r="Y25659" s="97"/>
    </row>
    <row r="25660" spans="25:25" x14ac:dyDescent="0.2">
      <c r="Y25660" s="97"/>
    </row>
    <row r="25661" spans="25:25" x14ac:dyDescent="0.2">
      <c r="Y25661" s="97"/>
    </row>
    <row r="25662" spans="25:25" x14ac:dyDescent="0.2">
      <c r="Y25662" s="97"/>
    </row>
    <row r="25663" spans="25:25" x14ac:dyDescent="0.2">
      <c r="Y25663" s="97"/>
    </row>
    <row r="25664" spans="25:25" x14ac:dyDescent="0.2">
      <c r="Y25664" s="97"/>
    </row>
    <row r="25665" spans="25:25" x14ac:dyDescent="0.2">
      <c r="Y25665" s="97"/>
    </row>
    <row r="25666" spans="25:25" x14ac:dyDescent="0.2">
      <c r="Y25666" s="97"/>
    </row>
    <row r="25667" spans="25:25" x14ac:dyDescent="0.2">
      <c r="Y25667" s="97"/>
    </row>
    <row r="25668" spans="25:25" x14ac:dyDescent="0.2">
      <c r="Y25668" s="97"/>
    </row>
    <row r="25669" spans="25:25" x14ac:dyDescent="0.2">
      <c r="Y25669" s="97"/>
    </row>
    <row r="25670" spans="25:25" x14ac:dyDescent="0.2">
      <c r="Y25670" s="97"/>
    </row>
    <row r="25671" spans="25:25" x14ac:dyDescent="0.2">
      <c r="Y25671" s="97"/>
    </row>
    <row r="25672" spans="25:25" x14ac:dyDescent="0.2">
      <c r="Y25672" s="97"/>
    </row>
    <row r="25673" spans="25:25" x14ac:dyDescent="0.2">
      <c r="Y25673" s="97"/>
    </row>
    <row r="25674" spans="25:25" x14ac:dyDescent="0.2">
      <c r="Y25674" s="97"/>
    </row>
    <row r="25675" spans="25:25" x14ac:dyDescent="0.2">
      <c r="Y25675" s="97"/>
    </row>
    <row r="25676" spans="25:25" x14ac:dyDescent="0.2">
      <c r="Y25676" s="97"/>
    </row>
    <row r="25677" spans="25:25" x14ac:dyDescent="0.2">
      <c r="Y25677" s="97"/>
    </row>
    <row r="25678" spans="25:25" x14ac:dyDescent="0.2">
      <c r="Y25678" s="97"/>
    </row>
    <row r="25679" spans="25:25" x14ac:dyDescent="0.2">
      <c r="Y25679" s="97"/>
    </row>
    <row r="25680" spans="25:25" x14ac:dyDescent="0.2">
      <c r="Y25680" s="97"/>
    </row>
    <row r="25681" spans="25:25" x14ac:dyDescent="0.2">
      <c r="Y25681" s="97"/>
    </row>
    <row r="25682" spans="25:25" x14ac:dyDescent="0.2">
      <c r="Y25682" s="97"/>
    </row>
    <row r="25683" spans="25:25" x14ac:dyDescent="0.2">
      <c r="Y25683" s="97"/>
    </row>
    <row r="25684" spans="25:25" x14ac:dyDescent="0.2">
      <c r="Y25684" s="97"/>
    </row>
    <row r="25685" spans="25:25" x14ac:dyDescent="0.2">
      <c r="Y25685" s="97"/>
    </row>
    <row r="25686" spans="25:25" x14ac:dyDescent="0.2">
      <c r="Y25686" s="97"/>
    </row>
    <row r="25687" spans="25:25" x14ac:dyDescent="0.2">
      <c r="Y25687" s="97"/>
    </row>
    <row r="25688" spans="25:25" x14ac:dyDescent="0.2">
      <c r="Y25688" s="97"/>
    </row>
    <row r="25689" spans="25:25" x14ac:dyDescent="0.2">
      <c r="Y25689" s="97"/>
    </row>
    <row r="25690" spans="25:25" x14ac:dyDescent="0.2">
      <c r="Y25690" s="97"/>
    </row>
    <row r="25691" spans="25:25" x14ac:dyDescent="0.2">
      <c r="Y25691" s="97"/>
    </row>
    <row r="25692" spans="25:25" x14ac:dyDescent="0.2">
      <c r="Y25692" s="97"/>
    </row>
    <row r="25693" spans="25:25" x14ac:dyDescent="0.2">
      <c r="Y25693" s="97"/>
    </row>
    <row r="25694" spans="25:25" x14ac:dyDescent="0.2">
      <c r="Y25694" s="97"/>
    </row>
    <row r="25695" spans="25:25" x14ac:dyDescent="0.2">
      <c r="Y25695" s="97"/>
    </row>
    <row r="25696" spans="25:25" x14ac:dyDescent="0.2">
      <c r="Y25696" s="97"/>
    </row>
    <row r="25697" spans="25:25" x14ac:dyDescent="0.2">
      <c r="Y25697" s="97"/>
    </row>
    <row r="25698" spans="25:25" x14ac:dyDescent="0.2">
      <c r="Y25698" s="97"/>
    </row>
    <row r="25699" spans="25:25" x14ac:dyDescent="0.2">
      <c r="Y25699" s="97"/>
    </row>
    <row r="25700" spans="25:25" x14ac:dyDescent="0.2">
      <c r="Y25700" s="97"/>
    </row>
    <row r="25701" spans="25:25" x14ac:dyDescent="0.2">
      <c r="Y25701" s="97"/>
    </row>
    <row r="25702" spans="25:25" x14ac:dyDescent="0.2">
      <c r="Y25702" s="97"/>
    </row>
    <row r="25703" spans="25:25" x14ac:dyDescent="0.2">
      <c r="Y25703" s="97"/>
    </row>
    <row r="25704" spans="25:25" x14ac:dyDescent="0.2">
      <c r="Y25704" s="97"/>
    </row>
    <row r="25705" spans="25:25" x14ac:dyDescent="0.2">
      <c r="Y25705" s="97"/>
    </row>
    <row r="25706" spans="25:25" x14ac:dyDescent="0.2">
      <c r="Y25706" s="97"/>
    </row>
    <row r="25707" spans="25:25" x14ac:dyDescent="0.2">
      <c r="Y25707" s="97"/>
    </row>
    <row r="25708" spans="25:25" x14ac:dyDescent="0.2">
      <c r="Y25708" s="97"/>
    </row>
    <row r="25709" spans="25:25" x14ac:dyDescent="0.2">
      <c r="Y25709" s="97"/>
    </row>
    <row r="25710" spans="25:25" x14ac:dyDescent="0.2">
      <c r="Y25710" s="97"/>
    </row>
    <row r="25711" spans="25:25" x14ac:dyDescent="0.2">
      <c r="Y25711" s="97"/>
    </row>
    <row r="25712" spans="25:25" x14ac:dyDescent="0.2">
      <c r="Y25712" s="97"/>
    </row>
    <row r="25713" spans="25:25" x14ac:dyDescent="0.2">
      <c r="Y25713" s="97"/>
    </row>
    <row r="25714" spans="25:25" x14ac:dyDescent="0.2">
      <c r="Y25714" s="97"/>
    </row>
    <row r="25715" spans="25:25" x14ac:dyDescent="0.2">
      <c r="Y25715" s="97"/>
    </row>
    <row r="25716" spans="25:25" x14ac:dyDescent="0.2">
      <c r="Y25716" s="97"/>
    </row>
    <row r="25717" spans="25:25" x14ac:dyDescent="0.2">
      <c r="Y25717" s="97"/>
    </row>
    <row r="25718" spans="25:25" x14ac:dyDescent="0.2">
      <c r="Y25718" s="97"/>
    </row>
    <row r="25719" spans="25:25" x14ac:dyDescent="0.2">
      <c r="Y25719" s="97"/>
    </row>
    <row r="25720" spans="25:25" x14ac:dyDescent="0.2">
      <c r="Y25720" s="97"/>
    </row>
    <row r="25721" spans="25:25" x14ac:dyDescent="0.2">
      <c r="Y25721" s="97"/>
    </row>
    <row r="25722" spans="25:25" x14ac:dyDescent="0.2">
      <c r="Y25722" s="97"/>
    </row>
    <row r="25723" spans="25:25" x14ac:dyDescent="0.2">
      <c r="Y25723" s="97"/>
    </row>
    <row r="25724" spans="25:25" x14ac:dyDescent="0.2">
      <c r="Y25724" s="97"/>
    </row>
    <row r="25725" spans="25:25" x14ac:dyDescent="0.2">
      <c r="Y25725" s="97"/>
    </row>
    <row r="25726" spans="25:25" x14ac:dyDescent="0.2">
      <c r="Y25726" s="97"/>
    </row>
    <row r="25727" spans="25:25" x14ac:dyDescent="0.2">
      <c r="Y25727" s="97"/>
    </row>
    <row r="25728" spans="25:25" x14ac:dyDescent="0.2">
      <c r="Y25728" s="97"/>
    </row>
    <row r="25729" spans="25:25" x14ac:dyDescent="0.2">
      <c r="Y25729" s="97"/>
    </row>
    <row r="25730" spans="25:25" x14ac:dyDescent="0.2">
      <c r="Y25730" s="97"/>
    </row>
    <row r="25731" spans="25:25" x14ac:dyDescent="0.2">
      <c r="Y25731" s="97"/>
    </row>
    <row r="25732" spans="25:25" x14ac:dyDescent="0.2">
      <c r="Y25732" s="97"/>
    </row>
    <row r="25733" spans="25:25" x14ac:dyDescent="0.2">
      <c r="Y25733" s="97"/>
    </row>
    <row r="25734" spans="25:25" x14ac:dyDescent="0.2">
      <c r="Y25734" s="97"/>
    </row>
    <row r="25735" spans="25:25" x14ac:dyDescent="0.2">
      <c r="Y25735" s="97"/>
    </row>
    <row r="25736" spans="25:25" x14ac:dyDescent="0.2">
      <c r="Y25736" s="97"/>
    </row>
    <row r="25737" spans="25:25" x14ac:dyDescent="0.2">
      <c r="Y25737" s="97"/>
    </row>
    <row r="25738" spans="25:25" x14ac:dyDescent="0.2">
      <c r="Y25738" s="97"/>
    </row>
    <row r="25739" spans="25:25" x14ac:dyDescent="0.2">
      <c r="Y25739" s="97"/>
    </row>
    <row r="25740" spans="25:25" x14ac:dyDescent="0.2">
      <c r="Y25740" s="97"/>
    </row>
    <row r="25741" spans="25:25" x14ac:dyDescent="0.2">
      <c r="Y25741" s="97"/>
    </row>
    <row r="25742" spans="25:25" x14ac:dyDescent="0.2">
      <c r="Y25742" s="97"/>
    </row>
    <row r="25743" spans="25:25" x14ac:dyDescent="0.2">
      <c r="Y25743" s="97"/>
    </row>
    <row r="25744" spans="25:25" x14ac:dyDescent="0.2">
      <c r="Y25744" s="97"/>
    </row>
    <row r="25745" spans="25:25" x14ac:dyDescent="0.2">
      <c r="Y25745" s="97"/>
    </row>
    <row r="25746" spans="25:25" x14ac:dyDescent="0.2">
      <c r="Y25746" s="97"/>
    </row>
    <row r="25747" spans="25:25" x14ac:dyDescent="0.2">
      <c r="Y25747" s="97"/>
    </row>
    <row r="25748" spans="25:25" x14ac:dyDescent="0.2">
      <c r="Y25748" s="97"/>
    </row>
    <row r="25749" spans="25:25" x14ac:dyDescent="0.2">
      <c r="Y25749" s="97"/>
    </row>
    <row r="25750" spans="25:25" x14ac:dyDescent="0.2">
      <c r="Y25750" s="97"/>
    </row>
    <row r="25751" spans="25:25" x14ac:dyDescent="0.2">
      <c r="Y25751" s="97"/>
    </row>
    <row r="25752" spans="25:25" x14ac:dyDescent="0.2">
      <c r="Y25752" s="97"/>
    </row>
    <row r="25753" spans="25:25" x14ac:dyDescent="0.2">
      <c r="Y25753" s="97"/>
    </row>
    <row r="25754" spans="25:25" x14ac:dyDescent="0.2">
      <c r="Y25754" s="97"/>
    </row>
    <row r="25755" spans="25:25" x14ac:dyDescent="0.2">
      <c r="Y25755" s="97"/>
    </row>
    <row r="25756" spans="25:25" x14ac:dyDescent="0.2">
      <c r="Y25756" s="97"/>
    </row>
    <row r="25757" spans="25:25" x14ac:dyDescent="0.2">
      <c r="Y25757" s="97"/>
    </row>
    <row r="25758" spans="25:25" x14ac:dyDescent="0.2">
      <c r="Y25758" s="97"/>
    </row>
    <row r="25759" spans="25:25" x14ac:dyDescent="0.2">
      <c r="Y25759" s="97"/>
    </row>
    <row r="25760" spans="25:25" x14ac:dyDescent="0.2">
      <c r="Y25760" s="97"/>
    </row>
    <row r="25761" spans="25:25" x14ac:dyDescent="0.2">
      <c r="Y25761" s="97"/>
    </row>
    <row r="25762" spans="25:25" x14ac:dyDescent="0.2">
      <c r="Y25762" s="97"/>
    </row>
    <row r="25763" spans="25:25" x14ac:dyDescent="0.2">
      <c r="Y25763" s="97"/>
    </row>
    <row r="25764" spans="25:25" x14ac:dyDescent="0.2">
      <c r="Y25764" s="97"/>
    </row>
    <row r="25765" spans="25:25" x14ac:dyDescent="0.2">
      <c r="Y25765" s="97"/>
    </row>
    <row r="25766" spans="25:25" x14ac:dyDescent="0.2">
      <c r="Y25766" s="97"/>
    </row>
    <row r="25767" spans="25:25" x14ac:dyDescent="0.2">
      <c r="Y25767" s="97"/>
    </row>
    <row r="25768" spans="25:25" x14ac:dyDescent="0.2">
      <c r="Y25768" s="97"/>
    </row>
    <row r="25769" spans="25:25" x14ac:dyDescent="0.2">
      <c r="Y25769" s="97"/>
    </row>
    <row r="25770" spans="25:25" x14ac:dyDescent="0.2">
      <c r="Y25770" s="97"/>
    </row>
    <row r="25771" spans="25:25" x14ac:dyDescent="0.2">
      <c r="Y25771" s="97"/>
    </row>
    <row r="25772" spans="25:25" x14ac:dyDescent="0.2">
      <c r="Y25772" s="97"/>
    </row>
    <row r="25773" spans="25:25" x14ac:dyDescent="0.2">
      <c r="Y25773" s="97"/>
    </row>
    <row r="25774" spans="25:25" x14ac:dyDescent="0.2">
      <c r="Y25774" s="97"/>
    </row>
    <row r="25775" spans="25:25" x14ac:dyDescent="0.2">
      <c r="Y25775" s="97"/>
    </row>
    <row r="25776" spans="25:25" x14ac:dyDescent="0.2">
      <c r="Y25776" s="97"/>
    </row>
    <row r="25777" spans="25:25" x14ac:dyDescent="0.2">
      <c r="Y25777" s="97"/>
    </row>
    <row r="25778" spans="25:25" x14ac:dyDescent="0.2">
      <c r="Y25778" s="97"/>
    </row>
    <row r="25779" spans="25:25" x14ac:dyDescent="0.2">
      <c r="Y25779" s="97"/>
    </row>
    <row r="25780" spans="25:25" x14ac:dyDescent="0.2">
      <c r="Y25780" s="97"/>
    </row>
    <row r="25781" spans="25:25" x14ac:dyDescent="0.2">
      <c r="Y25781" s="97"/>
    </row>
    <row r="25782" spans="25:25" x14ac:dyDescent="0.2">
      <c r="Y25782" s="97"/>
    </row>
    <row r="25783" spans="25:25" x14ac:dyDescent="0.2">
      <c r="Y25783" s="97"/>
    </row>
    <row r="25784" spans="25:25" x14ac:dyDescent="0.2">
      <c r="Y25784" s="97"/>
    </row>
    <row r="25785" spans="25:25" x14ac:dyDescent="0.2">
      <c r="Y25785" s="97"/>
    </row>
    <row r="25786" spans="25:25" x14ac:dyDescent="0.2">
      <c r="Y25786" s="97"/>
    </row>
    <row r="25787" spans="25:25" x14ac:dyDescent="0.2">
      <c r="Y25787" s="97"/>
    </row>
    <row r="25788" spans="25:25" x14ac:dyDescent="0.2">
      <c r="Y25788" s="97"/>
    </row>
    <row r="25789" spans="25:25" x14ac:dyDescent="0.2">
      <c r="Y25789" s="97"/>
    </row>
    <row r="25790" spans="25:25" x14ac:dyDescent="0.2">
      <c r="Y25790" s="97"/>
    </row>
    <row r="25791" spans="25:25" x14ac:dyDescent="0.2">
      <c r="Y25791" s="97"/>
    </row>
    <row r="25792" spans="25:25" x14ac:dyDescent="0.2">
      <c r="Y25792" s="97"/>
    </row>
    <row r="25793" spans="25:25" x14ac:dyDescent="0.2">
      <c r="Y25793" s="97"/>
    </row>
    <row r="25794" spans="25:25" x14ac:dyDescent="0.2">
      <c r="Y25794" s="97"/>
    </row>
    <row r="25795" spans="25:25" x14ac:dyDescent="0.2">
      <c r="Y25795" s="97"/>
    </row>
    <row r="25796" spans="25:25" x14ac:dyDescent="0.2">
      <c r="Y25796" s="97"/>
    </row>
    <row r="25797" spans="25:25" x14ac:dyDescent="0.2">
      <c r="Y25797" s="97"/>
    </row>
    <row r="25798" spans="25:25" x14ac:dyDescent="0.2">
      <c r="Y25798" s="97"/>
    </row>
    <row r="25799" spans="25:25" x14ac:dyDescent="0.2">
      <c r="Y25799" s="97"/>
    </row>
    <row r="25800" spans="25:25" x14ac:dyDescent="0.2">
      <c r="Y25800" s="97"/>
    </row>
    <row r="25801" spans="25:25" x14ac:dyDescent="0.2">
      <c r="Y25801" s="97"/>
    </row>
    <row r="25802" spans="25:25" x14ac:dyDescent="0.2">
      <c r="Y25802" s="97"/>
    </row>
    <row r="25803" spans="25:25" x14ac:dyDescent="0.2">
      <c r="Y25803" s="97"/>
    </row>
    <row r="25804" spans="25:25" x14ac:dyDescent="0.2">
      <c r="Y25804" s="97"/>
    </row>
    <row r="25805" spans="25:25" x14ac:dyDescent="0.2">
      <c r="Y25805" s="97"/>
    </row>
    <row r="25806" spans="25:25" x14ac:dyDescent="0.2">
      <c r="Y25806" s="97"/>
    </row>
    <row r="25807" spans="25:25" x14ac:dyDescent="0.2">
      <c r="Y25807" s="97"/>
    </row>
    <row r="25808" spans="25:25" x14ac:dyDescent="0.2">
      <c r="Y25808" s="97"/>
    </row>
    <row r="25809" spans="25:25" x14ac:dyDescent="0.2">
      <c r="Y25809" s="97"/>
    </row>
    <row r="25810" spans="25:25" x14ac:dyDescent="0.2">
      <c r="Y25810" s="97"/>
    </row>
    <row r="25811" spans="25:25" x14ac:dyDescent="0.2">
      <c r="Y25811" s="97"/>
    </row>
    <row r="25812" spans="25:25" x14ac:dyDescent="0.2">
      <c r="Y25812" s="97"/>
    </row>
    <row r="25813" spans="25:25" x14ac:dyDescent="0.2">
      <c r="Y25813" s="97"/>
    </row>
    <row r="25814" spans="25:25" x14ac:dyDescent="0.2">
      <c r="Y25814" s="97"/>
    </row>
    <row r="25815" spans="25:25" x14ac:dyDescent="0.2">
      <c r="Y25815" s="97"/>
    </row>
    <row r="25816" spans="25:25" x14ac:dyDescent="0.2">
      <c r="Y25816" s="97"/>
    </row>
    <row r="25817" spans="25:25" x14ac:dyDescent="0.2">
      <c r="Y25817" s="97"/>
    </row>
    <row r="25818" spans="25:25" x14ac:dyDescent="0.2">
      <c r="Y25818" s="97"/>
    </row>
    <row r="25819" spans="25:25" x14ac:dyDescent="0.2">
      <c r="Y25819" s="97"/>
    </row>
    <row r="25820" spans="25:25" x14ac:dyDescent="0.2">
      <c r="Y25820" s="97"/>
    </row>
    <row r="25821" spans="25:25" x14ac:dyDescent="0.2">
      <c r="Y25821" s="97"/>
    </row>
    <row r="25822" spans="25:25" x14ac:dyDescent="0.2">
      <c r="Y25822" s="97"/>
    </row>
    <row r="25823" spans="25:25" x14ac:dyDescent="0.2">
      <c r="Y25823" s="97"/>
    </row>
    <row r="25824" spans="25:25" x14ac:dyDescent="0.2">
      <c r="Y25824" s="97"/>
    </row>
    <row r="25825" spans="25:25" x14ac:dyDescent="0.2">
      <c r="Y25825" s="97"/>
    </row>
    <row r="25826" spans="25:25" x14ac:dyDescent="0.2">
      <c r="Y25826" s="97"/>
    </row>
    <row r="25827" spans="25:25" x14ac:dyDescent="0.2">
      <c r="Y25827" s="97"/>
    </row>
    <row r="25828" spans="25:25" x14ac:dyDescent="0.2">
      <c r="Y25828" s="97"/>
    </row>
    <row r="25829" spans="25:25" x14ac:dyDescent="0.2">
      <c r="Y25829" s="97"/>
    </row>
    <row r="25830" spans="25:25" x14ac:dyDescent="0.2">
      <c r="Y25830" s="97"/>
    </row>
    <row r="25831" spans="25:25" x14ac:dyDescent="0.2">
      <c r="Y25831" s="97"/>
    </row>
    <row r="25832" spans="25:25" x14ac:dyDescent="0.2">
      <c r="Y25832" s="97"/>
    </row>
    <row r="25833" spans="25:25" x14ac:dyDescent="0.2">
      <c r="Y25833" s="97"/>
    </row>
    <row r="25834" spans="25:25" x14ac:dyDescent="0.2">
      <c r="Y25834" s="97"/>
    </row>
    <row r="25835" spans="25:25" x14ac:dyDescent="0.2">
      <c r="Y25835" s="97"/>
    </row>
    <row r="25836" spans="25:25" x14ac:dyDescent="0.2">
      <c r="Y25836" s="97"/>
    </row>
    <row r="25837" spans="25:25" x14ac:dyDescent="0.2">
      <c r="Y25837" s="97"/>
    </row>
    <row r="25838" spans="25:25" x14ac:dyDescent="0.2">
      <c r="Y25838" s="97"/>
    </row>
    <row r="25839" spans="25:25" x14ac:dyDescent="0.2">
      <c r="Y25839" s="97"/>
    </row>
    <row r="25840" spans="25:25" x14ac:dyDescent="0.2">
      <c r="Y25840" s="97"/>
    </row>
    <row r="25841" spans="25:25" x14ac:dyDescent="0.2">
      <c r="Y25841" s="97"/>
    </row>
    <row r="25842" spans="25:25" x14ac:dyDescent="0.2">
      <c r="Y25842" s="97"/>
    </row>
    <row r="25843" spans="25:25" x14ac:dyDescent="0.2">
      <c r="Y25843" s="97"/>
    </row>
    <row r="25844" spans="25:25" x14ac:dyDescent="0.2">
      <c r="Y25844" s="97"/>
    </row>
    <row r="25845" spans="25:25" x14ac:dyDescent="0.2">
      <c r="Y25845" s="97"/>
    </row>
    <row r="25846" spans="25:25" x14ac:dyDescent="0.2">
      <c r="Y25846" s="97"/>
    </row>
    <row r="25847" spans="25:25" x14ac:dyDescent="0.2">
      <c r="Y25847" s="97"/>
    </row>
    <row r="25848" spans="25:25" x14ac:dyDescent="0.2">
      <c r="Y25848" s="97"/>
    </row>
    <row r="25849" spans="25:25" x14ac:dyDescent="0.2">
      <c r="Y25849" s="97"/>
    </row>
    <row r="25850" spans="25:25" x14ac:dyDescent="0.2">
      <c r="Y25850" s="97"/>
    </row>
    <row r="25851" spans="25:25" x14ac:dyDescent="0.2">
      <c r="Y25851" s="97"/>
    </row>
    <row r="25852" spans="25:25" x14ac:dyDescent="0.2">
      <c r="Y25852" s="97"/>
    </row>
    <row r="25853" spans="25:25" x14ac:dyDescent="0.2">
      <c r="Y25853" s="97"/>
    </row>
    <row r="25854" spans="25:25" x14ac:dyDescent="0.2">
      <c r="Y25854" s="97"/>
    </row>
    <row r="25855" spans="25:25" x14ac:dyDescent="0.2">
      <c r="Y25855" s="97"/>
    </row>
    <row r="25856" spans="25:25" x14ac:dyDescent="0.2">
      <c r="Y25856" s="97"/>
    </row>
    <row r="25857" spans="25:25" x14ac:dyDescent="0.2">
      <c r="Y25857" s="97"/>
    </row>
    <row r="25858" spans="25:25" x14ac:dyDescent="0.2">
      <c r="Y25858" s="97"/>
    </row>
    <row r="25859" spans="25:25" x14ac:dyDescent="0.2">
      <c r="Y25859" s="97"/>
    </row>
    <row r="25860" spans="25:25" x14ac:dyDescent="0.2">
      <c r="Y25860" s="97"/>
    </row>
    <row r="25861" spans="25:25" x14ac:dyDescent="0.2">
      <c r="Y25861" s="97"/>
    </row>
    <row r="25862" spans="25:25" x14ac:dyDescent="0.2">
      <c r="Y25862" s="97"/>
    </row>
    <row r="25863" spans="25:25" x14ac:dyDescent="0.2">
      <c r="Y25863" s="97"/>
    </row>
    <row r="25864" spans="25:25" x14ac:dyDescent="0.2">
      <c r="Y25864" s="97"/>
    </row>
    <row r="25865" spans="25:25" x14ac:dyDescent="0.2">
      <c r="Y25865" s="97"/>
    </row>
    <row r="25866" spans="25:25" x14ac:dyDescent="0.2">
      <c r="Y25866" s="97"/>
    </row>
    <row r="25867" spans="25:25" x14ac:dyDescent="0.2">
      <c r="Y25867" s="97"/>
    </row>
    <row r="25868" spans="25:25" x14ac:dyDescent="0.2">
      <c r="Y25868" s="97"/>
    </row>
    <row r="25869" spans="25:25" x14ac:dyDescent="0.2">
      <c r="Y25869" s="97"/>
    </row>
    <row r="25870" spans="25:25" x14ac:dyDescent="0.2">
      <c r="Y25870" s="97"/>
    </row>
    <row r="25871" spans="25:25" x14ac:dyDescent="0.2">
      <c r="Y25871" s="97"/>
    </row>
    <row r="25872" spans="25:25" x14ac:dyDescent="0.2">
      <c r="Y25872" s="97"/>
    </row>
    <row r="25873" spans="25:25" x14ac:dyDescent="0.2">
      <c r="Y25873" s="97"/>
    </row>
    <row r="25874" spans="25:25" x14ac:dyDescent="0.2">
      <c r="Y25874" s="97"/>
    </row>
    <row r="25875" spans="25:25" x14ac:dyDescent="0.2">
      <c r="Y25875" s="97"/>
    </row>
    <row r="25876" spans="25:25" x14ac:dyDescent="0.2">
      <c r="Y25876" s="97"/>
    </row>
    <row r="25877" spans="25:25" x14ac:dyDescent="0.2">
      <c r="Y25877" s="97"/>
    </row>
    <row r="25878" spans="25:25" x14ac:dyDescent="0.2">
      <c r="Y25878" s="97"/>
    </row>
    <row r="25879" spans="25:25" x14ac:dyDescent="0.2">
      <c r="Y25879" s="97"/>
    </row>
    <row r="25880" spans="25:25" x14ac:dyDescent="0.2">
      <c r="Y25880" s="97"/>
    </row>
    <row r="25881" spans="25:25" x14ac:dyDescent="0.2">
      <c r="Y25881" s="97"/>
    </row>
    <row r="25882" spans="25:25" x14ac:dyDescent="0.2">
      <c r="Y25882" s="97"/>
    </row>
    <row r="25883" spans="25:25" x14ac:dyDescent="0.2">
      <c r="Y25883" s="97"/>
    </row>
    <row r="25884" spans="25:25" x14ac:dyDescent="0.2">
      <c r="Y25884" s="97"/>
    </row>
    <row r="25885" spans="25:25" x14ac:dyDescent="0.2">
      <c r="Y25885" s="97"/>
    </row>
    <row r="25886" spans="25:25" x14ac:dyDescent="0.2">
      <c r="Y25886" s="97"/>
    </row>
    <row r="25887" spans="25:25" x14ac:dyDescent="0.2">
      <c r="Y25887" s="97"/>
    </row>
    <row r="25888" spans="25:25" x14ac:dyDescent="0.2">
      <c r="Y25888" s="97"/>
    </row>
    <row r="25889" spans="25:25" x14ac:dyDescent="0.2">
      <c r="Y25889" s="97"/>
    </row>
    <row r="25890" spans="25:25" x14ac:dyDescent="0.2">
      <c r="Y25890" s="97"/>
    </row>
    <row r="25891" spans="25:25" x14ac:dyDescent="0.2">
      <c r="Y25891" s="97"/>
    </row>
    <row r="25892" spans="25:25" x14ac:dyDescent="0.2">
      <c r="Y25892" s="97"/>
    </row>
    <row r="25893" spans="25:25" x14ac:dyDescent="0.2">
      <c r="Y25893" s="97"/>
    </row>
    <row r="25894" spans="25:25" x14ac:dyDescent="0.2">
      <c r="Y25894" s="97"/>
    </row>
    <row r="25895" spans="25:25" x14ac:dyDescent="0.2">
      <c r="Y25895" s="97"/>
    </row>
    <row r="25896" spans="25:25" x14ac:dyDescent="0.2">
      <c r="Y25896" s="97"/>
    </row>
    <row r="25897" spans="25:25" x14ac:dyDescent="0.2">
      <c r="Y25897" s="97"/>
    </row>
    <row r="25898" spans="25:25" x14ac:dyDescent="0.2">
      <c r="Y25898" s="97"/>
    </row>
    <row r="25899" spans="25:25" x14ac:dyDescent="0.2">
      <c r="Y25899" s="97"/>
    </row>
    <row r="25900" spans="25:25" x14ac:dyDescent="0.2">
      <c r="Y25900" s="97"/>
    </row>
    <row r="25901" spans="25:25" x14ac:dyDescent="0.2">
      <c r="Y25901" s="97"/>
    </row>
    <row r="25902" spans="25:25" x14ac:dyDescent="0.2">
      <c r="Y25902" s="97"/>
    </row>
    <row r="25903" spans="25:25" x14ac:dyDescent="0.2">
      <c r="Y25903" s="97"/>
    </row>
    <row r="25904" spans="25:25" x14ac:dyDescent="0.2">
      <c r="Y25904" s="97"/>
    </row>
    <row r="25905" spans="25:25" x14ac:dyDescent="0.2">
      <c r="Y25905" s="97"/>
    </row>
    <row r="25906" spans="25:25" x14ac:dyDescent="0.2">
      <c r="Y25906" s="97"/>
    </row>
    <row r="25907" spans="25:25" x14ac:dyDescent="0.2">
      <c r="Y25907" s="97"/>
    </row>
    <row r="25908" spans="25:25" x14ac:dyDescent="0.2">
      <c r="Y25908" s="97"/>
    </row>
    <row r="25909" spans="25:25" x14ac:dyDescent="0.2">
      <c r="Y25909" s="97"/>
    </row>
    <row r="25910" spans="25:25" x14ac:dyDescent="0.2">
      <c r="Y25910" s="97"/>
    </row>
    <row r="25911" spans="25:25" x14ac:dyDescent="0.2">
      <c r="Y25911" s="97"/>
    </row>
    <row r="25912" spans="25:25" x14ac:dyDescent="0.2">
      <c r="Y25912" s="97"/>
    </row>
    <row r="25913" spans="25:25" x14ac:dyDescent="0.2">
      <c r="Y25913" s="97"/>
    </row>
    <row r="25914" spans="25:25" x14ac:dyDescent="0.2">
      <c r="Y25914" s="97"/>
    </row>
    <row r="25915" spans="25:25" x14ac:dyDescent="0.2">
      <c r="Y25915" s="97"/>
    </row>
    <row r="25916" spans="25:25" x14ac:dyDescent="0.2">
      <c r="Y25916" s="97"/>
    </row>
    <row r="25917" spans="25:25" x14ac:dyDescent="0.2">
      <c r="Y25917" s="97"/>
    </row>
    <row r="25918" spans="25:25" x14ac:dyDescent="0.2">
      <c r="Y25918" s="97"/>
    </row>
    <row r="25919" spans="25:25" x14ac:dyDescent="0.2">
      <c r="Y25919" s="97"/>
    </row>
    <row r="25920" spans="25:25" x14ac:dyDescent="0.2">
      <c r="Y25920" s="97"/>
    </row>
    <row r="25921" spans="25:25" x14ac:dyDescent="0.2">
      <c r="Y25921" s="97"/>
    </row>
    <row r="25922" spans="25:25" x14ac:dyDescent="0.2">
      <c r="Y25922" s="97"/>
    </row>
    <row r="25923" spans="25:25" x14ac:dyDescent="0.2">
      <c r="Y25923" s="97"/>
    </row>
    <row r="25924" spans="25:25" x14ac:dyDescent="0.2">
      <c r="Y25924" s="97"/>
    </row>
    <row r="25925" spans="25:25" x14ac:dyDescent="0.2">
      <c r="Y25925" s="97"/>
    </row>
    <row r="25926" spans="25:25" x14ac:dyDescent="0.2">
      <c r="Y25926" s="97"/>
    </row>
    <row r="25927" spans="25:25" x14ac:dyDescent="0.2">
      <c r="Y25927" s="97"/>
    </row>
    <row r="25928" spans="25:25" x14ac:dyDescent="0.2">
      <c r="Y25928" s="97"/>
    </row>
    <row r="25929" spans="25:25" x14ac:dyDescent="0.2">
      <c r="Y25929" s="97"/>
    </row>
    <row r="25930" spans="25:25" x14ac:dyDescent="0.2">
      <c r="Y25930" s="97"/>
    </row>
    <row r="25931" spans="25:25" x14ac:dyDescent="0.2">
      <c r="Y25931" s="97"/>
    </row>
    <row r="25932" spans="25:25" x14ac:dyDescent="0.2">
      <c r="Y25932" s="97"/>
    </row>
    <row r="25933" spans="25:25" x14ac:dyDescent="0.2">
      <c r="Y25933" s="97"/>
    </row>
    <row r="25934" spans="25:25" x14ac:dyDescent="0.2">
      <c r="Y25934" s="97"/>
    </row>
    <row r="25935" spans="25:25" x14ac:dyDescent="0.2">
      <c r="Y25935" s="97"/>
    </row>
    <row r="25936" spans="25:25" x14ac:dyDescent="0.2">
      <c r="Y25936" s="97"/>
    </row>
    <row r="25937" spans="25:25" x14ac:dyDescent="0.2">
      <c r="Y25937" s="97"/>
    </row>
    <row r="25938" spans="25:25" x14ac:dyDescent="0.2">
      <c r="Y25938" s="97"/>
    </row>
    <row r="25939" spans="25:25" x14ac:dyDescent="0.2">
      <c r="Y25939" s="97"/>
    </row>
    <row r="25940" spans="25:25" x14ac:dyDescent="0.2">
      <c r="Y25940" s="97"/>
    </row>
    <row r="25941" spans="25:25" x14ac:dyDescent="0.2">
      <c r="Y25941" s="97"/>
    </row>
    <row r="25942" spans="25:25" x14ac:dyDescent="0.2">
      <c r="Y25942" s="97"/>
    </row>
    <row r="25943" spans="25:25" x14ac:dyDescent="0.2">
      <c r="Y25943" s="97"/>
    </row>
    <row r="25944" spans="25:25" x14ac:dyDescent="0.2">
      <c r="Y25944" s="97"/>
    </row>
    <row r="25945" spans="25:25" x14ac:dyDescent="0.2">
      <c r="Y25945" s="97"/>
    </row>
    <row r="25946" spans="25:25" x14ac:dyDescent="0.2">
      <c r="Y25946" s="97"/>
    </row>
    <row r="25947" spans="25:25" x14ac:dyDescent="0.2">
      <c r="Y25947" s="97"/>
    </row>
    <row r="25948" spans="25:25" x14ac:dyDescent="0.2">
      <c r="Y25948" s="97"/>
    </row>
    <row r="25949" spans="25:25" x14ac:dyDescent="0.2">
      <c r="Y25949" s="97"/>
    </row>
    <row r="25950" spans="25:25" x14ac:dyDescent="0.2">
      <c r="Y25950" s="97"/>
    </row>
    <row r="25951" spans="25:25" x14ac:dyDescent="0.2">
      <c r="Y25951" s="97"/>
    </row>
    <row r="25952" spans="25:25" x14ac:dyDescent="0.2">
      <c r="Y25952" s="97"/>
    </row>
    <row r="25953" spans="25:25" x14ac:dyDescent="0.2">
      <c r="Y25953" s="97"/>
    </row>
    <row r="25954" spans="25:25" x14ac:dyDescent="0.2">
      <c r="Y25954" s="97"/>
    </row>
    <row r="25955" spans="25:25" x14ac:dyDescent="0.2">
      <c r="Y25955" s="97"/>
    </row>
    <row r="25956" spans="25:25" x14ac:dyDescent="0.2">
      <c r="Y25956" s="97"/>
    </row>
    <row r="25957" spans="25:25" x14ac:dyDescent="0.2">
      <c r="Y25957" s="97"/>
    </row>
    <row r="25958" spans="25:25" x14ac:dyDescent="0.2">
      <c r="Y25958" s="97"/>
    </row>
    <row r="25959" spans="25:25" x14ac:dyDescent="0.2">
      <c r="Y25959" s="97"/>
    </row>
    <row r="25960" spans="25:25" x14ac:dyDescent="0.2">
      <c r="Y25960" s="97"/>
    </row>
    <row r="25961" spans="25:25" x14ac:dyDescent="0.2">
      <c r="Y25961" s="97"/>
    </row>
    <row r="25962" spans="25:25" x14ac:dyDescent="0.2">
      <c r="Y25962" s="97"/>
    </row>
    <row r="25963" spans="25:25" x14ac:dyDescent="0.2">
      <c r="Y25963" s="97"/>
    </row>
    <row r="25964" spans="25:25" x14ac:dyDescent="0.2">
      <c r="Y25964" s="97"/>
    </row>
    <row r="25965" spans="25:25" x14ac:dyDescent="0.2">
      <c r="Y25965" s="97"/>
    </row>
    <row r="25966" spans="25:25" x14ac:dyDescent="0.2">
      <c r="Y25966" s="97"/>
    </row>
    <row r="25967" spans="25:25" x14ac:dyDescent="0.2">
      <c r="Y25967" s="97"/>
    </row>
    <row r="25968" spans="25:25" x14ac:dyDescent="0.2">
      <c r="Y25968" s="97"/>
    </row>
    <row r="25969" spans="25:25" x14ac:dyDescent="0.2">
      <c r="Y25969" s="97"/>
    </row>
    <row r="25970" spans="25:25" x14ac:dyDescent="0.2">
      <c r="Y25970" s="97"/>
    </row>
    <row r="25971" spans="25:25" x14ac:dyDescent="0.2">
      <c r="Y25971" s="97"/>
    </row>
    <row r="25972" spans="25:25" x14ac:dyDescent="0.2">
      <c r="Y25972" s="97"/>
    </row>
    <row r="25973" spans="25:25" x14ac:dyDescent="0.2">
      <c r="Y25973" s="97"/>
    </row>
    <row r="25974" spans="25:25" x14ac:dyDescent="0.2">
      <c r="Y25974" s="97"/>
    </row>
    <row r="25975" spans="25:25" x14ac:dyDescent="0.2">
      <c r="Y25975" s="97"/>
    </row>
    <row r="25976" spans="25:25" x14ac:dyDescent="0.2">
      <c r="Y25976" s="97"/>
    </row>
    <row r="25977" spans="25:25" x14ac:dyDescent="0.2">
      <c r="Y25977" s="97"/>
    </row>
    <row r="25978" spans="25:25" x14ac:dyDescent="0.2">
      <c r="Y25978" s="97"/>
    </row>
    <row r="25979" spans="25:25" x14ac:dyDescent="0.2">
      <c r="Y25979" s="97"/>
    </row>
    <row r="25980" spans="25:25" x14ac:dyDescent="0.2">
      <c r="Y25980" s="97"/>
    </row>
    <row r="25981" spans="25:25" x14ac:dyDescent="0.2">
      <c r="Y25981" s="97"/>
    </row>
    <row r="25982" spans="25:25" x14ac:dyDescent="0.2">
      <c r="Y25982" s="97"/>
    </row>
    <row r="25983" spans="25:25" x14ac:dyDescent="0.2">
      <c r="Y25983" s="97"/>
    </row>
    <row r="25984" spans="25:25" x14ac:dyDescent="0.2">
      <c r="Y25984" s="97"/>
    </row>
    <row r="25985" spans="25:25" x14ac:dyDescent="0.2">
      <c r="Y25985" s="97"/>
    </row>
    <row r="25986" spans="25:25" x14ac:dyDescent="0.2">
      <c r="Y25986" s="97"/>
    </row>
    <row r="25987" spans="25:25" x14ac:dyDescent="0.2">
      <c r="Y25987" s="97"/>
    </row>
    <row r="25988" spans="25:25" x14ac:dyDescent="0.2">
      <c r="Y25988" s="97"/>
    </row>
    <row r="25989" spans="25:25" x14ac:dyDescent="0.2">
      <c r="Y25989" s="97"/>
    </row>
    <row r="25990" spans="25:25" x14ac:dyDescent="0.2">
      <c r="Y25990" s="97"/>
    </row>
    <row r="25991" spans="25:25" x14ac:dyDescent="0.2">
      <c r="Y25991" s="97"/>
    </row>
    <row r="25992" spans="25:25" x14ac:dyDescent="0.2">
      <c r="Y25992" s="97"/>
    </row>
    <row r="25993" spans="25:25" x14ac:dyDescent="0.2">
      <c r="Y25993" s="97"/>
    </row>
    <row r="25994" spans="25:25" x14ac:dyDescent="0.2">
      <c r="Y25994" s="97"/>
    </row>
    <row r="25995" spans="25:25" x14ac:dyDescent="0.2">
      <c r="Y25995" s="97"/>
    </row>
    <row r="25996" spans="25:25" x14ac:dyDescent="0.2">
      <c r="Y25996" s="97"/>
    </row>
    <row r="25997" spans="25:25" x14ac:dyDescent="0.2">
      <c r="Y25997" s="97"/>
    </row>
    <row r="25998" spans="25:25" x14ac:dyDescent="0.2">
      <c r="Y25998" s="97"/>
    </row>
    <row r="25999" spans="25:25" x14ac:dyDescent="0.2">
      <c r="Y25999" s="97"/>
    </row>
    <row r="26000" spans="25:25" x14ac:dyDescent="0.2">
      <c r="Y26000" s="97"/>
    </row>
    <row r="26001" spans="25:25" x14ac:dyDescent="0.2">
      <c r="Y26001" s="97"/>
    </row>
    <row r="26002" spans="25:25" x14ac:dyDescent="0.2">
      <c r="Y26002" s="97"/>
    </row>
    <row r="26003" spans="25:25" x14ac:dyDescent="0.2">
      <c r="Y26003" s="97"/>
    </row>
    <row r="26004" spans="25:25" x14ac:dyDescent="0.2">
      <c r="Y26004" s="97"/>
    </row>
    <row r="26005" spans="25:25" x14ac:dyDescent="0.2">
      <c r="Y26005" s="97"/>
    </row>
    <row r="26006" spans="25:25" x14ac:dyDescent="0.2">
      <c r="Y26006" s="97"/>
    </row>
    <row r="26007" spans="25:25" x14ac:dyDescent="0.2">
      <c r="Y26007" s="97"/>
    </row>
    <row r="26008" spans="25:25" x14ac:dyDescent="0.2">
      <c r="Y26008" s="97"/>
    </row>
    <row r="26009" spans="25:25" x14ac:dyDescent="0.2">
      <c r="Y26009" s="97"/>
    </row>
    <row r="26010" spans="25:25" x14ac:dyDescent="0.2">
      <c r="Y26010" s="97"/>
    </row>
    <row r="26011" spans="25:25" x14ac:dyDescent="0.2">
      <c r="Y26011" s="97"/>
    </row>
    <row r="26012" spans="25:25" x14ac:dyDescent="0.2">
      <c r="Y26012" s="97"/>
    </row>
    <row r="26013" spans="25:25" x14ac:dyDescent="0.2">
      <c r="Y26013" s="97"/>
    </row>
    <row r="26014" spans="25:25" x14ac:dyDescent="0.2">
      <c r="Y26014" s="97"/>
    </row>
    <row r="26015" spans="25:25" x14ac:dyDescent="0.2">
      <c r="Y26015" s="97"/>
    </row>
    <row r="26016" spans="25:25" x14ac:dyDescent="0.2">
      <c r="Y26016" s="97"/>
    </row>
    <row r="26017" spans="25:25" x14ac:dyDescent="0.2">
      <c r="Y26017" s="97"/>
    </row>
    <row r="26018" spans="25:25" x14ac:dyDescent="0.2">
      <c r="Y26018" s="97"/>
    </row>
    <row r="26019" spans="25:25" x14ac:dyDescent="0.2">
      <c r="Y26019" s="97"/>
    </row>
    <row r="26020" spans="25:25" x14ac:dyDescent="0.2">
      <c r="Y26020" s="97"/>
    </row>
    <row r="26021" spans="25:25" x14ac:dyDescent="0.2">
      <c r="Y26021" s="97"/>
    </row>
    <row r="26022" spans="25:25" x14ac:dyDescent="0.2">
      <c r="Y26022" s="97"/>
    </row>
    <row r="26023" spans="25:25" x14ac:dyDescent="0.2">
      <c r="Y26023" s="97"/>
    </row>
    <row r="26024" spans="25:25" x14ac:dyDescent="0.2">
      <c r="Y26024" s="97"/>
    </row>
    <row r="26025" spans="25:25" x14ac:dyDescent="0.2">
      <c r="Y26025" s="97"/>
    </row>
    <row r="26026" spans="25:25" x14ac:dyDescent="0.2">
      <c r="Y26026" s="97"/>
    </row>
    <row r="26027" spans="25:25" x14ac:dyDescent="0.2">
      <c r="Y26027" s="97"/>
    </row>
    <row r="26028" spans="25:25" x14ac:dyDescent="0.2">
      <c r="Y26028" s="97"/>
    </row>
    <row r="26029" spans="25:25" x14ac:dyDescent="0.2">
      <c r="Y26029" s="97"/>
    </row>
    <row r="26030" spans="25:25" x14ac:dyDescent="0.2">
      <c r="Y26030" s="97"/>
    </row>
    <row r="26031" spans="25:25" x14ac:dyDescent="0.2">
      <c r="Y26031" s="97"/>
    </row>
    <row r="26032" spans="25:25" x14ac:dyDescent="0.2">
      <c r="Y26032" s="97"/>
    </row>
    <row r="26033" spans="25:25" x14ac:dyDescent="0.2">
      <c r="Y26033" s="97"/>
    </row>
    <row r="26034" spans="25:25" x14ac:dyDescent="0.2">
      <c r="Y26034" s="97"/>
    </row>
    <row r="26035" spans="25:25" x14ac:dyDescent="0.2">
      <c r="Y26035" s="97"/>
    </row>
    <row r="26036" spans="25:25" x14ac:dyDescent="0.2">
      <c r="Y26036" s="97"/>
    </row>
    <row r="26037" spans="25:25" x14ac:dyDescent="0.2">
      <c r="Y26037" s="97"/>
    </row>
    <row r="26038" spans="25:25" x14ac:dyDescent="0.2">
      <c r="Y26038" s="97"/>
    </row>
    <row r="26039" spans="25:25" x14ac:dyDescent="0.2">
      <c r="Y26039" s="97"/>
    </row>
    <row r="26040" spans="25:25" x14ac:dyDescent="0.2">
      <c r="Y26040" s="97"/>
    </row>
    <row r="26041" spans="25:25" x14ac:dyDescent="0.2">
      <c r="Y26041" s="97"/>
    </row>
    <row r="26042" spans="25:25" x14ac:dyDescent="0.2">
      <c r="Y26042" s="97"/>
    </row>
    <row r="26043" spans="25:25" x14ac:dyDescent="0.2">
      <c r="Y26043" s="97"/>
    </row>
    <row r="26044" spans="25:25" x14ac:dyDescent="0.2">
      <c r="Y26044" s="97"/>
    </row>
    <row r="26045" spans="25:25" x14ac:dyDescent="0.2">
      <c r="Y26045" s="97"/>
    </row>
    <row r="26046" spans="25:25" x14ac:dyDescent="0.2">
      <c r="Y26046" s="97"/>
    </row>
    <row r="26047" spans="25:25" x14ac:dyDescent="0.2">
      <c r="Y26047" s="97"/>
    </row>
    <row r="26048" spans="25:25" x14ac:dyDescent="0.2">
      <c r="Y26048" s="97"/>
    </row>
    <row r="26049" spans="25:25" x14ac:dyDescent="0.2">
      <c r="Y26049" s="97"/>
    </row>
    <row r="26050" spans="25:25" x14ac:dyDescent="0.2">
      <c r="Y26050" s="97"/>
    </row>
    <row r="26051" spans="25:25" x14ac:dyDescent="0.2">
      <c r="Y26051" s="97"/>
    </row>
    <row r="26052" spans="25:25" x14ac:dyDescent="0.2">
      <c r="Y26052" s="97"/>
    </row>
    <row r="26053" spans="25:25" x14ac:dyDescent="0.2">
      <c r="Y26053" s="97"/>
    </row>
    <row r="26054" spans="25:25" x14ac:dyDescent="0.2">
      <c r="Y26054" s="97"/>
    </row>
    <row r="26055" spans="25:25" x14ac:dyDescent="0.2">
      <c r="Y26055" s="97"/>
    </row>
    <row r="26056" spans="25:25" x14ac:dyDescent="0.2">
      <c r="Y26056" s="97"/>
    </row>
    <row r="26057" spans="25:25" x14ac:dyDescent="0.2">
      <c r="Y26057" s="97"/>
    </row>
    <row r="26058" spans="25:25" x14ac:dyDescent="0.2">
      <c r="Y26058" s="97"/>
    </row>
    <row r="26059" spans="25:25" x14ac:dyDescent="0.2">
      <c r="Y26059" s="97"/>
    </row>
    <row r="26060" spans="25:25" x14ac:dyDescent="0.2">
      <c r="Y26060" s="97"/>
    </row>
    <row r="26061" spans="25:25" x14ac:dyDescent="0.2">
      <c r="Y26061" s="97"/>
    </row>
    <row r="26062" spans="25:25" x14ac:dyDescent="0.2">
      <c r="Y26062" s="97"/>
    </row>
    <row r="26063" spans="25:25" x14ac:dyDescent="0.2">
      <c r="Y26063" s="97"/>
    </row>
    <row r="26064" spans="25:25" x14ac:dyDescent="0.2">
      <c r="Y26064" s="97"/>
    </row>
    <row r="26065" spans="25:25" x14ac:dyDescent="0.2">
      <c r="Y26065" s="97"/>
    </row>
    <row r="26066" spans="25:25" x14ac:dyDescent="0.2">
      <c r="Y26066" s="97"/>
    </row>
    <row r="26067" spans="25:25" x14ac:dyDescent="0.2">
      <c r="Y26067" s="97"/>
    </row>
    <row r="26068" spans="25:25" x14ac:dyDescent="0.2">
      <c r="Y26068" s="97"/>
    </row>
    <row r="26069" spans="25:25" x14ac:dyDescent="0.2">
      <c r="Y26069" s="97"/>
    </row>
    <row r="26070" spans="25:25" x14ac:dyDescent="0.2">
      <c r="Y26070" s="97"/>
    </row>
    <row r="26071" spans="25:25" x14ac:dyDescent="0.2">
      <c r="Y26071" s="97"/>
    </row>
    <row r="26072" spans="25:25" x14ac:dyDescent="0.2">
      <c r="Y26072" s="97"/>
    </row>
    <row r="26073" spans="25:25" x14ac:dyDescent="0.2">
      <c r="Y26073" s="97"/>
    </row>
    <row r="26074" spans="25:25" x14ac:dyDescent="0.2">
      <c r="Y26074" s="97"/>
    </row>
    <row r="26075" spans="25:25" x14ac:dyDescent="0.2">
      <c r="Y26075" s="97"/>
    </row>
    <row r="26076" spans="25:25" x14ac:dyDescent="0.2">
      <c r="Y26076" s="97"/>
    </row>
    <row r="26077" spans="25:25" x14ac:dyDescent="0.2">
      <c r="Y26077" s="97"/>
    </row>
    <row r="26078" spans="25:25" x14ac:dyDescent="0.2">
      <c r="Y26078" s="97"/>
    </row>
    <row r="26079" spans="25:25" x14ac:dyDescent="0.2">
      <c r="Y26079" s="97"/>
    </row>
    <row r="26080" spans="25:25" x14ac:dyDescent="0.2">
      <c r="Y26080" s="97"/>
    </row>
    <row r="26081" spans="25:25" x14ac:dyDescent="0.2">
      <c r="Y26081" s="97"/>
    </row>
    <row r="26082" spans="25:25" x14ac:dyDescent="0.2">
      <c r="Y26082" s="97"/>
    </row>
    <row r="26083" spans="25:25" x14ac:dyDescent="0.2">
      <c r="Y26083" s="97"/>
    </row>
    <row r="26084" spans="25:25" x14ac:dyDescent="0.2">
      <c r="Y26084" s="97"/>
    </row>
    <row r="26085" spans="25:25" x14ac:dyDescent="0.2">
      <c r="Y26085" s="97"/>
    </row>
    <row r="26086" spans="25:25" x14ac:dyDescent="0.2">
      <c r="Y26086" s="97"/>
    </row>
    <row r="26087" spans="25:25" x14ac:dyDescent="0.2">
      <c r="Y26087" s="97"/>
    </row>
    <row r="26088" spans="25:25" x14ac:dyDescent="0.2">
      <c r="Y26088" s="97"/>
    </row>
    <row r="26089" spans="25:25" x14ac:dyDescent="0.2">
      <c r="Y26089" s="97"/>
    </row>
    <row r="26090" spans="25:25" x14ac:dyDescent="0.2">
      <c r="Y26090" s="97"/>
    </row>
    <row r="26091" spans="25:25" x14ac:dyDescent="0.2">
      <c r="Y26091" s="97"/>
    </row>
    <row r="26092" spans="25:25" x14ac:dyDescent="0.2">
      <c r="Y26092" s="97"/>
    </row>
    <row r="26093" spans="25:25" x14ac:dyDescent="0.2">
      <c r="Y26093" s="97"/>
    </row>
    <row r="26094" spans="25:25" x14ac:dyDescent="0.2">
      <c r="Y26094" s="97"/>
    </row>
    <row r="26095" spans="25:25" x14ac:dyDescent="0.2">
      <c r="Y26095" s="97"/>
    </row>
    <row r="26096" spans="25:25" x14ac:dyDescent="0.2">
      <c r="Y26096" s="97"/>
    </row>
    <row r="26097" spans="25:25" x14ac:dyDescent="0.2">
      <c r="Y26097" s="97"/>
    </row>
    <row r="26098" spans="25:25" x14ac:dyDescent="0.2">
      <c r="Y26098" s="97"/>
    </row>
    <row r="26099" spans="25:25" x14ac:dyDescent="0.2">
      <c r="Y26099" s="97"/>
    </row>
    <row r="26100" spans="25:25" x14ac:dyDescent="0.2">
      <c r="Y26100" s="97"/>
    </row>
    <row r="26101" spans="25:25" x14ac:dyDescent="0.2">
      <c r="Y26101" s="97"/>
    </row>
    <row r="26102" spans="25:25" x14ac:dyDescent="0.2">
      <c r="Y26102" s="97"/>
    </row>
    <row r="26103" spans="25:25" x14ac:dyDescent="0.2">
      <c r="Y26103" s="97"/>
    </row>
    <row r="26104" spans="25:25" x14ac:dyDescent="0.2">
      <c r="Y26104" s="97"/>
    </row>
    <row r="26105" spans="25:25" x14ac:dyDescent="0.2">
      <c r="Y26105" s="97"/>
    </row>
    <row r="26106" spans="25:25" x14ac:dyDescent="0.2">
      <c r="Y26106" s="97"/>
    </row>
    <row r="26107" spans="25:25" x14ac:dyDescent="0.2">
      <c r="Y26107" s="97"/>
    </row>
    <row r="26108" spans="25:25" x14ac:dyDescent="0.2">
      <c r="Y26108" s="97"/>
    </row>
    <row r="26109" spans="25:25" x14ac:dyDescent="0.2">
      <c r="Y26109" s="97"/>
    </row>
    <row r="26110" spans="25:25" x14ac:dyDescent="0.2">
      <c r="Y26110" s="97"/>
    </row>
    <row r="26111" spans="25:25" x14ac:dyDescent="0.2">
      <c r="Y26111" s="97"/>
    </row>
    <row r="26112" spans="25:25" x14ac:dyDescent="0.2">
      <c r="Y26112" s="97"/>
    </row>
    <row r="26113" spans="25:25" x14ac:dyDescent="0.2">
      <c r="Y26113" s="97"/>
    </row>
    <row r="26114" spans="25:25" x14ac:dyDescent="0.2">
      <c r="Y26114" s="97"/>
    </row>
    <row r="26115" spans="25:25" x14ac:dyDescent="0.2">
      <c r="Y26115" s="97"/>
    </row>
    <row r="26116" spans="25:25" x14ac:dyDescent="0.2">
      <c r="Y26116" s="97"/>
    </row>
    <row r="26117" spans="25:25" x14ac:dyDescent="0.2">
      <c r="Y26117" s="97"/>
    </row>
    <row r="26118" spans="25:25" x14ac:dyDescent="0.2">
      <c r="Y26118" s="97"/>
    </row>
    <row r="26119" spans="25:25" x14ac:dyDescent="0.2">
      <c r="Y26119" s="97"/>
    </row>
    <row r="26120" spans="25:25" x14ac:dyDescent="0.2">
      <c r="Y26120" s="97"/>
    </row>
    <row r="26121" spans="25:25" x14ac:dyDescent="0.2">
      <c r="Y26121" s="97"/>
    </row>
    <row r="26122" spans="25:25" x14ac:dyDescent="0.2">
      <c r="Y26122" s="97"/>
    </row>
    <row r="26123" spans="25:25" x14ac:dyDescent="0.2">
      <c r="Y26123" s="97"/>
    </row>
    <row r="26124" spans="25:25" x14ac:dyDescent="0.2">
      <c r="Y26124" s="97"/>
    </row>
    <row r="26125" spans="25:25" x14ac:dyDescent="0.2">
      <c r="Y26125" s="97"/>
    </row>
    <row r="26126" spans="25:25" x14ac:dyDescent="0.2">
      <c r="Y26126" s="97"/>
    </row>
    <row r="26127" spans="25:25" x14ac:dyDescent="0.2">
      <c r="Y26127" s="97"/>
    </row>
    <row r="26128" spans="25:25" x14ac:dyDescent="0.2">
      <c r="Y26128" s="97"/>
    </row>
    <row r="26129" spans="25:25" x14ac:dyDescent="0.2">
      <c r="Y26129" s="97"/>
    </row>
    <row r="26130" spans="25:25" x14ac:dyDescent="0.2">
      <c r="Y26130" s="97"/>
    </row>
    <row r="26131" spans="25:25" x14ac:dyDescent="0.2">
      <c r="Y26131" s="97"/>
    </row>
    <row r="26132" spans="25:25" x14ac:dyDescent="0.2">
      <c r="Y26132" s="97"/>
    </row>
    <row r="26133" spans="25:25" x14ac:dyDescent="0.2">
      <c r="Y26133" s="97"/>
    </row>
    <row r="26134" spans="25:25" x14ac:dyDescent="0.2">
      <c r="Y26134" s="97"/>
    </row>
    <row r="26135" spans="25:25" x14ac:dyDescent="0.2">
      <c r="Y26135" s="97"/>
    </row>
    <row r="26136" spans="25:25" x14ac:dyDescent="0.2">
      <c r="Y26136" s="97"/>
    </row>
    <row r="26137" spans="25:25" x14ac:dyDescent="0.2">
      <c r="Y26137" s="97"/>
    </row>
    <row r="26138" spans="25:25" x14ac:dyDescent="0.2">
      <c r="Y26138" s="97"/>
    </row>
    <row r="26139" spans="25:25" x14ac:dyDescent="0.2">
      <c r="Y26139" s="97"/>
    </row>
    <row r="26140" spans="25:25" x14ac:dyDescent="0.2">
      <c r="Y26140" s="97"/>
    </row>
    <row r="26141" spans="25:25" x14ac:dyDescent="0.2">
      <c r="Y26141" s="97"/>
    </row>
    <row r="26142" spans="25:25" x14ac:dyDescent="0.2">
      <c r="Y26142" s="97"/>
    </row>
    <row r="26143" spans="25:25" x14ac:dyDescent="0.2">
      <c r="Y26143" s="97"/>
    </row>
    <row r="26144" spans="25:25" x14ac:dyDescent="0.2">
      <c r="Y26144" s="97"/>
    </row>
    <row r="26145" spans="25:25" x14ac:dyDescent="0.2">
      <c r="Y26145" s="97"/>
    </row>
    <row r="26146" spans="25:25" x14ac:dyDescent="0.2">
      <c r="Y26146" s="97"/>
    </row>
    <row r="26147" spans="25:25" x14ac:dyDescent="0.2">
      <c r="Y26147" s="97"/>
    </row>
    <row r="26148" spans="25:25" x14ac:dyDescent="0.2">
      <c r="Y26148" s="97"/>
    </row>
    <row r="26149" spans="25:25" x14ac:dyDescent="0.2">
      <c r="Y26149" s="97"/>
    </row>
    <row r="26150" spans="25:25" x14ac:dyDescent="0.2">
      <c r="Y26150" s="97"/>
    </row>
    <row r="26151" spans="25:25" x14ac:dyDescent="0.2">
      <c r="Y26151" s="97"/>
    </row>
    <row r="26152" spans="25:25" x14ac:dyDescent="0.2">
      <c r="Y26152" s="97"/>
    </row>
    <row r="26153" spans="25:25" x14ac:dyDescent="0.2">
      <c r="Y26153" s="97"/>
    </row>
    <row r="26154" spans="25:25" x14ac:dyDescent="0.2">
      <c r="Y26154" s="97"/>
    </row>
    <row r="26155" spans="25:25" x14ac:dyDescent="0.2">
      <c r="Y26155" s="97"/>
    </row>
    <row r="26156" spans="25:25" x14ac:dyDescent="0.2">
      <c r="Y26156" s="97"/>
    </row>
    <row r="26157" spans="25:25" x14ac:dyDescent="0.2">
      <c r="Y26157" s="97"/>
    </row>
    <row r="26158" spans="25:25" x14ac:dyDescent="0.2">
      <c r="Y26158" s="97"/>
    </row>
    <row r="26159" spans="25:25" x14ac:dyDescent="0.2">
      <c r="Y26159" s="97"/>
    </row>
    <row r="26160" spans="25:25" x14ac:dyDescent="0.2">
      <c r="Y26160" s="97"/>
    </row>
    <row r="26161" spans="25:25" x14ac:dyDescent="0.2">
      <c r="Y26161" s="97"/>
    </row>
    <row r="26162" spans="25:25" x14ac:dyDescent="0.2">
      <c r="Y26162" s="97"/>
    </row>
    <row r="26163" spans="25:25" x14ac:dyDescent="0.2">
      <c r="Y26163" s="97"/>
    </row>
    <row r="26164" spans="25:25" x14ac:dyDescent="0.2">
      <c r="Y26164" s="97"/>
    </row>
    <row r="26165" spans="25:25" x14ac:dyDescent="0.2">
      <c r="Y26165" s="97"/>
    </row>
    <row r="26166" spans="25:25" x14ac:dyDescent="0.2">
      <c r="Y26166" s="97"/>
    </row>
    <row r="26167" spans="25:25" x14ac:dyDescent="0.2">
      <c r="Y26167" s="97"/>
    </row>
    <row r="26168" spans="25:25" x14ac:dyDescent="0.2">
      <c r="Y26168" s="97"/>
    </row>
    <row r="26169" spans="25:25" x14ac:dyDescent="0.2">
      <c r="Y26169" s="97"/>
    </row>
    <row r="26170" spans="25:25" x14ac:dyDescent="0.2">
      <c r="Y26170" s="97"/>
    </row>
    <row r="26171" spans="25:25" x14ac:dyDescent="0.2">
      <c r="Y26171" s="97"/>
    </row>
    <row r="26172" spans="25:25" x14ac:dyDescent="0.2">
      <c r="Y26172" s="97"/>
    </row>
    <row r="26173" spans="25:25" x14ac:dyDescent="0.2">
      <c r="Y26173" s="97"/>
    </row>
    <row r="26174" spans="25:25" x14ac:dyDescent="0.2">
      <c r="Y26174" s="97"/>
    </row>
    <row r="26175" spans="25:25" x14ac:dyDescent="0.2">
      <c r="Y26175" s="97"/>
    </row>
    <row r="26176" spans="25:25" x14ac:dyDescent="0.2">
      <c r="Y26176" s="97"/>
    </row>
    <row r="26177" spans="25:25" x14ac:dyDescent="0.2">
      <c r="Y26177" s="97"/>
    </row>
    <row r="26178" spans="25:25" x14ac:dyDescent="0.2">
      <c r="Y26178" s="97"/>
    </row>
    <row r="26179" spans="25:25" x14ac:dyDescent="0.2">
      <c r="Y26179" s="97"/>
    </row>
    <row r="26180" spans="25:25" x14ac:dyDescent="0.2">
      <c r="Y26180" s="97"/>
    </row>
    <row r="26181" spans="25:25" x14ac:dyDescent="0.2">
      <c r="Y26181" s="97"/>
    </row>
    <row r="26182" spans="25:25" x14ac:dyDescent="0.2">
      <c r="Y26182" s="97"/>
    </row>
    <row r="26183" spans="25:25" x14ac:dyDescent="0.2">
      <c r="Y26183" s="97"/>
    </row>
    <row r="26184" spans="25:25" x14ac:dyDescent="0.2">
      <c r="Y26184" s="97"/>
    </row>
    <row r="26185" spans="25:25" x14ac:dyDescent="0.2">
      <c r="Y26185" s="97"/>
    </row>
    <row r="26186" spans="25:25" x14ac:dyDescent="0.2">
      <c r="Y26186" s="97"/>
    </row>
    <row r="26187" spans="25:25" x14ac:dyDescent="0.2">
      <c r="Y26187" s="97"/>
    </row>
    <row r="26188" spans="25:25" x14ac:dyDescent="0.2">
      <c r="Y26188" s="97"/>
    </row>
    <row r="26189" spans="25:25" x14ac:dyDescent="0.2">
      <c r="Y26189" s="97"/>
    </row>
    <row r="26190" spans="25:25" x14ac:dyDescent="0.2">
      <c r="Y26190" s="97"/>
    </row>
    <row r="26191" spans="25:25" x14ac:dyDescent="0.2">
      <c r="Y26191" s="97"/>
    </row>
    <row r="26192" spans="25:25" x14ac:dyDescent="0.2">
      <c r="Y26192" s="97"/>
    </row>
    <row r="26193" spans="25:25" x14ac:dyDescent="0.2">
      <c r="Y26193" s="97"/>
    </row>
    <row r="26194" spans="25:25" x14ac:dyDescent="0.2">
      <c r="Y26194" s="97"/>
    </row>
    <row r="26195" spans="25:25" x14ac:dyDescent="0.2">
      <c r="Y26195" s="97"/>
    </row>
    <row r="26196" spans="25:25" x14ac:dyDescent="0.2">
      <c r="Y26196" s="97"/>
    </row>
    <row r="26197" spans="25:25" x14ac:dyDescent="0.2">
      <c r="Y26197" s="97"/>
    </row>
    <row r="26198" spans="25:25" x14ac:dyDescent="0.2">
      <c r="Y26198" s="97"/>
    </row>
    <row r="26199" spans="25:25" x14ac:dyDescent="0.2">
      <c r="Y26199" s="97"/>
    </row>
    <row r="26200" spans="25:25" x14ac:dyDescent="0.2">
      <c r="Y26200" s="97"/>
    </row>
    <row r="26201" spans="25:25" x14ac:dyDescent="0.2">
      <c r="Y26201" s="97"/>
    </row>
    <row r="26202" spans="25:25" x14ac:dyDescent="0.2">
      <c r="Y26202" s="97"/>
    </row>
    <row r="26203" spans="25:25" x14ac:dyDescent="0.2">
      <c r="Y26203" s="97"/>
    </row>
    <row r="26204" spans="25:25" x14ac:dyDescent="0.2">
      <c r="Y26204" s="97"/>
    </row>
    <row r="26205" spans="25:25" x14ac:dyDescent="0.2">
      <c r="Y26205" s="97"/>
    </row>
    <row r="26206" spans="25:25" x14ac:dyDescent="0.2">
      <c r="Y26206" s="97"/>
    </row>
    <row r="26207" spans="25:25" x14ac:dyDescent="0.2">
      <c r="Y26207" s="97"/>
    </row>
    <row r="26208" spans="25:25" x14ac:dyDescent="0.2">
      <c r="Y26208" s="97"/>
    </row>
    <row r="26209" spans="25:25" x14ac:dyDescent="0.2">
      <c r="Y26209" s="97"/>
    </row>
    <row r="26210" spans="25:25" x14ac:dyDescent="0.2">
      <c r="Y26210" s="97"/>
    </row>
    <row r="26211" spans="25:25" x14ac:dyDescent="0.2">
      <c r="Y26211" s="97"/>
    </row>
    <row r="26212" spans="25:25" x14ac:dyDescent="0.2">
      <c r="Y26212" s="97"/>
    </row>
    <row r="26213" spans="25:25" x14ac:dyDescent="0.2">
      <c r="Y26213" s="97"/>
    </row>
    <row r="26214" spans="25:25" x14ac:dyDescent="0.2">
      <c r="Y26214" s="97"/>
    </row>
    <row r="26215" spans="25:25" x14ac:dyDescent="0.2">
      <c r="Y26215" s="97"/>
    </row>
    <row r="26216" spans="25:25" x14ac:dyDescent="0.2">
      <c r="Y26216" s="97"/>
    </row>
    <row r="26217" spans="25:25" x14ac:dyDescent="0.2">
      <c r="Y26217" s="97"/>
    </row>
    <row r="26218" spans="25:25" x14ac:dyDescent="0.2">
      <c r="Y26218" s="97"/>
    </row>
    <row r="26219" spans="25:25" x14ac:dyDescent="0.2">
      <c r="Y26219" s="97"/>
    </row>
    <row r="26220" spans="25:25" x14ac:dyDescent="0.2">
      <c r="Y26220" s="97"/>
    </row>
    <row r="26221" spans="25:25" x14ac:dyDescent="0.2">
      <c r="Y26221" s="97"/>
    </row>
    <row r="26222" spans="25:25" x14ac:dyDescent="0.2">
      <c r="Y26222" s="97"/>
    </row>
    <row r="26223" spans="25:25" x14ac:dyDescent="0.2">
      <c r="Y26223" s="97"/>
    </row>
    <row r="26224" spans="25:25" x14ac:dyDescent="0.2">
      <c r="Y26224" s="97"/>
    </row>
    <row r="26225" spans="25:25" x14ac:dyDescent="0.2">
      <c r="Y26225" s="97"/>
    </row>
    <row r="26226" spans="25:25" x14ac:dyDescent="0.2">
      <c r="Y26226" s="97"/>
    </row>
    <row r="26227" spans="25:25" x14ac:dyDescent="0.2">
      <c r="Y26227" s="97"/>
    </row>
    <row r="26228" spans="25:25" x14ac:dyDescent="0.2">
      <c r="Y26228" s="97"/>
    </row>
    <row r="26229" spans="25:25" x14ac:dyDescent="0.2">
      <c r="Y26229" s="97"/>
    </row>
    <row r="26230" spans="25:25" x14ac:dyDescent="0.2">
      <c r="Y26230" s="97"/>
    </row>
    <row r="26231" spans="25:25" x14ac:dyDescent="0.2">
      <c r="Y26231" s="97"/>
    </row>
    <row r="26232" spans="25:25" x14ac:dyDescent="0.2">
      <c r="Y26232" s="97"/>
    </row>
    <row r="26233" spans="25:25" x14ac:dyDescent="0.2">
      <c r="Y26233" s="97"/>
    </row>
    <row r="26234" spans="25:25" x14ac:dyDescent="0.2">
      <c r="Y26234" s="97"/>
    </row>
    <row r="26235" spans="25:25" x14ac:dyDescent="0.2">
      <c r="Y26235" s="97"/>
    </row>
    <row r="26236" spans="25:25" x14ac:dyDescent="0.2">
      <c r="Y26236" s="97"/>
    </row>
    <row r="26237" spans="25:25" x14ac:dyDescent="0.2">
      <c r="Y26237" s="97"/>
    </row>
    <row r="26238" spans="25:25" x14ac:dyDescent="0.2">
      <c r="Y26238" s="97"/>
    </row>
    <row r="26239" spans="25:25" x14ac:dyDescent="0.2">
      <c r="Y26239" s="97"/>
    </row>
    <row r="26240" spans="25:25" x14ac:dyDescent="0.2">
      <c r="Y26240" s="97"/>
    </row>
    <row r="26241" spans="25:25" x14ac:dyDescent="0.2">
      <c r="Y26241" s="97"/>
    </row>
    <row r="26242" spans="25:25" x14ac:dyDescent="0.2">
      <c r="Y26242" s="97"/>
    </row>
    <row r="26243" spans="25:25" x14ac:dyDescent="0.2">
      <c r="Y26243" s="97"/>
    </row>
    <row r="26244" spans="25:25" x14ac:dyDescent="0.2">
      <c r="Y26244" s="97"/>
    </row>
    <row r="26245" spans="25:25" x14ac:dyDescent="0.2">
      <c r="Y26245" s="97"/>
    </row>
    <row r="26246" spans="25:25" x14ac:dyDescent="0.2">
      <c r="Y26246" s="97"/>
    </row>
    <row r="26247" spans="25:25" x14ac:dyDescent="0.2">
      <c r="Y26247" s="97"/>
    </row>
    <row r="26248" spans="25:25" x14ac:dyDescent="0.2">
      <c r="Y26248" s="97"/>
    </row>
    <row r="26249" spans="25:25" x14ac:dyDescent="0.2">
      <c r="Y26249" s="97"/>
    </row>
    <row r="26250" spans="25:25" x14ac:dyDescent="0.2">
      <c r="Y26250" s="97"/>
    </row>
    <row r="26251" spans="25:25" x14ac:dyDescent="0.2">
      <c r="Y26251" s="97"/>
    </row>
    <row r="26252" spans="25:25" x14ac:dyDescent="0.2">
      <c r="Y26252" s="97"/>
    </row>
    <row r="26253" spans="25:25" x14ac:dyDescent="0.2">
      <c r="Y26253" s="97"/>
    </row>
    <row r="26254" spans="25:25" x14ac:dyDescent="0.2">
      <c r="Y26254" s="97"/>
    </row>
    <row r="26255" spans="25:25" x14ac:dyDescent="0.2">
      <c r="Y26255" s="97"/>
    </row>
    <row r="26256" spans="25:25" x14ac:dyDescent="0.2">
      <c r="Y26256" s="97"/>
    </row>
    <row r="26257" spans="25:25" x14ac:dyDescent="0.2">
      <c r="Y26257" s="97"/>
    </row>
    <row r="26258" spans="25:25" x14ac:dyDescent="0.2">
      <c r="Y26258" s="97"/>
    </row>
    <row r="26259" spans="25:25" x14ac:dyDescent="0.2">
      <c r="Y26259" s="97"/>
    </row>
    <row r="26260" spans="25:25" x14ac:dyDescent="0.2">
      <c r="Y26260" s="97"/>
    </row>
    <row r="26261" spans="25:25" x14ac:dyDescent="0.2">
      <c r="Y26261" s="97"/>
    </row>
    <row r="26262" spans="25:25" x14ac:dyDescent="0.2">
      <c r="Y26262" s="97"/>
    </row>
    <row r="26263" spans="25:25" x14ac:dyDescent="0.2">
      <c r="Y26263" s="97"/>
    </row>
    <row r="26264" spans="25:25" x14ac:dyDescent="0.2">
      <c r="Y26264" s="97"/>
    </row>
    <row r="26265" spans="25:25" x14ac:dyDescent="0.2">
      <c r="Y26265" s="97"/>
    </row>
    <row r="26266" spans="25:25" x14ac:dyDescent="0.2">
      <c r="Y26266" s="97"/>
    </row>
    <row r="26267" spans="25:25" x14ac:dyDescent="0.2">
      <c r="Y26267" s="97"/>
    </row>
    <row r="26268" spans="25:25" x14ac:dyDescent="0.2">
      <c r="Y26268" s="97"/>
    </row>
    <row r="26269" spans="25:25" x14ac:dyDescent="0.2">
      <c r="Y26269" s="97"/>
    </row>
    <row r="26270" spans="25:25" x14ac:dyDescent="0.2">
      <c r="Y26270" s="97"/>
    </row>
    <row r="26271" spans="25:25" x14ac:dyDescent="0.2">
      <c r="Y26271" s="97"/>
    </row>
    <row r="26272" spans="25:25" x14ac:dyDescent="0.2">
      <c r="Y26272" s="97"/>
    </row>
    <row r="26273" spans="25:25" x14ac:dyDescent="0.2">
      <c r="Y26273" s="97"/>
    </row>
    <row r="26274" spans="25:25" x14ac:dyDescent="0.2">
      <c r="Y26274" s="97"/>
    </row>
    <row r="26275" spans="25:25" x14ac:dyDescent="0.2">
      <c r="Y26275" s="97"/>
    </row>
    <row r="26276" spans="25:25" x14ac:dyDescent="0.2">
      <c r="Y26276" s="97"/>
    </row>
    <row r="26277" spans="25:25" x14ac:dyDescent="0.2">
      <c r="Y26277" s="97"/>
    </row>
    <row r="26278" spans="25:25" x14ac:dyDescent="0.2">
      <c r="Y26278" s="97"/>
    </row>
    <row r="26279" spans="25:25" x14ac:dyDescent="0.2">
      <c r="Y26279" s="97"/>
    </row>
    <row r="26280" spans="25:25" x14ac:dyDescent="0.2">
      <c r="Y26280" s="97"/>
    </row>
    <row r="26281" spans="25:25" x14ac:dyDescent="0.2">
      <c r="Y26281" s="97"/>
    </row>
    <row r="26282" spans="25:25" x14ac:dyDescent="0.2">
      <c r="Y26282" s="97"/>
    </row>
    <row r="26283" spans="25:25" x14ac:dyDescent="0.2">
      <c r="Y26283" s="97"/>
    </row>
    <row r="26284" spans="25:25" x14ac:dyDescent="0.2">
      <c r="Y26284" s="97"/>
    </row>
    <row r="26285" spans="25:25" x14ac:dyDescent="0.2">
      <c r="Y26285" s="97"/>
    </row>
    <row r="26286" spans="25:25" x14ac:dyDescent="0.2">
      <c r="Y26286" s="97"/>
    </row>
    <row r="26287" spans="25:25" x14ac:dyDescent="0.2">
      <c r="Y26287" s="97"/>
    </row>
    <row r="26288" spans="25:25" x14ac:dyDescent="0.2">
      <c r="Y26288" s="97"/>
    </row>
    <row r="26289" spans="25:25" x14ac:dyDescent="0.2">
      <c r="Y26289" s="97"/>
    </row>
    <row r="26290" spans="25:25" x14ac:dyDescent="0.2">
      <c r="Y26290" s="97"/>
    </row>
    <row r="26291" spans="25:25" x14ac:dyDescent="0.2">
      <c r="Y26291" s="97"/>
    </row>
    <row r="26292" spans="25:25" x14ac:dyDescent="0.2">
      <c r="Y26292" s="97"/>
    </row>
    <row r="26293" spans="25:25" x14ac:dyDescent="0.2">
      <c r="Y26293" s="97"/>
    </row>
    <row r="26294" spans="25:25" x14ac:dyDescent="0.2">
      <c r="Y26294" s="97"/>
    </row>
    <row r="26295" spans="25:25" x14ac:dyDescent="0.2">
      <c r="Y26295" s="97"/>
    </row>
    <row r="26296" spans="25:25" x14ac:dyDescent="0.2">
      <c r="Y26296" s="97"/>
    </row>
    <row r="26297" spans="25:25" x14ac:dyDescent="0.2">
      <c r="Y26297" s="97"/>
    </row>
    <row r="26298" spans="25:25" x14ac:dyDescent="0.2">
      <c r="Y26298" s="97"/>
    </row>
    <row r="26299" spans="25:25" x14ac:dyDescent="0.2">
      <c r="Y26299" s="97"/>
    </row>
    <row r="26300" spans="25:25" x14ac:dyDescent="0.2">
      <c r="Y26300" s="97"/>
    </row>
    <row r="26301" spans="25:25" x14ac:dyDescent="0.2">
      <c r="Y26301" s="97"/>
    </row>
    <row r="26302" spans="25:25" x14ac:dyDescent="0.2">
      <c r="Y26302" s="97"/>
    </row>
    <row r="26303" spans="25:25" x14ac:dyDescent="0.2">
      <c r="Y26303" s="97"/>
    </row>
    <row r="26304" spans="25:25" x14ac:dyDescent="0.2">
      <c r="Y26304" s="97"/>
    </row>
    <row r="26305" spans="25:25" x14ac:dyDescent="0.2">
      <c r="Y26305" s="97"/>
    </row>
    <row r="26306" spans="25:25" x14ac:dyDescent="0.2">
      <c r="Y26306" s="97"/>
    </row>
    <row r="26307" spans="25:25" x14ac:dyDescent="0.2">
      <c r="Y26307" s="97"/>
    </row>
    <row r="26308" spans="25:25" x14ac:dyDescent="0.2">
      <c r="Y26308" s="97"/>
    </row>
    <row r="26309" spans="25:25" x14ac:dyDescent="0.2">
      <c r="Y26309" s="97"/>
    </row>
    <row r="26310" spans="25:25" x14ac:dyDescent="0.2">
      <c r="Y26310" s="97"/>
    </row>
    <row r="26311" spans="25:25" x14ac:dyDescent="0.2">
      <c r="Y26311" s="97"/>
    </row>
    <row r="26312" spans="25:25" x14ac:dyDescent="0.2">
      <c r="Y26312" s="97"/>
    </row>
    <row r="26313" spans="25:25" x14ac:dyDescent="0.2">
      <c r="Y26313" s="97"/>
    </row>
    <row r="26314" spans="25:25" x14ac:dyDescent="0.2">
      <c r="Y26314" s="97"/>
    </row>
    <row r="26315" spans="25:25" x14ac:dyDescent="0.2">
      <c r="Y26315" s="97"/>
    </row>
    <row r="26316" spans="25:25" x14ac:dyDescent="0.2">
      <c r="Y26316" s="97"/>
    </row>
    <row r="26317" spans="25:25" x14ac:dyDescent="0.2">
      <c r="Y26317" s="97"/>
    </row>
    <row r="26318" spans="25:25" x14ac:dyDescent="0.2">
      <c r="Y26318" s="97"/>
    </row>
    <row r="26319" spans="25:25" x14ac:dyDescent="0.2">
      <c r="Y26319" s="97"/>
    </row>
    <row r="26320" spans="25:25" x14ac:dyDescent="0.2">
      <c r="Y26320" s="97"/>
    </row>
    <row r="26321" spans="25:25" x14ac:dyDescent="0.2">
      <c r="Y26321" s="97"/>
    </row>
    <row r="26322" spans="25:25" x14ac:dyDescent="0.2">
      <c r="Y26322" s="97"/>
    </row>
    <row r="26323" spans="25:25" x14ac:dyDescent="0.2">
      <c r="Y26323" s="97"/>
    </row>
    <row r="26324" spans="25:25" x14ac:dyDescent="0.2">
      <c r="Y26324" s="97"/>
    </row>
    <row r="26325" spans="25:25" x14ac:dyDescent="0.2">
      <c r="Y26325" s="97"/>
    </row>
    <row r="26326" spans="25:25" x14ac:dyDescent="0.2">
      <c r="Y26326" s="97"/>
    </row>
    <row r="26327" spans="25:25" x14ac:dyDescent="0.2">
      <c r="Y26327" s="97"/>
    </row>
    <row r="26328" spans="25:25" x14ac:dyDescent="0.2">
      <c r="Y26328" s="97"/>
    </row>
    <row r="26329" spans="25:25" x14ac:dyDescent="0.2">
      <c r="Y26329" s="97"/>
    </row>
    <row r="26330" spans="25:25" x14ac:dyDescent="0.2">
      <c r="Y26330" s="97"/>
    </row>
    <row r="26331" spans="25:25" x14ac:dyDescent="0.2">
      <c r="Y26331" s="97"/>
    </row>
    <row r="26332" spans="25:25" x14ac:dyDescent="0.2">
      <c r="Y26332" s="97"/>
    </row>
    <row r="26333" spans="25:25" x14ac:dyDescent="0.2">
      <c r="Y26333" s="97"/>
    </row>
    <row r="26334" spans="25:25" x14ac:dyDescent="0.2">
      <c r="Y26334" s="97"/>
    </row>
    <row r="26335" spans="25:25" x14ac:dyDescent="0.2">
      <c r="Y26335" s="97"/>
    </row>
    <row r="26336" spans="25:25" x14ac:dyDescent="0.2">
      <c r="Y26336" s="97"/>
    </row>
    <row r="26337" spans="25:25" x14ac:dyDescent="0.2">
      <c r="Y26337" s="97"/>
    </row>
    <row r="26338" spans="25:25" x14ac:dyDescent="0.2">
      <c r="Y26338" s="97"/>
    </row>
    <row r="26339" spans="25:25" x14ac:dyDescent="0.2">
      <c r="Y26339" s="97"/>
    </row>
    <row r="26340" spans="25:25" x14ac:dyDescent="0.2">
      <c r="Y26340" s="97"/>
    </row>
    <row r="26341" spans="25:25" x14ac:dyDescent="0.2">
      <c r="Y26341" s="97"/>
    </row>
    <row r="26342" spans="25:25" x14ac:dyDescent="0.2">
      <c r="Y26342" s="97"/>
    </row>
    <row r="26343" spans="25:25" x14ac:dyDescent="0.2">
      <c r="Y26343" s="97"/>
    </row>
    <row r="26344" spans="25:25" x14ac:dyDescent="0.2">
      <c r="Y26344" s="97"/>
    </row>
    <row r="26345" spans="25:25" x14ac:dyDescent="0.2">
      <c r="Y26345" s="97"/>
    </row>
    <row r="26346" spans="25:25" x14ac:dyDescent="0.2">
      <c r="Y26346" s="97"/>
    </row>
    <row r="26347" spans="25:25" x14ac:dyDescent="0.2">
      <c r="Y26347" s="97"/>
    </row>
    <row r="26348" spans="25:25" x14ac:dyDescent="0.2">
      <c r="Y26348" s="97"/>
    </row>
    <row r="26349" spans="25:25" x14ac:dyDescent="0.2">
      <c r="Y26349" s="97"/>
    </row>
    <row r="26350" spans="25:25" x14ac:dyDescent="0.2">
      <c r="Y26350" s="97"/>
    </row>
    <row r="26351" spans="25:25" x14ac:dyDescent="0.2">
      <c r="Y26351" s="97"/>
    </row>
    <row r="26352" spans="25:25" x14ac:dyDescent="0.2">
      <c r="Y26352" s="97"/>
    </row>
    <row r="26353" spans="25:25" x14ac:dyDescent="0.2">
      <c r="Y26353" s="97"/>
    </row>
    <row r="26354" spans="25:25" x14ac:dyDescent="0.2">
      <c r="Y26354" s="97"/>
    </row>
    <row r="26355" spans="25:25" x14ac:dyDescent="0.2">
      <c r="Y26355" s="97"/>
    </row>
    <row r="26356" spans="25:25" x14ac:dyDescent="0.2">
      <c r="Y26356" s="97"/>
    </row>
    <row r="26357" spans="25:25" x14ac:dyDescent="0.2">
      <c r="Y26357" s="97"/>
    </row>
    <row r="26358" spans="25:25" x14ac:dyDescent="0.2">
      <c r="Y26358" s="97"/>
    </row>
    <row r="26359" spans="25:25" x14ac:dyDescent="0.2">
      <c r="Y26359" s="97"/>
    </row>
    <row r="26360" spans="25:25" x14ac:dyDescent="0.2">
      <c r="Y26360" s="97"/>
    </row>
    <row r="26361" spans="25:25" x14ac:dyDescent="0.2">
      <c r="Y26361" s="97"/>
    </row>
    <row r="26362" spans="25:25" x14ac:dyDescent="0.2">
      <c r="Y26362" s="97"/>
    </row>
    <row r="26363" spans="25:25" x14ac:dyDescent="0.2">
      <c r="Y26363" s="97"/>
    </row>
    <row r="26364" spans="25:25" x14ac:dyDescent="0.2">
      <c r="Y26364" s="97"/>
    </row>
    <row r="26365" spans="25:25" x14ac:dyDescent="0.2">
      <c r="Y26365" s="97"/>
    </row>
    <row r="26366" spans="25:25" x14ac:dyDescent="0.2">
      <c r="Y26366" s="97"/>
    </row>
    <row r="26367" spans="25:25" x14ac:dyDescent="0.2">
      <c r="Y26367" s="97"/>
    </row>
    <row r="26368" spans="25:25" x14ac:dyDescent="0.2">
      <c r="Y26368" s="97"/>
    </row>
    <row r="26369" spans="25:25" x14ac:dyDescent="0.2">
      <c r="Y26369" s="97"/>
    </row>
    <row r="26370" spans="25:25" x14ac:dyDescent="0.2">
      <c r="Y26370" s="97"/>
    </row>
    <row r="26371" spans="25:25" x14ac:dyDescent="0.2">
      <c r="Y26371" s="97"/>
    </row>
    <row r="26372" spans="25:25" x14ac:dyDescent="0.2">
      <c r="Y26372" s="97"/>
    </row>
    <row r="26373" spans="25:25" x14ac:dyDescent="0.2">
      <c r="Y26373" s="97"/>
    </row>
    <row r="26374" spans="25:25" x14ac:dyDescent="0.2">
      <c r="Y26374" s="97"/>
    </row>
    <row r="26375" spans="25:25" x14ac:dyDescent="0.2">
      <c r="Y26375" s="97"/>
    </row>
    <row r="26376" spans="25:25" x14ac:dyDescent="0.2">
      <c r="Y26376" s="97"/>
    </row>
    <row r="26377" spans="25:25" x14ac:dyDescent="0.2">
      <c r="Y26377" s="97"/>
    </row>
    <row r="26378" spans="25:25" x14ac:dyDescent="0.2">
      <c r="Y26378" s="97"/>
    </row>
    <row r="26379" spans="25:25" x14ac:dyDescent="0.2">
      <c r="Y26379" s="97"/>
    </row>
    <row r="26380" spans="25:25" x14ac:dyDescent="0.2">
      <c r="Y26380" s="97"/>
    </row>
    <row r="26381" spans="25:25" x14ac:dyDescent="0.2">
      <c r="Y26381" s="97"/>
    </row>
    <row r="26382" spans="25:25" x14ac:dyDescent="0.2">
      <c r="Y26382" s="97"/>
    </row>
    <row r="26383" spans="25:25" x14ac:dyDescent="0.2">
      <c r="Y26383" s="97"/>
    </row>
    <row r="26384" spans="25:25" x14ac:dyDescent="0.2">
      <c r="Y26384" s="97"/>
    </row>
    <row r="26385" spans="25:25" x14ac:dyDescent="0.2">
      <c r="Y26385" s="97"/>
    </row>
    <row r="26386" spans="25:25" x14ac:dyDescent="0.2">
      <c r="Y26386" s="97"/>
    </row>
    <row r="26387" spans="25:25" x14ac:dyDescent="0.2">
      <c r="Y26387" s="97"/>
    </row>
    <row r="26388" spans="25:25" x14ac:dyDescent="0.2">
      <c r="Y26388" s="97"/>
    </row>
    <row r="26389" spans="25:25" x14ac:dyDescent="0.2">
      <c r="Y26389" s="97"/>
    </row>
    <row r="26390" spans="25:25" x14ac:dyDescent="0.2">
      <c r="Y26390" s="97"/>
    </row>
    <row r="26391" spans="25:25" x14ac:dyDescent="0.2">
      <c r="Y26391" s="97"/>
    </row>
    <row r="26392" spans="25:25" x14ac:dyDescent="0.2">
      <c r="Y26392" s="97"/>
    </row>
    <row r="26393" spans="25:25" x14ac:dyDescent="0.2">
      <c r="Y26393" s="97"/>
    </row>
    <row r="26394" spans="25:25" x14ac:dyDescent="0.2">
      <c r="Y26394" s="97"/>
    </row>
    <row r="26395" spans="25:25" x14ac:dyDescent="0.2">
      <c r="Y26395" s="97"/>
    </row>
    <row r="26396" spans="25:25" x14ac:dyDescent="0.2">
      <c r="Y26396" s="97"/>
    </row>
    <row r="26397" spans="25:25" x14ac:dyDescent="0.2">
      <c r="Y26397" s="97"/>
    </row>
    <row r="26398" spans="25:25" x14ac:dyDescent="0.2">
      <c r="Y26398" s="97"/>
    </row>
    <row r="26399" spans="25:25" x14ac:dyDescent="0.2">
      <c r="Y26399" s="97"/>
    </row>
    <row r="26400" spans="25:25" x14ac:dyDescent="0.2">
      <c r="Y26400" s="97"/>
    </row>
    <row r="26401" spans="25:25" x14ac:dyDescent="0.2">
      <c r="Y26401" s="97"/>
    </row>
    <row r="26402" spans="25:25" x14ac:dyDescent="0.2">
      <c r="Y26402" s="97"/>
    </row>
    <row r="26403" spans="25:25" x14ac:dyDescent="0.2">
      <c r="Y26403" s="97"/>
    </row>
    <row r="26404" spans="25:25" x14ac:dyDescent="0.2">
      <c r="Y26404" s="97"/>
    </row>
    <row r="26405" spans="25:25" x14ac:dyDescent="0.2">
      <c r="Y26405" s="97"/>
    </row>
    <row r="26406" spans="25:25" x14ac:dyDescent="0.2">
      <c r="Y26406" s="97"/>
    </row>
    <row r="26407" spans="25:25" x14ac:dyDescent="0.2">
      <c r="Y26407" s="97"/>
    </row>
    <row r="26408" spans="25:25" x14ac:dyDescent="0.2">
      <c r="Y26408" s="97"/>
    </row>
    <row r="26409" spans="25:25" x14ac:dyDescent="0.2">
      <c r="Y26409" s="97"/>
    </row>
    <row r="26410" spans="25:25" x14ac:dyDescent="0.2">
      <c r="Y26410" s="97"/>
    </row>
    <row r="26411" spans="25:25" x14ac:dyDescent="0.2">
      <c r="Y26411" s="97"/>
    </row>
    <row r="26412" spans="25:25" x14ac:dyDescent="0.2">
      <c r="Y26412" s="97"/>
    </row>
    <row r="26413" spans="25:25" x14ac:dyDescent="0.2">
      <c r="Y26413" s="97"/>
    </row>
    <row r="26414" spans="25:25" x14ac:dyDescent="0.2">
      <c r="Y26414" s="97"/>
    </row>
    <row r="26415" spans="25:25" x14ac:dyDescent="0.2">
      <c r="Y26415" s="97"/>
    </row>
    <row r="26416" spans="25:25" x14ac:dyDescent="0.2">
      <c r="Y26416" s="97"/>
    </row>
    <row r="26417" spans="25:25" x14ac:dyDescent="0.2">
      <c r="Y26417" s="97"/>
    </row>
    <row r="26418" spans="25:25" x14ac:dyDescent="0.2">
      <c r="Y26418" s="97"/>
    </row>
    <row r="26419" spans="25:25" x14ac:dyDescent="0.2">
      <c r="Y26419" s="97"/>
    </row>
    <row r="26420" spans="25:25" x14ac:dyDescent="0.2">
      <c r="Y26420" s="97"/>
    </row>
    <row r="26421" spans="25:25" x14ac:dyDescent="0.2">
      <c r="Y26421" s="97"/>
    </row>
    <row r="26422" spans="25:25" x14ac:dyDescent="0.2">
      <c r="Y26422" s="97"/>
    </row>
    <row r="26423" spans="25:25" x14ac:dyDescent="0.2">
      <c r="Y26423" s="97"/>
    </row>
    <row r="26424" spans="25:25" x14ac:dyDescent="0.2">
      <c r="Y26424" s="97"/>
    </row>
    <row r="26425" spans="25:25" x14ac:dyDescent="0.2">
      <c r="Y26425" s="97"/>
    </row>
    <row r="26426" spans="25:25" x14ac:dyDescent="0.2">
      <c r="Y26426" s="97"/>
    </row>
    <row r="26427" spans="25:25" x14ac:dyDescent="0.2">
      <c r="Y26427" s="97"/>
    </row>
    <row r="26428" spans="25:25" x14ac:dyDescent="0.2">
      <c r="Y26428" s="97"/>
    </row>
    <row r="26429" spans="25:25" x14ac:dyDescent="0.2">
      <c r="Y26429" s="97"/>
    </row>
    <row r="26430" spans="25:25" x14ac:dyDescent="0.2">
      <c r="Y26430" s="97"/>
    </row>
    <row r="26431" spans="25:25" x14ac:dyDescent="0.2">
      <c r="Y26431" s="97"/>
    </row>
    <row r="26432" spans="25:25" x14ac:dyDescent="0.2">
      <c r="Y26432" s="97"/>
    </row>
    <row r="26433" spans="25:25" x14ac:dyDescent="0.2">
      <c r="Y26433" s="97"/>
    </row>
    <row r="26434" spans="25:25" x14ac:dyDescent="0.2">
      <c r="Y26434" s="97"/>
    </row>
    <row r="26435" spans="25:25" x14ac:dyDescent="0.2">
      <c r="Y26435" s="97"/>
    </row>
    <row r="26436" spans="25:25" x14ac:dyDescent="0.2">
      <c r="Y26436" s="97"/>
    </row>
    <row r="26437" spans="25:25" x14ac:dyDescent="0.2">
      <c r="Y26437" s="97"/>
    </row>
    <row r="26438" spans="25:25" x14ac:dyDescent="0.2">
      <c r="Y26438" s="97"/>
    </row>
    <row r="26439" spans="25:25" x14ac:dyDescent="0.2">
      <c r="Y26439" s="97"/>
    </row>
    <row r="26440" spans="25:25" x14ac:dyDescent="0.2">
      <c r="Y26440" s="97"/>
    </row>
    <row r="26441" spans="25:25" x14ac:dyDescent="0.2">
      <c r="Y26441" s="97"/>
    </row>
    <row r="26442" spans="25:25" x14ac:dyDescent="0.2">
      <c r="Y26442" s="97"/>
    </row>
    <row r="26443" spans="25:25" x14ac:dyDescent="0.2">
      <c r="Y26443" s="97"/>
    </row>
    <row r="26444" spans="25:25" x14ac:dyDescent="0.2">
      <c r="Y26444" s="97"/>
    </row>
    <row r="26445" spans="25:25" x14ac:dyDescent="0.2">
      <c r="Y26445" s="97"/>
    </row>
    <row r="26446" spans="25:25" x14ac:dyDescent="0.2">
      <c r="Y26446" s="97"/>
    </row>
    <row r="26447" spans="25:25" x14ac:dyDescent="0.2">
      <c r="Y26447" s="97"/>
    </row>
    <row r="26448" spans="25:25" x14ac:dyDescent="0.2">
      <c r="Y26448" s="97"/>
    </row>
    <row r="26449" spans="25:25" x14ac:dyDescent="0.2">
      <c r="Y26449" s="97"/>
    </row>
    <row r="26450" spans="25:25" x14ac:dyDescent="0.2">
      <c r="Y26450" s="97"/>
    </row>
    <row r="26451" spans="25:25" x14ac:dyDescent="0.2">
      <c r="Y26451" s="97"/>
    </row>
    <row r="26452" spans="25:25" x14ac:dyDescent="0.2">
      <c r="Y26452" s="97"/>
    </row>
    <row r="26453" spans="25:25" x14ac:dyDescent="0.2">
      <c r="Y26453" s="97"/>
    </row>
    <row r="26454" spans="25:25" x14ac:dyDescent="0.2">
      <c r="Y26454" s="97"/>
    </row>
    <row r="26455" spans="25:25" x14ac:dyDescent="0.2">
      <c r="Y26455" s="97"/>
    </row>
    <row r="26456" spans="25:25" x14ac:dyDescent="0.2">
      <c r="Y26456" s="97"/>
    </row>
    <row r="26457" spans="25:25" x14ac:dyDescent="0.2">
      <c r="Y26457" s="97"/>
    </row>
    <row r="26458" spans="25:25" x14ac:dyDescent="0.2">
      <c r="Y26458" s="97"/>
    </row>
    <row r="26459" spans="25:25" x14ac:dyDescent="0.2">
      <c r="Y26459" s="97"/>
    </row>
    <row r="26460" spans="25:25" x14ac:dyDescent="0.2">
      <c r="Y26460" s="97"/>
    </row>
    <row r="26461" spans="25:25" x14ac:dyDescent="0.2">
      <c r="Y26461" s="97"/>
    </row>
    <row r="26462" spans="25:25" x14ac:dyDescent="0.2">
      <c r="Y26462" s="97"/>
    </row>
    <row r="26463" spans="25:25" x14ac:dyDescent="0.2">
      <c r="Y26463" s="97"/>
    </row>
    <row r="26464" spans="25:25" x14ac:dyDescent="0.2">
      <c r="Y26464" s="97"/>
    </row>
    <row r="26465" spans="25:25" x14ac:dyDescent="0.2">
      <c r="Y26465" s="97"/>
    </row>
    <row r="26466" spans="25:25" x14ac:dyDescent="0.2">
      <c r="Y26466" s="97"/>
    </row>
    <row r="26467" spans="25:25" x14ac:dyDescent="0.2">
      <c r="Y26467" s="97"/>
    </row>
    <row r="26468" spans="25:25" x14ac:dyDescent="0.2">
      <c r="Y26468" s="97"/>
    </row>
    <row r="26469" spans="25:25" x14ac:dyDescent="0.2">
      <c r="Y26469" s="97"/>
    </row>
    <row r="26470" spans="25:25" x14ac:dyDescent="0.2">
      <c r="Y26470" s="97"/>
    </row>
    <row r="26471" spans="25:25" x14ac:dyDescent="0.2">
      <c r="Y26471" s="97"/>
    </row>
    <row r="26472" spans="25:25" x14ac:dyDescent="0.2">
      <c r="Y26472" s="97"/>
    </row>
    <row r="26473" spans="25:25" x14ac:dyDescent="0.2">
      <c r="Y26473" s="97"/>
    </row>
    <row r="26474" spans="25:25" x14ac:dyDescent="0.2">
      <c r="Y26474" s="97"/>
    </row>
    <row r="26475" spans="25:25" x14ac:dyDescent="0.2">
      <c r="Y26475" s="97"/>
    </row>
    <row r="26476" spans="25:25" x14ac:dyDescent="0.2">
      <c r="Y26476" s="97"/>
    </row>
    <row r="26477" spans="25:25" x14ac:dyDescent="0.2">
      <c r="Y26477" s="97"/>
    </row>
    <row r="26478" spans="25:25" x14ac:dyDescent="0.2">
      <c r="Y26478" s="97"/>
    </row>
    <row r="26479" spans="25:25" x14ac:dyDescent="0.2">
      <c r="Y26479" s="97"/>
    </row>
    <row r="26480" spans="25:25" x14ac:dyDescent="0.2">
      <c r="Y26480" s="97"/>
    </row>
    <row r="26481" spans="25:25" x14ac:dyDescent="0.2">
      <c r="Y26481" s="97"/>
    </row>
    <row r="26482" spans="25:25" x14ac:dyDescent="0.2">
      <c r="Y26482" s="97"/>
    </row>
    <row r="26483" spans="25:25" x14ac:dyDescent="0.2">
      <c r="Y26483" s="97"/>
    </row>
    <row r="26484" spans="25:25" x14ac:dyDescent="0.2">
      <c r="Y26484" s="97"/>
    </row>
    <row r="26485" spans="25:25" x14ac:dyDescent="0.2">
      <c r="Y26485" s="97"/>
    </row>
    <row r="26486" spans="25:25" x14ac:dyDescent="0.2">
      <c r="Y26486" s="97"/>
    </row>
    <row r="26487" spans="25:25" x14ac:dyDescent="0.2">
      <c r="Y26487" s="97"/>
    </row>
    <row r="26488" spans="25:25" x14ac:dyDescent="0.2">
      <c r="Y26488" s="97"/>
    </row>
    <row r="26489" spans="25:25" x14ac:dyDescent="0.2">
      <c r="Y26489" s="97"/>
    </row>
    <row r="26490" spans="25:25" x14ac:dyDescent="0.2">
      <c r="Y26490" s="97"/>
    </row>
    <row r="26491" spans="25:25" x14ac:dyDescent="0.2">
      <c r="Y26491" s="97"/>
    </row>
    <row r="26492" spans="25:25" x14ac:dyDescent="0.2">
      <c r="Y26492" s="97"/>
    </row>
    <row r="26493" spans="25:25" x14ac:dyDescent="0.2">
      <c r="Y26493" s="97"/>
    </row>
    <row r="26494" spans="25:25" x14ac:dyDescent="0.2">
      <c r="Y26494" s="97"/>
    </row>
    <row r="26495" spans="25:25" x14ac:dyDescent="0.2">
      <c r="Y26495" s="97"/>
    </row>
    <row r="26496" spans="25:25" x14ac:dyDescent="0.2">
      <c r="Y26496" s="97"/>
    </row>
    <row r="26497" spans="25:25" x14ac:dyDescent="0.2">
      <c r="Y26497" s="97"/>
    </row>
    <row r="26498" spans="25:25" x14ac:dyDescent="0.2">
      <c r="Y26498" s="97"/>
    </row>
    <row r="26499" spans="25:25" x14ac:dyDescent="0.2">
      <c r="Y26499" s="97"/>
    </row>
    <row r="26500" spans="25:25" x14ac:dyDescent="0.2">
      <c r="Y26500" s="97"/>
    </row>
    <row r="26501" spans="25:25" x14ac:dyDescent="0.2">
      <c r="Y26501" s="97"/>
    </row>
    <row r="26502" spans="25:25" x14ac:dyDescent="0.2">
      <c r="Y26502" s="97"/>
    </row>
    <row r="26503" spans="25:25" x14ac:dyDescent="0.2">
      <c r="Y26503" s="97"/>
    </row>
    <row r="26504" spans="25:25" x14ac:dyDescent="0.2">
      <c r="Y26504" s="97"/>
    </row>
    <row r="26505" spans="25:25" x14ac:dyDescent="0.2">
      <c r="Y26505" s="97"/>
    </row>
    <row r="26506" spans="25:25" x14ac:dyDescent="0.2">
      <c r="Y26506" s="97"/>
    </row>
    <row r="26507" spans="25:25" x14ac:dyDescent="0.2">
      <c r="Y26507" s="97"/>
    </row>
    <row r="26508" spans="25:25" x14ac:dyDescent="0.2">
      <c r="Y26508" s="97"/>
    </row>
    <row r="26509" spans="25:25" x14ac:dyDescent="0.2">
      <c r="Y26509" s="97"/>
    </row>
    <row r="26510" spans="25:25" x14ac:dyDescent="0.2">
      <c r="Y26510" s="97"/>
    </row>
    <row r="26511" spans="25:25" x14ac:dyDescent="0.2">
      <c r="Y26511" s="97"/>
    </row>
    <row r="26512" spans="25:25" x14ac:dyDescent="0.2">
      <c r="Y26512" s="97"/>
    </row>
    <row r="26513" spans="25:25" x14ac:dyDescent="0.2">
      <c r="Y26513" s="97"/>
    </row>
    <row r="26514" spans="25:25" x14ac:dyDescent="0.2">
      <c r="Y26514" s="97"/>
    </row>
    <row r="26515" spans="25:25" x14ac:dyDescent="0.2">
      <c r="Y26515" s="97"/>
    </row>
    <row r="26516" spans="25:25" x14ac:dyDescent="0.2">
      <c r="Y26516" s="97"/>
    </row>
    <row r="26517" spans="25:25" x14ac:dyDescent="0.2">
      <c r="Y26517" s="97"/>
    </row>
    <row r="26518" spans="25:25" x14ac:dyDescent="0.2">
      <c r="Y26518" s="97"/>
    </row>
    <row r="26519" spans="25:25" x14ac:dyDescent="0.2">
      <c r="Y26519" s="97"/>
    </row>
    <row r="26520" spans="25:25" x14ac:dyDescent="0.2">
      <c r="Y26520" s="97"/>
    </row>
    <row r="26521" spans="25:25" x14ac:dyDescent="0.2">
      <c r="Y26521" s="97"/>
    </row>
    <row r="26522" spans="25:25" x14ac:dyDescent="0.2">
      <c r="Y26522" s="97"/>
    </row>
    <row r="26523" spans="25:25" x14ac:dyDescent="0.2">
      <c r="Y26523" s="97"/>
    </row>
    <row r="26524" spans="25:25" x14ac:dyDescent="0.2">
      <c r="Y26524" s="97"/>
    </row>
    <row r="26525" spans="25:25" x14ac:dyDescent="0.2">
      <c r="Y26525" s="97"/>
    </row>
    <row r="26526" spans="25:25" x14ac:dyDescent="0.2">
      <c r="Y26526" s="97"/>
    </row>
    <row r="26527" spans="25:25" x14ac:dyDescent="0.2">
      <c r="Y26527" s="97"/>
    </row>
    <row r="26528" spans="25:25" x14ac:dyDescent="0.2">
      <c r="Y26528" s="97"/>
    </row>
    <row r="26529" spans="25:25" x14ac:dyDescent="0.2">
      <c r="Y26529" s="97"/>
    </row>
    <row r="26530" spans="25:25" x14ac:dyDescent="0.2">
      <c r="Y26530" s="97"/>
    </row>
    <row r="26531" spans="25:25" x14ac:dyDescent="0.2">
      <c r="Y26531" s="97"/>
    </row>
    <row r="26532" spans="25:25" x14ac:dyDescent="0.2">
      <c r="Y26532" s="97"/>
    </row>
    <row r="26533" spans="25:25" x14ac:dyDescent="0.2">
      <c r="Y26533" s="97"/>
    </row>
    <row r="26534" spans="25:25" x14ac:dyDescent="0.2">
      <c r="Y26534" s="97"/>
    </row>
    <row r="26535" spans="25:25" x14ac:dyDescent="0.2">
      <c r="Y26535" s="97"/>
    </row>
    <row r="26536" spans="25:25" x14ac:dyDescent="0.2">
      <c r="Y26536" s="97"/>
    </row>
    <row r="26537" spans="25:25" x14ac:dyDescent="0.2">
      <c r="Y26537" s="97"/>
    </row>
    <row r="26538" spans="25:25" x14ac:dyDescent="0.2">
      <c r="Y26538" s="97"/>
    </row>
    <row r="26539" spans="25:25" x14ac:dyDescent="0.2">
      <c r="Y26539" s="97"/>
    </row>
    <row r="26540" spans="25:25" x14ac:dyDescent="0.2">
      <c r="Y26540" s="97"/>
    </row>
    <row r="26541" spans="25:25" x14ac:dyDescent="0.2">
      <c r="Y26541" s="97"/>
    </row>
    <row r="26542" spans="25:25" x14ac:dyDescent="0.2">
      <c r="Y26542" s="97"/>
    </row>
    <row r="26543" spans="25:25" x14ac:dyDescent="0.2">
      <c r="Y26543" s="97"/>
    </row>
    <row r="26544" spans="25:25" x14ac:dyDescent="0.2">
      <c r="Y26544" s="97"/>
    </row>
    <row r="26545" spans="25:25" x14ac:dyDescent="0.2">
      <c r="Y26545" s="97"/>
    </row>
    <row r="26546" spans="25:25" x14ac:dyDescent="0.2">
      <c r="Y26546" s="97"/>
    </row>
    <row r="26547" spans="25:25" x14ac:dyDescent="0.2">
      <c r="Y26547" s="97"/>
    </row>
    <row r="26548" spans="25:25" x14ac:dyDescent="0.2">
      <c r="Y26548" s="97"/>
    </row>
    <row r="26549" spans="25:25" x14ac:dyDescent="0.2">
      <c r="Y26549" s="97"/>
    </row>
    <row r="26550" spans="25:25" x14ac:dyDescent="0.2">
      <c r="Y26550" s="97"/>
    </row>
    <row r="26551" spans="25:25" x14ac:dyDescent="0.2">
      <c r="Y26551" s="97"/>
    </row>
    <row r="26552" spans="25:25" x14ac:dyDescent="0.2">
      <c r="Y26552" s="97"/>
    </row>
    <row r="26553" spans="25:25" x14ac:dyDescent="0.2">
      <c r="Y26553" s="97"/>
    </row>
    <row r="26554" spans="25:25" x14ac:dyDescent="0.2">
      <c r="Y26554" s="97"/>
    </row>
    <row r="26555" spans="25:25" x14ac:dyDescent="0.2">
      <c r="Y26555" s="97"/>
    </row>
    <row r="26556" spans="25:25" x14ac:dyDescent="0.2">
      <c r="Y26556" s="97"/>
    </row>
    <row r="26557" spans="25:25" x14ac:dyDescent="0.2">
      <c r="Y26557" s="97"/>
    </row>
    <row r="26558" spans="25:25" x14ac:dyDescent="0.2">
      <c r="Y26558" s="97"/>
    </row>
    <row r="26559" spans="25:25" x14ac:dyDescent="0.2">
      <c r="Y26559" s="97"/>
    </row>
    <row r="26560" spans="25:25" x14ac:dyDescent="0.2">
      <c r="Y26560" s="97"/>
    </row>
    <row r="26561" spans="25:25" x14ac:dyDescent="0.2">
      <c r="Y26561" s="97"/>
    </row>
    <row r="26562" spans="25:25" x14ac:dyDescent="0.2">
      <c r="Y26562" s="97"/>
    </row>
    <row r="26563" spans="25:25" x14ac:dyDescent="0.2">
      <c r="Y26563" s="97"/>
    </row>
    <row r="26564" spans="25:25" x14ac:dyDescent="0.2">
      <c r="Y26564" s="97"/>
    </row>
    <row r="26565" spans="25:25" x14ac:dyDescent="0.2">
      <c r="Y26565" s="97"/>
    </row>
    <row r="26566" spans="25:25" x14ac:dyDescent="0.2">
      <c r="Y26566" s="97"/>
    </row>
    <row r="26567" spans="25:25" x14ac:dyDescent="0.2">
      <c r="Y26567" s="97"/>
    </row>
    <row r="26568" spans="25:25" x14ac:dyDescent="0.2">
      <c r="Y26568" s="97"/>
    </row>
    <row r="26569" spans="25:25" x14ac:dyDescent="0.2">
      <c r="Y26569" s="97"/>
    </row>
    <row r="26570" spans="25:25" x14ac:dyDescent="0.2">
      <c r="Y26570" s="97"/>
    </row>
    <row r="26571" spans="25:25" x14ac:dyDescent="0.2">
      <c r="Y26571" s="97"/>
    </row>
    <row r="26572" spans="25:25" x14ac:dyDescent="0.2">
      <c r="Y26572" s="97"/>
    </row>
    <row r="26573" spans="25:25" x14ac:dyDescent="0.2">
      <c r="Y26573" s="97"/>
    </row>
    <row r="26574" spans="25:25" x14ac:dyDescent="0.2">
      <c r="Y26574" s="97"/>
    </row>
    <row r="26575" spans="25:25" x14ac:dyDescent="0.2">
      <c r="Y26575" s="97"/>
    </row>
    <row r="26576" spans="25:25" x14ac:dyDescent="0.2">
      <c r="Y26576" s="97"/>
    </row>
    <row r="26577" spans="25:25" x14ac:dyDescent="0.2">
      <c r="Y26577" s="97"/>
    </row>
    <row r="26578" spans="25:25" x14ac:dyDescent="0.2">
      <c r="Y26578" s="97"/>
    </row>
    <row r="26579" spans="25:25" x14ac:dyDescent="0.2">
      <c r="Y26579" s="97"/>
    </row>
    <row r="26580" spans="25:25" x14ac:dyDescent="0.2">
      <c r="Y26580" s="97"/>
    </row>
    <row r="26581" spans="25:25" x14ac:dyDescent="0.2">
      <c r="Y26581" s="97"/>
    </row>
    <row r="26582" spans="25:25" x14ac:dyDescent="0.2">
      <c r="Y26582" s="97"/>
    </row>
    <row r="26583" spans="25:25" x14ac:dyDescent="0.2">
      <c r="Y26583" s="97"/>
    </row>
    <row r="26584" spans="25:25" x14ac:dyDescent="0.2">
      <c r="Y26584" s="97"/>
    </row>
    <row r="26585" spans="25:25" x14ac:dyDescent="0.2">
      <c r="Y26585" s="97"/>
    </row>
    <row r="26586" spans="25:25" x14ac:dyDescent="0.2">
      <c r="Y26586" s="97"/>
    </row>
    <row r="26587" spans="25:25" x14ac:dyDescent="0.2">
      <c r="Y26587" s="97"/>
    </row>
    <row r="26588" spans="25:25" x14ac:dyDescent="0.2">
      <c r="Y26588" s="97"/>
    </row>
    <row r="26589" spans="25:25" x14ac:dyDescent="0.2">
      <c r="Y26589" s="97"/>
    </row>
    <row r="26590" spans="25:25" x14ac:dyDescent="0.2">
      <c r="Y26590" s="97"/>
    </row>
    <row r="26591" spans="25:25" x14ac:dyDescent="0.2">
      <c r="Y26591" s="97"/>
    </row>
    <row r="26592" spans="25:25" x14ac:dyDescent="0.2">
      <c r="Y26592" s="97"/>
    </row>
    <row r="26593" spans="25:25" x14ac:dyDescent="0.2">
      <c r="Y26593" s="97"/>
    </row>
    <row r="26594" spans="25:25" x14ac:dyDescent="0.2">
      <c r="Y26594" s="97"/>
    </row>
    <row r="26595" spans="25:25" x14ac:dyDescent="0.2">
      <c r="Y26595" s="97"/>
    </row>
    <row r="26596" spans="25:25" x14ac:dyDescent="0.2">
      <c r="Y26596" s="97"/>
    </row>
    <row r="26597" spans="25:25" x14ac:dyDescent="0.2">
      <c r="Y26597" s="97"/>
    </row>
    <row r="26598" spans="25:25" x14ac:dyDescent="0.2">
      <c r="Y26598" s="97"/>
    </row>
    <row r="26599" spans="25:25" x14ac:dyDescent="0.2">
      <c r="Y26599" s="97"/>
    </row>
    <row r="26600" spans="25:25" x14ac:dyDescent="0.2">
      <c r="Y26600" s="97"/>
    </row>
    <row r="26601" spans="25:25" x14ac:dyDescent="0.2">
      <c r="Y26601" s="97"/>
    </row>
    <row r="26602" spans="25:25" x14ac:dyDescent="0.2">
      <c r="Y26602" s="97"/>
    </row>
    <row r="26603" spans="25:25" x14ac:dyDescent="0.2">
      <c r="Y26603" s="97"/>
    </row>
    <row r="26604" spans="25:25" x14ac:dyDescent="0.2">
      <c r="Y26604" s="97"/>
    </row>
    <row r="26605" spans="25:25" x14ac:dyDescent="0.2">
      <c r="Y26605" s="97"/>
    </row>
    <row r="26606" spans="25:25" x14ac:dyDescent="0.2">
      <c r="Y26606" s="97"/>
    </row>
    <row r="26607" spans="25:25" x14ac:dyDescent="0.2">
      <c r="Y26607" s="97"/>
    </row>
    <row r="26608" spans="25:25" x14ac:dyDescent="0.2">
      <c r="Y26608" s="97"/>
    </row>
    <row r="26609" spans="25:25" x14ac:dyDescent="0.2">
      <c r="Y26609" s="97"/>
    </row>
    <row r="26610" spans="25:25" x14ac:dyDescent="0.2">
      <c r="Y26610" s="97"/>
    </row>
    <row r="26611" spans="25:25" x14ac:dyDescent="0.2">
      <c r="Y26611" s="97"/>
    </row>
    <row r="26612" spans="25:25" x14ac:dyDescent="0.2">
      <c r="Y26612" s="97"/>
    </row>
    <row r="26613" spans="25:25" x14ac:dyDescent="0.2">
      <c r="Y26613" s="97"/>
    </row>
    <row r="26614" spans="25:25" x14ac:dyDescent="0.2">
      <c r="Y26614" s="97"/>
    </row>
    <row r="26615" spans="25:25" x14ac:dyDescent="0.2">
      <c r="Y26615" s="97"/>
    </row>
    <row r="26616" spans="25:25" x14ac:dyDescent="0.2">
      <c r="Y26616" s="97"/>
    </row>
    <row r="26617" spans="25:25" x14ac:dyDescent="0.2">
      <c r="Y26617" s="97"/>
    </row>
    <row r="26618" spans="25:25" x14ac:dyDescent="0.2">
      <c r="Y26618" s="97"/>
    </row>
    <row r="26619" spans="25:25" x14ac:dyDescent="0.2">
      <c r="Y26619" s="97"/>
    </row>
    <row r="26620" spans="25:25" x14ac:dyDescent="0.2">
      <c r="Y26620" s="97"/>
    </row>
    <row r="26621" spans="25:25" x14ac:dyDescent="0.2">
      <c r="Y26621" s="97"/>
    </row>
    <row r="26622" spans="25:25" x14ac:dyDescent="0.2">
      <c r="Y26622" s="97"/>
    </row>
    <row r="26623" spans="25:25" x14ac:dyDescent="0.2">
      <c r="Y26623" s="97"/>
    </row>
    <row r="26624" spans="25:25" x14ac:dyDescent="0.2">
      <c r="Y26624" s="97"/>
    </row>
    <row r="26625" spans="25:25" x14ac:dyDescent="0.2">
      <c r="Y26625" s="97"/>
    </row>
    <row r="26626" spans="25:25" x14ac:dyDescent="0.2">
      <c r="Y26626" s="97"/>
    </row>
    <row r="26627" spans="25:25" x14ac:dyDescent="0.2">
      <c r="Y26627" s="97"/>
    </row>
    <row r="26628" spans="25:25" x14ac:dyDescent="0.2">
      <c r="Y26628" s="97"/>
    </row>
    <row r="26629" spans="25:25" x14ac:dyDescent="0.2">
      <c r="Y26629" s="97"/>
    </row>
    <row r="26630" spans="25:25" x14ac:dyDescent="0.2">
      <c r="Y26630" s="97"/>
    </row>
    <row r="26631" spans="25:25" x14ac:dyDescent="0.2">
      <c r="Y26631" s="97"/>
    </row>
    <row r="26632" spans="25:25" x14ac:dyDescent="0.2">
      <c r="Y26632" s="97"/>
    </row>
    <row r="26633" spans="25:25" x14ac:dyDescent="0.2">
      <c r="Y26633" s="97"/>
    </row>
    <row r="26634" spans="25:25" x14ac:dyDescent="0.2">
      <c r="Y26634" s="97"/>
    </row>
    <row r="26635" spans="25:25" x14ac:dyDescent="0.2">
      <c r="Y26635" s="97"/>
    </row>
    <row r="26636" spans="25:25" x14ac:dyDescent="0.2">
      <c r="Y26636" s="97"/>
    </row>
    <row r="26637" spans="25:25" x14ac:dyDescent="0.2">
      <c r="Y26637" s="97"/>
    </row>
    <row r="26638" spans="25:25" x14ac:dyDescent="0.2">
      <c r="Y26638" s="97"/>
    </row>
    <row r="26639" spans="25:25" x14ac:dyDescent="0.2">
      <c r="Y26639" s="97"/>
    </row>
    <row r="26640" spans="25:25" x14ac:dyDescent="0.2">
      <c r="Y26640" s="97"/>
    </row>
    <row r="26641" spans="25:25" x14ac:dyDescent="0.2">
      <c r="Y26641" s="97"/>
    </row>
    <row r="26642" spans="25:25" x14ac:dyDescent="0.2">
      <c r="Y26642" s="97"/>
    </row>
    <row r="26643" spans="25:25" x14ac:dyDescent="0.2">
      <c r="Y26643" s="97"/>
    </row>
    <row r="26644" spans="25:25" x14ac:dyDescent="0.2">
      <c r="Y26644" s="97"/>
    </row>
    <row r="26645" spans="25:25" x14ac:dyDescent="0.2">
      <c r="Y26645" s="97"/>
    </row>
    <row r="26646" spans="25:25" x14ac:dyDescent="0.2">
      <c r="Y26646" s="97"/>
    </row>
    <row r="26647" spans="25:25" x14ac:dyDescent="0.2">
      <c r="Y26647" s="97"/>
    </row>
    <row r="26648" spans="25:25" x14ac:dyDescent="0.2">
      <c r="Y26648" s="97"/>
    </row>
    <row r="26649" spans="25:25" x14ac:dyDescent="0.2">
      <c r="Y26649" s="97"/>
    </row>
    <row r="26650" spans="25:25" x14ac:dyDescent="0.2">
      <c r="Y26650" s="97"/>
    </row>
    <row r="26651" spans="25:25" x14ac:dyDescent="0.2">
      <c r="Y26651" s="97"/>
    </row>
    <row r="26652" spans="25:25" x14ac:dyDescent="0.2">
      <c r="Y26652" s="97"/>
    </row>
    <row r="26653" spans="25:25" x14ac:dyDescent="0.2">
      <c r="Y26653" s="97"/>
    </row>
    <row r="26654" spans="25:25" x14ac:dyDescent="0.2">
      <c r="Y26654" s="97"/>
    </row>
    <row r="26655" spans="25:25" x14ac:dyDescent="0.2">
      <c r="Y26655" s="97"/>
    </row>
    <row r="26656" spans="25:25" x14ac:dyDescent="0.2">
      <c r="Y26656" s="97"/>
    </row>
    <row r="26657" spans="25:25" x14ac:dyDescent="0.2">
      <c r="Y26657" s="97"/>
    </row>
    <row r="26658" spans="25:25" x14ac:dyDescent="0.2">
      <c r="Y26658" s="97"/>
    </row>
    <row r="26659" spans="25:25" x14ac:dyDescent="0.2">
      <c r="Y26659" s="97"/>
    </row>
    <row r="26660" spans="25:25" x14ac:dyDescent="0.2">
      <c r="Y26660" s="97"/>
    </row>
    <row r="26661" spans="25:25" x14ac:dyDescent="0.2">
      <c r="Y26661" s="97"/>
    </row>
    <row r="26662" spans="25:25" x14ac:dyDescent="0.2">
      <c r="Y26662" s="97"/>
    </row>
    <row r="26663" spans="25:25" x14ac:dyDescent="0.2">
      <c r="Y26663" s="97"/>
    </row>
    <row r="26664" spans="25:25" x14ac:dyDescent="0.2">
      <c r="Y26664" s="97"/>
    </row>
    <row r="26665" spans="25:25" x14ac:dyDescent="0.2">
      <c r="Y26665" s="97"/>
    </row>
    <row r="26666" spans="25:25" x14ac:dyDescent="0.2">
      <c r="Y26666" s="97"/>
    </row>
    <row r="26667" spans="25:25" x14ac:dyDescent="0.2">
      <c r="Y26667" s="97"/>
    </row>
    <row r="26668" spans="25:25" x14ac:dyDescent="0.2">
      <c r="Y26668" s="97"/>
    </row>
    <row r="26669" spans="25:25" x14ac:dyDescent="0.2">
      <c r="Y26669" s="97"/>
    </row>
    <row r="26670" spans="25:25" x14ac:dyDescent="0.2">
      <c r="Y26670" s="97"/>
    </row>
    <row r="26671" spans="25:25" x14ac:dyDescent="0.2">
      <c r="Y26671" s="97"/>
    </row>
    <row r="26672" spans="25:25" x14ac:dyDescent="0.2">
      <c r="Y26672" s="97"/>
    </row>
    <row r="26673" spans="25:25" x14ac:dyDescent="0.2">
      <c r="Y26673" s="97"/>
    </row>
    <row r="26674" spans="25:25" x14ac:dyDescent="0.2">
      <c r="Y26674" s="97"/>
    </row>
    <row r="26675" spans="25:25" x14ac:dyDescent="0.2">
      <c r="Y26675" s="97"/>
    </row>
    <row r="26676" spans="25:25" x14ac:dyDescent="0.2">
      <c r="Y26676" s="97"/>
    </row>
    <row r="26677" spans="25:25" x14ac:dyDescent="0.2">
      <c r="Y26677" s="97"/>
    </row>
    <row r="26678" spans="25:25" x14ac:dyDescent="0.2">
      <c r="Y26678" s="97"/>
    </row>
    <row r="26679" spans="25:25" x14ac:dyDescent="0.2">
      <c r="Y26679" s="97"/>
    </row>
    <row r="26680" spans="25:25" x14ac:dyDescent="0.2">
      <c r="Y26680" s="97"/>
    </row>
    <row r="26681" spans="25:25" x14ac:dyDescent="0.2">
      <c r="Y26681" s="97"/>
    </row>
    <row r="26682" spans="25:25" x14ac:dyDescent="0.2">
      <c r="Y26682" s="97"/>
    </row>
    <row r="26683" spans="25:25" x14ac:dyDescent="0.2">
      <c r="Y26683" s="97"/>
    </row>
    <row r="26684" spans="25:25" x14ac:dyDescent="0.2">
      <c r="Y26684" s="97"/>
    </row>
    <row r="26685" spans="25:25" x14ac:dyDescent="0.2">
      <c r="Y26685" s="97"/>
    </row>
    <row r="26686" spans="25:25" x14ac:dyDescent="0.2">
      <c r="Y26686" s="97"/>
    </row>
    <row r="26687" spans="25:25" x14ac:dyDescent="0.2">
      <c r="Y26687" s="97"/>
    </row>
    <row r="26688" spans="25:25" x14ac:dyDescent="0.2">
      <c r="Y26688" s="97"/>
    </row>
    <row r="26689" spans="25:25" x14ac:dyDescent="0.2">
      <c r="Y26689" s="97"/>
    </row>
    <row r="26690" spans="25:25" x14ac:dyDescent="0.2">
      <c r="Y26690" s="97"/>
    </row>
    <row r="26691" spans="25:25" x14ac:dyDescent="0.2">
      <c r="Y26691" s="97"/>
    </row>
    <row r="26692" spans="25:25" x14ac:dyDescent="0.2">
      <c r="Y26692" s="97"/>
    </row>
    <row r="26693" spans="25:25" x14ac:dyDescent="0.2">
      <c r="Y26693" s="97"/>
    </row>
    <row r="26694" spans="25:25" x14ac:dyDescent="0.2">
      <c r="Y26694" s="97"/>
    </row>
    <row r="26695" spans="25:25" x14ac:dyDescent="0.2">
      <c r="Y26695" s="97"/>
    </row>
    <row r="26696" spans="25:25" x14ac:dyDescent="0.2">
      <c r="Y26696" s="97"/>
    </row>
    <row r="26697" spans="25:25" x14ac:dyDescent="0.2">
      <c r="Y26697" s="97"/>
    </row>
    <row r="26698" spans="25:25" x14ac:dyDescent="0.2">
      <c r="Y26698" s="97"/>
    </row>
    <row r="26699" spans="25:25" x14ac:dyDescent="0.2">
      <c r="Y26699" s="97"/>
    </row>
    <row r="26700" spans="25:25" x14ac:dyDescent="0.2">
      <c r="Y26700" s="97"/>
    </row>
    <row r="26701" spans="25:25" x14ac:dyDescent="0.2">
      <c r="Y26701" s="97"/>
    </row>
    <row r="26702" spans="25:25" x14ac:dyDescent="0.2">
      <c r="Y26702" s="97"/>
    </row>
    <row r="26703" spans="25:25" x14ac:dyDescent="0.2">
      <c r="Y26703" s="97"/>
    </row>
    <row r="26704" spans="25:25" x14ac:dyDescent="0.2">
      <c r="Y26704" s="97"/>
    </row>
    <row r="26705" spans="25:25" x14ac:dyDescent="0.2">
      <c r="Y26705" s="97"/>
    </row>
    <row r="26706" spans="25:25" x14ac:dyDescent="0.2">
      <c r="Y26706" s="97"/>
    </row>
    <row r="26707" spans="25:25" x14ac:dyDescent="0.2">
      <c r="Y26707" s="97"/>
    </row>
    <row r="26708" spans="25:25" x14ac:dyDescent="0.2">
      <c r="Y26708" s="97"/>
    </row>
    <row r="26709" spans="25:25" x14ac:dyDescent="0.2">
      <c r="Y26709" s="97"/>
    </row>
    <row r="26710" spans="25:25" x14ac:dyDescent="0.2">
      <c r="Y26710" s="97"/>
    </row>
    <row r="26711" spans="25:25" x14ac:dyDescent="0.2">
      <c r="Y26711" s="97"/>
    </row>
    <row r="26712" spans="25:25" x14ac:dyDescent="0.2">
      <c r="Y26712" s="97"/>
    </row>
    <row r="26713" spans="25:25" x14ac:dyDescent="0.2">
      <c r="Y26713" s="97"/>
    </row>
    <row r="26714" spans="25:25" x14ac:dyDescent="0.2">
      <c r="Y26714" s="97"/>
    </row>
    <row r="26715" spans="25:25" x14ac:dyDescent="0.2">
      <c r="Y26715" s="97"/>
    </row>
    <row r="26716" spans="25:25" x14ac:dyDescent="0.2">
      <c r="Y26716" s="97"/>
    </row>
    <row r="26717" spans="25:25" x14ac:dyDescent="0.2">
      <c r="Y26717" s="97"/>
    </row>
    <row r="26718" spans="25:25" x14ac:dyDescent="0.2">
      <c r="Y26718" s="97"/>
    </row>
    <row r="26719" spans="25:25" x14ac:dyDescent="0.2">
      <c r="Y26719" s="97"/>
    </row>
    <row r="26720" spans="25:25" x14ac:dyDescent="0.2">
      <c r="Y26720" s="97"/>
    </row>
    <row r="26721" spans="25:25" x14ac:dyDescent="0.2">
      <c r="Y26721" s="97"/>
    </row>
    <row r="26722" spans="25:25" x14ac:dyDescent="0.2">
      <c r="Y26722" s="97"/>
    </row>
    <row r="26723" spans="25:25" x14ac:dyDescent="0.2">
      <c r="Y26723" s="97"/>
    </row>
    <row r="26724" spans="25:25" x14ac:dyDescent="0.2">
      <c r="Y26724" s="97"/>
    </row>
    <row r="26725" spans="25:25" x14ac:dyDescent="0.2">
      <c r="Y26725" s="97"/>
    </row>
    <row r="26726" spans="25:25" x14ac:dyDescent="0.2">
      <c r="Y26726" s="97"/>
    </row>
    <row r="26727" spans="25:25" x14ac:dyDescent="0.2">
      <c r="Y26727" s="97"/>
    </row>
    <row r="26728" spans="25:25" x14ac:dyDescent="0.2">
      <c r="Y26728" s="97"/>
    </row>
    <row r="26729" spans="25:25" x14ac:dyDescent="0.2">
      <c r="Y26729" s="97"/>
    </row>
    <row r="26730" spans="25:25" x14ac:dyDescent="0.2">
      <c r="Y26730" s="97"/>
    </row>
    <row r="26731" spans="25:25" x14ac:dyDescent="0.2">
      <c r="Y26731" s="97"/>
    </row>
    <row r="26732" spans="25:25" x14ac:dyDescent="0.2">
      <c r="Y26732" s="97"/>
    </row>
    <row r="26733" spans="25:25" x14ac:dyDescent="0.2">
      <c r="Y26733" s="97"/>
    </row>
    <row r="26734" spans="25:25" x14ac:dyDescent="0.2">
      <c r="Y26734" s="97"/>
    </row>
    <row r="26735" spans="25:25" x14ac:dyDescent="0.2">
      <c r="Y26735" s="97"/>
    </row>
    <row r="26736" spans="25:25" x14ac:dyDescent="0.2">
      <c r="Y26736" s="97"/>
    </row>
    <row r="26737" spans="25:25" x14ac:dyDescent="0.2">
      <c r="Y26737" s="97"/>
    </row>
    <row r="26738" spans="25:25" x14ac:dyDescent="0.2">
      <c r="Y26738" s="97"/>
    </row>
    <row r="26739" spans="25:25" x14ac:dyDescent="0.2">
      <c r="Y26739" s="97"/>
    </row>
    <row r="26740" spans="25:25" x14ac:dyDescent="0.2">
      <c r="Y26740" s="97"/>
    </row>
    <row r="26741" spans="25:25" x14ac:dyDescent="0.2">
      <c r="Y26741" s="97"/>
    </row>
    <row r="26742" spans="25:25" x14ac:dyDescent="0.2">
      <c r="Y26742" s="97"/>
    </row>
    <row r="26743" spans="25:25" x14ac:dyDescent="0.2">
      <c r="Y26743" s="97"/>
    </row>
    <row r="26744" spans="25:25" x14ac:dyDescent="0.2">
      <c r="Y26744" s="97"/>
    </row>
    <row r="26745" spans="25:25" x14ac:dyDescent="0.2">
      <c r="Y26745" s="97"/>
    </row>
    <row r="26746" spans="25:25" x14ac:dyDescent="0.2">
      <c r="Y26746" s="97"/>
    </row>
    <row r="26747" spans="25:25" x14ac:dyDescent="0.2">
      <c r="Y26747" s="97"/>
    </row>
    <row r="26748" spans="25:25" x14ac:dyDescent="0.2">
      <c r="Y26748" s="97"/>
    </row>
    <row r="26749" spans="25:25" x14ac:dyDescent="0.2">
      <c r="Y26749" s="97"/>
    </row>
    <row r="26750" spans="25:25" x14ac:dyDescent="0.2">
      <c r="Y26750" s="97"/>
    </row>
    <row r="26751" spans="25:25" x14ac:dyDescent="0.2">
      <c r="Y26751" s="97"/>
    </row>
    <row r="26752" spans="25:25" x14ac:dyDescent="0.2">
      <c r="Y26752" s="97"/>
    </row>
    <row r="26753" spans="25:25" x14ac:dyDescent="0.2">
      <c r="Y26753" s="97"/>
    </row>
    <row r="26754" spans="25:25" x14ac:dyDescent="0.2">
      <c r="Y26754" s="97"/>
    </row>
    <row r="26755" spans="25:25" x14ac:dyDescent="0.2">
      <c r="Y26755" s="97"/>
    </row>
    <row r="26756" spans="25:25" x14ac:dyDescent="0.2">
      <c r="Y26756" s="97"/>
    </row>
    <row r="26757" spans="25:25" x14ac:dyDescent="0.2">
      <c r="Y26757" s="97"/>
    </row>
    <row r="26758" spans="25:25" x14ac:dyDescent="0.2">
      <c r="Y26758" s="97"/>
    </row>
    <row r="26759" spans="25:25" x14ac:dyDescent="0.2">
      <c r="Y26759" s="97"/>
    </row>
    <row r="26760" spans="25:25" x14ac:dyDescent="0.2">
      <c r="Y26760" s="97"/>
    </row>
    <row r="26761" spans="25:25" x14ac:dyDescent="0.2">
      <c r="Y26761" s="97"/>
    </row>
    <row r="26762" spans="25:25" x14ac:dyDescent="0.2">
      <c r="Y26762" s="97"/>
    </row>
    <row r="26763" spans="25:25" x14ac:dyDescent="0.2">
      <c r="Y26763" s="97"/>
    </row>
    <row r="26764" spans="25:25" x14ac:dyDescent="0.2">
      <c r="Y26764" s="97"/>
    </row>
    <row r="26765" spans="25:25" x14ac:dyDescent="0.2">
      <c r="Y26765" s="97"/>
    </row>
    <row r="26766" spans="25:25" x14ac:dyDescent="0.2">
      <c r="Y26766" s="97"/>
    </row>
    <row r="26767" spans="25:25" x14ac:dyDescent="0.2">
      <c r="Y26767" s="97"/>
    </row>
    <row r="26768" spans="25:25" x14ac:dyDescent="0.2">
      <c r="Y26768" s="97"/>
    </row>
    <row r="26769" spans="25:25" x14ac:dyDescent="0.2">
      <c r="Y26769" s="97"/>
    </row>
    <row r="26770" spans="25:25" x14ac:dyDescent="0.2">
      <c r="Y26770" s="97"/>
    </row>
    <row r="26771" spans="25:25" x14ac:dyDescent="0.2">
      <c r="Y26771" s="97"/>
    </row>
    <row r="26772" spans="25:25" x14ac:dyDescent="0.2">
      <c r="Y26772" s="97"/>
    </row>
    <row r="26773" spans="25:25" x14ac:dyDescent="0.2">
      <c r="Y26773" s="97"/>
    </row>
    <row r="26774" spans="25:25" x14ac:dyDescent="0.2">
      <c r="Y26774" s="97"/>
    </row>
    <row r="26775" spans="25:25" x14ac:dyDescent="0.2">
      <c r="Y26775" s="97"/>
    </row>
    <row r="26776" spans="25:25" x14ac:dyDescent="0.2">
      <c r="Y26776" s="97"/>
    </row>
    <row r="26777" spans="25:25" x14ac:dyDescent="0.2">
      <c r="Y26777" s="97"/>
    </row>
    <row r="26778" spans="25:25" x14ac:dyDescent="0.2">
      <c r="Y26778" s="97"/>
    </row>
    <row r="26779" spans="25:25" x14ac:dyDescent="0.2">
      <c r="Y26779" s="97"/>
    </row>
    <row r="26780" spans="25:25" x14ac:dyDescent="0.2">
      <c r="Y26780" s="97"/>
    </row>
    <row r="26781" spans="25:25" x14ac:dyDescent="0.2">
      <c r="Y26781" s="97"/>
    </row>
    <row r="26782" spans="25:25" x14ac:dyDescent="0.2">
      <c r="Y26782" s="97"/>
    </row>
    <row r="26783" spans="25:25" x14ac:dyDescent="0.2">
      <c r="Y26783" s="97"/>
    </row>
    <row r="26784" spans="25:25" x14ac:dyDescent="0.2">
      <c r="Y26784" s="97"/>
    </row>
    <row r="26785" spans="25:25" x14ac:dyDescent="0.2">
      <c r="Y26785" s="97"/>
    </row>
    <row r="26786" spans="25:25" x14ac:dyDescent="0.2">
      <c r="Y26786" s="97"/>
    </row>
    <row r="26787" spans="25:25" x14ac:dyDescent="0.2">
      <c r="Y26787" s="97"/>
    </row>
    <row r="26788" spans="25:25" x14ac:dyDescent="0.2">
      <c r="Y26788" s="97"/>
    </row>
    <row r="26789" spans="25:25" x14ac:dyDescent="0.2">
      <c r="Y26789" s="97"/>
    </row>
    <row r="26790" spans="25:25" x14ac:dyDescent="0.2">
      <c r="Y26790" s="97"/>
    </row>
    <row r="26791" spans="25:25" x14ac:dyDescent="0.2">
      <c r="Y26791" s="97"/>
    </row>
    <row r="26792" spans="25:25" x14ac:dyDescent="0.2">
      <c r="Y26792" s="97"/>
    </row>
    <row r="26793" spans="25:25" x14ac:dyDescent="0.2">
      <c r="Y26793" s="97"/>
    </row>
    <row r="26794" spans="25:25" x14ac:dyDescent="0.2">
      <c r="Y26794" s="97"/>
    </row>
    <row r="26795" spans="25:25" x14ac:dyDescent="0.2">
      <c r="Y26795" s="97"/>
    </row>
    <row r="26796" spans="25:25" x14ac:dyDescent="0.2">
      <c r="Y26796" s="97"/>
    </row>
    <row r="26797" spans="25:25" x14ac:dyDescent="0.2">
      <c r="Y26797" s="97"/>
    </row>
    <row r="26798" spans="25:25" x14ac:dyDescent="0.2">
      <c r="Y26798" s="97"/>
    </row>
    <row r="26799" spans="25:25" x14ac:dyDescent="0.2">
      <c r="Y26799" s="97"/>
    </row>
    <row r="26800" spans="25:25" x14ac:dyDescent="0.2">
      <c r="Y26800" s="97"/>
    </row>
    <row r="26801" spans="25:25" x14ac:dyDescent="0.2">
      <c r="Y26801" s="97"/>
    </row>
    <row r="26802" spans="25:25" x14ac:dyDescent="0.2">
      <c r="Y26802" s="97"/>
    </row>
    <row r="26803" spans="25:25" x14ac:dyDescent="0.2">
      <c r="Y26803" s="97"/>
    </row>
    <row r="26804" spans="25:25" x14ac:dyDescent="0.2">
      <c r="Y26804" s="97"/>
    </row>
    <row r="26805" spans="25:25" x14ac:dyDescent="0.2">
      <c r="Y26805" s="97"/>
    </row>
    <row r="26806" spans="25:25" x14ac:dyDescent="0.2">
      <c r="Y26806" s="97"/>
    </row>
    <row r="26807" spans="25:25" x14ac:dyDescent="0.2">
      <c r="Y26807" s="97"/>
    </row>
    <row r="26808" spans="25:25" x14ac:dyDescent="0.2">
      <c r="Y26808" s="97"/>
    </row>
    <row r="26809" spans="25:25" x14ac:dyDescent="0.2">
      <c r="Y26809" s="97"/>
    </row>
    <row r="26810" spans="25:25" x14ac:dyDescent="0.2">
      <c r="Y26810" s="97"/>
    </row>
    <row r="26811" spans="25:25" x14ac:dyDescent="0.2">
      <c r="Y26811" s="97"/>
    </row>
    <row r="26812" spans="25:25" x14ac:dyDescent="0.2">
      <c r="Y26812" s="97"/>
    </row>
    <row r="26813" spans="25:25" x14ac:dyDescent="0.2">
      <c r="Y26813" s="97"/>
    </row>
    <row r="26814" spans="25:25" x14ac:dyDescent="0.2">
      <c r="Y26814" s="97"/>
    </row>
    <row r="26815" spans="25:25" x14ac:dyDescent="0.2">
      <c r="Y26815" s="97"/>
    </row>
    <row r="26816" spans="25:25" x14ac:dyDescent="0.2">
      <c r="Y26816" s="97"/>
    </row>
    <row r="26817" spans="25:25" x14ac:dyDescent="0.2">
      <c r="Y26817" s="97"/>
    </row>
    <row r="26818" spans="25:25" x14ac:dyDescent="0.2">
      <c r="Y26818" s="97"/>
    </row>
    <row r="26819" spans="25:25" x14ac:dyDescent="0.2">
      <c r="Y26819" s="97"/>
    </row>
    <row r="26820" spans="25:25" x14ac:dyDescent="0.2">
      <c r="Y26820" s="97"/>
    </row>
    <row r="26821" spans="25:25" x14ac:dyDescent="0.2">
      <c r="Y26821" s="97"/>
    </row>
    <row r="26822" spans="25:25" x14ac:dyDescent="0.2">
      <c r="Y26822" s="97"/>
    </row>
    <row r="26823" spans="25:25" x14ac:dyDescent="0.2">
      <c r="Y26823" s="97"/>
    </row>
    <row r="26824" spans="25:25" x14ac:dyDescent="0.2">
      <c r="Y26824" s="97"/>
    </row>
    <row r="26825" spans="25:25" x14ac:dyDescent="0.2">
      <c r="Y26825" s="97"/>
    </row>
    <row r="26826" spans="25:25" x14ac:dyDescent="0.2">
      <c r="Y26826" s="97"/>
    </row>
    <row r="26827" spans="25:25" x14ac:dyDescent="0.2">
      <c r="Y26827" s="97"/>
    </row>
    <row r="26828" spans="25:25" x14ac:dyDescent="0.2">
      <c r="Y26828" s="97"/>
    </row>
    <row r="26829" spans="25:25" x14ac:dyDescent="0.2">
      <c r="Y26829" s="97"/>
    </row>
    <row r="26830" spans="25:25" x14ac:dyDescent="0.2">
      <c r="Y26830" s="97"/>
    </row>
    <row r="26831" spans="25:25" x14ac:dyDescent="0.2">
      <c r="Y26831" s="97"/>
    </row>
    <row r="26832" spans="25:25" x14ac:dyDescent="0.2">
      <c r="Y26832" s="97"/>
    </row>
    <row r="26833" spans="25:25" x14ac:dyDescent="0.2">
      <c r="Y26833" s="97"/>
    </row>
    <row r="26834" spans="25:25" x14ac:dyDescent="0.2">
      <c r="Y26834" s="97"/>
    </row>
    <row r="26835" spans="25:25" x14ac:dyDescent="0.2">
      <c r="Y26835" s="97"/>
    </row>
    <row r="26836" spans="25:25" x14ac:dyDescent="0.2">
      <c r="Y26836" s="97"/>
    </row>
    <row r="26837" spans="25:25" x14ac:dyDescent="0.2">
      <c r="Y26837" s="97"/>
    </row>
    <row r="26838" spans="25:25" x14ac:dyDescent="0.2">
      <c r="Y26838" s="97"/>
    </row>
    <row r="26839" spans="25:25" x14ac:dyDescent="0.2">
      <c r="Y26839" s="97"/>
    </row>
    <row r="26840" spans="25:25" x14ac:dyDescent="0.2">
      <c r="Y26840" s="97"/>
    </row>
    <row r="26841" spans="25:25" x14ac:dyDescent="0.2">
      <c r="Y26841" s="97"/>
    </row>
    <row r="26842" spans="25:25" x14ac:dyDescent="0.2">
      <c r="Y26842" s="97"/>
    </row>
    <row r="26843" spans="25:25" x14ac:dyDescent="0.2">
      <c r="Y26843" s="97"/>
    </row>
    <row r="26844" spans="25:25" x14ac:dyDescent="0.2">
      <c r="Y26844" s="97"/>
    </row>
    <row r="26845" spans="25:25" x14ac:dyDescent="0.2">
      <c r="Y26845" s="97"/>
    </row>
    <row r="26846" spans="25:25" x14ac:dyDescent="0.2">
      <c r="Y26846" s="97"/>
    </row>
    <row r="26847" spans="25:25" x14ac:dyDescent="0.2">
      <c r="Y26847" s="97"/>
    </row>
    <row r="26848" spans="25:25" x14ac:dyDescent="0.2">
      <c r="Y26848" s="97"/>
    </row>
    <row r="26849" spans="25:25" x14ac:dyDescent="0.2">
      <c r="Y26849" s="97"/>
    </row>
    <row r="26850" spans="25:25" x14ac:dyDescent="0.2">
      <c r="Y26850" s="97"/>
    </row>
    <row r="26851" spans="25:25" x14ac:dyDescent="0.2">
      <c r="Y26851" s="97"/>
    </row>
    <row r="26852" spans="25:25" x14ac:dyDescent="0.2">
      <c r="Y26852" s="97"/>
    </row>
    <row r="26853" spans="25:25" x14ac:dyDescent="0.2">
      <c r="Y26853" s="97"/>
    </row>
    <row r="26854" spans="25:25" x14ac:dyDescent="0.2">
      <c r="Y26854" s="97"/>
    </row>
    <row r="26855" spans="25:25" x14ac:dyDescent="0.2">
      <c r="Y26855" s="97"/>
    </row>
    <row r="26856" spans="25:25" x14ac:dyDescent="0.2">
      <c r="Y26856" s="97"/>
    </row>
    <row r="26857" spans="25:25" x14ac:dyDescent="0.2">
      <c r="Y26857" s="97"/>
    </row>
    <row r="26858" spans="25:25" x14ac:dyDescent="0.2">
      <c r="Y26858" s="97"/>
    </row>
    <row r="26859" spans="25:25" x14ac:dyDescent="0.2">
      <c r="Y26859" s="97"/>
    </row>
    <row r="26860" spans="25:25" x14ac:dyDescent="0.2">
      <c r="Y26860" s="97"/>
    </row>
    <row r="26861" spans="25:25" x14ac:dyDescent="0.2">
      <c r="Y26861" s="97"/>
    </row>
    <row r="26862" spans="25:25" x14ac:dyDescent="0.2">
      <c r="Y26862" s="97"/>
    </row>
    <row r="26863" spans="25:25" x14ac:dyDescent="0.2">
      <c r="Y26863" s="97"/>
    </row>
    <row r="26864" spans="25:25" x14ac:dyDescent="0.2">
      <c r="Y26864" s="97"/>
    </row>
    <row r="26865" spans="25:25" x14ac:dyDescent="0.2">
      <c r="Y26865" s="97"/>
    </row>
    <row r="26866" spans="25:25" x14ac:dyDescent="0.2">
      <c r="Y26866" s="97"/>
    </row>
    <row r="26867" spans="25:25" x14ac:dyDescent="0.2">
      <c r="Y26867" s="97"/>
    </row>
    <row r="26868" spans="25:25" x14ac:dyDescent="0.2">
      <c r="Y26868" s="97"/>
    </row>
    <row r="26869" spans="25:25" x14ac:dyDescent="0.2">
      <c r="Y26869" s="97"/>
    </row>
    <row r="26870" spans="25:25" x14ac:dyDescent="0.2">
      <c r="Y26870" s="97"/>
    </row>
    <row r="26871" spans="25:25" x14ac:dyDescent="0.2">
      <c r="Y26871" s="97"/>
    </row>
    <row r="26872" spans="25:25" x14ac:dyDescent="0.2">
      <c r="Y26872" s="97"/>
    </row>
    <row r="26873" spans="25:25" x14ac:dyDescent="0.2">
      <c r="Y26873" s="97"/>
    </row>
    <row r="26874" spans="25:25" x14ac:dyDescent="0.2">
      <c r="Y26874" s="97"/>
    </row>
    <row r="26875" spans="25:25" x14ac:dyDescent="0.2">
      <c r="Y26875" s="97"/>
    </row>
    <row r="26876" spans="25:25" x14ac:dyDescent="0.2">
      <c r="Y26876" s="97"/>
    </row>
    <row r="26877" spans="25:25" x14ac:dyDescent="0.2">
      <c r="Y26877" s="97"/>
    </row>
    <row r="26878" spans="25:25" x14ac:dyDescent="0.2">
      <c r="Y26878" s="97"/>
    </row>
    <row r="26879" spans="25:25" x14ac:dyDescent="0.2">
      <c r="Y26879" s="97"/>
    </row>
    <row r="26880" spans="25:25" x14ac:dyDescent="0.2">
      <c r="Y26880" s="97"/>
    </row>
    <row r="26881" spans="25:25" x14ac:dyDescent="0.2">
      <c r="Y26881" s="97"/>
    </row>
    <row r="26882" spans="25:25" x14ac:dyDescent="0.2">
      <c r="Y26882" s="97"/>
    </row>
    <row r="26883" spans="25:25" x14ac:dyDescent="0.2">
      <c r="Y26883" s="97"/>
    </row>
    <row r="26884" spans="25:25" x14ac:dyDescent="0.2">
      <c r="Y26884" s="97"/>
    </row>
    <row r="26885" spans="25:25" x14ac:dyDescent="0.2">
      <c r="Y26885" s="97"/>
    </row>
    <row r="26886" spans="25:25" x14ac:dyDescent="0.2">
      <c r="Y26886" s="97"/>
    </row>
    <row r="26887" spans="25:25" x14ac:dyDescent="0.2">
      <c r="Y26887" s="97"/>
    </row>
    <row r="26888" spans="25:25" x14ac:dyDescent="0.2">
      <c r="Y26888" s="97"/>
    </row>
    <row r="26889" spans="25:25" x14ac:dyDescent="0.2">
      <c r="Y26889" s="97"/>
    </row>
    <row r="26890" spans="25:25" x14ac:dyDescent="0.2">
      <c r="Y26890" s="97"/>
    </row>
    <row r="26891" spans="25:25" x14ac:dyDescent="0.2">
      <c r="Y26891" s="97"/>
    </row>
    <row r="26892" spans="25:25" x14ac:dyDescent="0.2">
      <c r="Y26892" s="97"/>
    </row>
    <row r="26893" spans="25:25" x14ac:dyDescent="0.2">
      <c r="Y26893" s="97"/>
    </row>
    <row r="26894" spans="25:25" x14ac:dyDescent="0.2">
      <c r="Y26894" s="97"/>
    </row>
    <row r="26895" spans="25:25" x14ac:dyDescent="0.2">
      <c r="Y26895" s="97"/>
    </row>
    <row r="26896" spans="25:25" x14ac:dyDescent="0.2">
      <c r="Y26896" s="97"/>
    </row>
    <row r="26897" spans="25:25" x14ac:dyDescent="0.2">
      <c r="Y26897" s="97"/>
    </row>
    <row r="26898" spans="25:25" x14ac:dyDescent="0.2">
      <c r="Y26898" s="97"/>
    </row>
    <row r="26899" spans="25:25" x14ac:dyDescent="0.2">
      <c r="Y26899" s="97"/>
    </row>
    <row r="26900" spans="25:25" x14ac:dyDescent="0.2">
      <c r="Y26900" s="97"/>
    </row>
    <row r="26901" spans="25:25" x14ac:dyDescent="0.2">
      <c r="Y26901" s="97"/>
    </row>
    <row r="26902" spans="25:25" x14ac:dyDescent="0.2">
      <c r="Y26902" s="97"/>
    </row>
    <row r="26903" spans="25:25" x14ac:dyDescent="0.2">
      <c r="Y26903" s="97"/>
    </row>
    <row r="26904" spans="25:25" x14ac:dyDescent="0.2">
      <c r="Y26904" s="97"/>
    </row>
    <row r="26905" spans="25:25" x14ac:dyDescent="0.2">
      <c r="Y26905" s="97"/>
    </row>
    <row r="26906" spans="25:25" x14ac:dyDescent="0.2">
      <c r="Y26906" s="97"/>
    </row>
    <row r="26907" spans="25:25" x14ac:dyDescent="0.2">
      <c r="Y26907" s="97"/>
    </row>
    <row r="26908" spans="25:25" x14ac:dyDescent="0.2">
      <c r="Y26908" s="97"/>
    </row>
    <row r="26909" spans="25:25" x14ac:dyDescent="0.2">
      <c r="Y26909" s="97"/>
    </row>
    <row r="26910" spans="25:25" x14ac:dyDescent="0.2">
      <c r="Y26910" s="97"/>
    </row>
    <row r="26911" spans="25:25" x14ac:dyDescent="0.2">
      <c r="Y26911" s="97"/>
    </row>
    <row r="26912" spans="25:25" x14ac:dyDescent="0.2">
      <c r="Y26912" s="97"/>
    </row>
    <row r="26913" spans="25:25" x14ac:dyDescent="0.2">
      <c r="Y26913" s="97"/>
    </row>
    <row r="26914" spans="25:25" x14ac:dyDescent="0.2">
      <c r="Y26914" s="97"/>
    </row>
    <row r="26915" spans="25:25" x14ac:dyDescent="0.2">
      <c r="Y26915" s="97"/>
    </row>
    <row r="26916" spans="25:25" x14ac:dyDescent="0.2">
      <c r="Y26916" s="97"/>
    </row>
    <row r="26917" spans="25:25" x14ac:dyDescent="0.2">
      <c r="Y26917" s="97"/>
    </row>
    <row r="26918" spans="25:25" x14ac:dyDescent="0.2">
      <c r="Y26918" s="97"/>
    </row>
    <row r="26919" spans="25:25" x14ac:dyDescent="0.2">
      <c r="Y26919" s="97"/>
    </row>
    <row r="26920" spans="25:25" x14ac:dyDescent="0.2">
      <c r="Y26920" s="97"/>
    </row>
    <row r="26921" spans="25:25" x14ac:dyDescent="0.2">
      <c r="Y26921" s="97"/>
    </row>
    <row r="26922" spans="25:25" x14ac:dyDescent="0.2">
      <c r="Y26922" s="97"/>
    </row>
    <row r="26923" spans="25:25" x14ac:dyDescent="0.2">
      <c r="Y26923" s="97"/>
    </row>
    <row r="26924" spans="25:25" x14ac:dyDescent="0.2">
      <c r="Y26924" s="97"/>
    </row>
    <row r="26925" spans="25:25" x14ac:dyDescent="0.2">
      <c r="Y26925" s="97"/>
    </row>
    <row r="26926" spans="25:25" x14ac:dyDescent="0.2">
      <c r="Y26926" s="97"/>
    </row>
    <row r="26927" spans="25:25" x14ac:dyDescent="0.2">
      <c r="Y26927" s="97"/>
    </row>
    <row r="26928" spans="25:25" x14ac:dyDescent="0.2">
      <c r="Y26928" s="97"/>
    </row>
    <row r="26929" spans="25:25" x14ac:dyDescent="0.2">
      <c r="Y26929" s="97"/>
    </row>
    <row r="26930" spans="25:25" x14ac:dyDescent="0.2">
      <c r="Y26930" s="97"/>
    </row>
    <row r="26931" spans="25:25" x14ac:dyDescent="0.2">
      <c r="Y26931" s="97"/>
    </row>
    <row r="26932" spans="25:25" x14ac:dyDescent="0.2">
      <c r="Y26932" s="97"/>
    </row>
    <row r="26933" spans="25:25" x14ac:dyDescent="0.2">
      <c r="Y26933" s="97"/>
    </row>
    <row r="26934" spans="25:25" x14ac:dyDescent="0.2">
      <c r="Y26934" s="97"/>
    </row>
    <row r="26935" spans="25:25" x14ac:dyDescent="0.2">
      <c r="Y26935" s="97"/>
    </row>
    <row r="26936" spans="25:25" x14ac:dyDescent="0.2">
      <c r="Y26936" s="97"/>
    </row>
    <row r="26937" spans="25:25" x14ac:dyDescent="0.2">
      <c r="Y26937" s="97"/>
    </row>
    <row r="26938" spans="25:25" x14ac:dyDescent="0.2">
      <c r="Y26938" s="97"/>
    </row>
    <row r="26939" spans="25:25" x14ac:dyDescent="0.2">
      <c r="Y26939" s="97"/>
    </row>
    <row r="26940" spans="25:25" x14ac:dyDescent="0.2">
      <c r="Y26940" s="97"/>
    </row>
    <row r="26941" spans="25:25" x14ac:dyDescent="0.2">
      <c r="Y26941" s="97"/>
    </row>
    <row r="26942" spans="25:25" x14ac:dyDescent="0.2">
      <c r="Y26942" s="97"/>
    </row>
    <row r="26943" spans="25:25" x14ac:dyDescent="0.2">
      <c r="Y26943" s="97"/>
    </row>
    <row r="26944" spans="25:25" x14ac:dyDescent="0.2">
      <c r="Y26944" s="97"/>
    </row>
    <row r="26945" spans="25:25" x14ac:dyDescent="0.2">
      <c r="Y26945" s="97"/>
    </row>
    <row r="26946" spans="25:25" x14ac:dyDescent="0.2">
      <c r="Y26946" s="97"/>
    </row>
    <row r="26947" spans="25:25" x14ac:dyDescent="0.2">
      <c r="Y26947" s="97"/>
    </row>
    <row r="26948" spans="25:25" x14ac:dyDescent="0.2">
      <c r="Y26948" s="97"/>
    </row>
    <row r="26949" spans="25:25" x14ac:dyDescent="0.2">
      <c r="Y26949" s="97"/>
    </row>
    <row r="26950" spans="25:25" x14ac:dyDescent="0.2">
      <c r="Y26950" s="97"/>
    </row>
    <row r="26951" spans="25:25" x14ac:dyDescent="0.2">
      <c r="Y26951" s="97"/>
    </row>
    <row r="26952" spans="25:25" x14ac:dyDescent="0.2">
      <c r="Y26952" s="97"/>
    </row>
    <row r="26953" spans="25:25" x14ac:dyDescent="0.2">
      <c r="Y26953" s="97"/>
    </row>
    <row r="26954" spans="25:25" x14ac:dyDescent="0.2">
      <c r="Y26954" s="97"/>
    </row>
    <row r="26955" spans="25:25" x14ac:dyDescent="0.2">
      <c r="Y26955" s="97"/>
    </row>
    <row r="26956" spans="25:25" x14ac:dyDescent="0.2">
      <c r="Y26956" s="97"/>
    </row>
    <row r="26957" spans="25:25" x14ac:dyDescent="0.2">
      <c r="Y26957" s="97"/>
    </row>
    <row r="26958" spans="25:25" x14ac:dyDescent="0.2">
      <c r="Y26958" s="97"/>
    </row>
    <row r="26959" spans="25:25" x14ac:dyDescent="0.2">
      <c r="Y26959" s="97"/>
    </row>
    <row r="26960" spans="25:25" x14ac:dyDescent="0.2">
      <c r="Y26960" s="97"/>
    </row>
    <row r="26961" spans="25:25" x14ac:dyDescent="0.2">
      <c r="Y26961" s="97"/>
    </row>
    <row r="26962" spans="25:25" x14ac:dyDescent="0.2">
      <c r="Y26962" s="97"/>
    </row>
    <row r="26963" spans="25:25" x14ac:dyDescent="0.2">
      <c r="Y26963" s="97"/>
    </row>
    <row r="26964" spans="25:25" x14ac:dyDescent="0.2">
      <c r="Y26964" s="97"/>
    </row>
    <row r="26965" spans="25:25" x14ac:dyDescent="0.2">
      <c r="Y26965" s="97"/>
    </row>
    <row r="26966" spans="25:25" x14ac:dyDescent="0.2">
      <c r="Y26966" s="97"/>
    </row>
    <row r="26967" spans="25:25" x14ac:dyDescent="0.2">
      <c r="Y26967" s="97"/>
    </row>
    <row r="26968" spans="25:25" x14ac:dyDescent="0.2">
      <c r="Y26968" s="97"/>
    </row>
    <row r="26969" spans="25:25" x14ac:dyDescent="0.2">
      <c r="Y26969" s="97"/>
    </row>
    <row r="26970" spans="25:25" x14ac:dyDescent="0.2">
      <c r="Y26970" s="97"/>
    </row>
    <row r="26971" spans="25:25" x14ac:dyDescent="0.2">
      <c r="Y26971" s="97"/>
    </row>
    <row r="26972" spans="25:25" x14ac:dyDescent="0.2">
      <c r="Y26972" s="97"/>
    </row>
    <row r="26973" spans="25:25" x14ac:dyDescent="0.2">
      <c r="Y26973" s="97"/>
    </row>
    <row r="26974" spans="25:25" x14ac:dyDescent="0.2">
      <c r="Y26974" s="97"/>
    </row>
    <row r="26975" spans="25:25" x14ac:dyDescent="0.2">
      <c r="Y26975" s="97"/>
    </row>
    <row r="26976" spans="25:25" x14ac:dyDescent="0.2">
      <c r="Y26976" s="97"/>
    </row>
    <row r="26977" spans="25:25" x14ac:dyDescent="0.2">
      <c r="Y26977" s="97"/>
    </row>
    <row r="26978" spans="25:25" x14ac:dyDescent="0.2">
      <c r="Y26978" s="97"/>
    </row>
    <row r="26979" spans="25:25" x14ac:dyDescent="0.2">
      <c r="Y26979" s="97"/>
    </row>
    <row r="26980" spans="25:25" x14ac:dyDescent="0.2">
      <c r="Y26980" s="97"/>
    </row>
    <row r="26981" spans="25:25" x14ac:dyDescent="0.2">
      <c r="Y26981" s="97"/>
    </row>
    <row r="26982" spans="25:25" x14ac:dyDescent="0.2">
      <c r="Y26982" s="97"/>
    </row>
    <row r="26983" spans="25:25" x14ac:dyDescent="0.2">
      <c r="Y26983" s="97"/>
    </row>
    <row r="26984" spans="25:25" x14ac:dyDescent="0.2">
      <c r="Y26984" s="97"/>
    </row>
    <row r="26985" spans="25:25" x14ac:dyDescent="0.2">
      <c r="Y26985" s="97"/>
    </row>
    <row r="26986" spans="25:25" x14ac:dyDescent="0.2">
      <c r="Y26986" s="97"/>
    </row>
    <row r="26987" spans="25:25" x14ac:dyDescent="0.2">
      <c r="Y26987" s="97"/>
    </row>
    <row r="26988" spans="25:25" x14ac:dyDescent="0.2">
      <c r="Y26988" s="97"/>
    </row>
    <row r="26989" spans="25:25" x14ac:dyDescent="0.2">
      <c r="Y26989" s="97"/>
    </row>
    <row r="26990" spans="25:25" x14ac:dyDescent="0.2">
      <c r="Y26990" s="97"/>
    </row>
    <row r="26991" spans="25:25" x14ac:dyDescent="0.2">
      <c r="Y26991" s="97"/>
    </row>
    <row r="26992" spans="25:25" x14ac:dyDescent="0.2">
      <c r="Y26992" s="97"/>
    </row>
    <row r="26993" spans="25:25" x14ac:dyDescent="0.2">
      <c r="Y26993" s="97"/>
    </row>
    <row r="26994" spans="25:25" x14ac:dyDescent="0.2">
      <c r="Y26994" s="97"/>
    </row>
    <row r="26995" spans="25:25" x14ac:dyDescent="0.2">
      <c r="Y26995" s="97"/>
    </row>
    <row r="26996" spans="25:25" x14ac:dyDescent="0.2">
      <c r="Y26996" s="97"/>
    </row>
    <row r="26997" spans="25:25" x14ac:dyDescent="0.2">
      <c r="Y26997" s="97"/>
    </row>
    <row r="26998" spans="25:25" x14ac:dyDescent="0.2">
      <c r="Y26998" s="97"/>
    </row>
    <row r="26999" spans="25:25" x14ac:dyDescent="0.2">
      <c r="Y26999" s="97"/>
    </row>
    <row r="27000" spans="25:25" x14ac:dyDescent="0.2">
      <c r="Y27000" s="97"/>
    </row>
    <row r="27001" spans="25:25" x14ac:dyDescent="0.2">
      <c r="Y27001" s="97"/>
    </row>
    <row r="27002" spans="25:25" x14ac:dyDescent="0.2">
      <c r="Y27002" s="97"/>
    </row>
    <row r="27003" spans="25:25" x14ac:dyDescent="0.2">
      <c r="Y27003" s="97"/>
    </row>
    <row r="27004" spans="25:25" x14ac:dyDescent="0.2">
      <c r="Y27004" s="97"/>
    </row>
    <row r="27005" spans="25:25" x14ac:dyDescent="0.2">
      <c r="Y27005" s="97"/>
    </row>
    <row r="27006" spans="25:25" x14ac:dyDescent="0.2">
      <c r="Y27006" s="97"/>
    </row>
    <row r="27007" spans="25:25" x14ac:dyDescent="0.2">
      <c r="Y27007" s="97"/>
    </row>
    <row r="27008" spans="25:25" x14ac:dyDescent="0.2">
      <c r="Y27008" s="97"/>
    </row>
    <row r="27009" spans="25:25" x14ac:dyDescent="0.2">
      <c r="Y27009" s="97"/>
    </row>
    <row r="27010" spans="25:25" x14ac:dyDescent="0.2">
      <c r="Y27010" s="97"/>
    </row>
    <row r="27011" spans="25:25" x14ac:dyDescent="0.2">
      <c r="Y27011" s="97"/>
    </row>
    <row r="27012" spans="25:25" x14ac:dyDescent="0.2">
      <c r="Y27012" s="97"/>
    </row>
    <row r="27013" spans="25:25" x14ac:dyDescent="0.2">
      <c r="Y27013" s="97"/>
    </row>
    <row r="27014" spans="25:25" x14ac:dyDescent="0.2">
      <c r="Y27014" s="97"/>
    </row>
    <row r="27015" spans="25:25" x14ac:dyDescent="0.2">
      <c r="Y27015" s="97"/>
    </row>
    <row r="27016" spans="25:25" x14ac:dyDescent="0.2">
      <c r="Y27016" s="97"/>
    </row>
    <row r="27017" spans="25:25" x14ac:dyDescent="0.2">
      <c r="Y27017" s="97"/>
    </row>
    <row r="27018" spans="25:25" x14ac:dyDescent="0.2">
      <c r="Y27018" s="97"/>
    </row>
    <row r="27019" spans="25:25" x14ac:dyDescent="0.2">
      <c r="Y27019" s="97"/>
    </row>
    <row r="27020" spans="25:25" x14ac:dyDescent="0.2">
      <c r="Y27020" s="97"/>
    </row>
    <row r="27021" spans="25:25" x14ac:dyDescent="0.2">
      <c r="Y27021" s="97"/>
    </row>
    <row r="27022" spans="25:25" x14ac:dyDescent="0.2">
      <c r="Y27022" s="97"/>
    </row>
    <row r="27023" spans="25:25" x14ac:dyDescent="0.2">
      <c r="Y27023" s="97"/>
    </row>
    <row r="27024" spans="25:25" x14ac:dyDescent="0.2">
      <c r="Y27024" s="97"/>
    </row>
    <row r="27025" spans="25:25" x14ac:dyDescent="0.2">
      <c r="Y27025" s="97"/>
    </row>
    <row r="27026" spans="25:25" x14ac:dyDescent="0.2">
      <c r="Y27026" s="97"/>
    </row>
    <row r="27027" spans="25:25" x14ac:dyDescent="0.2">
      <c r="Y27027" s="97"/>
    </row>
    <row r="27028" spans="25:25" x14ac:dyDescent="0.2">
      <c r="Y27028" s="97"/>
    </row>
    <row r="27029" spans="25:25" x14ac:dyDescent="0.2">
      <c r="Y27029" s="97"/>
    </row>
    <row r="27030" spans="25:25" x14ac:dyDescent="0.2">
      <c r="Y27030" s="97"/>
    </row>
    <row r="27031" spans="25:25" x14ac:dyDescent="0.2">
      <c r="Y27031" s="97"/>
    </row>
    <row r="27032" spans="25:25" x14ac:dyDescent="0.2">
      <c r="Y27032" s="97"/>
    </row>
    <row r="27033" spans="25:25" x14ac:dyDescent="0.2">
      <c r="Y27033" s="97"/>
    </row>
    <row r="27034" spans="25:25" x14ac:dyDescent="0.2">
      <c r="Y27034" s="97"/>
    </row>
    <row r="27035" spans="25:25" x14ac:dyDescent="0.2">
      <c r="Y27035" s="97"/>
    </row>
    <row r="27036" spans="25:25" x14ac:dyDescent="0.2">
      <c r="Y27036" s="97"/>
    </row>
    <row r="27037" spans="25:25" x14ac:dyDescent="0.2">
      <c r="Y27037" s="97"/>
    </row>
    <row r="27038" spans="25:25" x14ac:dyDescent="0.2">
      <c r="Y27038" s="97"/>
    </row>
    <row r="27039" spans="25:25" x14ac:dyDescent="0.2">
      <c r="Y27039" s="97"/>
    </row>
    <row r="27040" spans="25:25" x14ac:dyDescent="0.2">
      <c r="Y27040" s="97"/>
    </row>
    <row r="27041" spans="25:25" x14ac:dyDescent="0.2">
      <c r="Y27041" s="97"/>
    </row>
    <row r="27042" spans="25:25" x14ac:dyDescent="0.2">
      <c r="Y27042" s="97"/>
    </row>
    <row r="27043" spans="25:25" x14ac:dyDescent="0.2">
      <c r="Y27043" s="97"/>
    </row>
    <row r="27044" spans="25:25" x14ac:dyDescent="0.2">
      <c r="Y27044" s="97"/>
    </row>
    <row r="27045" spans="25:25" x14ac:dyDescent="0.2">
      <c r="Y27045" s="97"/>
    </row>
    <row r="27046" spans="25:25" x14ac:dyDescent="0.2">
      <c r="Y27046" s="97"/>
    </row>
    <row r="27047" spans="25:25" x14ac:dyDescent="0.2">
      <c r="Y27047" s="97"/>
    </row>
    <row r="27048" spans="25:25" x14ac:dyDescent="0.2">
      <c r="Y27048" s="97"/>
    </row>
    <row r="27049" spans="25:25" x14ac:dyDescent="0.2">
      <c r="Y27049" s="97"/>
    </row>
    <row r="27050" spans="25:25" x14ac:dyDescent="0.2">
      <c r="Y27050" s="97"/>
    </row>
    <row r="27051" spans="25:25" x14ac:dyDescent="0.2">
      <c r="Y27051" s="97"/>
    </row>
    <row r="27052" spans="25:25" x14ac:dyDescent="0.2">
      <c r="Y27052" s="97"/>
    </row>
    <row r="27053" spans="25:25" x14ac:dyDescent="0.2">
      <c r="Y27053" s="97"/>
    </row>
    <row r="27054" spans="25:25" x14ac:dyDescent="0.2">
      <c r="Y27054" s="97"/>
    </row>
    <row r="27055" spans="25:25" x14ac:dyDescent="0.2">
      <c r="Y27055" s="97"/>
    </row>
    <row r="27056" spans="25:25" x14ac:dyDescent="0.2">
      <c r="Y27056" s="97"/>
    </row>
    <row r="27057" spans="25:25" x14ac:dyDescent="0.2">
      <c r="Y27057" s="97"/>
    </row>
    <row r="27058" spans="25:25" x14ac:dyDescent="0.2">
      <c r="Y27058" s="97"/>
    </row>
    <row r="27059" spans="25:25" x14ac:dyDescent="0.2">
      <c r="Y27059" s="97"/>
    </row>
    <row r="27060" spans="25:25" x14ac:dyDescent="0.2">
      <c r="Y27060" s="97"/>
    </row>
    <row r="27061" spans="25:25" x14ac:dyDescent="0.2">
      <c r="Y27061" s="97"/>
    </row>
    <row r="27062" spans="25:25" x14ac:dyDescent="0.2">
      <c r="Y27062" s="97"/>
    </row>
    <row r="27063" spans="25:25" x14ac:dyDescent="0.2">
      <c r="Y27063" s="97"/>
    </row>
    <row r="27064" spans="25:25" x14ac:dyDescent="0.2">
      <c r="Y27064" s="97"/>
    </row>
    <row r="27065" spans="25:25" x14ac:dyDescent="0.2">
      <c r="Y27065" s="97"/>
    </row>
    <row r="27066" spans="25:25" x14ac:dyDescent="0.2">
      <c r="Y27066" s="97"/>
    </row>
    <row r="27067" spans="25:25" x14ac:dyDescent="0.2">
      <c r="Y27067" s="97"/>
    </row>
    <row r="27068" spans="25:25" x14ac:dyDescent="0.2">
      <c r="Y27068" s="97"/>
    </row>
    <row r="27069" spans="25:25" x14ac:dyDescent="0.2">
      <c r="Y27069" s="97"/>
    </row>
    <row r="27070" spans="25:25" x14ac:dyDescent="0.2">
      <c r="Y27070" s="97"/>
    </row>
    <row r="27071" spans="25:25" x14ac:dyDescent="0.2">
      <c r="Y27071" s="97"/>
    </row>
    <row r="27072" spans="25:25" x14ac:dyDescent="0.2">
      <c r="Y27072" s="97"/>
    </row>
    <row r="27073" spans="25:25" x14ac:dyDescent="0.2">
      <c r="Y27073" s="97"/>
    </row>
    <row r="27074" spans="25:25" x14ac:dyDescent="0.2">
      <c r="Y27074" s="97"/>
    </row>
    <row r="27075" spans="25:25" x14ac:dyDescent="0.2">
      <c r="Y27075" s="97"/>
    </row>
    <row r="27076" spans="25:25" x14ac:dyDescent="0.2">
      <c r="Y27076" s="97"/>
    </row>
    <row r="27077" spans="25:25" x14ac:dyDescent="0.2">
      <c r="Y27077" s="97"/>
    </row>
    <row r="27078" spans="25:25" x14ac:dyDescent="0.2">
      <c r="Y27078" s="97"/>
    </row>
    <row r="27079" spans="25:25" x14ac:dyDescent="0.2">
      <c r="Y27079" s="97"/>
    </row>
    <row r="27080" spans="25:25" x14ac:dyDescent="0.2">
      <c r="Y27080" s="97"/>
    </row>
    <row r="27081" spans="25:25" x14ac:dyDescent="0.2">
      <c r="Y27081" s="97"/>
    </row>
    <row r="27082" spans="25:25" x14ac:dyDescent="0.2">
      <c r="Y27082" s="97"/>
    </row>
    <row r="27083" spans="25:25" x14ac:dyDescent="0.2">
      <c r="Y27083" s="97"/>
    </row>
    <row r="27084" spans="25:25" x14ac:dyDescent="0.2">
      <c r="Y27084" s="97"/>
    </row>
    <row r="27085" spans="25:25" x14ac:dyDescent="0.2">
      <c r="Y27085" s="97"/>
    </row>
    <row r="27086" spans="25:25" x14ac:dyDescent="0.2">
      <c r="Y27086" s="97"/>
    </row>
    <row r="27087" spans="25:25" x14ac:dyDescent="0.2">
      <c r="Y27087" s="97"/>
    </row>
    <row r="27088" spans="25:25" x14ac:dyDescent="0.2">
      <c r="Y27088" s="97"/>
    </row>
    <row r="27089" spans="25:25" x14ac:dyDescent="0.2">
      <c r="Y27089" s="97"/>
    </row>
    <row r="27090" spans="25:25" x14ac:dyDescent="0.2">
      <c r="Y27090" s="97"/>
    </row>
    <row r="27091" spans="25:25" x14ac:dyDescent="0.2">
      <c r="Y27091" s="97"/>
    </row>
    <row r="27092" spans="25:25" x14ac:dyDescent="0.2">
      <c r="Y27092" s="97"/>
    </row>
    <row r="27093" spans="25:25" x14ac:dyDescent="0.2">
      <c r="Y27093" s="97"/>
    </row>
    <row r="27094" spans="25:25" x14ac:dyDescent="0.2">
      <c r="Y27094" s="97"/>
    </row>
    <row r="27095" spans="25:25" x14ac:dyDescent="0.2">
      <c r="Y27095" s="97"/>
    </row>
    <row r="27096" spans="25:25" x14ac:dyDescent="0.2">
      <c r="Y27096" s="97"/>
    </row>
    <row r="27097" spans="25:25" x14ac:dyDescent="0.2">
      <c r="Y27097" s="97"/>
    </row>
    <row r="27098" spans="25:25" x14ac:dyDescent="0.2">
      <c r="Y27098" s="97"/>
    </row>
    <row r="27099" spans="25:25" x14ac:dyDescent="0.2">
      <c r="Y27099" s="97"/>
    </row>
    <row r="27100" spans="25:25" x14ac:dyDescent="0.2">
      <c r="Y27100" s="97"/>
    </row>
    <row r="27101" spans="25:25" x14ac:dyDescent="0.2">
      <c r="Y27101" s="97"/>
    </row>
    <row r="27102" spans="25:25" x14ac:dyDescent="0.2">
      <c r="Y27102" s="97"/>
    </row>
    <row r="27103" spans="25:25" x14ac:dyDescent="0.2">
      <c r="Y27103" s="97"/>
    </row>
    <row r="27104" spans="25:25" x14ac:dyDescent="0.2">
      <c r="Y27104" s="97"/>
    </row>
    <row r="27105" spans="25:25" x14ac:dyDescent="0.2">
      <c r="Y27105" s="97"/>
    </row>
    <row r="27106" spans="25:25" x14ac:dyDescent="0.2">
      <c r="Y27106" s="97"/>
    </row>
    <row r="27107" spans="25:25" x14ac:dyDescent="0.2">
      <c r="Y27107" s="97"/>
    </row>
    <row r="27108" spans="25:25" x14ac:dyDescent="0.2">
      <c r="Y27108" s="97"/>
    </row>
    <row r="27109" spans="25:25" x14ac:dyDescent="0.2">
      <c r="Y27109" s="97"/>
    </row>
    <row r="27110" spans="25:25" x14ac:dyDescent="0.2">
      <c r="Y27110" s="97"/>
    </row>
    <row r="27111" spans="25:25" x14ac:dyDescent="0.2">
      <c r="Y27111" s="97"/>
    </row>
    <row r="27112" spans="25:25" x14ac:dyDescent="0.2">
      <c r="Y27112" s="97"/>
    </row>
    <row r="27113" spans="25:25" x14ac:dyDescent="0.2">
      <c r="Y27113" s="97"/>
    </row>
    <row r="27114" spans="25:25" x14ac:dyDescent="0.2">
      <c r="Y27114" s="97"/>
    </row>
    <row r="27115" spans="25:25" x14ac:dyDescent="0.2">
      <c r="Y27115" s="97"/>
    </row>
    <row r="27116" spans="25:25" x14ac:dyDescent="0.2">
      <c r="Y27116" s="97"/>
    </row>
    <row r="27117" spans="25:25" x14ac:dyDescent="0.2">
      <c r="Y27117" s="97"/>
    </row>
    <row r="27118" spans="25:25" x14ac:dyDescent="0.2">
      <c r="Y27118" s="97"/>
    </row>
    <row r="27119" spans="25:25" x14ac:dyDescent="0.2">
      <c r="Y27119" s="97"/>
    </row>
    <row r="27120" spans="25:25" x14ac:dyDescent="0.2">
      <c r="Y27120" s="97"/>
    </row>
    <row r="27121" spans="25:25" x14ac:dyDescent="0.2">
      <c r="Y27121" s="97"/>
    </row>
    <row r="27122" spans="25:25" x14ac:dyDescent="0.2">
      <c r="Y27122" s="97"/>
    </row>
    <row r="27123" spans="25:25" x14ac:dyDescent="0.2">
      <c r="Y27123" s="97"/>
    </row>
    <row r="27124" spans="25:25" x14ac:dyDescent="0.2">
      <c r="Y27124" s="97"/>
    </row>
    <row r="27125" spans="25:25" x14ac:dyDescent="0.2">
      <c r="Y27125" s="97"/>
    </row>
    <row r="27126" spans="25:25" x14ac:dyDescent="0.2">
      <c r="Y27126" s="97"/>
    </row>
    <row r="27127" spans="25:25" x14ac:dyDescent="0.2">
      <c r="Y27127" s="97"/>
    </row>
    <row r="27128" spans="25:25" x14ac:dyDescent="0.2">
      <c r="Y27128" s="97"/>
    </row>
    <row r="27129" spans="25:25" x14ac:dyDescent="0.2">
      <c r="Y27129" s="97"/>
    </row>
    <row r="27130" spans="25:25" x14ac:dyDescent="0.2">
      <c r="Y27130" s="97"/>
    </row>
    <row r="27131" spans="25:25" x14ac:dyDescent="0.2">
      <c r="Y27131" s="97"/>
    </row>
    <row r="27132" spans="25:25" x14ac:dyDescent="0.2">
      <c r="Y27132" s="97"/>
    </row>
    <row r="27133" spans="25:25" x14ac:dyDescent="0.2">
      <c r="Y27133" s="97"/>
    </row>
    <row r="27134" spans="25:25" x14ac:dyDescent="0.2">
      <c r="Y27134" s="97"/>
    </row>
    <row r="27135" spans="25:25" x14ac:dyDescent="0.2">
      <c r="Y27135" s="97"/>
    </row>
    <row r="27136" spans="25:25" x14ac:dyDescent="0.2">
      <c r="Y27136" s="97"/>
    </row>
    <row r="27137" spans="25:25" x14ac:dyDescent="0.2">
      <c r="Y27137" s="97"/>
    </row>
    <row r="27138" spans="25:25" x14ac:dyDescent="0.2">
      <c r="Y27138" s="97"/>
    </row>
    <row r="27139" spans="25:25" x14ac:dyDescent="0.2">
      <c r="Y27139" s="97"/>
    </row>
    <row r="27140" spans="25:25" x14ac:dyDescent="0.2">
      <c r="Y27140" s="97"/>
    </row>
    <row r="27141" spans="25:25" x14ac:dyDescent="0.2">
      <c r="Y27141" s="97"/>
    </row>
    <row r="27142" spans="25:25" x14ac:dyDescent="0.2">
      <c r="Y27142" s="97"/>
    </row>
    <row r="27143" spans="25:25" x14ac:dyDescent="0.2">
      <c r="Y27143" s="97"/>
    </row>
    <row r="27144" spans="25:25" x14ac:dyDescent="0.2">
      <c r="Y27144" s="97"/>
    </row>
    <row r="27145" spans="25:25" x14ac:dyDescent="0.2">
      <c r="Y27145" s="97"/>
    </row>
    <row r="27146" spans="25:25" x14ac:dyDescent="0.2">
      <c r="Y27146" s="97"/>
    </row>
    <row r="27147" spans="25:25" x14ac:dyDescent="0.2">
      <c r="Y27147" s="97"/>
    </row>
    <row r="27148" spans="25:25" x14ac:dyDescent="0.2">
      <c r="Y27148" s="97"/>
    </row>
    <row r="27149" spans="25:25" x14ac:dyDescent="0.2">
      <c r="Y27149" s="97"/>
    </row>
    <row r="27150" spans="25:25" x14ac:dyDescent="0.2">
      <c r="Y27150" s="97"/>
    </row>
    <row r="27151" spans="25:25" x14ac:dyDescent="0.2">
      <c r="Y27151" s="97"/>
    </row>
    <row r="27152" spans="25:25" x14ac:dyDescent="0.2">
      <c r="Y27152" s="97"/>
    </row>
    <row r="27153" spans="25:25" x14ac:dyDescent="0.2">
      <c r="Y27153" s="97"/>
    </row>
    <row r="27154" spans="25:25" x14ac:dyDescent="0.2">
      <c r="Y27154" s="97"/>
    </row>
    <row r="27155" spans="25:25" x14ac:dyDescent="0.2">
      <c r="Y27155" s="97"/>
    </row>
    <row r="27156" spans="25:25" x14ac:dyDescent="0.2">
      <c r="Y27156" s="97"/>
    </row>
    <row r="27157" spans="25:25" x14ac:dyDescent="0.2">
      <c r="Y27157" s="97"/>
    </row>
    <row r="27158" spans="25:25" x14ac:dyDescent="0.2">
      <c r="Y27158" s="97"/>
    </row>
    <row r="27159" spans="25:25" x14ac:dyDescent="0.2">
      <c r="Y27159" s="97"/>
    </row>
    <row r="27160" spans="25:25" x14ac:dyDescent="0.2">
      <c r="Y27160" s="97"/>
    </row>
    <row r="27161" spans="25:25" x14ac:dyDescent="0.2">
      <c r="Y27161" s="97"/>
    </row>
    <row r="27162" spans="25:25" x14ac:dyDescent="0.2">
      <c r="Y27162" s="97"/>
    </row>
    <row r="27163" spans="25:25" x14ac:dyDescent="0.2">
      <c r="Y27163" s="97"/>
    </row>
    <row r="27164" spans="25:25" x14ac:dyDescent="0.2">
      <c r="Y27164" s="97"/>
    </row>
    <row r="27165" spans="25:25" x14ac:dyDescent="0.2">
      <c r="Y27165" s="97"/>
    </row>
    <row r="27166" spans="25:25" x14ac:dyDescent="0.2">
      <c r="Y27166" s="97"/>
    </row>
    <row r="27167" spans="25:25" x14ac:dyDescent="0.2">
      <c r="Y27167" s="97"/>
    </row>
    <row r="27168" spans="25:25" x14ac:dyDescent="0.2">
      <c r="Y27168" s="97"/>
    </row>
    <row r="27169" spans="25:25" x14ac:dyDescent="0.2">
      <c r="Y27169" s="97"/>
    </row>
    <row r="27170" spans="25:25" x14ac:dyDescent="0.2">
      <c r="Y27170" s="97"/>
    </row>
    <row r="27171" spans="25:25" x14ac:dyDescent="0.2">
      <c r="Y27171" s="97"/>
    </row>
    <row r="27172" spans="25:25" x14ac:dyDescent="0.2">
      <c r="Y27172" s="97"/>
    </row>
    <row r="27173" spans="25:25" x14ac:dyDescent="0.2">
      <c r="Y27173" s="97"/>
    </row>
    <row r="27174" spans="25:25" x14ac:dyDescent="0.2">
      <c r="Y27174" s="97"/>
    </row>
    <row r="27175" spans="25:25" x14ac:dyDescent="0.2">
      <c r="Y27175" s="97"/>
    </row>
    <row r="27176" spans="25:25" x14ac:dyDescent="0.2">
      <c r="Y27176" s="97"/>
    </row>
    <row r="27177" spans="25:25" x14ac:dyDescent="0.2">
      <c r="Y27177" s="97"/>
    </row>
    <row r="27178" spans="25:25" x14ac:dyDescent="0.2">
      <c r="Y27178" s="97"/>
    </row>
    <row r="27179" spans="25:25" x14ac:dyDescent="0.2">
      <c r="Y27179" s="97"/>
    </row>
    <row r="27180" spans="25:25" x14ac:dyDescent="0.2">
      <c r="Y27180" s="97"/>
    </row>
    <row r="27181" spans="25:25" x14ac:dyDescent="0.2">
      <c r="Y27181" s="97"/>
    </row>
    <row r="27182" spans="25:25" x14ac:dyDescent="0.2">
      <c r="Y27182" s="97"/>
    </row>
    <row r="27183" spans="25:25" x14ac:dyDescent="0.2">
      <c r="Y27183" s="97"/>
    </row>
    <row r="27184" spans="25:25" x14ac:dyDescent="0.2">
      <c r="Y27184" s="97"/>
    </row>
    <row r="27185" spans="25:25" x14ac:dyDescent="0.2">
      <c r="Y27185" s="97"/>
    </row>
    <row r="27186" spans="25:25" x14ac:dyDescent="0.2">
      <c r="Y27186" s="97"/>
    </row>
    <row r="27187" spans="25:25" x14ac:dyDescent="0.2">
      <c r="Y27187" s="97"/>
    </row>
    <row r="27188" spans="25:25" x14ac:dyDescent="0.2">
      <c r="Y27188" s="97"/>
    </row>
    <row r="27189" spans="25:25" x14ac:dyDescent="0.2">
      <c r="Y27189" s="97"/>
    </row>
    <row r="27190" spans="25:25" x14ac:dyDescent="0.2">
      <c r="Y27190" s="97"/>
    </row>
    <row r="27191" spans="25:25" x14ac:dyDescent="0.2">
      <c r="Y27191" s="97"/>
    </row>
    <row r="27192" spans="25:25" x14ac:dyDescent="0.2">
      <c r="Y27192" s="97"/>
    </row>
    <row r="27193" spans="25:25" x14ac:dyDescent="0.2">
      <c r="Y27193" s="97"/>
    </row>
    <row r="27194" spans="25:25" x14ac:dyDescent="0.2">
      <c r="Y27194" s="97"/>
    </row>
    <row r="27195" spans="25:25" x14ac:dyDescent="0.2">
      <c r="Y27195" s="97"/>
    </row>
    <row r="27196" spans="25:25" x14ac:dyDescent="0.2">
      <c r="Y27196" s="97"/>
    </row>
    <row r="27197" spans="25:25" x14ac:dyDescent="0.2">
      <c r="Y27197" s="97"/>
    </row>
    <row r="27198" spans="25:25" x14ac:dyDescent="0.2">
      <c r="Y27198" s="97"/>
    </row>
    <row r="27199" spans="25:25" x14ac:dyDescent="0.2">
      <c r="Y27199" s="97"/>
    </row>
    <row r="27200" spans="25:25" x14ac:dyDescent="0.2">
      <c r="Y27200" s="97"/>
    </row>
    <row r="27201" spans="25:25" x14ac:dyDescent="0.2">
      <c r="Y27201" s="97"/>
    </row>
    <row r="27202" spans="25:25" x14ac:dyDescent="0.2">
      <c r="Y27202" s="97"/>
    </row>
    <row r="27203" spans="25:25" x14ac:dyDescent="0.2">
      <c r="Y27203" s="97"/>
    </row>
    <row r="27204" spans="25:25" x14ac:dyDescent="0.2">
      <c r="Y27204" s="97"/>
    </row>
    <row r="27205" spans="25:25" x14ac:dyDescent="0.2">
      <c r="Y27205" s="97"/>
    </row>
    <row r="27206" spans="25:25" x14ac:dyDescent="0.2">
      <c r="Y27206" s="97"/>
    </row>
    <row r="27207" spans="25:25" x14ac:dyDescent="0.2">
      <c r="Y27207" s="97"/>
    </row>
    <row r="27208" spans="25:25" x14ac:dyDescent="0.2">
      <c r="Y27208" s="97"/>
    </row>
    <row r="27209" spans="25:25" x14ac:dyDescent="0.2">
      <c r="Y27209" s="97"/>
    </row>
    <row r="27210" spans="25:25" x14ac:dyDescent="0.2">
      <c r="Y27210" s="97"/>
    </row>
    <row r="27211" spans="25:25" x14ac:dyDescent="0.2">
      <c r="Y27211" s="97"/>
    </row>
    <row r="27212" spans="25:25" x14ac:dyDescent="0.2">
      <c r="Y27212" s="97"/>
    </row>
    <row r="27213" spans="25:25" x14ac:dyDescent="0.2">
      <c r="Y27213" s="97"/>
    </row>
    <row r="27214" spans="25:25" x14ac:dyDescent="0.2">
      <c r="Y27214" s="97"/>
    </row>
    <row r="27215" spans="25:25" x14ac:dyDescent="0.2">
      <c r="Y27215" s="97"/>
    </row>
    <row r="27216" spans="25:25" x14ac:dyDescent="0.2">
      <c r="Y27216" s="97"/>
    </row>
    <row r="27217" spans="25:25" x14ac:dyDescent="0.2">
      <c r="Y27217" s="97"/>
    </row>
    <row r="27218" spans="25:25" x14ac:dyDescent="0.2">
      <c r="Y27218" s="97"/>
    </row>
    <row r="27219" spans="25:25" x14ac:dyDescent="0.2">
      <c r="Y27219" s="97"/>
    </row>
    <row r="27220" spans="25:25" x14ac:dyDescent="0.2">
      <c r="Y27220" s="97"/>
    </row>
    <row r="27221" spans="25:25" x14ac:dyDescent="0.2">
      <c r="Y27221" s="97"/>
    </row>
    <row r="27222" spans="25:25" x14ac:dyDescent="0.2">
      <c r="Y27222" s="97"/>
    </row>
    <row r="27223" spans="25:25" x14ac:dyDescent="0.2">
      <c r="Y27223" s="97"/>
    </row>
    <row r="27224" spans="25:25" x14ac:dyDescent="0.2">
      <c r="Y27224" s="97"/>
    </row>
    <row r="27225" spans="25:25" x14ac:dyDescent="0.2">
      <c r="Y27225" s="97"/>
    </row>
    <row r="27226" spans="25:25" x14ac:dyDescent="0.2">
      <c r="Y27226" s="97"/>
    </row>
    <row r="27227" spans="25:25" x14ac:dyDescent="0.2">
      <c r="Y27227" s="97"/>
    </row>
    <row r="27228" spans="25:25" x14ac:dyDescent="0.2">
      <c r="Y27228" s="97"/>
    </row>
    <row r="27229" spans="25:25" x14ac:dyDescent="0.2">
      <c r="Y27229" s="97"/>
    </row>
    <row r="27230" spans="25:25" x14ac:dyDescent="0.2">
      <c r="Y27230" s="97"/>
    </row>
    <row r="27231" spans="25:25" x14ac:dyDescent="0.2">
      <c r="Y27231" s="97"/>
    </row>
    <row r="27232" spans="25:25" x14ac:dyDescent="0.2">
      <c r="Y27232" s="97"/>
    </row>
    <row r="27233" spans="25:25" x14ac:dyDescent="0.2">
      <c r="Y27233" s="97"/>
    </row>
    <row r="27234" spans="25:25" x14ac:dyDescent="0.2">
      <c r="Y27234" s="97"/>
    </row>
    <row r="27235" spans="25:25" x14ac:dyDescent="0.2">
      <c r="Y27235" s="97"/>
    </row>
    <row r="27236" spans="25:25" x14ac:dyDescent="0.2">
      <c r="Y27236" s="97"/>
    </row>
    <row r="27237" spans="25:25" x14ac:dyDescent="0.2">
      <c r="Y27237" s="97"/>
    </row>
    <row r="27238" spans="25:25" x14ac:dyDescent="0.2">
      <c r="Y27238" s="97"/>
    </row>
    <row r="27239" spans="25:25" x14ac:dyDescent="0.2">
      <c r="Y27239" s="97"/>
    </row>
    <row r="27240" spans="25:25" x14ac:dyDescent="0.2">
      <c r="Y27240" s="97"/>
    </row>
    <row r="27241" spans="25:25" x14ac:dyDescent="0.2">
      <c r="Y27241" s="97"/>
    </row>
    <row r="27242" spans="25:25" x14ac:dyDescent="0.2">
      <c r="Y27242" s="97"/>
    </row>
    <row r="27243" spans="25:25" x14ac:dyDescent="0.2">
      <c r="Y27243" s="97"/>
    </row>
    <row r="27244" spans="25:25" x14ac:dyDescent="0.2">
      <c r="Y27244" s="97"/>
    </row>
    <row r="27245" spans="25:25" x14ac:dyDescent="0.2">
      <c r="Y27245" s="97"/>
    </row>
    <row r="27246" spans="25:25" x14ac:dyDescent="0.2">
      <c r="Y27246" s="97"/>
    </row>
    <row r="27247" spans="25:25" x14ac:dyDescent="0.2">
      <c r="Y27247" s="97"/>
    </row>
    <row r="27248" spans="25:25" x14ac:dyDescent="0.2">
      <c r="Y27248" s="97"/>
    </row>
    <row r="27249" spans="25:25" x14ac:dyDescent="0.2">
      <c r="Y27249" s="97"/>
    </row>
    <row r="27250" spans="25:25" x14ac:dyDescent="0.2">
      <c r="Y27250" s="97"/>
    </row>
    <row r="27251" spans="25:25" x14ac:dyDescent="0.2">
      <c r="Y27251" s="97"/>
    </row>
    <row r="27252" spans="25:25" x14ac:dyDescent="0.2">
      <c r="Y27252" s="97"/>
    </row>
    <row r="27253" spans="25:25" x14ac:dyDescent="0.2">
      <c r="Y27253" s="97"/>
    </row>
    <row r="27254" spans="25:25" x14ac:dyDescent="0.2">
      <c r="Y27254" s="97"/>
    </row>
    <row r="27255" spans="25:25" x14ac:dyDescent="0.2">
      <c r="Y27255" s="97"/>
    </row>
    <row r="27256" spans="25:25" x14ac:dyDescent="0.2">
      <c r="Y27256" s="97"/>
    </row>
    <row r="27257" spans="25:25" x14ac:dyDescent="0.2">
      <c r="Y27257" s="97"/>
    </row>
    <row r="27258" spans="25:25" x14ac:dyDescent="0.2">
      <c r="Y27258" s="97"/>
    </row>
    <row r="27259" spans="25:25" x14ac:dyDescent="0.2">
      <c r="Y27259" s="97"/>
    </row>
    <row r="27260" spans="25:25" x14ac:dyDescent="0.2">
      <c r="Y27260" s="97"/>
    </row>
    <row r="27261" spans="25:25" x14ac:dyDescent="0.2">
      <c r="Y27261" s="97"/>
    </row>
    <row r="27262" spans="25:25" x14ac:dyDescent="0.2">
      <c r="Y27262" s="97"/>
    </row>
    <row r="27263" spans="25:25" x14ac:dyDescent="0.2">
      <c r="Y27263" s="97"/>
    </row>
    <row r="27264" spans="25:25" x14ac:dyDescent="0.2">
      <c r="Y27264" s="97"/>
    </row>
    <row r="27265" spans="25:25" x14ac:dyDescent="0.2">
      <c r="Y27265" s="97"/>
    </row>
    <row r="27266" spans="25:25" x14ac:dyDescent="0.2">
      <c r="Y27266" s="97"/>
    </row>
    <row r="27267" spans="25:25" x14ac:dyDescent="0.2">
      <c r="Y27267" s="97"/>
    </row>
    <row r="27268" spans="25:25" x14ac:dyDescent="0.2">
      <c r="Y27268" s="97"/>
    </row>
    <row r="27269" spans="25:25" x14ac:dyDescent="0.2">
      <c r="Y27269" s="97"/>
    </row>
    <row r="27270" spans="25:25" x14ac:dyDescent="0.2">
      <c r="Y27270" s="97"/>
    </row>
    <row r="27271" spans="25:25" x14ac:dyDescent="0.2">
      <c r="Y27271" s="97"/>
    </row>
    <row r="27272" spans="25:25" x14ac:dyDescent="0.2">
      <c r="Y27272" s="97"/>
    </row>
    <row r="27273" spans="25:25" x14ac:dyDescent="0.2">
      <c r="Y27273" s="97"/>
    </row>
    <row r="27274" spans="25:25" x14ac:dyDescent="0.2">
      <c r="Y27274" s="97"/>
    </row>
    <row r="27275" spans="25:25" x14ac:dyDescent="0.2">
      <c r="Y27275" s="97"/>
    </row>
    <row r="27276" spans="25:25" x14ac:dyDescent="0.2">
      <c r="Y27276" s="97"/>
    </row>
    <row r="27277" spans="25:25" x14ac:dyDescent="0.2">
      <c r="Y27277" s="97"/>
    </row>
    <row r="27278" spans="25:25" x14ac:dyDescent="0.2">
      <c r="Y27278" s="97"/>
    </row>
    <row r="27279" spans="25:25" x14ac:dyDescent="0.2">
      <c r="Y27279" s="97"/>
    </row>
    <row r="27280" spans="25:25" x14ac:dyDescent="0.2">
      <c r="Y27280" s="97"/>
    </row>
    <row r="27281" spans="25:25" x14ac:dyDescent="0.2">
      <c r="Y27281" s="97"/>
    </row>
    <row r="27282" spans="25:25" x14ac:dyDescent="0.2">
      <c r="Y27282" s="97"/>
    </row>
    <row r="27283" spans="25:25" x14ac:dyDescent="0.2">
      <c r="Y27283" s="97"/>
    </row>
    <row r="27284" spans="25:25" x14ac:dyDescent="0.2">
      <c r="Y27284" s="97"/>
    </row>
    <row r="27285" spans="25:25" x14ac:dyDescent="0.2">
      <c r="Y27285" s="97"/>
    </row>
    <row r="27286" spans="25:25" x14ac:dyDescent="0.2">
      <c r="Y27286" s="97"/>
    </row>
    <row r="27287" spans="25:25" x14ac:dyDescent="0.2">
      <c r="Y27287" s="97"/>
    </row>
    <row r="27288" spans="25:25" x14ac:dyDescent="0.2">
      <c r="Y27288" s="97"/>
    </row>
    <row r="27289" spans="25:25" x14ac:dyDescent="0.2">
      <c r="Y27289" s="97"/>
    </row>
    <row r="27290" spans="25:25" x14ac:dyDescent="0.2">
      <c r="Y27290" s="97"/>
    </row>
    <row r="27291" spans="25:25" x14ac:dyDescent="0.2">
      <c r="Y27291" s="97"/>
    </row>
    <row r="27292" spans="25:25" x14ac:dyDescent="0.2">
      <c r="Y27292" s="97"/>
    </row>
    <row r="27293" spans="25:25" x14ac:dyDescent="0.2">
      <c r="Y27293" s="97"/>
    </row>
    <row r="27294" spans="25:25" x14ac:dyDescent="0.2">
      <c r="Y27294" s="97"/>
    </row>
    <row r="27295" spans="25:25" x14ac:dyDescent="0.2">
      <c r="Y27295" s="97"/>
    </row>
    <row r="27296" spans="25:25" x14ac:dyDescent="0.2">
      <c r="Y27296" s="97"/>
    </row>
    <row r="27297" spans="25:25" x14ac:dyDescent="0.2">
      <c r="Y27297" s="97"/>
    </row>
    <row r="27298" spans="25:25" x14ac:dyDescent="0.2">
      <c r="Y27298" s="97"/>
    </row>
    <row r="27299" spans="25:25" x14ac:dyDescent="0.2">
      <c r="Y27299" s="97"/>
    </row>
    <row r="27300" spans="25:25" x14ac:dyDescent="0.2">
      <c r="Y27300" s="97"/>
    </row>
    <row r="27301" spans="25:25" x14ac:dyDescent="0.2">
      <c r="Y27301" s="97"/>
    </row>
    <row r="27302" spans="25:25" x14ac:dyDescent="0.2">
      <c r="Y27302" s="97"/>
    </row>
    <row r="27303" spans="25:25" x14ac:dyDescent="0.2">
      <c r="Y27303" s="97"/>
    </row>
    <row r="27304" spans="25:25" x14ac:dyDescent="0.2">
      <c r="Y27304" s="97"/>
    </row>
    <row r="27305" spans="25:25" x14ac:dyDescent="0.2">
      <c r="Y27305" s="97"/>
    </row>
    <row r="27306" spans="25:25" x14ac:dyDescent="0.2">
      <c r="Y27306" s="97"/>
    </row>
    <row r="27307" spans="25:25" x14ac:dyDescent="0.2">
      <c r="Y27307" s="97"/>
    </row>
    <row r="27308" spans="25:25" x14ac:dyDescent="0.2">
      <c r="Y27308" s="97"/>
    </row>
    <row r="27309" spans="25:25" x14ac:dyDescent="0.2">
      <c r="Y27309" s="97"/>
    </row>
    <row r="27310" spans="25:25" x14ac:dyDescent="0.2">
      <c r="Y27310" s="97"/>
    </row>
    <row r="27311" spans="25:25" x14ac:dyDescent="0.2">
      <c r="Y27311" s="97"/>
    </row>
    <row r="27312" spans="25:25" x14ac:dyDescent="0.2">
      <c r="Y27312" s="97"/>
    </row>
    <row r="27313" spans="25:25" x14ac:dyDescent="0.2">
      <c r="Y27313" s="97"/>
    </row>
    <row r="27314" spans="25:25" x14ac:dyDescent="0.2">
      <c r="Y27314" s="97"/>
    </row>
    <row r="27315" spans="25:25" x14ac:dyDescent="0.2">
      <c r="Y27315" s="97"/>
    </row>
    <row r="27316" spans="25:25" x14ac:dyDescent="0.2">
      <c r="Y27316" s="97"/>
    </row>
    <row r="27317" spans="25:25" x14ac:dyDescent="0.2">
      <c r="Y27317" s="97"/>
    </row>
    <row r="27318" spans="25:25" x14ac:dyDescent="0.2">
      <c r="Y27318" s="97"/>
    </row>
    <row r="27319" spans="25:25" x14ac:dyDescent="0.2">
      <c r="Y27319" s="97"/>
    </row>
    <row r="27320" spans="25:25" x14ac:dyDescent="0.2">
      <c r="Y27320" s="97"/>
    </row>
    <row r="27321" spans="25:25" x14ac:dyDescent="0.2">
      <c r="Y27321" s="97"/>
    </row>
    <row r="27322" spans="25:25" x14ac:dyDescent="0.2">
      <c r="Y27322" s="97"/>
    </row>
    <row r="27323" spans="25:25" x14ac:dyDescent="0.2">
      <c r="Y27323" s="97"/>
    </row>
    <row r="27324" spans="25:25" x14ac:dyDescent="0.2">
      <c r="Y27324" s="97"/>
    </row>
    <row r="27325" spans="25:25" x14ac:dyDescent="0.2">
      <c r="Y27325" s="97"/>
    </row>
    <row r="27326" spans="25:25" x14ac:dyDescent="0.2">
      <c r="Y27326" s="97"/>
    </row>
    <row r="27327" spans="25:25" x14ac:dyDescent="0.2">
      <c r="Y27327" s="97"/>
    </row>
    <row r="27328" spans="25:25" x14ac:dyDescent="0.2">
      <c r="Y27328" s="97"/>
    </row>
    <row r="27329" spans="25:25" x14ac:dyDescent="0.2">
      <c r="Y27329" s="97"/>
    </row>
    <row r="27330" spans="25:25" x14ac:dyDescent="0.2">
      <c r="Y27330" s="97"/>
    </row>
    <row r="27331" spans="25:25" x14ac:dyDescent="0.2">
      <c r="Y27331" s="97"/>
    </row>
    <row r="27332" spans="25:25" x14ac:dyDescent="0.2">
      <c r="Y27332" s="97"/>
    </row>
    <row r="27333" spans="25:25" x14ac:dyDescent="0.2">
      <c r="Y27333" s="97"/>
    </row>
    <row r="27334" spans="25:25" x14ac:dyDescent="0.2">
      <c r="Y27334" s="97"/>
    </row>
    <row r="27335" spans="25:25" x14ac:dyDescent="0.2">
      <c r="Y27335" s="97"/>
    </row>
    <row r="27336" spans="25:25" x14ac:dyDescent="0.2">
      <c r="Y27336" s="97"/>
    </row>
    <row r="27337" spans="25:25" x14ac:dyDescent="0.2">
      <c r="Y27337" s="97"/>
    </row>
    <row r="27338" spans="25:25" x14ac:dyDescent="0.2">
      <c r="Y27338" s="97"/>
    </row>
    <row r="27339" spans="25:25" x14ac:dyDescent="0.2">
      <c r="Y27339" s="97"/>
    </row>
    <row r="27340" spans="25:25" x14ac:dyDescent="0.2">
      <c r="Y27340" s="97"/>
    </row>
    <row r="27341" spans="25:25" x14ac:dyDescent="0.2">
      <c r="Y27341" s="97"/>
    </row>
    <row r="27342" spans="25:25" x14ac:dyDescent="0.2">
      <c r="Y27342" s="97"/>
    </row>
    <row r="27343" spans="25:25" x14ac:dyDescent="0.2">
      <c r="Y27343" s="97"/>
    </row>
    <row r="27344" spans="25:25" x14ac:dyDescent="0.2">
      <c r="Y27344" s="97"/>
    </row>
    <row r="27345" spans="25:25" x14ac:dyDescent="0.2">
      <c r="Y27345" s="97"/>
    </row>
    <row r="27346" spans="25:25" x14ac:dyDescent="0.2">
      <c r="Y27346" s="97"/>
    </row>
    <row r="27347" spans="25:25" x14ac:dyDescent="0.2">
      <c r="Y27347" s="97"/>
    </row>
    <row r="27348" spans="25:25" x14ac:dyDescent="0.2">
      <c r="Y27348" s="97"/>
    </row>
    <row r="27349" spans="25:25" x14ac:dyDescent="0.2">
      <c r="Y27349" s="97"/>
    </row>
    <row r="27350" spans="25:25" x14ac:dyDescent="0.2">
      <c r="Y27350" s="97"/>
    </row>
    <row r="27351" spans="25:25" x14ac:dyDescent="0.2">
      <c r="Y27351" s="97"/>
    </row>
    <row r="27352" spans="25:25" x14ac:dyDescent="0.2">
      <c r="Y27352" s="97"/>
    </row>
    <row r="27353" spans="25:25" x14ac:dyDescent="0.2">
      <c r="Y27353" s="97"/>
    </row>
    <row r="27354" spans="25:25" x14ac:dyDescent="0.2">
      <c r="Y27354" s="97"/>
    </row>
    <row r="27355" spans="25:25" x14ac:dyDescent="0.2">
      <c r="Y27355" s="97"/>
    </row>
    <row r="27356" spans="25:25" x14ac:dyDescent="0.2">
      <c r="Y27356" s="97"/>
    </row>
    <row r="27357" spans="25:25" x14ac:dyDescent="0.2">
      <c r="Y27357" s="97"/>
    </row>
    <row r="27358" spans="25:25" x14ac:dyDescent="0.2">
      <c r="Y27358" s="97"/>
    </row>
    <row r="27359" spans="25:25" x14ac:dyDescent="0.2">
      <c r="Y27359" s="97"/>
    </row>
    <row r="27360" spans="25:25" x14ac:dyDescent="0.2">
      <c r="Y27360" s="97"/>
    </row>
    <row r="27361" spans="25:25" x14ac:dyDescent="0.2">
      <c r="Y27361" s="97"/>
    </row>
    <row r="27362" spans="25:25" x14ac:dyDescent="0.2">
      <c r="Y27362" s="97"/>
    </row>
    <row r="27363" spans="25:25" x14ac:dyDescent="0.2">
      <c r="Y27363" s="97"/>
    </row>
    <row r="27364" spans="25:25" x14ac:dyDescent="0.2">
      <c r="Y27364" s="97"/>
    </row>
    <row r="27365" spans="25:25" x14ac:dyDescent="0.2">
      <c r="Y27365" s="97"/>
    </row>
    <row r="27366" spans="25:25" x14ac:dyDescent="0.2">
      <c r="Y27366" s="97"/>
    </row>
    <row r="27367" spans="25:25" x14ac:dyDescent="0.2">
      <c r="Y27367" s="97"/>
    </row>
    <row r="27368" spans="25:25" x14ac:dyDescent="0.2">
      <c r="Y27368" s="97"/>
    </row>
    <row r="27369" spans="25:25" x14ac:dyDescent="0.2">
      <c r="Y27369" s="97"/>
    </row>
    <row r="27370" spans="25:25" x14ac:dyDescent="0.2">
      <c r="Y27370" s="97"/>
    </row>
    <row r="27371" spans="25:25" x14ac:dyDescent="0.2">
      <c r="Y27371" s="97"/>
    </row>
    <row r="27372" spans="25:25" x14ac:dyDescent="0.2">
      <c r="Y27372" s="97"/>
    </row>
    <row r="27373" spans="25:25" x14ac:dyDescent="0.2">
      <c r="Y27373" s="97"/>
    </row>
    <row r="27374" spans="25:25" x14ac:dyDescent="0.2">
      <c r="Y27374" s="97"/>
    </row>
    <row r="27375" spans="25:25" x14ac:dyDescent="0.2">
      <c r="Y27375" s="97"/>
    </row>
    <row r="27376" spans="25:25" x14ac:dyDescent="0.2">
      <c r="Y27376" s="97"/>
    </row>
    <row r="27377" spans="25:25" x14ac:dyDescent="0.2">
      <c r="Y27377" s="97"/>
    </row>
    <row r="27378" spans="25:25" x14ac:dyDescent="0.2">
      <c r="Y27378" s="97"/>
    </row>
    <row r="27379" spans="25:25" x14ac:dyDescent="0.2">
      <c r="Y27379" s="97"/>
    </row>
    <row r="27380" spans="25:25" x14ac:dyDescent="0.2">
      <c r="Y27380" s="97"/>
    </row>
    <row r="27381" spans="25:25" x14ac:dyDescent="0.2">
      <c r="Y27381" s="97"/>
    </row>
    <row r="27382" spans="25:25" x14ac:dyDescent="0.2">
      <c r="Y27382" s="97"/>
    </row>
    <row r="27383" spans="25:25" x14ac:dyDescent="0.2">
      <c r="Y27383" s="97"/>
    </row>
    <row r="27384" spans="25:25" x14ac:dyDescent="0.2">
      <c r="Y27384" s="97"/>
    </row>
    <row r="27385" spans="25:25" x14ac:dyDescent="0.2">
      <c r="Y27385" s="97"/>
    </row>
    <row r="27386" spans="25:25" x14ac:dyDescent="0.2">
      <c r="Y27386" s="97"/>
    </row>
    <row r="27387" spans="25:25" x14ac:dyDescent="0.2">
      <c r="Y27387" s="97"/>
    </row>
    <row r="27388" spans="25:25" x14ac:dyDescent="0.2">
      <c r="Y27388" s="97"/>
    </row>
    <row r="27389" spans="25:25" x14ac:dyDescent="0.2">
      <c r="Y27389" s="97"/>
    </row>
    <row r="27390" spans="25:25" x14ac:dyDescent="0.2">
      <c r="Y27390" s="97"/>
    </row>
    <row r="27391" spans="25:25" x14ac:dyDescent="0.2">
      <c r="Y27391" s="97"/>
    </row>
    <row r="27392" spans="25:25" x14ac:dyDescent="0.2">
      <c r="Y27392" s="97"/>
    </row>
    <row r="27393" spans="25:25" x14ac:dyDescent="0.2">
      <c r="Y27393" s="97"/>
    </row>
    <row r="27394" spans="25:25" x14ac:dyDescent="0.2">
      <c r="Y27394" s="97"/>
    </row>
    <row r="27395" spans="25:25" x14ac:dyDescent="0.2">
      <c r="Y27395" s="97"/>
    </row>
    <row r="27396" spans="25:25" x14ac:dyDescent="0.2">
      <c r="Y27396" s="97"/>
    </row>
    <row r="27397" spans="25:25" x14ac:dyDescent="0.2">
      <c r="Y27397" s="97"/>
    </row>
    <row r="27398" spans="25:25" x14ac:dyDescent="0.2">
      <c r="Y27398" s="97"/>
    </row>
    <row r="27399" spans="25:25" x14ac:dyDescent="0.2">
      <c r="Y27399" s="97"/>
    </row>
    <row r="27400" spans="25:25" x14ac:dyDescent="0.2">
      <c r="Y27400" s="97"/>
    </row>
    <row r="27401" spans="25:25" x14ac:dyDescent="0.2">
      <c r="Y27401" s="97"/>
    </row>
    <row r="27402" spans="25:25" x14ac:dyDescent="0.2">
      <c r="Y27402" s="97"/>
    </row>
    <row r="27403" spans="25:25" x14ac:dyDescent="0.2">
      <c r="Y27403" s="97"/>
    </row>
    <row r="27404" spans="25:25" x14ac:dyDescent="0.2">
      <c r="Y27404" s="97"/>
    </row>
    <row r="27405" spans="25:25" x14ac:dyDescent="0.2">
      <c r="Y27405" s="97"/>
    </row>
    <row r="27406" spans="25:25" x14ac:dyDescent="0.2">
      <c r="Y27406" s="97"/>
    </row>
    <row r="27407" spans="25:25" x14ac:dyDescent="0.2">
      <c r="Y27407" s="97"/>
    </row>
    <row r="27408" spans="25:25" x14ac:dyDescent="0.2">
      <c r="Y27408" s="97"/>
    </row>
    <row r="27409" spans="25:25" x14ac:dyDescent="0.2">
      <c r="Y27409" s="97"/>
    </row>
    <row r="27410" spans="25:25" x14ac:dyDescent="0.2">
      <c r="Y27410" s="97"/>
    </row>
    <row r="27411" spans="25:25" x14ac:dyDescent="0.2">
      <c r="Y27411" s="97"/>
    </row>
    <row r="27412" spans="25:25" x14ac:dyDescent="0.2">
      <c r="Y27412" s="97"/>
    </row>
    <row r="27413" spans="25:25" x14ac:dyDescent="0.2">
      <c r="Y27413" s="97"/>
    </row>
    <row r="27414" spans="25:25" x14ac:dyDescent="0.2">
      <c r="Y27414" s="97"/>
    </row>
    <row r="27415" spans="25:25" x14ac:dyDescent="0.2">
      <c r="Y27415" s="97"/>
    </row>
    <row r="27416" spans="25:25" x14ac:dyDescent="0.2">
      <c r="Y27416" s="97"/>
    </row>
    <row r="27417" spans="25:25" x14ac:dyDescent="0.2">
      <c r="Y27417" s="97"/>
    </row>
    <row r="27418" spans="25:25" x14ac:dyDescent="0.2">
      <c r="Y27418" s="97"/>
    </row>
    <row r="27419" spans="25:25" x14ac:dyDescent="0.2">
      <c r="Y27419" s="97"/>
    </row>
    <row r="27420" spans="25:25" x14ac:dyDescent="0.2">
      <c r="Y27420" s="97"/>
    </row>
    <row r="27421" spans="25:25" x14ac:dyDescent="0.2">
      <c r="Y27421" s="97"/>
    </row>
    <row r="27422" spans="25:25" x14ac:dyDescent="0.2">
      <c r="Y27422" s="97"/>
    </row>
    <row r="27423" spans="25:25" x14ac:dyDescent="0.2">
      <c r="Y27423" s="97"/>
    </row>
    <row r="27424" spans="25:25" x14ac:dyDescent="0.2">
      <c r="Y27424" s="97"/>
    </row>
    <row r="27425" spans="25:25" x14ac:dyDescent="0.2">
      <c r="Y27425" s="97"/>
    </row>
    <row r="27426" spans="25:25" x14ac:dyDescent="0.2">
      <c r="Y27426" s="97"/>
    </row>
    <row r="27427" spans="25:25" x14ac:dyDescent="0.2">
      <c r="Y27427" s="97"/>
    </row>
    <row r="27428" spans="25:25" x14ac:dyDescent="0.2">
      <c r="Y27428" s="97"/>
    </row>
    <row r="27429" spans="25:25" x14ac:dyDescent="0.2">
      <c r="Y27429" s="97"/>
    </row>
    <row r="27430" spans="25:25" x14ac:dyDescent="0.2">
      <c r="Y27430" s="97"/>
    </row>
    <row r="27431" spans="25:25" x14ac:dyDescent="0.2">
      <c r="Y27431" s="97"/>
    </row>
    <row r="27432" spans="25:25" x14ac:dyDescent="0.2">
      <c r="Y27432" s="97"/>
    </row>
    <row r="27433" spans="25:25" x14ac:dyDescent="0.2">
      <c r="Y27433" s="97"/>
    </row>
    <row r="27434" spans="25:25" x14ac:dyDescent="0.2">
      <c r="Y27434" s="97"/>
    </row>
    <row r="27435" spans="25:25" x14ac:dyDescent="0.2">
      <c r="Y27435" s="97"/>
    </row>
    <row r="27436" spans="25:25" x14ac:dyDescent="0.2">
      <c r="Y27436" s="97"/>
    </row>
    <row r="27437" spans="25:25" x14ac:dyDescent="0.2">
      <c r="Y27437" s="97"/>
    </row>
    <row r="27438" spans="25:25" x14ac:dyDescent="0.2">
      <c r="Y27438" s="97"/>
    </row>
    <row r="27439" spans="25:25" x14ac:dyDescent="0.2">
      <c r="Y27439" s="97"/>
    </row>
    <row r="27440" spans="25:25" x14ac:dyDescent="0.2">
      <c r="Y27440" s="97"/>
    </row>
    <row r="27441" spans="25:25" x14ac:dyDescent="0.2">
      <c r="Y27441" s="97"/>
    </row>
    <row r="27442" spans="25:25" x14ac:dyDescent="0.2">
      <c r="Y27442" s="97"/>
    </row>
    <row r="27443" spans="25:25" x14ac:dyDescent="0.2">
      <c r="Y27443" s="97"/>
    </row>
    <row r="27444" spans="25:25" x14ac:dyDescent="0.2">
      <c r="Y27444" s="97"/>
    </row>
    <row r="27445" spans="25:25" x14ac:dyDescent="0.2">
      <c r="Y27445" s="97"/>
    </row>
    <row r="27446" spans="25:25" x14ac:dyDescent="0.2">
      <c r="Y27446" s="97"/>
    </row>
    <row r="27447" spans="25:25" x14ac:dyDescent="0.2">
      <c r="Y27447" s="97"/>
    </row>
    <row r="27448" spans="25:25" x14ac:dyDescent="0.2">
      <c r="Y27448" s="97"/>
    </row>
    <row r="27449" spans="25:25" x14ac:dyDescent="0.2">
      <c r="Y27449" s="97"/>
    </row>
    <row r="27450" spans="25:25" x14ac:dyDescent="0.2">
      <c r="Y27450" s="97"/>
    </row>
    <row r="27451" spans="25:25" x14ac:dyDescent="0.2">
      <c r="Y27451" s="97"/>
    </row>
    <row r="27452" spans="25:25" x14ac:dyDescent="0.2">
      <c r="Y27452" s="97"/>
    </row>
    <row r="27453" spans="25:25" x14ac:dyDescent="0.2">
      <c r="Y27453" s="97"/>
    </row>
    <row r="27454" spans="25:25" x14ac:dyDescent="0.2">
      <c r="Y27454" s="97"/>
    </row>
    <row r="27455" spans="25:25" x14ac:dyDescent="0.2">
      <c r="Y27455" s="97"/>
    </row>
    <row r="27456" spans="25:25" x14ac:dyDescent="0.2">
      <c r="Y27456" s="97"/>
    </row>
    <row r="27457" spans="25:25" x14ac:dyDescent="0.2">
      <c r="Y27457" s="97"/>
    </row>
    <row r="27458" spans="25:25" x14ac:dyDescent="0.2">
      <c r="Y27458" s="97"/>
    </row>
    <row r="27459" spans="25:25" x14ac:dyDescent="0.2">
      <c r="Y27459" s="97"/>
    </row>
    <row r="27460" spans="25:25" x14ac:dyDescent="0.2">
      <c r="Y27460" s="97"/>
    </row>
    <row r="27461" spans="25:25" x14ac:dyDescent="0.2">
      <c r="Y27461" s="97"/>
    </row>
    <row r="27462" spans="25:25" x14ac:dyDescent="0.2">
      <c r="Y27462" s="97"/>
    </row>
    <row r="27463" spans="25:25" x14ac:dyDescent="0.2">
      <c r="Y27463" s="97"/>
    </row>
    <row r="27464" spans="25:25" x14ac:dyDescent="0.2">
      <c r="Y27464" s="97"/>
    </row>
    <row r="27465" spans="25:25" x14ac:dyDescent="0.2">
      <c r="Y27465" s="97"/>
    </row>
    <row r="27466" spans="25:25" x14ac:dyDescent="0.2">
      <c r="Y27466" s="97"/>
    </row>
    <row r="27467" spans="25:25" x14ac:dyDescent="0.2">
      <c r="Y27467" s="97"/>
    </row>
    <row r="27468" spans="25:25" x14ac:dyDescent="0.2">
      <c r="Y27468" s="97"/>
    </row>
    <row r="27469" spans="25:25" x14ac:dyDescent="0.2">
      <c r="Y27469" s="97"/>
    </row>
    <row r="27470" spans="25:25" x14ac:dyDescent="0.2">
      <c r="Y27470" s="97"/>
    </row>
    <row r="27471" spans="25:25" x14ac:dyDescent="0.2">
      <c r="Y27471" s="97"/>
    </row>
    <row r="27472" spans="25:25" x14ac:dyDescent="0.2">
      <c r="Y27472" s="97"/>
    </row>
    <row r="27473" spans="25:25" x14ac:dyDescent="0.2">
      <c r="Y27473" s="97"/>
    </row>
    <row r="27474" spans="25:25" x14ac:dyDescent="0.2">
      <c r="Y27474" s="97"/>
    </row>
    <row r="27475" spans="25:25" x14ac:dyDescent="0.2">
      <c r="Y27475" s="97"/>
    </row>
    <row r="27476" spans="25:25" x14ac:dyDescent="0.2">
      <c r="Y27476" s="97"/>
    </row>
    <row r="27477" spans="25:25" x14ac:dyDescent="0.2">
      <c r="Y27477" s="97"/>
    </row>
    <row r="27478" spans="25:25" x14ac:dyDescent="0.2">
      <c r="Y27478" s="97"/>
    </row>
    <row r="27479" spans="25:25" x14ac:dyDescent="0.2">
      <c r="Y27479" s="97"/>
    </row>
    <row r="27480" spans="25:25" x14ac:dyDescent="0.2">
      <c r="Y27480" s="97"/>
    </row>
    <row r="27481" spans="25:25" x14ac:dyDescent="0.2">
      <c r="Y27481" s="97"/>
    </row>
    <row r="27482" spans="25:25" x14ac:dyDescent="0.2">
      <c r="Y27482" s="97"/>
    </row>
    <row r="27483" spans="25:25" x14ac:dyDescent="0.2">
      <c r="Y27483" s="97"/>
    </row>
    <row r="27484" spans="25:25" x14ac:dyDescent="0.2">
      <c r="Y27484" s="97"/>
    </row>
    <row r="27485" spans="25:25" x14ac:dyDescent="0.2">
      <c r="Y27485" s="97"/>
    </row>
    <row r="27486" spans="25:25" x14ac:dyDescent="0.2">
      <c r="Y27486" s="97"/>
    </row>
    <row r="27487" spans="25:25" x14ac:dyDescent="0.2">
      <c r="Y27487" s="97"/>
    </row>
    <row r="27488" spans="25:25" x14ac:dyDescent="0.2">
      <c r="Y27488" s="97"/>
    </row>
    <row r="27489" spans="25:25" x14ac:dyDescent="0.2">
      <c r="Y27489" s="97"/>
    </row>
    <row r="27490" spans="25:25" x14ac:dyDescent="0.2">
      <c r="Y27490" s="97"/>
    </row>
    <row r="27491" spans="25:25" x14ac:dyDescent="0.2">
      <c r="Y27491" s="97"/>
    </row>
    <row r="27492" spans="25:25" x14ac:dyDescent="0.2">
      <c r="Y27492" s="97"/>
    </row>
    <row r="27493" spans="25:25" x14ac:dyDescent="0.2">
      <c r="Y27493" s="97"/>
    </row>
    <row r="27494" spans="25:25" x14ac:dyDescent="0.2">
      <c r="Y27494" s="97"/>
    </row>
    <row r="27495" spans="25:25" x14ac:dyDescent="0.2">
      <c r="Y27495" s="97"/>
    </row>
    <row r="27496" spans="25:25" x14ac:dyDescent="0.2">
      <c r="Y27496" s="97"/>
    </row>
    <row r="27497" spans="25:25" x14ac:dyDescent="0.2">
      <c r="Y27497" s="97"/>
    </row>
    <row r="27498" spans="25:25" x14ac:dyDescent="0.2">
      <c r="Y27498" s="97"/>
    </row>
    <row r="27499" spans="25:25" x14ac:dyDescent="0.2">
      <c r="Y27499" s="97"/>
    </row>
    <row r="27500" spans="25:25" x14ac:dyDescent="0.2">
      <c r="Y27500" s="97"/>
    </row>
    <row r="27501" spans="25:25" x14ac:dyDescent="0.2">
      <c r="Y27501" s="97"/>
    </row>
    <row r="27502" spans="25:25" x14ac:dyDescent="0.2">
      <c r="Y27502" s="97"/>
    </row>
    <row r="27503" spans="25:25" x14ac:dyDescent="0.2">
      <c r="Y27503" s="97"/>
    </row>
    <row r="27504" spans="25:25" x14ac:dyDescent="0.2">
      <c r="Y27504" s="97"/>
    </row>
    <row r="27505" spans="25:25" x14ac:dyDescent="0.2">
      <c r="Y27505" s="97"/>
    </row>
    <row r="27506" spans="25:25" x14ac:dyDescent="0.2">
      <c r="Y27506" s="97"/>
    </row>
    <row r="27507" spans="25:25" x14ac:dyDescent="0.2">
      <c r="Y27507" s="97"/>
    </row>
    <row r="27508" spans="25:25" x14ac:dyDescent="0.2">
      <c r="Y27508" s="97"/>
    </row>
    <row r="27509" spans="25:25" x14ac:dyDescent="0.2">
      <c r="Y27509" s="97"/>
    </row>
    <row r="27510" spans="25:25" x14ac:dyDescent="0.2">
      <c r="Y27510" s="97"/>
    </row>
    <row r="27511" spans="25:25" x14ac:dyDescent="0.2">
      <c r="Y27511" s="97"/>
    </row>
    <row r="27512" spans="25:25" x14ac:dyDescent="0.2">
      <c r="Y27512" s="97"/>
    </row>
    <row r="27513" spans="25:25" x14ac:dyDescent="0.2">
      <c r="Y27513" s="97"/>
    </row>
    <row r="27514" spans="25:25" x14ac:dyDescent="0.2">
      <c r="Y27514" s="97"/>
    </row>
    <row r="27515" spans="25:25" x14ac:dyDescent="0.2">
      <c r="Y27515" s="97"/>
    </row>
    <row r="27516" spans="25:25" x14ac:dyDescent="0.2">
      <c r="Y27516" s="97"/>
    </row>
    <row r="27517" spans="25:25" x14ac:dyDescent="0.2">
      <c r="Y27517" s="97"/>
    </row>
    <row r="27518" spans="25:25" x14ac:dyDescent="0.2">
      <c r="Y27518" s="97"/>
    </row>
    <row r="27519" spans="25:25" x14ac:dyDescent="0.2">
      <c r="Y27519" s="97"/>
    </row>
    <row r="27520" spans="25:25" x14ac:dyDescent="0.2">
      <c r="Y27520" s="97"/>
    </row>
    <row r="27521" spans="25:25" x14ac:dyDescent="0.2">
      <c r="Y27521" s="97"/>
    </row>
    <row r="27522" spans="25:25" x14ac:dyDescent="0.2">
      <c r="Y27522" s="97"/>
    </row>
    <row r="27523" spans="25:25" x14ac:dyDescent="0.2">
      <c r="Y27523" s="97"/>
    </row>
    <row r="27524" spans="25:25" x14ac:dyDescent="0.2">
      <c r="Y27524" s="97"/>
    </row>
    <row r="27525" spans="25:25" x14ac:dyDescent="0.2">
      <c r="Y27525" s="97"/>
    </row>
    <row r="27526" spans="25:25" x14ac:dyDescent="0.2">
      <c r="Y27526" s="97"/>
    </row>
    <row r="27527" spans="25:25" x14ac:dyDescent="0.2">
      <c r="Y27527" s="97"/>
    </row>
    <row r="27528" spans="25:25" x14ac:dyDescent="0.2">
      <c r="Y27528" s="97"/>
    </row>
    <row r="27529" spans="25:25" x14ac:dyDescent="0.2">
      <c r="Y27529" s="97"/>
    </row>
    <row r="27530" spans="25:25" x14ac:dyDescent="0.2">
      <c r="Y27530" s="97"/>
    </row>
    <row r="27531" spans="25:25" x14ac:dyDescent="0.2">
      <c r="Y27531" s="97"/>
    </row>
    <row r="27532" spans="25:25" x14ac:dyDescent="0.2">
      <c r="Y27532" s="97"/>
    </row>
    <row r="27533" spans="25:25" x14ac:dyDescent="0.2">
      <c r="Y27533" s="97"/>
    </row>
    <row r="27534" spans="25:25" x14ac:dyDescent="0.2">
      <c r="Y27534" s="97"/>
    </row>
    <row r="27535" spans="25:25" x14ac:dyDescent="0.2">
      <c r="Y27535" s="97"/>
    </row>
    <row r="27536" spans="25:25" x14ac:dyDescent="0.2">
      <c r="Y27536" s="97"/>
    </row>
    <row r="27537" spans="25:25" x14ac:dyDescent="0.2">
      <c r="Y27537" s="97"/>
    </row>
    <row r="27538" spans="25:25" x14ac:dyDescent="0.2">
      <c r="Y27538" s="97"/>
    </row>
    <row r="27539" spans="25:25" x14ac:dyDescent="0.2">
      <c r="Y27539" s="97"/>
    </row>
    <row r="27540" spans="25:25" x14ac:dyDescent="0.2">
      <c r="Y27540" s="97"/>
    </row>
    <row r="27541" spans="25:25" x14ac:dyDescent="0.2">
      <c r="Y27541" s="97"/>
    </row>
    <row r="27542" spans="25:25" x14ac:dyDescent="0.2">
      <c r="Y27542" s="97"/>
    </row>
    <row r="27543" spans="25:25" x14ac:dyDescent="0.2">
      <c r="Y27543" s="97"/>
    </row>
    <row r="27544" spans="25:25" x14ac:dyDescent="0.2">
      <c r="Y27544" s="97"/>
    </row>
    <row r="27545" spans="25:25" x14ac:dyDescent="0.2">
      <c r="Y27545" s="97"/>
    </row>
    <row r="27546" spans="25:25" x14ac:dyDescent="0.2">
      <c r="Y27546" s="97"/>
    </row>
    <row r="27547" spans="25:25" x14ac:dyDescent="0.2">
      <c r="Y27547" s="97"/>
    </row>
    <row r="27548" spans="25:25" x14ac:dyDescent="0.2">
      <c r="Y27548" s="97"/>
    </row>
    <row r="27549" spans="25:25" x14ac:dyDescent="0.2">
      <c r="Y27549" s="97"/>
    </row>
    <row r="27550" spans="25:25" x14ac:dyDescent="0.2">
      <c r="Y27550" s="97"/>
    </row>
    <row r="27551" spans="25:25" x14ac:dyDescent="0.2">
      <c r="Y27551" s="97"/>
    </row>
    <row r="27552" spans="25:25" x14ac:dyDescent="0.2">
      <c r="Y27552" s="97"/>
    </row>
    <row r="27553" spans="25:25" x14ac:dyDescent="0.2">
      <c r="Y27553" s="97"/>
    </row>
    <row r="27554" spans="25:25" x14ac:dyDescent="0.2">
      <c r="Y27554" s="97"/>
    </row>
    <row r="27555" spans="25:25" x14ac:dyDescent="0.2">
      <c r="Y27555" s="97"/>
    </row>
    <row r="27556" spans="25:25" x14ac:dyDescent="0.2">
      <c r="Y27556" s="97"/>
    </row>
    <row r="27557" spans="25:25" x14ac:dyDescent="0.2">
      <c r="Y27557" s="97"/>
    </row>
    <row r="27558" spans="25:25" x14ac:dyDescent="0.2">
      <c r="Y27558" s="97"/>
    </row>
    <row r="27559" spans="25:25" x14ac:dyDescent="0.2">
      <c r="Y27559" s="97"/>
    </row>
    <row r="27560" spans="25:25" x14ac:dyDescent="0.2">
      <c r="Y27560" s="97"/>
    </row>
    <row r="27561" spans="25:25" x14ac:dyDescent="0.2">
      <c r="Y27561" s="97"/>
    </row>
    <row r="27562" spans="25:25" x14ac:dyDescent="0.2">
      <c r="Y27562" s="97"/>
    </row>
    <row r="27563" spans="25:25" x14ac:dyDescent="0.2">
      <c r="Y27563" s="97"/>
    </row>
    <row r="27564" spans="25:25" x14ac:dyDescent="0.2">
      <c r="Y27564" s="97"/>
    </row>
    <row r="27565" spans="25:25" x14ac:dyDescent="0.2">
      <c r="Y27565" s="97"/>
    </row>
    <row r="27566" spans="25:25" x14ac:dyDescent="0.2">
      <c r="Y27566" s="97"/>
    </row>
    <row r="27567" spans="25:25" x14ac:dyDescent="0.2">
      <c r="Y27567" s="97"/>
    </row>
    <row r="27568" spans="25:25" x14ac:dyDescent="0.2">
      <c r="Y27568" s="97"/>
    </row>
    <row r="27569" spans="25:25" x14ac:dyDescent="0.2">
      <c r="Y27569" s="97"/>
    </row>
    <row r="27570" spans="25:25" x14ac:dyDescent="0.2">
      <c r="Y27570" s="97"/>
    </row>
    <row r="27571" spans="25:25" x14ac:dyDescent="0.2">
      <c r="Y27571" s="97"/>
    </row>
    <row r="27572" spans="25:25" x14ac:dyDescent="0.2">
      <c r="Y27572" s="97"/>
    </row>
    <row r="27573" spans="25:25" x14ac:dyDescent="0.2">
      <c r="Y27573" s="97"/>
    </row>
    <row r="27574" spans="25:25" x14ac:dyDescent="0.2">
      <c r="Y27574" s="97"/>
    </row>
    <row r="27575" spans="25:25" x14ac:dyDescent="0.2">
      <c r="Y27575" s="97"/>
    </row>
    <row r="27576" spans="25:25" x14ac:dyDescent="0.2">
      <c r="Y27576" s="97"/>
    </row>
    <row r="27577" spans="25:25" x14ac:dyDescent="0.2">
      <c r="Y27577" s="97"/>
    </row>
    <row r="27578" spans="25:25" x14ac:dyDescent="0.2">
      <c r="Y27578" s="97"/>
    </row>
    <row r="27579" spans="25:25" x14ac:dyDescent="0.2">
      <c r="Y27579" s="97"/>
    </row>
    <row r="27580" spans="25:25" x14ac:dyDescent="0.2">
      <c r="Y27580" s="97"/>
    </row>
    <row r="27581" spans="25:25" x14ac:dyDescent="0.2">
      <c r="Y27581" s="97"/>
    </row>
    <row r="27582" spans="25:25" x14ac:dyDescent="0.2">
      <c r="Y27582" s="97"/>
    </row>
    <row r="27583" spans="25:25" x14ac:dyDescent="0.2">
      <c r="Y27583" s="97"/>
    </row>
    <row r="27584" spans="25:25" x14ac:dyDescent="0.2">
      <c r="Y27584" s="97"/>
    </row>
    <row r="27585" spans="25:25" x14ac:dyDescent="0.2">
      <c r="Y27585" s="97"/>
    </row>
    <row r="27586" spans="25:25" x14ac:dyDescent="0.2">
      <c r="Y27586" s="97"/>
    </row>
    <row r="27587" spans="25:25" x14ac:dyDescent="0.2">
      <c r="Y27587" s="97"/>
    </row>
    <row r="27588" spans="25:25" x14ac:dyDescent="0.2">
      <c r="Y27588" s="97"/>
    </row>
    <row r="27589" spans="25:25" x14ac:dyDescent="0.2">
      <c r="Y27589" s="97"/>
    </row>
    <row r="27590" spans="25:25" x14ac:dyDescent="0.2">
      <c r="Y27590" s="97"/>
    </row>
    <row r="27591" spans="25:25" x14ac:dyDescent="0.2">
      <c r="Y27591" s="97"/>
    </row>
    <row r="27592" spans="25:25" x14ac:dyDescent="0.2">
      <c r="Y27592" s="97"/>
    </row>
    <row r="27593" spans="25:25" x14ac:dyDescent="0.2">
      <c r="Y27593" s="97"/>
    </row>
    <row r="27594" spans="25:25" x14ac:dyDescent="0.2">
      <c r="Y27594" s="97"/>
    </row>
    <row r="27595" spans="25:25" x14ac:dyDescent="0.2">
      <c r="Y27595" s="97"/>
    </row>
    <row r="27596" spans="25:25" x14ac:dyDescent="0.2">
      <c r="Y27596" s="97"/>
    </row>
    <row r="27597" spans="25:25" x14ac:dyDescent="0.2">
      <c r="Y27597" s="97"/>
    </row>
    <row r="27598" spans="25:25" x14ac:dyDescent="0.2">
      <c r="Y27598" s="97"/>
    </row>
    <row r="27599" spans="25:25" x14ac:dyDescent="0.2">
      <c r="Y27599" s="97"/>
    </row>
    <row r="27600" spans="25:25" x14ac:dyDescent="0.2">
      <c r="Y27600" s="97"/>
    </row>
    <row r="27601" spans="25:25" x14ac:dyDescent="0.2">
      <c r="Y27601" s="97"/>
    </row>
    <row r="27602" spans="25:25" x14ac:dyDescent="0.2">
      <c r="Y27602" s="97"/>
    </row>
    <row r="27603" spans="25:25" x14ac:dyDescent="0.2">
      <c r="Y27603" s="97"/>
    </row>
    <row r="27604" spans="25:25" x14ac:dyDescent="0.2">
      <c r="Y27604" s="97"/>
    </row>
    <row r="27605" spans="25:25" x14ac:dyDescent="0.2">
      <c r="Y27605" s="97"/>
    </row>
    <row r="27606" spans="25:25" x14ac:dyDescent="0.2">
      <c r="Y27606" s="97"/>
    </row>
    <row r="27607" spans="25:25" x14ac:dyDescent="0.2">
      <c r="Y27607" s="97"/>
    </row>
    <row r="27608" spans="25:25" x14ac:dyDescent="0.2">
      <c r="Y27608" s="97"/>
    </row>
    <row r="27609" spans="25:25" x14ac:dyDescent="0.2">
      <c r="Y27609" s="97"/>
    </row>
    <row r="27610" spans="25:25" x14ac:dyDescent="0.2">
      <c r="Y27610" s="97"/>
    </row>
    <row r="27611" spans="25:25" x14ac:dyDescent="0.2">
      <c r="Y27611" s="97"/>
    </row>
    <row r="27612" spans="25:25" x14ac:dyDescent="0.2">
      <c r="Y27612" s="97"/>
    </row>
    <row r="27613" spans="25:25" x14ac:dyDescent="0.2">
      <c r="Y27613" s="97"/>
    </row>
    <row r="27614" spans="25:25" x14ac:dyDescent="0.2">
      <c r="Y27614" s="97"/>
    </row>
    <row r="27615" spans="25:25" x14ac:dyDescent="0.2">
      <c r="Y27615" s="97"/>
    </row>
    <row r="27616" spans="25:25" x14ac:dyDescent="0.2">
      <c r="Y27616" s="97"/>
    </row>
    <row r="27617" spans="25:25" x14ac:dyDescent="0.2">
      <c r="Y27617" s="97"/>
    </row>
    <row r="27618" spans="25:25" x14ac:dyDescent="0.2">
      <c r="Y27618" s="97"/>
    </row>
    <row r="27619" spans="25:25" x14ac:dyDescent="0.2">
      <c r="Y27619" s="97"/>
    </row>
    <row r="27620" spans="25:25" x14ac:dyDescent="0.2">
      <c r="Y27620" s="97"/>
    </row>
    <row r="27621" spans="25:25" x14ac:dyDescent="0.2">
      <c r="Y27621" s="97"/>
    </row>
    <row r="27622" spans="25:25" x14ac:dyDescent="0.2">
      <c r="Y27622" s="97"/>
    </row>
    <row r="27623" spans="25:25" x14ac:dyDescent="0.2">
      <c r="Y27623" s="97"/>
    </row>
    <row r="27624" spans="25:25" x14ac:dyDescent="0.2">
      <c r="Y27624" s="97"/>
    </row>
    <row r="27625" spans="25:25" x14ac:dyDescent="0.2">
      <c r="Y27625" s="97"/>
    </row>
    <row r="27626" spans="25:25" x14ac:dyDescent="0.2">
      <c r="Y27626" s="97"/>
    </row>
    <row r="27627" spans="25:25" x14ac:dyDescent="0.2">
      <c r="Y27627" s="97"/>
    </row>
    <row r="27628" spans="25:25" x14ac:dyDescent="0.2">
      <c r="Y27628" s="97"/>
    </row>
    <row r="27629" spans="25:25" x14ac:dyDescent="0.2">
      <c r="Y27629" s="97"/>
    </row>
    <row r="27630" spans="25:25" x14ac:dyDescent="0.2">
      <c r="Y27630" s="97"/>
    </row>
    <row r="27631" spans="25:25" x14ac:dyDescent="0.2">
      <c r="Y27631" s="97"/>
    </row>
    <row r="27632" spans="25:25" x14ac:dyDescent="0.2">
      <c r="Y27632" s="97"/>
    </row>
    <row r="27633" spans="25:25" x14ac:dyDescent="0.2">
      <c r="Y27633" s="97"/>
    </row>
    <row r="27634" spans="25:25" x14ac:dyDescent="0.2">
      <c r="Y27634" s="97"/>
    </row>
    <row r="27635" spans="25:25" x14ac:dyDescent="0.2">
      <c r="Y27635" s="97"/>
    </row>
    <row r="27636" spans="25:25" x14ac:dyDescent="0.2">
      <c r="Y27636" s="97"/>
    </row>
    <row r="27637" spans="25:25" x14ac:dyDescent="0.2">
      <c r="Y27637" s="97"/>
    </row>
    <row r="27638" spans="25:25" x14ac:dyDescent="0.2">
      <c r="Y27638" s="97"/>
    </row>
    <row r="27639" spans="25:25" x14ac:dyDescent="0.2">
      <c r="Y27639" s="97"/>
    </row>
    <row r="27640" spans="25:25" x14ac:dyDescent="0.2">
      <c r="Y27640" s="97"/>
    </row>
    <row r="27641" spans="25:25" x14ac:dyDescent="0.2">
      <c r="Y27641" s="97"/>
    </row>
    <row r="27642" spans="25:25" x14ac:dyDescent="0.2">
      <c r="Y27642" s="97"/>
    </row>
    <row r="27643" spans="25:25" x14ac:dyDescent="0.2">
      <c r="Y27643" s="97"/>
    </row>
    <row r="27644" spans="25:25" x14ac:dyDescent="0.2">
      <c r="Y27644" s="97"/>
    </row>
    <row r="27645" spans="25:25" x14ac:dyDescent="0.2">
      <c r="Y27645" s="97"/>
    </row>
    <row r="27646" spans="25:25" x14ac:dyDescent="0.2">
      <c r="Y27646" s="97"/>
    </row>
    <row r="27647" spans="25:25" x14ac:dyDescent="0.2">
      <c r="Y27647" s="97"/>
    </row>
    <row r="27648" spans="25:25" x14ac:dyDescent="0.2">
      <c r="Y27648" s="97"/>
    </row>
    <row r="27649" spans="25:25" x14ac:dyDescent="0.2">
      <c r="Y27649" s="97"/>
    </row>
    <row r="27650" spans="25:25" x14ac:dyDescent="0.2">
      <c r="Y27650" s="97"/>
    </row>
    <row r="27651" spans="25:25" x14ac:dyDescent="0.2">
      <c r="Y27651" s="97"/>
    </row>
    <row r="27652" spans="25:25" x14ac:dyDescent="0.2">
      <c r="Y27652" s="97"/>
    </row>
    <row r="27653" spans="25:25" x14ac:dyDescent="0.2">
      <c r="Y27653" s="97"/>
    </row>
    <row r="27654" spans="25:25" x14ac:dyDescent="0.2">
      <c r="Y27654" s="97"/>
    </row>
    <row r="27655" spans="25:25" x14ac:dyDescent="0.2">
      <c r="Y27655" s="97"/>
    </row>
    <row r="27656" spans="25:25" x14ac:dyDescent="0.2">
      <c r="Y27656" s="97"/>
    </row>
    <row r="27657" spans="25:25" x14ac:dyDescent="0.2">
      <c r="Y27657" s="97"/>
    </row>
    <row r="27658" spans="25:25" x14ac:dyDescent="0.2">
      <c r="Y27658" s="97"/>
    </row>
    <row r="27659" spans="25:25" x14ac:dyDescent="0.2">
      <c r="Y27659" s="97"/>
    </row>
    <row r="27660" spans="25:25" x14ac:dyDescent="0.2">
      <c r="Y27660" s="97"/>
    </row>
    <row r="27661" spans="25:25" x14ac:dyDescent="0.2">
      <c r="Y27661" s="97"/>
    </row>
    <row r="27662" spans="25:25" x14ac:dyDescent="0.2">
      <c r="Y27662" s="97"/>
    </row>
    <row r="27663" spans="25:25" x14ac:dyDescent="0.2">
      <c r="Y27663" s="97"/>
    </row>
    <row r="27664" spans="25:25" x14ac:dyDescent="0.2">
      <c r="Y27664" s="97"/>
    </row>
    <row r="27665" spans="25:25" x14ac:dyDescent="0.2">
      <c r="Y27665" s="97"/>
    </row>
    <row r="27666" spans="25:25" x14ac:dyDescent="0.2">
      <c r="Y27666" s="97"/>
    </row>
    <row r="27667" spans="25:25" x14ac:dyDescent="0.2">
      <c r="Y27667" s="97"/>
    </row>
    <row r="27668" spans="25:25" x14ac:dyDescent="0.2">
      <c r="Y27668" s="97"/>
    </row>
    <row r="27669" spans="25:25" x14ac:dyDescent="0.2">
      <c r="Y27669" s="97"/>
    </row>
    <row r="27670" spans="25:25" x14ac:dyDescent="0.2">
      <c r="Y27670" s="97"/>
    </row>
    <row r="27671" spans="25:25" x14ac:dyDescent="0.2">
      <c r="Y27671" s="97"/>
    </row>
    <row r="27672" spans="25:25" x14ac:dyDescent="0.2">
      <c r="Y27672" s="97"/>
    </row>
    <row r="27673" spans="25:25" x14ac:dyDescent="0.2">
      <c r="Y27673" s="97"/>
    </row>
    <row r="27674" spans="25:25" x14ac:dyDescent="0.2">
      <c r="Y27674" s="97"/>
    </row>
    <row r="27675" spans="25:25" x14ac:dyDescent="0.2">
      <c r="Y27675" s="97"/>
    </row>
    <row r="27676" spans="25:25" x14ac:dyDescent="0.2">
      <c r="Y27676" s="97"/>
    </row>
    <row r="27677" spans="25:25" x14ac:dyDescent="0.2">
      <c r="Y27677" s="97"/>
    </row>
    <row r="27678" spans="25:25" x14ac:dyDescent="0.2">
      <c r="Y27678" s="97"/>
    </row>
    <row r="27679" spans="25:25" x14ac:dyDescent="0.2">
      <c r="Y27679" s="97"/>
    </row>
    <row r="27680" spans="25:25" x14ac:dyDescent="0.2">
      <c r="Y27680" s="97"/>
    </row>
    <row r="27681" spans="25:25" x14ac:dyDescent="0.2">
      <c r="Y27681" s="97"/>
    </row>
    <row r="27682" spans="25:25" x14ac:dyDescent="0.2">
      <c r="Y27682" s="97"/>
    </row>
    <row r="27683" spans="25:25" x14ac:dyDescent="0.2">
      <c r="Y27683" s="97"/>
    </row>
    <row r="27684" spans="25:25" x14ac:dyDescent="0.2">
      <c r="Y27684" s="97"/>
    </row>
    <row r="27685" spans="25:25" x14ac:dyDescent="0.2">
      <c r="Y27685" s="97"/>
    </row>
    <row r="27686" spans="25:25" x14ac:dyDescent="0.2">
      <c r="Y27686" s="97"/>
    </row>
    <row r="27687" spans="25:25" x14ac:dyDescent="0.2">
      <c r="Y27687" s="97"/>
    </row>
    <row r="27688" spans="25:25" x14ac:dyDescent="0.2">
      <c r="Y27688" s="97"/>
    </row>
    <row r="27689" spans="25:25" x14ac:dyDescent="0.2">
      <c r="Y27689" s="97"/>
    </row>
    <row r="27690" spans="25:25" x14ac:dyDescent="0.2">
      <c r="Y27690" s="97"/>
    </row>
    <row r="27691" spans="25:25" x14ac:dyDescent="0.2">
      <c r="Y27691" s="97"/>
    </row>
    <row r="27692" spans="25:25" x14ac:dyDescent="0.2">
      <c r="Y27692" s="97"/>
    </row>
    <row r="27693" spans="25:25" x14ac:dyDescent="0.2">
      <c r="Y27693" s="97"/>
    </row>
    <row r="27694" spans="25:25" x14ac:dyDescent="0.2">
      <c r="Y27694" s="97"/>
    </row>
    <row r="27695" spans="25:25" x14ac:dyDescent="0.2">
      <c r="Y27695" s="97"/>
    </row>
    <row r="27696" spans="25:25" x14ac:dyDescent="0.2">
      <c r="Y27696" s="97"/>
    </row>
    <row r="27697" spans="25:25" x14ac:dyDescent="0.2">
      <c r="Y27697" s="97"/>
    </row>
    <row r="27698" spans="25:25" x14ac:dyDescent="0.2">
      <c r="Y27698" s="97"/>
    </row>
    <row r="27699" spans="25:25" x14ac:dyDescent="0.2">
      <c r="Y27699" s="97"/>
    </row>
    <row r="27700" spans="25:25" x14ac:dyDescent="0.2">
      <c r="Y27700" s="97"/>
    </row>
    <row r="27701" spans="25:25" x14ac:dyDescent="0.2">
      <c r="Y27701" s="97"/>
    </row>
    <row r="27702" spans="25:25" x14ac:dyDescent="0.2">
      <c r="Y27702" s="97"/>
    </row>
    <row r="27703" spans="25:25" x14ac:dyDescent="0.2">
      <c r="Y27703" s="97"/>
    </row>
    <row r="27704" spans="25:25" x14ac:dyDescent="0.2">
      <c r="Y27704" s="97"/>
    </row>
    <row r="27705" spans="25:25" x14ac:dyDescent="0.2">
      <c r="Y27705" s="97"/>
    </row>
    <row r="27706" spans="25:25" x14ac:dyDescent="0.2">
      <c r="Y27706" s="97"/>
    </row>
    <row r="27707" spans="25:25" x14ac:dyDescent="0.2">
      <c r="Y27707" s="97"/>
    </row>
    <row r="27708" spans="25:25" x14ac:dyDescent="0.2">
      <c r="Y27708" s="97"/>
    </row>
    <row r="27709" spans="25:25" x14ac:dyDescent="0.2">
      <c r="Y27709" s="97"/>
    </row>
    <row r="27710" spans="25:25" x14ac:dyDescent="0.2">
      <c r="Y27710" s="97"/>
    </row>
    <row r="27711" spans="25:25" x14ac:dyDescent="0.2">
      <c r="Y27711" s="97"/>
    </row>
    <row r="27712" spans="25:25" x14ac:dyDescent="0.2">
      <c r="Y27712" s="97"/>
    </row>
    <row r="27713" spans="25:25" x14ac:dyDescent="0.2">
      <c r="Y27713" s="97"/>
    </row>
    <row r="27714" spans="25:25" x14ac:dyDescent="0.2">
      <c r="Y27714" s="97"/>
    </row>
    <row r="27715" spans="25:25" x14ac:dyDescent="0.2">
      <c r="Y27715" s="97"/>
    </row>
    <row r="27716" spans="25:25" x14ac:dyDescent="0.2">
      <c r="Y27716" s="97"/>
    </row>
    <row r="27717" spans="25:25" x14ac:dyDescent="0.2">
      <c r="Y27717" s="97"/>
    </row>
    <row r="27718" spans="25:25" x14ac:dyDescent="0.2">
      <c r="Y27718" s="97"/>
    </row>
    <row r="27719" spans="25:25" x14ac:dyDescent="0.2">
      <c r="Y27719" s="97"/>
    </row>
    <row r="27720" spans="25:25" x14ac:dyDescent="0.2">
      <c r="Y27720" s="97"/>
    </row>
    <row r="27721" spans="25:25" x14ac:dyDescent="0.2">
      <c r="Y27721" s="97"/>
    </row>
    <row r="27722" spans="25:25" x14ac:dyDescent="0.2">
      <c r="Y27722" s="97"/>
    </row>
    <row r="27723" spans="25:25" x14ac:dyDescent="0.2">
      <c r="Y27723" s="97"/>
    </row>
    <row r="27724" spans="25:25" x14ac:dyDescent="0.2">
      <c r="Y27724" s="97"/>
    </row>
    <row r="27725" spans="25:25" x14ac:dyDescent="0.2">
      <c r="Y27725" s="97"/>
    </row>
    <row r="27726" spans="25:25" x14ac:dyDescent="0.2">
      <c r="Y27726" s="97"/>
    </row>
    <row r="27727" spans="25:25" x14ac:dyDescent="0.2">
      <c r="Y27727" s="97"/>
    </row>
    <row r="27728" spans="25:25" x14ac:dyDescent="0.2">
      <c r="Y27728" s="97"/>
    </row>
    <row r="27729" spans="25:25" x14ac:dyDescent="0.2">
      <c r="Y27729" s="97"/>
    </row>
    <row r="27730" spans="25:25" x14ac:dyDescent="0.2">
      <c r="Y27730" s="97"/>
    </row>
    <row r="27731" spans="25:25" x14ac:dyDescent="0.2">
      <c r="Y27731" s="97"/>
    </row>
    <row r="27732" spans="25:25" x14ac:dyDescent="0.2">
      <c r="Y27732" s="97"/>
    </row>
    <row r="27733" spans="25:25" x14ac:dyDescent="0.2">
      <c r="Y27733" s="97"/>
    </row>
    <row r="27734" spans="25:25" x14ac:dyDescent="0.2">
      <c r="Y27734" s="97"/>
    </row>
    <row r="27735" spans="25:25" x14ac:dyDescent="0.2">
      <c r="Y27735" s="97"/>
    </row>
    <row r="27736" spans="25:25" x14ac:dyDescent="0.2">
      <c r="Y27736" s="97"/>
    </row>
    <row r="27737" spans="25:25" x14ac:dyDescent="0.2">
      <c r="Y27737" s="97"/>
    </row>
    <row r="27738" spans="25:25" x14ac:dyDescent="0.2">
      <c r="Y27738" s="97"/>
    </row>
    <row r="27739" spans="25:25" x14ac:dyDescent="0.2">
      <c r="Y27739" s="97"/>
    </row>
    <row r="27740" spans="25:25" x14ac:dyDescent="0.2">
      <c r="Y27740" s="97"/>
    </row>
    <row r="27741" spans="25:25" x14ac:dyDescent="0.2">
      <c r="Y27741" s="97"/>
    </row>
    <row r="27742" spans="25:25" x14ac:dyDescent="0.2">
      <c r="Y27742" s="97"/>
    </row>
    <row r="27743" spans="25:25" x14ac:dyDescent="0.2">
      <c r="Y27743" s="97"/>
    </row>
    <row r="27744" spans="25:25" x14ac:dyDescent="0.2">
      <c r="Y27744" s="97"/>
    </row>
    <row r="27745" spans="25:25" x14ac:dyDescent="0.2">
      <c r="Y27745" s="97"/>
    </row>
    <row r="27746" spans="25:25" x14ac:dyDescent="0.2">
      <c r="Y27746" s="97"/>
    </row>
    <row r="27747" spans="25:25" x14ac:dyDescent="0.2">
      <c r="Y27747" s="97"/>
    </row>
    <row r="27748" spans="25:25" x14ac:dyDescent="0.2">
      <c r="Y27748" s="97"/>
    </row>
    <row r="27749" spans="25:25" x14ac:dyDescent="0.2">
      <c r="Y27749" s="97"/>
    </row>
    <row r="27750" spans="25:25" x14ac:dyDescent="0.2">
      <c r="Y27750" s="97"/>
    </row>
    <row r="27751" spans="25:25" x14ac:dyDescent="0.2">
      <c r="Y27751" s="97"/>
    </row>
    <row r="27752" spans="25:25" x14ac:dyDescent="0.2">
      <c r="Y27752" s="97"/>
    </row>
    <row r="27753" spans="25:25" x14ac:dyDescent="0.2">
      <c r="Y27753" s="97"/>
    </row>
    <row r="27754" spans="25:25" x14ac:dyDescent="0.2">
      <c r="Y27754" s="97"/>
    </row>
    <row r="27755" spans="25:25" x14ac:dyDescent="0.2">
      <c r="Y27755" s="97"/>
    </row>
    <row r="27756" spans="25:25" x14ac:dyDescent="0.2">
      <c r="Y27756" s="97"/>
    </row>
    <row r="27757" spans="25:25" x14ac:dyDescent="0.2">
      <c r="Y27757" s="97"/>
    </row>
    <row r="27758" spans="25:25" x14ac:dyDescent="0.2">
      <c r="Y27758" s="97"/>
    </row>
    <row r="27759" spans="25:25" x14ac:dyDescent="0.2">
      <c r="Y27759" s="97"/>
    </row>
    <row r="27760" spans="25:25" x14ac:dyDescent="0.2">
      <c r="Y27760" s="97"/>
    </row>
    <row r="27761" spans="25:25" x14ac:dyDescent="0.2">
      <c r="Y27761" s="97"/>
    </row>
    <row r="27762" spans="25:25" x14ac:dyDescent="0.2">
      <c r="Y27762" s="97"/>
    </row>
    <row r="27763" spans="25:25" x14ac:dyDescent="0.2">
      <c r="Y27763" s="97"/>
    </row>
    <row r="27764" spans="25:25" x14ac:dyDescent="0.2">
      <c r="Y27764" s="97"/>
    </row>
    <row r="27765" spans="25:25" x14ac:dyDescent="0.2">
      <c r="Y27765" s="97"/>
    </row>
    <row r="27766" spans="25:25" x14ac:dyDescent="0.2">
      <c r="Y27766" s="97"/>
    </row>
    <row r="27767" spans="25:25" x14ac:dyDescent="0.2">
      <c r="Y27767" s="97"/>
    </row>
    <row r="27768" spans="25:25" x14ac:dyDescent="0.2">
      <c r="Y27768" s="97"/>
    </row>
    <row r="27769" spans="25:25" x14ac:dyDescent="0.2">
      <c r="Y27769" s="97"/>
    </row>
    <row r="27770" spans="25:25" x14ac:dyDescent="0.2">
      <c r="Y27770" s="97"/>
    </row>
    <row r="27771" spans="25:25" x14ac:dyDescent="0.2">
      <c r="Y27771" s="97"/>
    </row>
    <row r="27772" spans="25:25" x14ac:dyDescent="0.2">
      <c r="Y27772" s="97"/>
    </row>
    <row r="27773" spans="25:25" x14ac:dyDescent="0.2">
      <c r="Y27773" s="97"/>
    </row>
    <row r="27774" spans="25:25" x14ac:dyDescent="0.2">
      <c r="Y27774" s="97"/>
    </row>
    <row r="27775" spans="25:25" x14ac:dyDescent="0.2">
      <c r="Y27775" s="97"/>
    </row>
    <row r="27776" spans="25:25" x14ac:dyDescent="0.2">
      <c r="Y27776" s="97"/>
    </row>
    <row r="27777" spans="25:25" x14ac:dyDescent="0.2">
      <c r="Y27777" s="97"/>
    </row>
    <row r="27778" spans="25:25" x14ac:dyDescent="0.2">
      <c r="Y27778" s="97"/>
    </row>
    <row r="27779" spans="25:25" x14ac:dyDescent="0.2">
      <c r="Y27779" s="97"/>
    </row>
    <row r="27780" spans="25:25" x14ac:dyDescent="0.2">
      <c r="Y27780" s="97"/>
    </row>
    <row r="27781" spans="25:25" x14ac:dyDescent="0.2">
      <c r="Y27781" s="97"/>
    </row>
    <row r="27782" spans="25:25" x14ac:dyDescent="0.2">
      <c r="Y27782" s="97"/>
    </row>
    <row r="27783" spans="25:25" x14ac:dyDescent="0.2">
      <c r="Y27783" s="97"/>
    </row>
    <row r="27784" spans="25:25" x14ac:dyDescent="0.2">
      <c r="Y27784" s="97"/>
    </row>
    <row r="27785" spans="25:25" x14ac:dyDescent="0.2">
      <c r="Y27785" s="97"/>
    </row>
    <row r="27786" spans="25:25" x14ac:dyDescent="0.2">
      <c r="Y27786" s="97"/>
    </row>
    <row r="27787" spans="25:25" x14ac:dyDescent="0.2">
      <c r="Y27787" s="97"/>
    </row>
    <row r="27788" spans="25:25" x14ac:dyDescent="0.2">
      <c r="Y27788" s="97"/>
    </row>
    <row r="27789" spans="25:25" x14ac:dyDescent="0.2">
      <c r="Y27789" s="97"/>
    </row>
    <row r="27790" spans="25:25" x14ac:dyDescent="0.2">
      <c r="Y27790" s="97"/>
    </row>
    <row r="27791" spans="25:25" x14ac:dyDescent="0.2">
      <c r="Y27791" s="97"/>
    </row>
    <row r="27792" spans="25:25" x14ac:dyDescent="0.2">
      <c r="Y27792" s="97"/>
    </row>
    <row r="27793" spans="25:25" x14ac:dyDescent="0.2">
      <c r="Y27793" s="97"/>
    </row>
    <row r="27794" spans="25:25" x14ac:dyDescent="0.2">
      <c r="Y27794" s="97"/>
    </row>
    <row r="27795" spans="25:25" x14ac:dyDescent="0.2">
      <c r="Y27795" s="97"/>
    </row>
    <row r="27796" spans="25:25" x14ac:dyDescent="0.2">
      <c r="Y27796" s="97"/>
    </row>
    <row r="27797" spans="25:25" x14ac:dyDescent="0.2">
      <c r="Y27797" s="97"/>
    </row>
    <row r="27798" spans="25:25" x14ac:dyDescent="0.2">
      <c r="Y27798" s="97"/>
    </row>
    <row r="27799" spans="25:25" x14ac:dyDescent="0.2">
      <c r="Y27799" s="97"/>
    </row>
    <row r="27800" spans="25:25" x14ac:dyDescent="0.2">
      <c r="Y27800" s="97"/>
    </row>
    <row r="27801" spans="25:25" x14ac:dyDescent="0.2">
      <c r="Y27801" s="97"/>
    </row>
    <row r="27802" spans="25:25" x14ac:dyDescent="0.2">
      <c r="Y27802" s="97"/>
    </row>
    <row r="27803" spans="25:25" x14ac:dyDescent="0.2">
      <c r="Y27803" s="97"/>
    </row>
    <row r="27804" spans="25:25" x14ac:dyDescent="0.2">
      <c r="Y27804" s="97"/>
    </row>
    <row r="27805" spans="25:25" x14ac:dyDescent="0.2">
      <c r="Y27805" s="97"/>
    </row>
    <row r="27806" spans="25:25" x14ac:dyDescent="0.2">
      <c r="Y27806" s="97"/>
    </row>
    <row r="27807" spans="25:25" x14ac:dyDescent="0.2">
      <c r="Y27807" s="97"/>
    </row>
    <row r="27808" spans="25:25" x14ac:dyDescent="0.2">
      <c r="Y27808" s="97"/>
    </row>
    <row r="27809" spans="25:25" x14ac:dyDescent="0.2">
      <c r="Y27809" s="97"/>
    </row>
    <row r="27810" spans="25:25" x14ac:dyDescent="0.2">
      <c r="Y27810" s="97"/>
    </row>
    <row r="27811" spans="25:25" x14ac:dyDescent="0.2">
      <c r="Y27811" s="97"/>
    </row>
    <row r="27812" spans="25:25" x14ac:dyDescent="0.2">
      <c r="Y27812" s="97"/>
    </row>
    <row r="27813" spans="25:25" x14ac:dyDescent="0.2">
      <c r="Y27813" s="97"/>
    </row>
    <row r="27814" spans="25:25" x14ac:dyDescent="0.2">
      <c r="Y27814" s="97"/>
    </row>
    <row r="27815" spans="25:25" x14ac:dyDescent="0.2">
      <c r="Y27815" s="97"/>
    </row>
    <row r="27816" spans="25:25" x14ac:dyDescent="0.2">
      <c r="Y27816" s="97"/>
    </row>
    <row r="27817" spans="25:25" x14ac:dyDescent="0.2">
      <c r="Y27817" s="97"/>
    </row>
    <row r="27818" spans="25:25" x14ac:dyDescent="0.2">
      <c r="Y27818" s="97"/>
    </row>
    <row r="27819" spans="25:25" x14ac:dyDescent="0.2">
      <c r="Y27819" s="97"/>
    </row>
    <row r="27820" spans="25:25" x14ac:dyDescent="0.2">
      <c r="Y27820" s="97"/>
    </row>
    <row r="27821" spans="25:25" x14ac:dyDescent="0.2">
      <c r="Y27821" s="97"/>
    </row>
    <row r="27822" spans="25:25" x14ac:dyDescent="0.2">
      <c r="Y27822" s="97"/>
    </row>
    <row r="27823" spans="25:25" x14ac:dyDescent="0.2">
      <c r="Y27823" s="97"/>
    </row>
    <row r="27824" spans="25:25" x14ac:dyDescent="0.2">
      <c r="Y27824" s="97"/>
    </row>
    <row r="27825" spans="25:25" x14ac:dyDescent="0.2">
      <c r="Y27825" s="97"/>
    </row>
    <row r="27826" spans="25:25" x14ac:dyDescent="0.2">
      <c r="Y27826" s="97"/>
    </row>
    <row r="27827" spans="25:25" x14ac:dyDescent="0.2">
      <c r="Y27827" s="97"/>
    </row>
    <row r="27828" spans="25:25" x14ac:dyDescent="0.2">
      <c r="Y27828" s="97"/>
    </row>
    <row r="27829" spans="25:25" x14ac:dyDescent="0.2">
      <c r="Y27829" s="97"/>
    </row>
    <row r="27830" spans="25:25" x14ac:dyDescent="0.2">
      <c r="Y27830" s="97"/>
    </row>
    <row r="27831" spans="25:25" x14ac:dyDescent="0.2">
      <c r="Y27831" s="97"/>
    </row>
    <row r="27832" spans="25:25" x14ac:dyDescent="0.2">
      <c r="Y27832" s="97"/>
    </row>
    <row r="27833" spans="25:25" x14ac:dyDescent="0.2">
      <c r="Y27833" s="97"/>
    </row>
    <row r="27834" spans="25:25" x14ac:dyDescent="0.2">
      <c r="Y27834" s="97"/>
    </row>
    <row r="27835" spans="25:25" x14ac:dyDescent="0.2">
      <c r="Y27835" s="97"/>
    </row>
    <row r="27836" spans="25:25" x14ac:dyDescent="0.2">
      <c r="Y27836" s="97"/>
    </row>
    <row r="27837" spans="25:25" x14ac:dyDescent="0.2">
      <c r="Y27837" s="97"/>
    </row>
    <row r="27838" spans="25:25" x14ac:dyDescent="0.2">
      <c r="Y27838" s="97"/>
    </row>
    <row r="27839" spans="25:25" x14ac:dyDescent="0.2">
      <c r="Y27839" s="97"/>
    </row>
    <row r="27840" spans="25:25" x14ac:dyDescent="0.2">
      <c r="Y27840" s="97"/>
    </row>
    <row r="27841" spans="25:25" x14ac:dyDescent="0.2">
      <c r="Y27841" s="97"/>
    </row>
    <row r="27842" spans="25:25" x14ac:dyDescent="0.2">
      <c r="Y27842" s="97"/>
    </row>
    <row r="27843" spans="25:25" x14ac:dyDescent="0.2">
      <c r="Y27843" s="97"/>
    </row>
    <row r="27844" spans="25:25" x14ac:dyDescent="0.2">
      <c r="Y27844" s="97"/>
    </row>
    <row r="27845" spans="25:25" x14ac:dyDescent="0.2">
      <c r="Y27845" s="97"/>
    </row>
    <row r="27846" spans="25:25" x14ac:dyDescent="0.2">
      <c r="Y27846" s="97"/>
    </row>
    <row r="27847" spans="25:25" x14ac:dyDescent="0.2">
      <c r="Y27847" s="97"/>
    </row>
    <row r="27848" spans="25:25" x14ac:dyDescent="0.2">
      <c r="Y27848" s="97"/>
    </row>
    <row r="27849" spans="25:25" x14ac:dyDescent="0.2">
      <c r="Y27849" s="97"/>
    </row>
    <row r="27850" spans="25:25" x14ac:dyDescent="0.2">
      <c r="Y27850" s="97"/>
    </row>
    <row r="27851" spans="25:25" x14ac:dyDescent="0.2">
      <c r="Y27851" s="97"/>
    </row>
    <row r="27852" spans="25:25" x14ac:dyDescent="0.2">
      <c r="Y27852" s="97"/>
    </row>
    <row r="27853" spans="25:25" x14ac:dyDescent="0.2">
      <c r="Y27853" s="97"/>
    </row>
    <row r="27854" spans="25:25" x14ac:dyDescent="0.2">
      <c r="Y27854" s="97"/>
    </row>
    <row r="27855" spans="25:25" x14ac:dyDescent="0.2">
      <c r="Y27855" s="97"/>
    </row>
    <row r="27856" spans="25:25" x14ac:dyDescent="0.2">
      <c r="Y27856" s="97"/>
    </row>
    <row r="27857" spans="25:25" x14ac:dyDescent="0.2">
      <c r="Y27857" s="97"/>
    </row>
    <row r="27858" spans="25:25" x14ac:dyDescent="0.2">
      <c r="Y27858" s="97"/>
    </row>
    <row r="27859" spans="25:25" x14ac:dyDescent="0.2">
      <c r="Y27859" s="97"/>
    </row>
    <row r="27860" spans="25:25" x14ac:dyDescent="0.2">
      <c r="Y27860" s="97"/>
    </row>
    <row r="27861" spans="25:25" x14ac:dyDescent="0.2">
      <c r="Y27861" s="97"/>
    </row>
    <row r="27862" spans="25:25" x14ac:dyDescent="0.2">
      <c r="Y27862" s="97"/>
    </row>
    <row r="27863" spans="25:25" x14ac:dyDescent="0.2">
      <c r="Y27863" s="97"/>
    </row>
    <row r="27864" spans="25:25" x14ac:dyDescent="0.2">
      <c r="Y27864" s="97"/>
    </row>
    <row r="27865" spans="25:25" x14ac:dyDescent="0.2">
      <c r="Y27865" s="97"/>
    </row>
    <row r="27866" spans="25:25" x14ac:dyDescent="0.2">
      <c r="Y27866" s="97"/>
    </row>
    <row r="27867" spans="25:25" x14ac:dyDescent="0.2">
      <c r="Y27867" s="97"/>
    </row>
    <row r="27868" spans="25:25" x14ac:dyDescent="0.2">
      <c r="Y27868" s="97"/>
    </row>
    <row r="27869" spans="25:25" x14ac:dyDescent="0.2">
      <c r="Y27869" s="97"/>
    </row>
    <row r="27870" spans="25:25" x14ac:dyDescent="0.2">
      <c r="Y27870" s="97"/>
    </row>
    <row r="27871" spans="25:25" x14ac:dyDescent="0.2">
      <c r="Y27871" s="97"/>
    </row>
    <row r="27872" spans="25:25" x14ac:dyDescent="0.2">
      <c r="Y27872" s="97"/>
    </row>
    <row r="27873" spans="25:25" x14ac:dyDescent="0.2">
      <c r="Y27873" s="97"/>
    </row>
    <row r="27874" spans="25:25" x14ac:dyDescent="0.2">
      <c r="Y27874" s="97"/>
    </row>
    <row r="27875" spans="25:25" x14ac:dyDescent="0.2">
      <c r="Y27875" s="97"/>
    </row>
    <row r="27876" spans="25:25" x14ac:dyDescent="0.2">
      <c r="Y27876" s="97"/>
    </row>
    <row r="27877" spans="25:25" x14ac:dyDescent="0.2">
      <c r="Y27877" s="97"/>
    </row>
    <row r="27878" spans="25:25" x14ac:dyDescent="0.2">
      <c r="Y27878" s="97"/>
    </row>
    <row r="27879" spans="25:25" x14ac:dyDescent="0.2">
      <c r="Y27879" s="97"/>
    </row>
    <row r="27880" spans="25:25" x14ac:dyDescent="0.2">
      <c r="Y27880" s="97"/>
    </row>
    <row r="27881" spans="25:25" x14ac:dyDescent="0.2">
      <c r="Y27881" s="97"/>
    </row>
    <row r="27882" spans="25:25" x14ac:dyDescent="0.2">
      <c r="Y27882" s="97"/>
    </row>
    <row r="27883" spans="25:25" x14ac:dyDescent="0.2">
      <c r="Y27883" s="97"/>
    </row>
    <row r="27884" spans="25:25" x14ac:dyDescent="0.2">
      <c r="Y27884" s="97"/>
    </row>
    <row r="27885" spans="25:25" x14ac:dyDescent="0.2">
      <c r="Y27885" s="97"/>
    </row>
    <row r="27886" spans="25:25" x14ac:dyDescent="0.2">
      <c r="Y27886" s="97"/>
    </row>
    <row r="27887" spans="25:25" x14ac:dyDescent="0.2">
      <c r="Y27887" s="97"/>
    </row>
    <row r="27888" spans="25:25" x14ac:dyDescent="0.2">
      <c r="Y27888" s="97"/>
    </row>
    <row r="27889" spans="25:25" x14ac:dyDescent="0.2">
      <c r="Y27889" s="97"/>
    </row>
    <row r="27890" spans="25:25" x14ac:dyDescent="0.2">
      <c r="Y27890" s="97"/>
    </row>
    <row r="27891" spans="25:25" x14ac:dyDescent="0.2">
      <c r="Y27891" s="97"/>
    </row>
    <row r="27892" spans="25:25" x14ac:dyDescent="0.2">
      <c r="Y27892" s="97"/>
    </row>
    <row r="27893" spans="25:25" x14ac:dyDescent="0.2">
      <c r="Y27893" s="97"/>
    </row>
    <row r="27894" spans="25:25" x14ac:dyDescent="0.2">
      <c r="Y27894" s="97"/>
    </row>
    <row r="27895" spans="25:25" x14ac:dyDescent="0.2">
      <c r="Y27895" s="97"/>
    </row>
    <row r="27896" spans="25:25" x14ac:dyDescent="0.2">
      <c r="Y27896" s="97"/>
    </row>
    <row r="27897" spans="25:25" x14ac:dyDescent="0.2">
      <c r="Y27897" s="97"/>
    </row>
    <row r="27898" spans="25:25" x14ac:dyDescent="0.2">
      <c r="Y27898" s="97"/>
    </row>
    <row r="27899" spans="25:25" x14ac:dyDescent="0.2">
      <c r="Y27899" s="97"/>
    </row>
    <row r="27900" spans="25:25" x14ac:dyDescent="0.2">
      <c r="Y27900" s="97"/>
    </row>
    <row r="27901" spans="25:25" x14ac:dyDescent="0.2">
      <c r="Y27901" s="97"/>
    </row>
    <row r="27902" spans="25:25" x14ac:dyDescent="0.2">
      <c r="Y27902" s="97"/>
    </row>
    <row r="27903" spans="25:25" x14ac:dyDescent="0.2">
      <c r="Y27903" s="97"/>
    </row>
    <row r="27904" spans="25:25" x14ac:dyDescent="0.2">
      <c r="Y27904" s="97"/>
    </row>
    <row r="27905" spans="25:25" x14ac:dyDescent="0.2">
      <c r="Y27905" s="97"/>
    </row>
    <row r="27906" spans="25:25" x14ac:dyDescent="0.2">
      <c r="Y27906" s="97"/>
    </row>
    <row r="27907" spans="25:25" x14ac:dyDescent="0.2">
      <c r="Y27907" s="97"/>
    </row>
    <row r="27908" spans="25:25" x14ac:dyDescent="0.2">
      <c r="Y27908" s="97"/>
    </row>
    <row r="27909" spans="25:25" x14ac:dyDescent="0.2">
      <c r="Y27909" s="97"/>
    </row>
    <row r="27910" spans="25:25" x14ac:dyDescent="0.2">
      <c r="Y27910" s="97"/>
    </row>
    <row r="27911" spans="25:25" x14ac:dyDescent="0.2">
      <c r="Y27911" s="97"/>
    </row>
    <row r="27912" spans="25:25" x14ac:dyDescent="0.2">
      <c r="Y27912" s="97"/>
    </row>
    <row r="27913" spans="25:25" x14ac:dyDescent="0.2">
      <c r="Y27913" s="97"/>
    </row>
    <row r="27914" spans="25:25" x14ac:dyDescent="0.2">
      <c r="Y27914" s="97"/>
    </row>
    <row r="27915" spans="25:25" x14ac:dyDescent="0.2">
      <c r="Y27915" s="97"/>
    </row>
    <row r="27916" spans="25:25" x14ac:dyDescent="0.2">
      <c r="Y27916" s="97"/>
    </row>
    <row r="27917" spans="25:25" x14ac:dyDescent="0.2">
      <c r="Y27917" s="97"/>
    </row>
    <row r="27918" spans="25:25" x14ac:dyDescent="0.2">
      <c r="Y27918" s="97"/>
    </row>
    <row r="27919" spans="25:25" x14ac:dyDescent="0.2">
      <c r="Y27919" s="97"/>
    </row>
    <row r="27920" spans="25:25" x14ac:dyDescent="0.2">
      <c r="Y27920" s="97"/>
    </row>
    <row r="27921" spans="25:25" x14ac:dyDescent="0.2">
      <c r="Y27921" s="97"/>
    </row>
    <row r="27922" spans="25:25" x14ac:dyDescent="0.2">
      <c r="Y27922" s="97"/>
    </row>
    <row r="27923" spans="25:25" x14ac:dyDescent="0.2">
      <c r="Y27923" s="97"/>
    </row>
    <row r="27924" spans="25:25" x14ac:dyDescent="0.2">
      <c r="Y27924" s="97"/>
    </row>
    <row r="27925" spans="25:25" x14ac:dyDescent="0.2">
      <c r="Y27925" s="97"/>
    </row>
    <row r="27926" spans="25:25" x14ac:dyDescent="0.2">
      <c r="Y27926" s="97"/>
    </row>
    <row r="27927" spans="25:25" x14ac:dyDescent="0.2">
      <c r="Y27927" s="97"/>
    </row>
    <row r="27928" spans="25:25" x14ac:dyDescent="0.2">
      <c r="Y27928" s="97"/>
    </row>
    <row r="27929" spans="25:25" x14ac:dyDescent="0.2">
      <c r="Y27929" s="97"/>
    </row>
    <row r="27930" spans="25:25" x14ac:dyDescent="0.2">
      <c r="Y27930" s="97"/>
    </row>
    <row r="27931" spans="25:25" x14ac:dyDescent="0.2">
      <c r="Y27931" s="97"/>
    </row>
    <row r="27932" spans="25:25" x14ac:dyDescent="0.2">
      <c r="Y27932" s="97"/>
    </row>
    <row r="27933" spans="25:25" x14ac:dyDescent="0.2">
      <c r="Y27933" s="97"/>
    </row>
    <row r="27934" spans="25:25" x14ac:dyDescent="0.2">
      <c r="Y27934" s="97"/>
    </row>
    <row r="27935" spans="25:25" x14ac:dyDescent="0.2">
      <c r="Y27935" s="97"/>
    </row>
    <row r="27936" spans="25:25" x14ac:dyDescent="0.2">
      <c r="Y27936" s="97"/>
    </row>
    <row r="27937" spans="25:25" x14ac:dyDescent="0.2">
      <c r="Y27937" s="97"/>
    </row>
    <row r="27938" spans="25:25" x14ac:dyDescent="0.2">
      <c r="Y27938" s="97"/>
    </row>
    <row r="27939" spans="25:25" x14ac:dyDescent="0.2">
      <c r="Y27939" s="97"/>
    </row>
    <row r="27940" spans="25:25" x14ac:dyDescent="0.2">
      <c r="Y27940" s="97"/>
    </row>
    <row r="27941" spans="25:25" x14ac:dyDescent="0.2">
      <c r="Y27941" s="97"/>
    </row>
    <row r="27942" spans="25:25" x14ac:dyDescent="0.2">
      <c r="Y27942" s="97"/>
    </row>
    <row r="27943" spans="25:25" x14ac:dyDescent="0.2">
      <c r="Y27943" s="97"/>
    </row>
    <row r="27944" spans="25:25" x14ac:dyDescent="0.2">
      <c r="Y27944" s="97"/>
    </row>
    <row r="27945" spans="25:25" x14ac:dyDescent="0.2">
      <c r="Y27945" s="97"/>
    </row>
    <row r="27946" spans="25:25" x14ac:dyDescent="0.2">
      <c r="Y27946" s="97"/>
    </row>
    <row r="27947" spans="25:25" x14ac:dyDescent="0.2">
      <c r="Y27947" s="97"/>
    </row>
    <row r="27948" spans="25:25" x14ac:dyDescent="0.2">
      <c r="Y27948" s="97"/>
    </row>
    <row r="27949" spans="25:25" x14ac:dyDescent="0.2">
      <c r="Y27949" s="97"/>
    </row>
    <row r="27950" spans="25:25" x14ac:dyDescent="0.2">
      <c r="Y27950" s="97"/>
    </row>
    <row r="27951" spans="25:25" x14ac:dyDescent="0.2">
      <c r="Y27951" s="97"/>
    </row>
    <row r="27952" spans="25:25" x14ac:dyDescent="0.2">
      <c r="Y27952" s="97"/>
    </row>
    <row r="27953" spans="25:25" x14ac:dyDescent="0.2">
      <c r="Y27953" s="97"/>
    </row>
    <row r="27954" spans="25:25" x14ac:dyDescent="0.2">
      <c r="Y27954" s="97"/>
    </row>
    <row r="27955" spans="25:25" x14ac:dyDescent="0.2">
      <c r="Y27955" s="97"/>
    </row>
    <row r="27956" spans="25:25" x14ac:dyDescent="0.2">
      <c r="Y27956" s="97"/>
    </row>
    <row r="27957" spans="25:25" x14ac:dyDescent="0.2">
      <c r="Y27957" s="97"/>
    </row>
    <row r="27958" spans="25:25" x14ac:dyDescent="0.2">
      <c r="Y27958" s="97"/>
    </row>
    <row r="27959" spans="25:25" x14ac:dyDescent="0.2">
      <c r="Y27959" s="97"/>
    </row>
    <row r="27960" spans="25:25" x14ac:dyDescent="0.2">
      <c r="Y27960" s="97"/>
    </row>
    <row r="27961" spans="25:25" x14ac:dyDescent="0.2">
      <c r="Y27961" s="97"/>
    </row>
    <row r="27962" spans="25:25" x14ac:dyDescent="0.2">
      <c r="Y27962" s="97"/>
    </row>
    <row r="27963" spans="25:25" x14ac:dyDescent="0.2">
      <c r="Y27963" s="97"/>
    </row>
    <row r="27964" spans="25:25" x14ac:dyDescent="0.2">
      <c r="Y27964" s="97"/>
    </row>
    <row r="27965" spans="25:25" x14ac:dyDescent="0.2">
      <c r="Y27965" s="97"/>
    </row>
    <row r="27966" spans="25:25" x14ac:dyDescent="0.2">
      <c r="Y27966" s="97"/>
    </row>
    <row r="27967" spans="25:25" x14ac:dyDescent="0.2">
      <c r="Y27967" s="97"/>
    </row>
    <row r="27968" spans="25:25" x14ac:dyDescent="0.2">
      <c r="Y27968" s="97"/>
    </row>
    <row r="27969" spans="25:25" x14ac:dyDescent="0.2">
      <c r="Y27969" s="97"/>
    </row>
    <row r="27970" spans="25:25" x14ac:dyDescent="0.2">
      <c r="Y27970" s="97"/>
    </row>
    <row r="27971" spans="25:25" x14ac:dyDescent="0.2">
      <c r="Y27971" s="97"/>
    </row>
    <row r="27972" spans="25:25" x14ac:dyDescent="0.2">
      <c r="Y27972" s="97"/>
    </row>
    <row r="27973" spans="25:25" x14ac:dyDescent="0.2">
      <c r="Y27973" s="97"/>
    </row>
    <row r="27974" spans="25:25" x14ac:dyDescent="0.2">
      <c r="Y27974" s="97"/>
    </row>
    <row r="27975" spans="25:25" x14ac:dyDescent="0.2">
      <c r="Y27975" s="97"/>
    </row>
    <row r="27976" spans="25:25" x14ac:dyDescent="0.2">
      <c r="Y27976" s="97"/>
    </row>
    <row r="27977" spans="25:25" x14ac:dyDescent="0.2">
      <c r="Y27977" s="97"/>
    </row>
    <row r="27978" spans="25:25" x14ac:dyDescent="0.2">
      <c r="Y27978" s="97"/>
    </row>
    <row r="27979" spans="25:25" x14ac:dyDescent="0.2">
      <c r="Y27979" s="97"/>
    </row>
    <row r="27980" spans="25:25" x14ac:dyDescent="0.2">
      <c r="Y27980" s="97"/>
    </row>
    <row r="27981" spans="25:25" x14ac:dyDescent="0.2">
      <c r="Y27981" s="97"/>
    </row>
    <row r="27982" spans="25:25" x14ac:dyDescent="0.2">
      <c r="Y27982" s="97"/>
    </row>
    <row r="27983" spans="25:25" x14ac:dyDescent="0.2">
      <c r="Y27983" s="97"/>
    </row>
    <row r="27984" spans="25:25" x14ac:dyDescent="0.2">
      <c r="Y27984" s="97"/>
    </row>
    <row r="27985" spans="25:25" x14ac:dyDescent="0.2">
      <c r="Y27985" s="97"/>
    </row>
    <row r="27986" spans="25:25" x14ac:dyDescent="0.2">
      <c r="Y27986" s="97"/>
    </row>
    <row r="27987" spans="25:25" x14ac:dyDescent="0.2">
      <c r="Y27987" s="97"/>
    </row>
    <row r="27988" spans="25:25" x14ac:dyDescent="0.2">
      <c r="Y27988" s="97"/>
    </row>
    <row r="27989" spans="25:25" x14ac:dyDescent="0.2">
      <c r="Y27989" s="97"/>
    </row>
    <row r="27990" spans="25:25" x14ac:dyDescent="0.2">
      <c r="Y27990" s="97"/>
    </row>
    <row r="27991" spans="25:25" x14ac:dyDescent="0.2">
      <c r="Y27991" s="97"/>
    </row>
    <row r="27992" spans="25:25" x14ac:dyDescent="0.2">
      <c r="Y27992" s="97"/>
    </row>
    <row r="27993" spans="25:25" x14ac:dyDescent="0.2">
      <c r="Y27993" s="97"/>
    </row>
    <row r="27994" spans="25:25" x14ac:dyDescent="0.2">
      <c r="Y27994" s="97"/>
    </row>
    <row r="27995" spans="25:25" x14ac:dyDescent="0.2">
      <c r="Y27995" s="97"/>
    </row>
    <row r="27996" spans="25:25" x14ac:dyDescent="0.2">
      <c r="Y27996" s="97"/>
    </row>
    <row r="27997" spans="25:25" x14ac:dyDescent="0.2">
      <c r="Y27997" s="97"/>
    </row>
    <row r="27998" spans="25:25" x14ac:dyDescent="0.2">
      <c r="Y27998" s="97"/>
    </row>
    <row r="27999" spans="25:25" x14ac:dyDescent="0.2">
      <c r="Y27999" s="97"/>
    </row>
    <row r="28000" spans="25:25" x14ac:dyDescent="0.2">
      <c r="Y28000" s="97"/>
    </row>
    <row r="28001" spans="25:25" x14ac:dyDescent="0.2">
      <c r="Y28001" s="97"/>
    </row>
    <row r="28002" spans="25:25" x14ac:dyDescent="0.2">
      <c r="Y28002" s="97"/>
    </row>
    <row r="28003" spans="25:25" x14ac:dyDescent="0.2">
      <c r="Y28003" s="97"/>
    </row>
    <row r="28004" spans="25:25" x14ac:dyDescent="0.2">
      <c r="Y28004" s="97"/>
    </row>
    <row r="28005" spans="25:25" x14ac:dyDescent="0.2">
      <c r="Y28005" s="97"/>
    </row>
    <row r="28006" spans="25:25" x14ac:dyDescent="0.2">
      <c r="Y28006" s="97"/>
    </row>
    <row r="28007" spans="25:25" x14ac:dyDescent="0.2">
      <c r="Y28007" s="97"/>
    </row>
    <row r="28008" spans="25:25" x14ac:dyDescent="0.2">
      <c r="Y28008" s="97"/>
    </row>
    <row r="28009" spans="25:25" x14ac:dyDescent="0.2">
      <c r="Y28009" s="97"/>
    </row>
    <row r="28010" spans="25:25" x14ac:dyDescent="0.2">
      <c r="Y28010" s="97"/>
    </row>
    <row r="28011" spans="25:25" x14ac:dyDescent="0.2">
      <c r="Y28011" s="97"/>
    </row>
    <row r="28012" spans="25:25" x14ac:dyDescent="0.2">
      <c r="Y28012" s="97"/>
    </row>
    <row r="28013" spans="25:25" x14ac:dyDescent="0.2">
      <c r="Y28013" s="97"/>
    </row>
    <row r="28014" spans="25:25" x14ac:dyDescent="0.2">
      <c r="Y28014" s="97"/>
    </row>
    <row r="28015" spans="25:25" x14ac:dyDescent="0.2">
      <c r="Y28015" s="97"/>
    </row>
    <row r="28016" spans="25:25" x14ac:dyDescent="0.2">
      <c r="Y28016" s="97"/>
    </row>
    <row r="28017" spans="25:25" x14ac:dyDescent="0.2">
      <c r="Y28017" s="97"/>
    </row>
    <row r="28018" spans="25:25" x14ac:dyDescent="0.2">
      <c r="Y28018" s="97"/>
    </row>
    <row r="28019" spans="25:25" x14ac:dyDescent="0.2">
      <c r="Y28019" s="97"/>
    </row>
    <row r="28020" spans="25:25" x14ac:dyDescent="0.2">
      <c r="Y28020" s="97"/>
    </row>
    <row r="28021" spans="25:25" x14ac:dyDescent="0.2">
      <c r="Y28021" s="97"/>
    </row>
    <row r="28022" spans="25:25" x14ac:dyDescent="0.2">
      <c r="Y28022" s="97"/>
    </row>
    <row r="28023" spans="25:25" x14ac:dyDescent="0.2">
      <c r="Y28023" s="97"/>
    </row>
    <row r="28024" spans="25:25" x14ac:dyDescent="0.2">
      <c r="Y28024" s="97"/>
    </row>
    <row r="28025" spans="25:25" x14ac:dyDescent="0.2">
      <c r="Y28025" s="97"/>
    </row>
    <row r="28026" spans="25:25" x14ac:dyDescent="0.2">
      <c r="Y28026" s="97"/>
    </row>
    <row r="28027" spans="25:25" x14ac:dyDescent="0.2">
      <c r="Y28027" s="97"/>
    </row>
    <row r="28028" spans="25:25" x14ac:dyDescent="0.2">
      <c r="Y28028" s="97"/>
    </row>
    <row r="28029" spans="25:25" x14ac:dyDescent="0.2">
      <c r="Y28029" s="97"/>
    </row>
    <row r="28030" spans="25:25" x14ac:dyDescent="0.2">
      <c r="Y28030" s="97"/>
    </row>
    <row r="28031" spans="25:25" x14ac:dyDescent="0.2">
      <c r="Y28031" s="97"/>
    </row>
    <row r="28032" spans="25:25" x14ac:dyDescent="0.2">
      <c r="Y28032" s="97"/>
    </row>
    <row r="28033" spans="25:25" x14ac:dyDescent="0.2">
      <c r="Y28033" s="97"/>
    </row>
    <row r="28034" spans="25:25" x14ac:dyDescent="0.2">
      <c r="Y28034" s="97"/>
    </row>
    <row r="28035" spans="25:25" x14ac:dyDescent="0.2">
      <c r="Y28035" s="97"/>
    </row>
    <row r="28036" spans="25:25" x14ac:dyDescent="0.2">
      <c r="Y28036" s="97"/>
    </row>
    <row r="28037" spans="25:25" x14ac:dyDescent="0.2">
      <c r="Y28037" s="97"/>
    </row>
    <row r="28038" spans="25:25" x14ac:dyDescent="0.2">
      <c r="Y28038" s="97"/>
    </row>
    <row r="28039" spans="25:25" x14ac:dyDescent="0.2">
      <c r="Y28039" s="97"/>
    </row>
    <row r="28040" spans="25:25" x14ac:dyDescent="0.2">
      <c r="Y28040" s="97"/>
    </row>
    <row r="28041" spans="25:25" x14ac:dyDescent="0.2">
      <c r="Y28041" s="97"/>
    </row>
    <row r="28042" spans="25:25" x14ac:dyDescent="0.2">
      <c r="Y28042" s="97"/>
    </row>
    <row r="28043" spans="25:25" x14ac:dyDescent="0.2">
      <c r="Y28043" s="97"/>
    </row>
    <row r="28044" spans="25:25" x14ac:dyDescent="0.2">
      <c r="Y28044" s="97"/>
    </row>
    <row r="28045" spans="25:25" x14ac:dyDescent="0.2">
      <c r="Y28045" s="97"/>
    </row>
    <row r="28046" spans="25:25" x14ac:dyDescent="0.2">
      <c r="Y28046" s="97"/>
    </row>
    <row r="28047" spans="25:25" x14ac:dyDescent="0.2">
      <c r="Y28047" s="97"/>
    </row>
    <row r="28048" spans="25:25" x14ac:dyDescent="0.2">
      <c r="Y28048" s="97"/>
    </row>
    <row r="28049" spans="25:25" x14ac:dyDescent="0.2">
      <c r="Y28049" s="97"/>
    </row>
    <row r="28050" spans="25:25" x14ac:dyDescent="0.2">
      <c r="Y28050" s="97"/>
    </row>
    <row r="28051" spans="25:25" x14ac:dyDescent="0.2">
      <c r="Y28051" s="97"/>
    </row>
    <row r="28052" spans="25:25" x14ac:dyDescent="0.2">
      <c r="Y28052" s="97"/>
    </row>
    <row r="28053" spans="25:25" x14ac:dyDescent="0.2">
      <c r="Y28053" s="97"/>
    </row>
    <row r="28054" spans="25:25" x14ac:dyDescent="0.2">
      <c r="Y28054" s="97"/>
    </row>
    <row r="28055" spans="25:25" x14ac:dyDescent="0.2">
      <c r="Y28055" s="97"/>
    </row>
    <row r="28056" spans="25:25" x14ac:dyDescent="0.2">
      <c r="Y28056" s="97"/>
    </row>
    <row r="28057" spans="25:25" x14ac:dyDescent="0.2">
      <c r="Y28057" s="97"/>
    </row>
    <row r="28058" spans="25:25" x14ac:dyDescent="0.2">
      <c r="Y28058" s="97"/>
    </row>
    <row r="28059" spans="25:25" x14ac:dyDescent="0.2">
      <c r="Y28059" s="97"/>
    </row>
    <row r="28060" spans="25:25" x14ac:dyDescent="0.2">
      <c r="Y28060" s="97"/>
    </row>
    <row r="28061" spans="25:25" x14ac:dyDescent="0.2">
      <c r="Y28061" s="97"/>
    </row>
    <row r="28062" spans="25:25" x14ac:dyDescent="0.2">
      <c r="Y28062" s="97"/>
    </row>
    <row r="28063" spans="25:25" x14ac:dyDescent="0.2">
      <c r="Y28063" s="97"/>
    </row>
    <row r="28064" spans="25:25" x14ac:dyDescent="0.2">
      <c r="Y28064" s="97"/>
    </row>
    <row r="28065" spans="25:25" x14ac:dyDescent="0.2">
      <c r="Y28065" s="97"/>
    </row>
    <row r="28066" spans="25:25" x14ac:dyDescent="0.2">
      <c r="Y28066" s="97"/>
    </row>
    <row r="28067" spans="25:25" x14ac:dyDescent="0.2">
      <c r="Y28067" s="97"/>
    </row>
    <row r="28068" spans="25:25" x14ac:dyDescent="0.2">
      <c r="Y28068" s="97"/>
    </row>
    <row r="28069" spans="25:25" x14ac:dyDescent="0.2">
      <c r="Y28069" s="97"/>
    </row>
    <row r="28070" spans="25:25" x14ac:dyDescent="0.2">
      <c r="Y28070" s="97"/>
    </row>
    <row r="28071" spans="25:25" x14ac:dyDescent="0.2">
      <c r="Y28071" s="97"/>
    </row>
    <row r="28072" spans="25:25" x14ac:dyDescent="0.2">
      <c r="Y28072" s="97"/>
    </row>
    <row r="28073" spans="25:25" x14ac:dyDescent="0.2">
      <c r="Y28073" s="97"/>
    </row>
    <row r="28074" spans="25:25" x14ac:dyDescent="0.2">
      <c r="Y28074" s="97"/>
    </row>
    <row r="28075" spans="25:25" x14ac:dyDescent="0.2">
      <c r="Y28075" s="97"/>
    </row>
    <row r="28076" spans="25:25" x14ac:dyDescent="0.2">
      <c r="Y28076" s="97"/>
    </row>
    <row r="28077" spans="25:25" x14ac:dyDescent="0.2">
      <c r="Y28077" s="97"/>
    </row>
    <row r="28078" spans="25:25" x14ac:dyDescent="0.2">
      <c r="Y28078" s="97"/>
    </row>
    <row r="28079" spans="25:25" x14ac:dyDescent="0.2">
      <c r="Y28079" s="97"/>
    </row>
    <row r="28080" spans="25:25" x14ac:dyDescent="0.2">
      <c r="Y28080" s="97"/>
    </row>
    <row r="28081" spans="25:25" x14ac:dyDescent="0.2">
      <c r="Y28081" s="97"/>
    </row>
    <row r="28082" spans="25:25" x14ac:dyDescent="0.2">
      <c r="Y28082" s="97"/>
    </row>
    <row r="28083" spans="25:25" x14ac:dyDescent="0.2">
      <c r="Y28083" s="97"/>
    </row>
    <row r="28084" spans="25:25" x14ac:dyDescent="0.2">
      <c r="Y28084" s="97"/>
    </row>
    <row r="28085" spans="25:25" x14ac:dyDescent="0.2">
      <c r="Y28085" s="97"/>
    </row>
    <row r="28086" spans="25:25" x14ac:dyDescent="0.2">
      <c r="Y28086" s="97"/>
    </row>
    <row r="28087" spans="25:25" x14ac:dyDescent="0.2">
      <c r="Y28087" s="97"/>
    </row>
    <row r="28088" spans="25:25" x14ac:dyDescent="0.2">
      <c r="Y28088" s="97"/>
    </row>
    <row r="28089" spans="25:25" x14ac:dyDescent="0.2">
      <c r="Y28089" s="97"/>
    </row>
    <row r="28090" spans="25:25" x14ac:dyDescent="0.2">
      <c r="Y28090" s="97"/>
    </row>
    <row r="28091" spans="25:25" x14ac:dyDescent="0.2">
      <c r="Y28091" s="97"/>
    </row>
    <row r="28092" spans="25:25" x14ac:dyDescent="0.2">
      <c r="Y28092" s="97"/>
    </row>
    <row r="28093" spans="25:25" x14ac:dyDescent="0.2">
      <c r="Y28093" s="97"/>
    </row>
    <row r="28094" spans="25:25" x14ac:dyDescent="0.2">
      <c r="Y28094" s="97"/>
    </row>
    <row r="28095" spans="25:25" x14ac:dyDescent="0.2">
      <c r="Y28095" s="97"/>
    </row>
    <row r="28096" spans="25:25" x14ac:dyDescent="0.2">
      <c r="Y28096" s="97"/>
    </row>
    <row r="28097" spans="25:25" x14ac:dyDescent="0.2">
      <c r="Y28097" s="97"/>
    </row>
    <row r="28098" spans="25:25" x14ac:dyDescent="0.2">
      <c r="Y28098" s="97"/>
    </row>
    <row r="28099" spans="25:25" x14ac:dyDescent="0.2">
      <c r="Y28099" s="97"/>
    </row>
    <row r="28100" spans="25:25" x14ac:dyDescent="0.2">
      <c r="Y28100" s="97"/>
    </row>
    <row r="28101" spans="25:25" x14ac:dyDescent="0.2">
      <c r="Y28101" s="97"/>
    </row>
    <row r="28102" spans="25:25" x14ac:dyDescent="0.2">
      <c r="Y28102" s="97"/>
    </row>
    <row r="28103" spans="25:25" x14ac:dyDescent="0.2">
      <c r="Y28103" s="97"/>
    </row>
    <row r="28104" spans="25:25" x14ac:dyDescent="0.2">
      <c r="Y28104" s="97"/>
    </row>
    <row r="28105" spans="25:25" x14ac:dyDescent="0.2">
      <c r="Y28105" s="97"/>
    </row>
    <row r="28106" spans="25:25" x14ac:dyDescent="0.2">
      <c r="Y28106" s="97"/>
    </row>
    <row r="28107" spans="25:25" x14ac:dyDescent="0.2">
      <c r="Y28107" s="97"/>
    </row>
    <row r="28108" spans="25:25" x14ac:dyDescent="0.2">
      <c r="Y28108" s="97"/>
    </row>
    <row r="28109" spans="25:25" x14ac:dyDescent="0.2">
      <c r="Y28109" s="97"/>
    </row>
    <row r="28110" spans="25:25" x14ac:dyDescent="0.2">
      <c r="Y28110" s="97"/>
    </row>
    <row r="28111" spans="25:25" x14ac:dyDescent="0.2">
      <c r="Y28111" s="97"/>
    </row>
    <row r="28112" spans="25:25" x14ac:dyDescent="0.2">
      <c r="Y28112" s="97"/>
    </row>
    <row r="28113" spans="25:25" x14ac:dyDescent="0.2">
      <c r="Y28113" s="97"/>
    </row>
    <row r="28114" spans="25:25" x14ac:dyDescent="0.2">
      <c r="Y28114" s="97"/>
    </row>
    <row r="28115" spans="25:25" x14ac:dyDescent="0.2">
      <c r="Y28115" s="97"/>
    </row>
    <row r="28116" spans="25:25" x14ac:dyDescent="0.2">
      <c r="Y28116" s="97"/>
    </row>
    <row r="28117" spans="25:25" x14ac:dyDescent="0.2">
      <c r="Y28117" s="97"/>
    </row>
    <row r="28118" spans="25:25" x14ac:dyDescent="0.2">
      <c r="Y28118" s="97"/>
    </row>
    <row r="28119" spans="25:25" x14ac:dyDescent="0.2">
      <c r="Y28119" s="97"/>
    </row>
    <row r="28120" spans="25:25" x14ac:dyDescent="0.2">
      <c r="Y28120" s="97"/>
    </row>
    <row r="28121" spans="25:25" x14ac:dyDescent="0.2">
      <c r="Y28121" s="97"/>
    </row>
    <row r="28122" spans="25:25" x14ac:dyDescent="0.2">
      <c r="Y28122" s="97"/>
    </row>
    <row r="28123" spans="25:25" x14ac:dyDescent="0.2">
      <c r="Y28123" s="97"/>
    </row>
    <row r="28124" spans="25:25" x14ac:dyDescent="0.2">
      <c r="Y28124" s="97"/>
    </row>
    <row r="28125" spans="25:25" x14ac:dyDescent="0.2">
      <c r="Y28125" s="97"/>
    </row>
    <row r="28126" spans="25:25" x14ac:dyDescent="0.2">
      <c r="Y28126" s="97"/>
    </row>
    <row r="28127" spans="25:25" x14ac:dyDescent="0.2">
      <c r="Y28127" s="97"/>
    </row>
    <row r="28128" spans="25:25" x14ac:dyDescent="0.2">
      <c r="Y28128" s="97"/>
    </row>
    <row r="28129" spans="25:25" x14ac:dyDescent="0.2">
      <c r="Y28129" s="97"/>
    </row>
    <row r="28130" spans="25:25" x14ac:dyDescent="0.2">
      <c r="Y28130" s="97"/>
    </row>
    <row r="28131" spans="25:25" x14ac:dyDescent="0.2">
      <c r="Y28131" s="97"/>
    </row>
    <row r="28132" spans="25:25" x14ac:dyDescent="0.2">
      <c r="Y28132" s="97"/>
    </row>
    <row r="28133" spans="25:25" x14ac:dyDescent="0.2">
      <c r="Y28133" s="97"/>
    </row>
    <row r="28134" spans="25:25" x14ac:dyDescent="0.2">
      <c r="Y28134" s="97"/>
    </row>
    <row r="28135" spans="25:25" x14ac:dyDescent="0.2">
      <c r="Y28135" s="97"/>
    </row>
    <row r="28136" spans="25:25" x14ac:dyDescent="0.2">
      <c r="Y28136" s="97"/>
    </row>
    <row r="28137" spans="25:25" x14ac:dyDescent="0.2">
      <c r="Y28137" s="97"/>
    </row>
    <row r="28138" spans="25:25" x14ac:dyDescent="0.2">
      <c r="Y28138" s="97"/>
    </row>
    <row r="28139" spans="25:25" x14ac:dyDescent="0.2">
      <c r="Y28139" s="97"/>
    </row>
    <row r="28140" spans="25:25" x14ac:dyDescent="0.2">
      <c r="Y28140" s="97"/>
    </row>
    <row r="28141" spans="25:25" x14ac:dyDescent="0.2">
      <c r="Y28141" s="97"/>
    </row>
    <row r="28142" spans="25:25" x14ac:dyDescent="0.2">
      <c r="Y28142" s="97"/>
    </row>
    <row r="28143" spans="25:25" x14ac:dyDescent="0.2">
      <c r="Y28143" s="97"/>
    </row>
    <row r="28144" spans="25:25" x14ac:dyDescent="0.2">
      <c r="Y28144" s="97"/>
    </row>
    <row r="28145" spans="25:25" x14ac:dyDescent="0.2">
      <c r="Y28145" s="97"/>
    </row>
    <row r="28146" spans="25:25" x14ac:dyDescent="0.2">
      <c r="Y28146" s="97"/>
    </row>
    <row r="28147" spans="25:25" x14ac:dyDescent="0.2">
      <c r="Y28147" s="97"/>
    </row>
    <row r="28148" spans="25:25" x14ac:dyDescent="0.2">
      <c r="Y28148" s="97"/>
    </row>
    <row r="28149" spans="25:25" x14ac:dyDescent="0.2">
      <c r="Y28149" s="97"/>
    </row>
    <row r="28150" spans="25:25" x14ac:dyDescent="0.2">
      <c r="Y28150" s="97"/>
    </row>
    <row r="28151" spans="25:25" x14ac:dyDescent="0.2">
      <c r="Y28151" s="97"/>
    </row>
    <row r="28152" spans="25:25" x14ac:dyDescent="0.2">
      <c r="Y28152" s="97"/>
    </row>
    <row r="28153" spans="25:25" x14ac:dyDescent="0.2">
      <c r="Y28153" s="97"/>
    </row>
    <row r="28154" spans="25:25" x14ac:dyDescent="0.2">
      <c r="Y28154" s="97"/>
    </row>
    <row r="28155" spans="25:25" x14ac:dyDescent="0.2">
      <c r="Y28155" s="97"/>
    </row>
    <row r="28156" spans="25:25" x14ac:dyDescent="0.2">
      <c r="Y28156" s="97"/>
    </row>
    <row r="28157" spans="25:25" x14ac:dyDescent="0.2">
      <c r="Y28157" s="97"/>
    </row>
    <row r="28158" spans="25:25" x14ac:dyDescent="0.2">
      <c r="Y28158" s="97"/>
    </row>
    <row r="28159" spans="25:25" x14ac:dyDescent="0.2">
      <c r="Y28159" s="97"/>
    </row>
    <row r="28160" spans="25:25" x14ac:dyDescent="0.2">
      <c r="Y28160" s="97"/>
    </row>
    <row r="28161" spans="25:25" x14ac:dyDescent="0.2">
      <c r="Y28161" s="97"/>
    </row>
    <row r="28162" spans="25:25" x14ac:dyDescent="0.2">
      <c r="Y28162" s="97"/>
    </row>
    <row r="28163" spans="25:25" x14ac:dyDescent="0.2">
      <c r="Y28163" s="97"/>
    </row>
    <row r="28164" spans="25:25" x14ac:dyDescent="0.2">
      <c r="Y28164" s="97"/>
    </row>
    <row r="28165" spans="25:25" x14ac:dyDescent="0.2">
      <c r="Y28165" s="97"/>
    </row>
    <row r="28166" spans="25:25" x14ac:dyDescent="0.2">
      <c r="Y28166" s="97"/>
    </row>
    <row r="28167" spans="25:25" x14ac:dyDescent="0.2">
      <c r="Y28167" s="97"/>
    </row>
    <row r="28168" spans="25:25" x14ac:dyDescent="0.2">
      <c r="Y28168" s="97"/>
    </row>
    <row r="28169" spans="25:25" x14ac:dyDescent="0.2">
      <c r="Y28169" s="97"/>
    </row>
    <row r="28170" spans="25:25" x14ac:dyDescent="0.2">
      <c r="Y28170" s="97"/>
    </row>
    <row r="28171" spans="25:25" x14ac:dyDescent="0.2">
      <c r="Y28171" s="97"/>
    </row>
    <row r="28172" spans="25:25" x14ac:dyDescent="0.2">
      <c r="Y28172" s="97"/>
    </row>
    <row r="28173" spans="25:25" x14ac:dyDescent="0.2">
      <c r="Y28173" s="97"/>
    </row>
    <row r="28174" spans="25:25" x14ac:dyDescent="0.2">
      <c r="Y28174" s="97"/>
    </row>
    <row r="28175" spans="25:25" x14ac:dyDescent="0.2">
      <c r="Y28175" s="97"/>
    </row>
    <row r="28176" spans="25:25" x14ac:dyDescent="0.2">
      <c r="Y28176" s="97"/>
    </row>
    <row r="28177" spans="25:25" x14ac:dyDescent="0.2">
      <c r="Y28177" s="97"/>
    </row>
    <row r="28178" spans="25:25" x14ac:dyDescent="0.2">
      <c r="Y28178" s="97"/>
    </row>
    <row r="28179" spans="25:25" x14ac:dyDescent="0.2">
      <c r="Y28179" s="97"/>
    </row>
    <row r="28180" spans="25:25" x14ac:dyDescent="0.2">
      <c r="Y28180" s="97"/>
    </row>
    <row r="28181" spans="25:25" x14ac:dyDescent="0.2">
      <c r="Y28181" s="97"/>
    </row>
    <row r="28182" spans="25:25" x14ac:dyDescent="0.2">
      <c r="Y28182" s="97"/>
    </row>
    <row r="28183" spans="25:25" x14ac:dyDescent="0.2">
      <c r="Y28183" s="97"/>
    </row>
    <row r="28184" spans="25:25" x14ac:dyDescent="0.2">
      <c r="Y28184" s="97"/>
    </row>
    <row r="28185" spans="25:25" x14ac:dyDescent="0.2">
      <c r="Y28185" s="97"/>
    </row>
    <row r="28186" spans="25:25" x14ac:dyDescent="0.2">
      <c r="Y28186" s="97"/>
    </row>
    <row r="28187" spans="25:25" x14ac:dyDescent="0.2">
      <c r="Y28187" s="97"/>
    </row>
    <row r="28188" spans="25:25" x14ac:dyDescent="0.2">
      <c r="Y28188" s="97"/>
    </row>
    <row r="28189" spans="25:25" x14ac:dyDescent="0.2">
      <c r="Y28189" s="97"/>
    </row>
    <row r="28190" spans="25:25" x14ac:dyDescent="0.2">
      <c r="Y28190" s="97"/>
    </row>
    <row r="28191" spans="25:25" x14ac:dyDescent="0.2">
      <c r="Y28191" s="97"/>
    </row>
    <row r="28192" spans="25:25" x14ac:dyDescent="0.2">
      <c r="Y28192" s="97"/>
    </row>
    <row r="28193" spans="25:25" x14ac:dyDescent="0.2">
      <c r="Y28193" s="97"/>
    </row>
    <row r="28194" spans="25:25" x14ac:dyDescent="0.2">
      <c r="Y28194" s="97"/>
    </row>
    <row r="28195" spans="25:25" x14ac:dyDescent="0.2">
      <c r="Y28195" s="97"/>
    </row>
    <row r="28196" spans="25:25" x14ac:dyDescent="0.2">
      <c r="Y28196" s="97"/>
    </row>
    <row r="28197" spans="25:25" x14ac:dyDescent="0.2">
      <c r="Y28197" s="97"/>
    </row>
    <row r="28198" spans="25:25" x14ac:dyDescent="0.2">
      <c r="Y28198" s="97"/>
    </row>
    <row r="28199" spans="25:25" x14ac:dyDescent="0.2">
      <c r="Y28199" s="97"/>
    </row>
    <row r="28200" spans="25:25" x14ac:dyDescent="0.2">
      <c r="Y28200" s="97"/>
    </row>
    <row r="28201" spans="25:25" x14ac:dyDescent="0.2">
      <c r="Y28201" s="97"/>
    </row>
    <row r="28202" spans="25:25" x14ac:dyDescent="0.2">
      <c r="Y28202" s="97"/>
    </row>
    <row r="28203" spans="25:25" x14ac:dyDescent="0.2">
      <c r="Y28203" s="97"/>
    </row>
    <row r="28204" spans="25:25" x14ac:dyDescent="0.2">
      <c r="Y28204" s="97"/>
    </row>
    <row r="28205" spans="25:25" x14ac:dyDescent="0.2">
      <c r="Y28205" s="97"/>
    </row>
    <row r="28206" spans="25:25" x14ac:dyDescent="0.2">
      <c r="Y28206" s="97"/>
    </row>
    <row r="28207" spans="25:25" x14ac:dyDescent="0.2">
      <c r="Y28207" s="97"/>
    </row>
    <row r="28208" spans="25:25" x14ac:dyDescent="0.2">
      <c r="Y28208" s="97"/>
    </row>
    <row r="28209" spans="25:25" x14ac:dyDescent="0.2">
      <c r="Y28209" s="97"/>
    </row>
    <row r="28210" spans="25:25" x14ac:dyDescent="0.2">
      <c r="Y28210" s="97"/>
    </row>
    <row r="28211" spans="25:25" x14ac:dyDescent="0.2">
      <c r="Y28211" s="97"/>
    </row>
    <row r="28212" spans="25:25" x14ac:dyDescent="0.2">
      <c r="Y28212" s="97"/>
    </row>
    <row r="28213" spans="25:25" x14ac:dyDescent="0.2">
      <c r="Y28213" s="97"/>
    </row>
    <row r="28214" spans="25:25" x14ac:dyDescent="0.2">
      <c r="Y28214" s="97"/>
    </row>
    <row r="28215" spans="25:25" x14ac:dyDescent="0.2">
      <c r="Y28215" s="97"/>
    </row>
    <row r="28216" spans="25:25" x14ac:dyDescent="0.2">
      <c r="Y28216" s="97"/>
    </row>
    <row r="28217" spans="25:25" x14ac:dyDescent="0.2">
      <c r="Y28217" s="97"/>
    </row>
    <row r="28218" spans="25:25" x14ac:dyDescent="0.2">
      <c r="Y28218" s="97"/>
    </row>
    <row r="28219" spans="25:25" x14ac:dyDescent="0.2">
      <c r="Y28219" s="97"/>
    </row>
    <row r="28220" spans="25:25" x14ac:dyDescent="0.2">
      <c r="Y28220" s="97"/>
    </row>
    <row r="28221" spans="25:25" x14ac:dyDescent="0.2">
      <c r="Y28221" s="97"/>
    </row>
    <row r="28222" spans="25:25" x14ac:dyDescent="0.2">
      <c r="Y28222" s="97"/>
    </row>
    <row r="28223" spans="25:25" x14ac:dyDescent="0.2">
      <c r="Y28223" s="97"/>
    </row>
    <row r="28224" spans="25:25" x14ac:dyDescent="0.2">
      <c r="Y28224" s="97"/>
    </row>
    <row r="28225" spans="25:25" x14ac:dyDescent="0.2">
      <c r="Y28225" s="97"/>
    </row>
    <row r="28226" spans="25:25" x14ac:dyDescent="0.2">
      <c r="Y28226" s="97"/>
    </row>
    <row r="28227" spans="25:25" x14ac:dyDescent="0.2">
      <c r="Y28227" s="97"/>
    </row>
    <row r="28228" spans="25:25" x14ac:dyDescent="0.2">
      <c r="Y28228" s="97"/>
    </row>
    <row r="28229" spans="25:25" x14ac:dyDescent="0.2">
      <c r="Y28229" s="97"/>
    </row>
    <row r="28230" spans="25:25" x14ac:dyDescent="0.2">
      <c r="Y28230" s="97"/>
    </row>
    <row r="28231" spans="25:25" x14ac:dyDescent="0.2">
      <c r="Y28231" s="97"/>
    </row>
    <row r="28232" spans="25:25" x14ac:dyDescent="0.2">
      <c r="Y28232" s="97"/>
    </row>
    <row r="28233" spans="25:25" x14ac:dyDescent="0.2">
      <c r="Y28233" s="97"/>
    </row>
    <row r="28234" spans="25:25" x14ac:dyDescent="0.2">
      <c r="Y28234" s="97"/>
    </row>
    <row r="28235" spans="25:25" x14ac:dyDescent="0.2">
      <c r="Y28235" s="97"/>
    </row>
    <row r="28236" spans="25:25" x14ac:dyDescent="0.2">
      <c r="Y28236" s="97"/>
    </row>
    <row r="28237" spans="25:25" x14ac:dyDescent="0.2">
      <c r="Y28237" s="97"/>
    </row>
    <row r="28238" spans="25:25" x14ac:dyDescent="0.2">
      <c r="Y28238" s="97"/>
    </row>
    <row r="28239" spans="25:25" x14ac:dyDescent="0.2">
      <c r="Y28239" s="97"/>
    </row>
    <row r="28240" spans="25:25" x14ac:dyDescent="0.2">
      <c r="Y28240" s="97"/>
    </row>
    <row r="28241" spans="25:25" x14ac:dyDescent="0.2">
      <c r="Y28241" s="97"/>
    </row>
    <row r="28242" spans="25:25" x14ac:dyDescent="0.2">
      <c r="Y28242" s="97"/>
    </row>
    <row r="28243" spans="25:25" x14ac:dyDescent="0.2">
      <c r="Y28243" s="97"/>
    </row>
    <row r="28244" spans="25:25" x14ac:dyDescent="0.2">
      <c r="Y28244" s="97"/>
    </row>
    <row r="28245" spans="25:25" x14ac:dyDescent="0.2">
      <c r="Y28245" s="97"/>
    </row>
    <row r="28246" spans="25:25" x14ac:dyDescent="0.2">
      <c r="Y28246" s="97"/>
    </row>
    <row r="28247" spans="25:25" x14ac:dyDescent="0.2">
      <c r="Y28247" s="97"/>
    </row>
    <row r="28248" spans="25:25" x14ac:dyDescent="0.2">
      <c r="Y28248" s="97"/>
    </row>
    <row r="28249" spans="25:25" x14ac:dyDescent="0.2">
      <c r="Y28249" s="97"/>
    </row>
    <row r="28250" spans="25:25" x14ac:dyDescent="0.2">
      <c r="Y28250" s="97"/>
    </row>
    <row r="28251" spans="25:25" x14ac:dyDescent="0.2">
      <c r="Y28251" s="97"/>
    </row>
    <row r="28252" spans="25:25" x14ac:dyDescent="0.2">
      <c r="Y28252" s="97"/>
    </row>
    <row r="28253" spans="25:25" x14ac:dyDescent="0.2">
      <c r="Y28253" s="97"/>
    </row>
    <row r="28254" spans="25:25" x14ac:dyDescent="0.2">
      <c r="Y28254" s="97"/>
    </row>
    <row r="28255" spans="25:25" x14ac:dyDescent="0.2">
      <c r="Y28255" s="97"/>
    </row>
    <row r="28256" spans="25:25" x14ac:dyDescent="0.2">
      <c r="Y28256" s="97"/>
    </row>
    <row r="28257" spans="25:25" x14ac:dyDescent="0.2">
      <c r="Y28257" s="97"/>
    </row>
    <row r="28258" spans="25:25" x14ac:dyDescent="0.2">
      <c r="Y28258" s="97"/>
    </row>
    <row r="28259" spans="25:25" x14ac:dyDescent="0.2">
      <c r="Y28259" s="97"/>
    </row>
    <row r="28260" spans="25:25" x14ac:dyDescent="0.2">
      <c r="Y28260" s="97"/>
    </row>
    <row r="28261" spans="25:25" x14ac:dyDescent="0.2">
      <c r="Y28261" s="97"/>
    </row>
    <row r="28262" spans="25:25" x14ac:dyDescent="0.2">
      <c r="Y28262" s="97"/>
    </row>
    <row r="28263" spans="25:25" x14ac:dyDescent="0.2">
      <c r="Y28263" s="97"/>
    </row>
    <row r="28264" spans="25:25" x14ac:dyDescent="0.2">
      <c r="Y28264" s="97"/>
    </row>
    <row r="28265" spans="25:25" x14ac:dyDescent="0.2">
      <c r="Y28265" s="97"/>
    </row>
    <row r="28266" spans="25:25" x14ac:dyDescent="0.2">
      <c r="Y28266" s="97"/>
    </row>
    <row r="28267" spans="25:25" x14ac:dyDescent="0.2">
      <c r="Y28267" s="97"/>
    </row>
    <row r="28268" spans="25:25" x14ac:dyDescent="0.2">
      <c r="Y28268" s="97"/>
    </row>
    <row r="28269" spans="25:25" x14ac:dyDescent="0.2">
      <c r="Y28269" s="97"/>
    </row>
    <row r="28270" spans="25:25" x14ac:dyDescent="0.2">
      <c r="Y28270" s="97"/>
    </row>
    <row r="28271" spans="25:25" x14ac:dyDescent="0.2">
      <c r="Y28271" s="97"/>
    </row>
    <row r="28272" spans="25:25" x14ac:dyDescent="0.2">
      <c r="Y28272" s="97"/>
    </row>
    <row r="28273" spans="25:25" x14ac:dyDescent="0.2">
      <c r="Y28273" s="97"/>
    </row>
    <row r="28274" spans="25:25" x14ac:dyDescent="0.2">
      <c r="Y28274" s="97"/>
    </row>
    <row r="28275" spans="25:25" x14ac:dyDescent="0.2">
      <c r="Y28275" s="97"/>
    </row>
    <row r="28276" spans="25:25" x14ac:dyDescent="0.2">
      <c r="Y28276" s="97"/>
    </row>
    <row r="28277" spans="25:25" x14ac:dyDescent="0.2">
      <c r="Y28277" s="97"/>
    </row>
    <row r="28278" spans="25:25" x14ac:dyDescent="0.2">
      <c r="Y28278" s="97"/>
    </row>
    <row r="28279" spans="25:25" x14ac:dyDescent="0.2">
      <c r="Y28279" s="97"/>
    </row>
    <row r="28280" spans="25:25" x14ac:dyDescent="0.2">
      <c r="Y28280" s="97"/>
    </row>
    <row r="28281" spans="25:25" x14ac:dyDescent="0.2">
      <c r="Y28281" s="97"/>
    </row>
    <row r="28282" spans="25:25" x14ac:dyDescent="0.2">
      <c r="Y28282" s="97"/>
    </row>
    <row r="28283" spans="25:25" x14ac:dyDescent="0.2">
      <c r="Y28283" s="97"/>
    </row>
    <row r="28284" spans="25:25" x14ac:dyDescent="0.2">
      <c r="Y28284" s="97"/>
    </row>
    <row r="28285" spans="25:25" x14ac:dyDescent="0.2">
      <c r="Y28285" s="97"/>
    </row>
    <row r="28286" spans="25:25" x14ac:dyDescent="0.2">
      <c r="Y28286" s="97"/>
    </row>
    <row r="28287" spans="25:25" x14ac:dyDescent="0.2">
      <c r="Y28287" s="97"/>
    </row>
    <row r="28288" spans="25:25" x14ac:dyDescent="0.2">
      <c r="Y28288" s="97"/>
    </row>
    <row r="28289" spans="25:25" x14ac:dyDescent="0.2">
      <c r="Y28289" s="97"/>
    </row>
    <row r="28290" spans="25:25" x14ac:dyDescent="0.2">
      <c r="Y28290" s="97"/>
    </row>
    <row r="28291" spans="25:25" x14ac:dyDescent="0.2">
      <c r="Y28291" s="97"/>
    </row>
    <row r="28292" spans="25:25" x14ac:dyDescent="0.2">
      <c r="Y28292" s="97"/>
    </row>
    <row r="28293" spans="25:25" x14ac:dyDescent="0.2">
      <c r="Y28293" s="97"/>
    </row>
    <row r="28294" spans="25:25" x14ac:dyDescent="0.2">
      <c r="Y28294" s="97"/>
    </row>
    <row r="28295" spans="25:25" x14ac:dyDescent="0.2">
      <c r="Y28295" s="97"/>
    </row>
    <row r="28296" spans="25:25" x14ac:dyDescent="0.2">
      <c r="Y28296" s="97"/>
    </row>
    <row r="28297" spans="25:25" x14ac:dyDescent="0.2">
      <c r="Y28297" s="97"/>
    </row>
    <row r="28298" spans="25:25" x14ac:dyDescent="0.2">
      <c r="Y28298" s="97"/>
    </row>
    <row r="28299" spans="25:25" x14ac:dyDescent="0.2">
      <c r="Y28299" s="97"/>
    </row>
    <row r="28300" spans="25:25" x14ac:dyDescent="0.2">
      <c r="Y28300" s="97"/>
    </row>
    <row r="28301" spans="25:25" x14ac:dyDescent="0.2">
      <c r="Y28301" s="97"/>
    </row>
    <row r="28302" spans="25:25" x14ac:dyDescent="0.2">
      <c r="Y28302" s="97"/>
    </row>
    <row r="28303" spans="25:25" x14ac:dyDescent="0.2">
      <c r="Y28303" s="97"/>
    </row>
    <row r="28304" spans="25:25" x14ac:dyDescent="0.2">
      <c r="Y28304" s="97"/>
    </row>
    <row r="28305" spans="25:25" x14ac:dyDescent="0.2">
      <c r="Y28305" s="97"/>
    </row>
    <row r="28306" spans="25:25" x14ac:dyDescent="0.2">
      <c r="Y28306" s="97"/>
    </row>
    <row r="28307" spans="25:25" x14ac:dyDescent="0.2">
      <c r="Y28307" s="97"/>
    </row>
    <row r="28308" spans="25:25" x14ac:dyDescent="0.2">
      <c r="Y28308" s="97"/>
    </row>
    <row r="28309" spans="25:25" x14ac:dyDescent="0.2">
      <c r="Y28309" s="97"/>
    </row>
    <row r="28310" spans="25:25" x14ac:dyDescent="0.2">
      <c r="Y28310" s="97"/>
    </row>
    <row r="28311" spans="25:25" x14ac:dyDescent="0.2">
      <c r="Y28311" s="97"/>
    </row>
    <row r="28312" spans="25:25" x14ac:dyDescent="0.2">
      <c r="Y28312" s="97"/>
    </row>
    <row r="28313" spans="25:25" x14ac:dyDescent="0.2">
      <c r="Y28313" s="97"/>
    </row>
    <row r="28314" spans="25:25" x14ac:dyDescent="0.2">
      <c r="Y28314" s="97"/>
    </row>
    <row r="28315" spans="25:25" x14ac:dyDescent="0.2">
      <c r="Y28315" s="97"/>
    </row>
    <row r="28316" spans="25:25" x14ac:dyDescent="0.2">
      <c r="Y28316" s="97"/>
    </row>
    <row r="28317" spans="25:25" x14ac:dyDescent="0.2">
      <c r="Y28317" s="97"/>
    </row>
    <row r="28318" spans="25:25" x14ac:dyDescent="0.2">
      <c r="Y28318" s="97"/>
    </row>
    <row r="28319" spans="25:25" x14ac:dyDescent="0.2">
      <c r="Y28319" s="97"/>
    </row>
    <row r="28320" spans="25:25" x14ac:dyDescent="0.2">
      <c r="Y28320" s="97"/>
    </row>
    <row r="28321" spans="25:25" x14ac:dyDescent="0.2">
      <c r="Y28321" s="97"/>
    </row>
    <row r="28322" spans="25:25" x14ac:dyDescent="0.2">
      <c r="Y28322" s="97"/>
    </row>
    <row r="28323" spans="25:25" x14ac:dyDescent="0.2">
      <c r="Y28323" s="97"/>
    </row>
    <row r="28324" spans="25:25" x14ac:dyDescent="0.2">
      <c r="Y28324" s="97"/>
    </row>
    <row r="28325" spans="25:25" x14ac:dyDescent="0.2">
      <c r="Y28325" s="97"/>
    </row>
    <row r="28326" spans="25:25" x14ac:dyDescent="0.2">
      <c r="Y28326" s="97"/>
    </row>
    <row r="28327" spans="25:25" x14ac:dyDescent="0.2">
      <c r="Y28327" s="97"/>
    </row>
    <row r="28328" spans="25:25" x14ac:dyDescent="0.2">
      <c r="Y28328" s="97"/>
    </row>
    <row r="28329" spans="25:25" x14ac:dyDescent="0.2">
      <c r="Y28329" s="97"/>
    </row>
    <row r="28330" spans="25:25" x14ac:dyDescent="0.2">
      <c r="Y28330" s="97"/>
    </row>
    <row r="28331" spans="25:25" x14ac:dyDescent="0.2">
      <c r="Y28331" s="97"/>
    </row>
    <row r="28332" spans="25:25" x14ac:dyDescent="0.2">
      <c r="Y28332" s="97"/>
    </row>
    <row r="28333" spans="25:25" x14ac:dyDescent="0.2">
      <c r="Y28333" s="97"/>
    </row>
    <row r="28334" spans="25:25" x14ac:dyDescent="0.2">
      <c r="Y28334" s="97"/>
    </row>
    <row r="28335" spans="25:25" x14ac:dyDescent="0.2">
      <c r="Y28335" s="97"/>
    </row>
    <row r="28336" spans="25:25" x14ac:dyDescent="0.2">
      <c r="Y28336" s="97"/>
    </row>
    <row r="28337" spans="25:25" x14ac:dyDescent="0.2">
      <c r="Y28337" s="97"/>
    </row>
    <row r="28338" spans="25:25" x14ac:dyDescent="0.2">
      <c r="Y28338" s="97"/>
    </row>
    <row r="28339" spans="25:25" x14ac:dyDescent="0.2">
      <c r="Y28339" s="97"/>
    </row>
    <row r="28340" spans="25:25" x14ac:dyDescent="0.2">
      <c r="Y28340" s="97"/>
    </row>
    <row r="28341" spans="25:25" x14ac:dyDescent="0.2">
      <c r="Y28341" s="97"/>
    </row>
    <row r="28342" spans="25:25" x14ac:dyDescent="0.2">
      <c r="Y28342" s="97"/>
    </row>
    <row r="28343" spans="25:25" x14ac:dyDescent="0.2">
      <c r="Y28343" s="97"/>
    </row>
    <row r="28344" spans="25:25" x14ac:dyDescent="0.2">
      <c r="Y28344" s="97"/>
    </row>
    <row r="28345" spans="25:25" x14ac:dyDescent="0.2">
      <c r="Y28345" s="97"/>
    </row>
    <row r="28346" spans="25:25" x14ac:dyDescent="0.2">
      <c r="Y28346" s="97"/>
    </row>
    <row r="28347" spans="25:25" x14ac:dyDescent="0.2">
      <c r="Y28347" s="97"/>
    </row>
    <row r="28348" spans="25:25" x14ac:dyDescent="0.2">
      <c r="Y28348" s="97"/>
    </row>
    <row r="28349" spans="25:25" x14ac:dyDescent="0.2">
      <c r="Y28349" s="97"/>
    </row>
    <row r="28350" spans="25:25" x14ac:dyDescent="0.2">
      <c r="Y28350" s="97"/>
    </row>
    <row r="28351" spans="25:25" x14ac:dyDescent="0.2">
      <c r="Y28351" s="97"/>
    </row>
    <row r="28352" spans="25:25" x14ac:dyDescent="0.2">
      <c r="Y28352" s="97"/>
    </row>
    <row r="28353" spans="25:25" x14ac:dyDescent="0.2">
      <c r="Y28353" s="97"/>
    </row>
    <row r="28354" spans="25:25" x14ac:dyDescent="0.2">
      <c r="Y28354" s="97"/>
    </row>
    <row r="28355" spans="25:25" x14ac:dyDescent="0.2">
      <c r="Y28355" s="97"/>
    </row>
    <row r="28356" spans="25:25" x14ac:dyDescent="0.2">
      <c r="Y28356" s="97"/>
    </row>
    <row r="28357" spans="25:25" x14ac:dyDescent="0.2">
      <c r="Y28357" s="97"/>
    </row>
    <row r="28358" spans="25:25" x14ac:dyDescent="0.2">
      <c r="Y28358" s="97"/>
    </row>
    <row r="28359" spans="25:25" x14ac:dyDescent="0.2">
      <c r="Y28359" s="97"/>
    </row>
    <row r="28360" spans="25:25" x14ac:dyDescent="0.2">
      <c r="Y28360" s="97"/>
    </row>
    <row r="28361" spans="25:25" x14ac:dyDescent="0.2">
      <c r="Y28361" s="97"/>
    </row>
    <row r="28362" spans="25:25" x14ac:dyDescent="0.2">
      <c r="Y28362" s="97"/>
    </row>
    <row r="28363" spans="25:25" x14ac:dyDescent="0.2">
      <c r="Y28363" s="97"/>
    </row>
    <row r="28364" spans="25:25" x14ac:dyDescent="0.2">
      <c r="Y28364" s="97"/>
    </row>
    <row r="28365" spans="25:25" x14ac:dyDescent="0.2">
      <c r="Y28365" s="97"/>
    </row>
    <row r="28366" spans="25:25" x14ac:dyDescent="0.2">
      <c r="Y28366" s="97"/>
    </row>
    <row r="28367" spans="25:25" x14ac:dyDescent="0.2">
      <c r="Y28367" s="97"/>
    </row>
    <row r="28368" spans="25:25" x14ac:dyDescent="0.2">
      <c r="Y28368" s="97"/>
    </row>
    <row r="28369" spans="25:25" x14ac:dyDescent="0.2">
      <c r="Y28369" s="97"/>
    </row>
    <row r="28370" spans="25:25" x14ac:dyDescent="0.2">
      <c r="Y28370" s="97"/>
    </row>
    <row r="28371" spans="25:25" x14ac:dyDescent="0.2">
      <c r="Y28371" s="97"/>
    </row>
    <row r="28372" spans="25:25" x14ac:dyDescent="0.2">
      <c r="Y28372" s="97"/>
    </row>
    <row r="28373" spans="25:25" x14ac:dyDescent="0.2">
      <c r="Y28373" s="97"/>
    </row>
    <row r="28374" spans="25:25" x14ac:dyDescent="0.2">
      <c r="Y28374" s="97"/>
    </row>
    <row r="28375" spans="25:25" x14ac:dyDescent="0.2">
      <c r="Y28375" s="97"/>
    </row>
    <row r="28376" spans="25:25" x14ac:dyDescent="0.2">
      <c r="Y28376" s="97"/>
    </row>
    <row r="28377" spans="25:25" x14ac:dyDescent="0.2">
      <c r="Y28377" s="97"/>
    </row>
    <row r="28378" spans="25:25" x14ac:dyDescent="0.2">
      <c r="Y28378" s="97"/>
    </row>
    <row r="28379" spans="25:25" x14ac:dyDescent="0.2">
      <c r="Y28379" s="97"/>
    </row>
    <row r="28380" spans="25:25" x14ac:dyDescent="0.2">
      <c r="Y28380" s="97"/>
    </row>
    <row r="28381" spans="25:25" x14ac:dyDescent="0.2">
      <c r="Y28381" s="97"/>
    </row>
    <row r="28382" spans="25:25" x14ac:dyDescent="0.2">
      <c r="Y28382" s="97"/>
    </row>
    <row r="28383" spans="25:25" x14ac:dyDescent="0.2">
      <c r="Y28383" s="97"/>
    </row>
    <row r="28384" spans="25:25" x14ac:dyDescent="0.2">
      <c r="Y28384" s="97"/>
    </row>
    <row r="28385" spans="25:25" x14ac:dyDescent="0.2">
      <c r="Y28385" s="97"/>
    </row>
    <row r="28386" spans="25:25" x14ac:dyDescent="0.2">
      <c r="Y28386" s="97"/>
    </row>
    <row r="28387" spans="25:25" x14ac:dyDescent="0.2">
      <c r="Y28387" s="97"/>
    </row>
    <row r="28388" spans="25:25" x14ac:dyDescent="0.2">
      <c r="Y28388" s="97"/>
    </row>
    <row r="28389" spans="25:25" x14ac:dyDescent="0.2">
      <c r="Y28389" s="97"/>
    </row>
    <row r="28390" spans="25:25" x14ac:dyDescent="0.2">
      <c r="Y28390" s="97"/>
    </row>
    <row r="28391" spans="25:25" x14ac:dyDescent="0.2">
      <c r="Y28391" s="97"/>
    </row>
    <row r="28392" spans="25:25" x14ac:dyDescent="0.2">
      <c r="Y28392" s="97"/>
    </row>
    <row r="28393" spans="25:25" x14ac:dyDescent="0.2">
      <c r="Y28393" s="97"/>
    </row>
    <row r="28394" spans="25:25" x14ac:dyDescent="0.2">
      <c r="Y28394" s="97"/>
    </row>
    <row r="28395" spans="25:25" x14ac:dyDescent="0.2">
      <c r="Y28395" s="97"/>
    </row>
    <row r="28396" spans="25:25" x14ac:dyDescent="0.2">
      <c r="Y28396" s="97"/>
    </row>
    <row r="28397" spans="25:25" x14ac:dyDescent="0.2">
      <c r="Y28397" s="97"/>
    </row>
    <row r="28398" spans="25:25" x14ac:dyDescent="0.2">
      <c r="Y28398" s="97"/>
    </row>
    <row r="28399" spans="25:25" x14ac:dyDescent="0.2">
      <c r="Y28399" s="97"/>
    </row>
    <row r="28400" spans="25:25" x14ac:dyDescent="0.2">
      <c r="Y28400" s="97"/>
    </row>
    <row r="28401" spans="25:25" x14ac:dyDescent="0.2">
      <c r="Y28401" s="97"/>
    </row>
    <row r="28402" spans="25:25" x14ac:dyDescent="0.2">
      <c r="Y28402" s="97"/>
    </row>
    <row r="28403" spans="25:25" x14ac:dyDescent="0.2">
      <c r="Y28403" s="97"/>
    </row>
    <row r="28404" spans="25:25" x14ac:dyDescent="0.2">
      <c r="Y28404" s="97"/>
    </row>
    <row r="28405" spans="25:25" x14ac:dyDescent="0.2">
      <c r="Y28405" s="97"/>
    </row>
    <row r="28406" spans="25:25" x14ac:dyDescent="0.2">
      <c r="Y28406" s="97"/>
    </row>
    <row r="28407" spans="25:25" x14ac:dyDescent="0.2">
      <c r="Y28407" s="97"/>
    </row>
    <row r="28408" spans="25:25" x14ac:dyDescent="0.2">
      <c r="Y28408" s="97"/>
    </row>
    <row r="28409" spans="25:25" x14ac:dyDescent="0.2">
      <c r="Y28409" s="97"/>
    </row>
    <row r="28410" spans="25:25" x14ac:dyDescent="0.2">
      <c r="Y28410" s="97"/>
    </row>
    <row r="28411" spans="25:25" x14ac:dyDescent="0.2">
      <c r="Y28411" s="97"/>
    </row>
    <row r="28412" spans="25:25" x14ac:dyDescent="0.2">
      <c r="Y28412" s="97"/>
    </row>
    <row r="28413" spans="25:25" x14ac:dyDescent="0.2">
      <c r="Y28413" s="97"/>
    </row>
    <row r="28414" spans="25:25" x14ac:dyDescent="0.2">
      <c r="Y28414" s="97"/>
    </row>
    <row r="28415" spans="25:25" x14ac:dyDescent="0.2">
      <c r="Y28415" s="97"/>
    </row>
    <row r="28416" spans="25:25" x14ac:dyDescent="0.2">
      <c r="Y28416" s="97"/>
    </row>
    <row r="28417" spans="25:25" x14ac:dyDescent="0.2">
      <c r="Y28417" s="97"/>
    </row>
    <row r="28418" spans="25:25" x14ac:dyDescent="0.2">
      <c r="Y28418" s="97"/>
    </row>
    <row r="28419" spans="25:25" x14ac:dyDescent="0.2">
      <c r="Y28419" s="97"/>
    </row>
    <row r="28420" spans="25:25" x14ac:dyDescent="0.2">
      <c r="Y28420" s="97"/>
    </row>
    <row r="28421" spans="25:25" x14ac:dyDescent="0.2">
      <c r="Y28421" s="97"/>
    </row>
    <row r="28422" spans="25:25" x14ac:dyDescent="0.2">
      <c r="Y28422" s="97"/>
    </row>
    <row r="28423" spans="25:25" x14ac:dyDescent="0.2">
      <c r="Y28423" s="97"/>
    </row>
    <row r="28424" spans="25:25" x14ac:dyDescent="0.2">
      <c r="Y28424" s="97"/>
    </row>
    <row r="28425" spans="25:25" x14ac:dyDescent="0.2">
      <c r="Y28425" s="97"/>
    </row>
    <row r="28426" spans="25:25" x14ac:dyDescent="0.2">
      <c r="Y28426" s="97"/>
    </row>
    <row r="28427" spans="25:25" x14ac:dyDescent="0.2">
      <c r="Y28427" s="97"/>
    </row>
    <row r="28428" spans="25:25" x14ac:dyDescent="0.2">
      <c r="Y28428" s="97"/>
    </row>
    <row r="28429" spans="25:25" x14ac:dyDescent="0.2">
      <c r="Y28429" s="97"/>
    </row>
    <row r="28430" spans="25:25" x14ac:dyDescent="0.2">
      <c r="Y28430" s="97"/>
    </row>
    <row r="28431" spans="25:25" x14ac:dyDescent="0.2">
      <c r="Y28431" s="97"/>
    </row>
    <row r="28432" spans="25:25" x14ac:dyDescent="0.2">
      <c r="Y28432" s="97"/>
    </row>
    <row r="28433" spans="25:25" x14ac:dyDescent="0.2">
      <c r="Y28433" s="97"/>
    </row>
    <row r="28434" spans="25:25" x14ac:dyDescent="0.2">
      <c r="Y28434" s="97"/>
    </row>
    <row r="28435" spans="25:25" x14ac:dyDescent="0.2">
      <c r="Y28435" s="97"/>
    </row>
    <row r="28436" spans="25:25" x14ac:dyDescent="0.2">
      <c r="Y28436" s="97"/>
    </row>
    <row r="28437" spans="25:25" x14ac:dyDescent="0.2">
      <c r="Y28437" s="97"/>
    </row>
    <row r="28438" spans="25:25" x14ac:dyDescent="0.2">
      <c r="Y28438" s="97"/>
    </row>
    <row r="28439" spans="25:25" x14ac:dyDescent="0.2">
      <c r="Y28439" s="97"/>
    </row>
    <row r="28440" spans="25:25" x14ac:dyDescent="0.2">
      <c r="Y28440" s="97"/>
    </row>
    <row r="28441" spans="25:25" x14ac:dyDescent="0.2">
      <c r="Y28441" s="97"/>
    </row>
    <row r="28442" spans="25:25" x14ac:dyDescent="0.2">
      <c r="Y28442" s="97"/>
    </row>
    <row r="28443" spans="25:25" x14ac:dyDescent="0.2">
      <c r="Y28443" s="97"/>
    </row>
    <row r="28444" spans="25:25" x14ac:dyDescent="0.2">
      <c r="Y28444" s="97"/>
    </row>
    <row r="28445" spans="25:25" x14ac:dyDescent="0.2">
      <c r="Y28445" s="97"/>
    </row>
    <row r="28446" spans="25:25" x14ac:dyDescent="0.2">
      <c r="Y28446" s="97"/>
    </row>
    <row r="28447" spans="25:25" x14ac:dyDescent="0.2">
      <c r="Y28447" s="97"/>
    </row>
    <row r="28448" spans="25:25" x14ac:dyDescent="0.2">
      <c r="Y28448" s="97"/>
    </row>
    <row r="28449" spans="25:25" x14ac:dyDescent="0.2">
      <c r="Y28449" s="97"/>
    </row>
    <row r="28450" spans="25:25" x14ac:dyDescent="0.2">
      <c r="Y28450" s="97"/>
    </row>
    <row r="28451" spans="25:25" x14ac:dyDescent="0.2">
      <c r="Y28451" s="97"/>
    </row>
    <row r="28452" spans="25:25" x14ac:dyDescent="0.2">
      <c r="Y28452" s="97"/>
    </row>
    <row r="28453" spans="25:25" x14ac:dyDescent="0.2">
      <c r="Y28453" s="97"/>
    </row>
    <row r="28454" spans="25:25" x14ac:dyDescent="0.2">
      <c r="Y28454" s="97"/>
    </row>
    <row r="28455" spans="25:25" x14ac:dyDescent="0.2">
      <c r="Y28455" s="97"/>
    </row>
    <row r="28456" spans="25:25" x14ac:dyDescent="0.2">
      <c r="Y28456" s="97"/>
    </row>
    <row r="28457" spans="25:25" x14ac:dyDescent="0.2">
      <c r="Y28457" s="97"/>
    </row>
    <row r="28458" spans="25:25" x14ac:dyDescent="0.2">
      <c r="Y28458" s="97"/>
    </row>
    <row r="28459" spans="25:25" x14ac:dyDescent="0.2">
      <c r="Y28459" s="97"/>
    </row>
    <row r="28460" spans="25:25" x14ac:dyDescent="0.2">
      <c r="Y28460" s="97"/>
    </row>
    <row r="28461" spans="25:25" x14ac:dyDescent="0.2">
      <c r="Y28461" s="97"/>
    </row>
    <row r="28462" spans="25:25" x14ac:dyDescent="0.2">
      <c r="Y28462" s="97"/>
    </row>
    <row r="28463" spans="25:25" x14ac:dyDescent="0.2">
      <c r="Y28463" s="97"/>
    </row>
    <row r="28464" spans="25:25" x14ac:dyDescent="0.2">
      <c r="Y28464" s="97"/>
    </row>
    <row r="28465" spans="25:25" x14ac:dyDescent="0.2">
      <c r="Y28465" s="97"/>
    </row>
    <row r="28466" spans="25:25" x14ac:dyDescent="0.2">
      <c r="Y28466" s="97"/>
    </row>
    <row r="28467" spans="25:25" x14ac:dyDescent="0.2">
      <c r="Y28467" s="97"/>
    </row>
    <row r="28468" spans="25:25" x14ac:dyDescent="0.2">
      <c r="Y28468" s="97"/>
    </row>
    <row r="28469" spans="25:25" x14ac:dyDescent="0.2">
      <c r="Y28469" s="97"/>
    </row>
    <row r="28470" spans="25:25" x14ac:dyDescent="0.2">
      <c r="Y28470" s="97"/>
    </row>
    <row r="28471" spans="25:25" x14ac:dyDescent="0.2">
      <c r="Y28471" s="97"/>
    </row>
    <row r="28472" spans="25:25" x14ac:dyDescent="0.2">
      <c r="Y28472" s="97"/>
    </row>
    <row r="28473" spans="25:25" x14ac:dyDescent="0.2">
      <c r="Y28473" s="97"/>
    </row>
    <row r="28474" spans="25:25" x14ac:dyDescent="0.2">
      <c r="Y28474" s="97"/>
    </row>
    <row r="28475" spans="25:25" x14ac:dyDescent="0.2">
      <c r="Y28475" s="97"/>
    </row>
    <row r="28476" spans="25:25" x14ac:dyDescent="0.2">
      <c r="Y28476" s="97"/>
    </row>
    <row r="28477" spans="25:25" x14ac:dyDescent="0.2">
      <c r="Y28477" s="97"/>
    </row>
    <row r="28478" spans="25:25" x14ac:dyDescent="0.2">
      <c r="Y28478" s="97"/>
    </row>
    <row r="28479" spans="25:25" x14ac:dyDescent="0.2">
      <c r="Y28479" s="97"/>
    </row>
    <row r="28480" spans="25:25" x14ac:dyDescent="0.2">
      <c r="Y28480" s="97"/>
    </row>
    <row r="28481" spans="25:25" x14ac:dyDescent="0.2">
      <c r="Y28481" s="97"/>
    </row>
    <row r="28482" spans="25:25" x14ac:dyDescent="0.2">
      <c r="Y28482" s="97"/>
    </row>
    <row r="28483" spans="25:25" x14ac:dyDescent="0.2">
      <c r="Y28483" s="97"/>
    </row>
    <row r="28484" spans="25:25" x14ac:dyDescent="0.2">
      <c r="Y28484" s="97"/>
    </row>
    <row r="28485" spans="25:25" x14ac:dyDescent="0.2">
      <c r="Y28485" s="97"/>
    </row>
    <row r="28486" spans="25:25" x14ac:dyDescent="0.2">
      <c r="Y28486" s="97"/>
    </row>
    <row r="28487" spans="25:25" x14ac:dyDescent="0.2">
      <c r="Y28487" s="97"/>
    </row>
    <row r="28488" spans="25:25" x14ac:dyDescent="0.2">
      <c r="Y28488" s="97"/>
    </row>
    <row r="28489" spans="25:25" x14ac:dyDescent="0.2">
      <c r="Y28489" s="97"/>
    </row>
    <row r="28490" spans="25:25" x14ac:dyDescent="0.2">
      <c r="Y28490" s="97"/>
    </row>
    <row r="28491" spans="25:25" x14ac:dyDescent="0.2">
      <c r="Y28491" s="97"/>
    </row>
    <row r="28492" spans="25:25" x14ac:dyDescent="0.2">
      <c r="Y28492" s="97"/>
    </row>
    <row r="28493" spans="25:25" x14ac:dyDescent="0.2">
      <c r="Y28493" s="97"/>
    </row>
    <row r="28494" spans="25:25" x14ac:dyDescent="0.2">
      <c r="Y28494" s="97"/>
    </row>
    <row r="28495" spans="25:25" x14ac:dyDescent="0.2">
      <c r="Y28495" s="97"/>
    </row>
    <row r="28496" spans="25:25" x14ac:dyDescent="0.2">
      <c r="Y28496" s="97"/>
    </row>
    <row r="28497" spans="25:25" x14ac:dyDescent="0.2">
      <c r="Y28497" s="97"/>
    </row>
    <row r="28498" spans="25:25" x14ac:dyDescent="0.2">
      <c r="Y28498" s="97"/>
    </row>
    <row r="28499" spans="25:25" x14ac:dyDescent="0.2">
      <c r="Y28499" s="97"/>
    </row>
    <row r="28500" spans="25:25" x14ac:dyDescent="0.2">
      <c r="Y28500" s="97"/>
    </row>
    <row r="28501" spans="25:25" x14ac:dyDescent="0.2">
      <c r="Y28501" s="97"/>
    </row>
    <row r="28502" spans="25:25" x14ac:dyDescent="0.2">
      <c r="Y28502" s="97"/>
    </row>
    <row r="28503" spans="25:25" x14ac:dyDescent="0.2">
      <c r="Y28503" s="97"/>
    </row>
    <row r="28504" spans="25:25" x14ac:dyDescent="0.2">
      <c r="Y28504" s="97"/>
    </row>
    <row r="28505" spans="25:25" x14ac:dyDescent="0.2">
      <c r="Y28505" s="97"/>
    </row>
    <row r="28506" spans="25:25" x14ac:dyDescent="0.2">
      <c r="Y28506" s="97"/>
    </row>
    <row r="28507" spans="25:25" x14ac:dyDescent="0.2">
      <c r="Y28507" s="97"/>
    </row>
    <row r="28508" spans="25:25" x14ac:dyDescent="0.2">
      <c r="Y28508" s="97"/>
    </row>
    <row r="28509" spans="25:25" x14ac:dyDescent="0.2">
      <c r="Y28509" s="97"/>
    </row>
    <row r="28510" spans="25:25" x14ac:dyDescent="0.2">
      <c r="Y28510" s="97"/>
    </row>
    <row r="28511" spans="25:25" x14ac:dyDescent="0.2">
      <c r="Y28511" s="97"/>
    </row>
    <row r="28512" spans="25:25" x14ac:dyDescent="0.2">
      <c r="Y28512" s="97"/>
    </row>
    <row r="28513" spans="25:25" x14ac:dyDescent="0.2">
      <c r="Y28513" s="97"/>
    </row>
    <row r="28514" spans="25:25" x14ac:dyDescent="0.2">
      <c r="Y28514" s="97"/>
    </row>
    <row r="28515" spans="25:25" x14ac:dyDescent="0.2">
      <c r="Y28515" s="97"/>
    </row>
    <row r="28516" spans="25:25" x14ac:dyDescent="0.2">
      <c r="Y28516" s="97"/>
    </row>
    <row r="28517" spans="25:25" x14ac:dyDescent="0.2">
      <c r="Y28517" s="97"/>
    </row>
    <row r="28518" spans="25:25" x14ac:dyDescent="0.2">
      <c r="Y28518" s="97"/>
    </row>
    <row r="28519" spans="25:25" x14ac:dyDescent="0.2">
      <c r="Y28519" s="97"/>
    </row>
    <row r="28520" spans="25:25" x14ac:dyDescent="0.2">
      <c r="Y28520" s="97"/>
    </row>
    <row r="28521" spans="25:25" x14ac:dyDescent="0.2">
      <c r="Y28521" s="97"/>
    </row>
    <row r="28522" spans="25:25" x14ac:dyDescent="0.2">
      <c r="Y28522" s="97"/>
    </row>
    <row r="28523" spans="25:25" x14ac:dyDescent="0.2">
      <c r="Y28523" s="97"/>
    </row>
    <row r="28524" spans="25:25" x14ac:dyDescent="0.2">
      <c r="Y28524" s="97"/>
    </row>
    <row r="28525" spans="25:25" x14ac:dyDescent="0.2">
      <c r="Y28525" s="97"/>
    </row>
    <row r="28526" spans="25:25" x14ac:dyDescent="0.2">
      <c r="Y28526" s="97"/>
    </row>
    <row r="28527" spans="25:25" x14ac:dyDescent="0.2">
      <c r="Y28527" s="97"/>
    </row>
    <row r="28528" spans="25:25" x14ac:dyDescent="0.2">
      <c r="Y28528" s="97"/>
    </row>
    <row r="28529" spans="25:25" x14ac:dyDescent="0.2">
      <c r="Y28529" s="97"/>
    </row>
    <row r="28530" spans="25:25" x14ac:dyDescent="0.2">
      <c r="Y28530" s="97"/>
    </row>
    <row r="28531" spans="25:25" x14ac:dyDescent="0.2">
      <c r="Y28531" s="97"/>
    </row>
    <row r="28532" spans="25:25" x14ac:dyDescent="0.2">
      <c r="Y28532" s="97"/>
    </row>
    <row r="28533" spans="25:25" x14ac:dyDescent="0.2">
      <c r="Y28533" s="97"/>
    </row>
    <row r="28534" spans="25:25" x14ac:dyDescent="0.2">
      <c r="Y28534" s="97"/>
    </row>
    <row r="28535" spans="25:25" x14ac:dyDescent="0.2">
      <c r="Y28535" s="97"/>
    </row>
    <row r="28536" spans="25:25" x14ac:dyDescent="0.2">
      <c r="Y28536" s="97"/>
    </row>
    <row r="28537" spans="25:25" x14ac:dyDescent="0.2">
      <c r="Y28537" s="97"/>
    </row>
    <row r="28538" spans="25:25" x14ac:dyDescent="0.2">
      <c r="Y28538" s="97"/>
    </row>
    <row r="28539" spans="25:25" x14ac:dyDescent="0.2">
      <c r="Y28539" s="97"/>
    </row>
    <row r="28540" spans="25:25" x14ac:dyDescent="0.2">
      <c r="Y28540" s="97"/>
    </row>
    <row r="28541" spans="25:25" x14ac:dyDescent="0.2">
      <c r="Y28541" s="97"/>
    </row>
    <row r="28542" spans="25:25" x14ac:dyDescent="0.2">
      <c r="Y28542" s="97"/>
    </row>
    <row r="28543" spans="25:25" x14ac:dyDescent="0.2">
      <c r="Y28543" s="97"/>
    </row>
    <row r="28544" spans="25:25" x14ac:dyDescent="0.2">
      <c r="Y28544" s="97"/>
    </row>
    <row r="28545" spans="25:25" x14ac:dyDescent="0.2">
      <c r="Y28545" s="97"/>
    </row>
    <row r="28546" spans="25:25" x14ac:dyDescent="0.2">
      <c r="Y28546" s="97"/>
    </row>
    <row r="28547" spans="25:25" x14ac:dyDescent="0.2">
      <c r="Y28547" s="97"/>
    </row>
    <row r="28548" spans="25:25" x14ac:dyDescent="0.2">
      <c r="Y28548" s="97"/>
    </row>
    <row r="28549" spans="25:25" x14ac:dyDescent="0.2">
      <c r="Y28549" s="97"/>
    </row>
    <row r="28550" spans="25:25" x14ac:dyDescent="0.2">
      <c r="Y28550" s="97"/>
    </row>
    <row r="28551" spans="25:25" x14ac:dyDescent="0.2">
      <c r="Y28551" s="97"/>
    </row>
    <row r="28552" spans="25:25" x14ac:dyDescent="0.2">
      <c r="Y28552" s="97"/>
    </row>
    <row r="28553" spans="25:25" x14ac:dyDescent="0.2">
      <c r="Y28553" s="97"/>
    </row>
    <row r="28554" spans="25:25" x14ac:dyDescent="0.2">
      <c r="Y28554" s="97"/>
    </row>
    <row r="28555" spans="25:25" x14ac:dyDescent="0.2">
      <c r="Y28555" s="97"/>
    </row>
    <row r="28556" spans="25:25" x14ac:dyDescent="0.2">
      <c r="Y28556" s="97"/>
    </row>
    <row r="28557" spans="25:25" x14ac:dyDescent="0.2">
      <c r="Y28557" s="97"/>
    </row>
    <row r="28558" spans="25:25" x14ac:dyDescent="0.2">
      <c r="Y28558" s="97"/>
    </row>
    <row r="28559" spans="25:25" x14ac:dyDescent="0.2">
      <c r="Y28559" s="97"/>
    </row>
    <row r="28560" spans="25:25" x14ac:dyDescent="0.2">
      <c r="Y28560" s="97"/>
    </row>
    <row r="28561" spans="25:25" x14ac:dyDescent="0.2">
      <c r="Y28561" s="97"/>
    </row>
    <row r="28562" spans="25:25" x14ac:dyDescent="0.2">
      <c r="Y28562" s="97"/>
    </row>
    <row r="28563" spans="25:25" x14ac:dyDescent="0.2">
      <c r="Y28563" s="97"/>
    </row>
    <row r="28564" spans="25:25" x14ac:dyDescent="0.2">
      <c r="Y28564" s="97"/>
    </row>
    <row r="28565" spans="25:25" x14ac:dyDescent="0.2">
      <c r="Y28565" s="97"/>
    </row>
    <row r="28566" spans="25:25" x14ac:dyDescent="0.2">
      <c r="Y28566" s="97"/>
    </row>
    <row r="28567" spans="25:25" x14ac:dyDescent="0.2">
      <c r="Y28567" s="97"/>
    </row>
    <row r="28568" spans="25:25" x14ac:dyDescent="0.2">
      <c r="Y28568" s="97"/>
    </row>
    <row r="28569" spans="25:25" x14ac:dyDescent="0.2">
      <c r="Y28569" s="97"/>
    </row>
    <row r="28570" spans="25:25" x14ac:dyDescent="0.2">
      <c r="Y28570" s="97"/>
    </row>
    <row r="28571" spans="25:25" x14ac:dyDescent="0.2">
      <c r="Y28571" s="97"/>
    </row>
    <row r="28572" spans="25:25" x14ac:dyDescent="0.2">
      <c r="Y28572" s="97"/>
    </row>
    <row r="28573" spans="25:25" x14ac:dyDescent="0.2">
      <c r="Y28573" s="97"/>
    </row>
    <row r="28574" spans="25:25" x14ac:dyDescent="0.2">
      <c r="Y28574" s="97"/>
    </row>
    <row r="28575" spans="25:25" x14ac:dyDescent="0.2">
      <c r="Y28575" s="97"/>
    </row>
    <row r="28576" spans="25:25" x14ac:dyDescent="0.2">
      <c r="Y28576" s="97"/>
    </row>
    <row r="28577" spans="25:25" x14ac:dyDescent="0.2">
      <c r="Y28577" s="97"/>
    </row>
    <row r="28578" spans="25:25" x14ac:dyDescent="0.2">
      <c r="Y28578" s="97"/>
    </row>
    <row r="28579" spans="25:25" x14ac:dyDescent="0.2">
      <c r="Y28579" s="97"/>
    </row>
    <row r="28580" spans="25:25" x14ac:dyDescent="0.2">
      <c r="Y28580" s="97"/>
    </row>
    <row r="28581" spans="25:25" x14ac:dyDescent="0.2">
      <c r="Y28581" s="97"/>
    </row>
    <row r="28582" spans="25:25" x14ac:dyDescent="0.2">
      <c r="Y28582" s="97"/>
    </row>
    <row r="28583" spans="25:25" x14ac:dyDescent="0.2">
      <c r="Y28583" s="97"/>
    </row>
    <row r="28584" spans="25:25" x14ac:dyDescent="0.2">
      <c r="Y28584" s="97"/>
    </row>
    <row r="28585" spans="25:25" x14ac:dyDescent="0.2">
      <c r="Y28585" s="97"/>
    </row>
    <row r="28586" spans="25:25" x14ac:dyDescent="0.2">
      <c r="Y28586" s="97"/>
    </row>
    <row r="28587" spans="25:25" x14ac:dyDescent="0.2">
      <c r="Y28587" s="97"/>
    </row>
    <row r="28588" spans="25:25" x14ac:dyDescent="0.2">
      <c r="Y28588" s="97"/>
    </row>
    <row r="28589" spans="25:25" x14ac:dyDescent="0.2">
      <c r="Y28589" s="97"/>
    </row>
    <row r="28590" spans="25:25" x14ac:dyDescent="0.2">
      <c r="Y28590" s="97"/>
    </row>
    <row r="28591" spans="25:25" x14ac:dyDescent="0.2">
      <c r="Y28591" s="97"/>
    </row>
    <row r="28592" spans="25:25" x14ac:dyDescent="0.2">
      <c r="Y28592" s="97"/>
    </row>
    <row r="28593" spans="25:25" x14ac:dyDescent="0.2">
      <c r="Y28593" s="97"/>
    </row>
    <row r="28594" spans="25:25" x14ac:dyDescent="0.2">
      <c r="Y28594" s="97"/>
    </row>
    <row r="28595" spans="25:25" x14ac:dyDescent="0.2">
      <c r="Y28595" s="97"/>
    </row>
    <row r="28596" spans="25:25" x14ac:dyDescent="0.2">
      <c r="Y28596" s="97"/>
    </row>
    <row r="28597" spans="25:25" x14ac:dyDescent="0.2">
      <c r="Y28597" s="97"/>
    </row>
    <row r="28598" spans="25:25" x14ac:dyDescent="0.2">
      <c r="Y28598" s="97"/>
    </row>
    <row r="28599" spans="25:25" x14ac:dyDescent="0.2">
      <c r="Y28599" s="97"/>
    </row>
    <row r="28600" spans="25:25" x14ac:dyDescent="0.2">
      <c r="Y28600" s="97"/>
    </row>
    <row r="28601" spans="25:25" x14ac:dyDescent="0.2">
      <c r="Y28601" s="97"/>
    </row>
    <row r="28602" spans="25:25" x14ac:dyDescent="0.2">
      <c r="Y28602" s="97"/>
    </row>
    <row r="28603" spans="25:25" x14ac:dyDescent="0.2">
      <c r="Y28603" s="97"/>
    </row>
    <row r="28604" spans="25:25" x14ac:dyDescent="0.2">
      <c r="Y28604" s="97"/>
    </row>
    <row r="28605" spans="25:25" x14ac:dyDescent="0.2">
      <c r="Y28605" s="97"/>
    </row>
    <row r="28606" spans="25:25" x14ac:dyDescent="0.2">
      <c r="Y28606" s="97"/>
    </row>
    <row r="28607" spans="25:25" x14ac:dyDescent="0.2">
      <c r="Y28607" s="97"/>
    </row>
    <row r="28608" spans="25:25" x14ac:dyDescent="0.2">
      <c r="Y28608" s="97"/>
    </row>
    <row r="28609" spans="25:25" x14ac:dyDescent="0.2">
      <c r="Y28609" s="97"/>
    </row>
    <row r="28610" spans="25:25" x14ac:dyDescent="0.2">
      <c r="Y28610" s="97"/>
    </row>
    <row r="28611" spans="25:25" x14ac:dyDescent="0.2">
      <c r="Y28611" s="97"/>
    </row>
    <row r="28612" spans="25:25" x14ac:dyDescent="0.2">
      <c r="Y28612" s="97"/>
    </row>
    <row r="28613" spans="25:25" x14ac:dyDescent="0.2">
      <c r="Y28613" s="97"/>
    </row>
    <row r="28614" spans="25:25" x14ac:dyDescent="0.2">
      <c r="Y28614" s="97"/>
    </row>
    <row r="28615" spans="25:25" x14ac:dyDescent="0.2">
      <c r="Y28615" s="97"/>
    </row>
    <row r="28616" spans="25:25" x14ac:dyDescent="0.2">
      <c r="Y28616" s="97"/>
    </row>
    <row r="28617" spans="25:25" x14ac:dyDescent="0.2">
      <c r="Y28617" s="97"/>
    </row>
    <row r="28618" spans="25:25" x14ac:dyDescent="0.2">
      <c r="Y28618" s="97"/>
    </row>
    <row r="28619" spans="25:25" x14ac:dyDescent="0.2">
      <c r="Y28619" s="97"/>
    </row>
    <row r="28620" spans="25:25" x14ac:dyDescent="0.2">
      <c r="Y28620" s="97"/>
    </row>
    <row r="28621" spans="25:25" x14ac:dyDescent="0.2">
      <c r="Y28621" s="97"/>
    </row>
    <row r="28622" spans="25:25" x14ac:dyDescent="0.2">
      <c r="Y28622" s="97"/>
    </row>
    <row r="28623" spans="25:25" x14ac:dyDescent="0.2">
      <c r="Y28623" s="97"/>
    </row>
    <row r="28624" spans="25:25" x14ac:dyDescent="0.2">
      <c r="Y28624" s="97"/>
    </row>
    <row r="28625" spans="25:25" x14ac:dyDescent="0.2">
      <c r="Y28625" s="97"/>
    </row>
    <row r="28626" spans="25:25" x14ac:dyDescent="0.2">
      <c r="Y28626" s="97"/>
    </row>
    <row r="28627" spans="25:25" x14ac:dyDescent="0.2">
      <c r="Y28627" s="97"/>
    </row>
    <row r="28628" spans="25:25" x14ac:dyDescent="0.2">
      <c r="Y28628" s="97"/>
    </row>
    <row r="28629" spans="25:25" x14ac:dyDescent="0.2">
      <c r="Y28629" s="97"/>
    </row>
    <row r="28630" spans="25:25" x14ac:dyDescent="0.2">
      <c r="Y28630" s="97"/>
    </row>
    <row r="28631" spans="25:25" x14ac:dyDescent="0.2">
      <c r="Y28631" s="97"/>
    </row>
    <row r="28632" spans="25:25" x14ac:dyDescent="0.2">
      <c r="Y28632" s="97"/>
    </row>
    <row r="28633" spans="25:25" x14ac:dyDescent="0.2">
      <c r="Y28633" s="97"/>
    </row>
    <row r="28634" spans="25:25" x14ac:dyDescent="0.2">
      <c r="Y28634" s="97"/>
    </row>
    <row r="28635" spans="25:25" x14ac:dyDescent="0.2">
      <c r="Y28635" s="97"/>
    </row>
    <row r="28636" spans="25:25" x14ac:dyDescent="0.2">
      <c r="Y28636" s="97"/>
    </row>
    <row r="28637" spans="25:25" x14ac:dyDescent="0.2">
      <c r="Y28637" s="97"/>
    </row>
    <row r="28638" spans="25:25" x14ac:dyDescent="0.2">
      <c r="Y28638" s="97"/>
    </row>
    <row r="28639" spans="25:25" x14ac:dyDescent="0.2">
      <c r="Y28639" s="97"/>
    </row>
    <row r="28640" spans="25:25" x14ac:dyDescent="0.2">
      <c r="Y28640" s="97"/>
    </row>
    <row r="28641" spans="25:25" x14ac:dyDescent="0.2">
      <c r="Y28641" s="97"/>
    </row>
    <row r="28642" spans="25:25" x14ac:dyDescent="0.2">
      <c r="Y28642" s="97"/>
    </row>
    <row r="28643" spans="25:25" x14ac:dyDescent="0.2">
      <c r="Y28643" s="97"/>
    </row>
    <row r="28644" spans="25:25" x14ac:dyDescent="0.2">
      <c r="Y28644" s="97"/>
    </row>
    <row r="28645" spans="25:25" x14ac:dyDescent="0.2">
      <c r="Y28645" s="97"/>
    </row>
    <row r="28646" spans="25:25" x14ac:dyDescent="0.2">
      <c r="Y28646" s="97"/>
    </row>
    <row r="28647" spans="25:25" x14ac:dyDescent="0.2">
      <c r="Y28647" s="97"/>
    </row>
    <row r="28648" spans="25:25" x14ac:dyDescent="0.2">
      <c r="Y28648" s="97"/>
    </row>
    <row r="28649" spans="25:25" x14ac:dyDescent="0.2">
      <c r="Y28649" s="97"/>
    </row>
    <row r="28650" spans="25:25" x14ac:dyDescent="0.2">
      <c r="Y28650" s="97"/>
    </row>
    <row r="28651" spans="25:25" x14ac:dyDescent="0.2">
      <c r="Y28651" s="97"/>
    </row>
    <row r="28652" spans="25:25" x14ac:dyDescent="0.2">
      <c r="Y28652" s="97"/>
    </row>
    <row r="28653" spans="25:25" x14ac:dyDescent="0.2">
      <c r="Y28653" s="97"/>
    </row>
    <row r="28654" spans="25:25" x14ac:dyDescent="0.2">
      <c r="Y28654" s="97"/>
    </row>
    <row r="28655" spans="25:25" x14ac:dyDescent="0.2">
      <c r="Y28655" s="97"/>
    </row>
    <row r="28656" spans="25:25" x14ac:dyDescent="0.2">
      <c r="Y28656" s="97"/>
    </row>
    <row r="28657" spans="25:25" x14ac:dyDescent="0.2">
      <c r="Y28657" s="97"/>
    </row>
    <row r="28658" spans="25:25" x14ac:dyDescent="0.2">
      <c r="Y28658" s="97"/>
    </row>
    <row r="28659" spans="25:25" x14ac:dyDescent="0.2">
      <c r="Y28659" s="97"/>
    </row>
    <row r="28660" spans="25:25" x14ac:dyDescent="0.2">
      <c r="Y28660" s="97"/>
    </row>
    <row r="28661" spans="25:25" x14ac:dyDescent="0.2">
      <c r="Y28661" s="97"/>
    </row>
    <row r="28662" spans="25:25" x14ac:dyDescent="0.2">
      <c r="Y28662" s="97"/>
    </row>
    <row r="28663" spans="25:25" x14ac:dyDescent="0.2">
      <c r="Y28663" s="97"/>
    </row>
    <row r="28664" spans="25:25" x14ac:dyDescent="0.2">
      <c r="Y28664" s="97"/>
    </row>
    <row r="28665" spans="25:25" x14ac:dyDescent="0.2">
      <c r="Y28665" s="97"/>
    </row>
    <row r="28666" spans="25:25" x14ac:dyDescent="0.2">
      <c r="Y28666" s="97"/>
    </row>
    <row r="28667" spans="25:25" x14ac:dyDescent="0.2">
      <c r="Y28667" s="97"/>
    </row>
    <row r="28668" spans="25:25" x14ac:dyDescent="0.2">
      <c r="Y28668" s="97"/>
    </row>
    <row r="28669" spans="25:25" x14ac:dyDescent="0.2">
      <c r="Y28669" s="97"/>
    </row>
    <row r="28670" spans="25:25" x14ac:dyDescent="0.2">
      <c r="Y28670" s="97"/>
    </row>
    <row r="28671" spans="25:25" x14ac:dyDescent="0.2">
      <c r="Y28671" s="97"/>
    </row>
    <row r="28672" spans="25:25" x14ac:dyDescent="0.2">
      <c r="Y28672" s="97"/>
    </row>
    <row r="28673" spans="25:25" x14ac:dyDescent="0.2">
      <c r="Y28673" s="97"/>
    </row>
    <row r="28674" spans="25:25" x14ac:dyDescent="0.2">
      <c r="Y28674" s="97"/>
    </row>
    <row r="28675" spans="25:25" x14ac:dyDescent="0.2">
      <c r="Y28675" s="97"/>
    </row>
    <row r="28676" spans="25:25" x14ac:dyDescent="0.2">
      <c r="Y28676" s="97"/>
    </row>
    <row r="28677" spans="25:25" x14ac:dyDescent="0.2">
      <c r="Y28677" s="97"/>
    </row>
    <row r="28678" spans="25:25" x14ac:dyDescent="0.2">
      <c r="Y28678" s="97"/>
    </row>
    <row r="28679" spans="25:25" x14ac:dyDescent="0.2">
      <c r="Y28679" s="97"/>
    </row>
    <row r="28680" spans="25:25" x14ac:dyDescent="0.2">
      <c r="Y28680" s="97"/>
    </row>
    <row r="28681" spans="25:25" x14ac:dyDescent="0.2">
      <c r="Y28681" s="97"/>
    </row>
    <row r="28682" spans="25:25" x14ac:dyDescent="0.2">
      <c r="Y28682" s="97"/>
    </row>
    <row r="28683" spans="25:25" x14ac:dyDescent="0.2">
      <c r="Y28683" s="97"/>
    </row>
    <row r="28684" spans="25:25" x14ac:dyDescent="0.2">
      <c r="Y28684" s="97"/>
    </row>
    <row r="28685" spans="25:25" x14ac:dyDescent="0.2">
      <c r="Y28685" s="97"/>
    </row>
    <row r="28686" spans="25:25" x14ac:dyDescent="0.2">
      <c r="Y28686" s="97"/>
    </row>
    <row r="28687" spans="25:25" x14ac:dyDescent="0.2">
      <c r="Y28687" s="97"/>
    </row>
    <row r="28688" spans="25:25" x14ac:dyDescent="0.2">
      <c r="Y28688" s="97"/>
    </row>
    <row r="28689" spans="25:25" x14ac:dyDescent="0.2">
      <c r="Y28689" s="97"/>
    </row>
    <row r="28690" spans="25:25" x14ac:dyDescent="0.2">
      <c r="Y28690" s="97"/>
    </row>
    <row r="28691" spans="25:25" x14ac:dyDescent="0.2">
      <c r="Y28691" s="97"/>
    </row>
    <row r="28692" spans="25:25" x14ac:dyDescent="0.2">
      <c r="Y28692" s="97"/>
    </row>
    <row r="28693" spans="25:25" x14ac:dyDescent="0.2">
      <c r="Y28693" s="97"/>
    </row>
    <row r="28694" spans="25:25" x14ac:dyDescent="0.2">
      <c r="Y28694" s="97"/>
    </row>
    <row r="28695" spans="25:25" x14ac:dyDescent="0.2">
      <c r="Y28695" s="97"/>
    </row>
    <row r="28696" spans="25:25" x14ac:dyDescent="0.2">
      <c r="Y28696" s="97"/>
    </row>
    <row r="28697" spans="25:25" x14ac:dyDescent="0.2">
      <c r="Y28697" s="97"/>
    </row>
    <row r="28698" spans="25:25" x14ac:dyDescent="0.2">
      <c r="Y28698" s="97"/>
    </row>
    <row r="28699" spans="25:25" x14ac:dyDescent="0.2">
      <c r="Y28699" s="97"/>
    </row>
    <row r="28700" spans="25:25" x14ac:dyDescent="0.2">
      <c r="Y28700" s="97"/>
    </row>
    <row r="28701" spans="25:25" x14ac:dyDescent="0.2">
      <c r="Y28701" s="97"/>
    </row>
    <row r="28702" spans="25:25" x14ac:dyDescent="0.2">
      <c r="Y28702" s="97"/>
    </row>
    <row r="28703" spans="25:25" x14ac:dyDescent="0.2">
      <c r="Y28703" s="97"/>
    </row>
    <row r="28704" spans="25:25" x14ac:dyDescent="0.2">
      <c r="Y28704" s="97"/>
    </row>
    <row r="28705" spans="25:25" x14ac:dyDescent="0.2">
      <c r="Y28705" s="97"/>
    </row>
    <row r="28706" spans="25:25" x14ac:dyDescent="0.2">
      <c r="Y28706" s="97"/>
    </row>
    <row r="28707" spans="25:25" x14ac:dyDescent="0.2">
      <c r="Y28707" s="97"/>
    </row>
    <row r="28708" spans="25:25" x14ac:dyDescent="0.2">
      <c r="Y28708" s="97"/>
    </row>
    <row r="28709" spans="25:25" x14ac:dyDescent="0.2">
      <c r="Y28709" s="97"/>
    </row>
    <row r="28710" spans="25:25" x14ac:dyDescent="0.2">
      <c r="Y28710" s="97"/>
    </row>
    <row r="28711" spans="25:25" x14ac:dyDescent="0.2">
      <c r="Y28711" s="97"/>
    </row>
    <row r="28712" spans="25:25" x14ac:dyDescent="0.2">
      <c r="Y28712" s="97"/>
    </row>
    <row r="28713" spans="25:25" x14ac:dyDescent="0.2">
      <c r="Y28713" s="97"/>
    </row>
    <row r="28714" spans="25:25" x14ac:dyDescent="0.2">
      <c r="Y28714" s="97"/>
    </row>
    <row r="28715" spans="25:25" x14ac:dyDescent="0.2">
      <c r="Y28715" s="97"/>
    </row>
    <row r="28716" spans="25:25" x14ac:dyDescent="0.2">
      <c r="Y28716" s="97"/>
    </row>
    <row r="28717" spans="25:25" x14ac:dyDescent="0.2">
      <c r="Y28717" s="97"/>
    </row>
    <row r="28718" spans="25:25" x14ac:dyDescent="0.2">
      <c r="Y28718" s="97"/>
    </row>
    <row r="28719" spans="25:25" x14ac:dyDescent="0.2">
      <c r="Y28719" s="97"/>
    </row>
    <row r="28720" spans="25:25" x14ac:dyDescent="0.2">
      <c r="Y28720" s="97"/>
    </row>
    <row r="28721" spans="25:25" x14ac:dyDescent="0.2">
      <c r="Y28721" s="97"/>
    </row>
    <row r="28722" spans="25:25" x14ac:dyDescent="0.2">
      <c r="Y28722" s="97"/>
    </row>
    <row r="28723" spans="25:25" x14ac:dyDescent="0.2">
      <c r="Y28723" s="97"/>
    </row>
    <row r="28724" spans="25:25" x14ac:dyDescent="0.2">
      <c r="Y28724" s="97"/>
    </row>
    <row r="28725" spans="25:25" x14ac:dyDescent="0.2">
      <c r="Y28725" s="97"/>
    </row>
    <row r="28726" spans="25:25" x14ac:dyDescent="0.2">
      <c r="Y28726" s="97"/>
    </row>
    <row r="28727" spans="25:25" x14ac:dyDescent="0.2">
      <c r="Y28727" s="97"/>
    </row>
    <row r="28728" spans="25:25" x14ac:dyDescent="0.2">
      <c r="Y28728" s="97"/>
    </row>
    <row r="28729" spans="25:25" x14ac:dyDescent="0.2">
      <c r="Y28729" s="97"/>
    </row>
    <row r="28730" spans="25:25" x14ac:dyDescent="0.2">
      <c r="Y28730" s="97"/>
    </row>
    <row r="28731" spans="25:25" x14ac:dyDescent="0.2">
      <c r="Y28731" s="97"/>
    </row>
    <row r="28732" spans="25:25" x14ac:dyDescent="0.2">
      <c r="Y28732" s="97"/>
    </row>
    <row r="28733" spans="25:25" x14ac:dyDescent="0.2">
      <c r="Y28733" s="97"/>
    </row>
    <row r="28734" spans="25:25" x14ac:dyDescent="0.2">
      <c r="Y28734" s="97"/>
    </row>
    <row r="28735" spans="25:25" x14ac:dyDescent="0.2">
      <c r="Y28735" s="97"/>
    </row>
    <row r="28736" spans="25:25" x14ac:dyDescent="0.2">
      <c r="Y28736" s="97"/>
    </row>
    <row r="28737" spans="25:25" x14ac:dyDescent="0.2">
      <c r="Y28737" s="97"/>
    </row>
    <row r="28738" spans="25:25" x14ac:dyDescent="0.2">
      <c r="Y28738" s="97"/>
    </row>
    <row r="28739" spans="25:25" x14ac:dyDescent="0.2">
      <c r="Y28739" s="97"/>
    </row>
    <row r="28740" spans="25:25" x14ac:dyDescent="0.2">
      <c r="Y28740" s="97"/>
    </row>
    <row r="28741" spans="25:25" x14ac:dyDescent="0.2">
      <c r="Y28741" s="97"/>
    </row>
    <row r="28742" spans="25:25" x14ac:dyDescent="0.2">
      <c r="Y28742" s="97"/>
    </row>
    <row r="28743" spans="25:25" x14ac:dyDescent="0.2">
      <c r="Y28743" s="97"/>
    </row>
    <row r="28744" spans="25:25" x14ac:dyDescent="0.2">
      <c r="Y28744" s="97"/>
    </row>
    <row r="28745" spans="25:25" x14ac:dyDescent="0.2">
      <c r="Y28745" s="97"/>
    </row>
    <row r="28746" spans="25:25" x14ac:dyDescent="0.2">
      <c r="Y28746" s="97"/>
    </row>
    <row r="28747" spans="25:25" x14ac:dyDescent="0.2">
      <c r="Y28747" s="97"/>
    </row>
    <row r="28748" spans="25:25" x14ac:dyDescent="0.2">
      <c r="Y28748" s="97"/>
    </row>
    <row r="28749" spans="25:25" x14ac:dyDescent="0.2">
      <c r="Y28749" s="97"/>
    </row>
    <row r="28750" spans="25:25" x14ac:dyDescent="0.2">
      <c r="Y28750" s="97"/>
    </row>
    <row r="28751" spans="25:25" x14ac:dyDescent="0.2">
      <c r="Y28751" s="97"/>
    </row>
    <row r="28752" spans="25:25" x14ac:dyDescent="0.2">
      <c r="Y28752" s="97"/>
    </row>
    <row r="28753" spans="25:25" x14ac:dyDescent="0.2">
      <c r="Y28753" s="97"/>
    </row>
    <row r="28754" spans="25:25" x14ac:dyDescent="0.2">
      <c r="Y28754" s="97"/>
    </row>
    <row r="28755" spans="25:25" x14ac:dyDescent="0.2">
      <c r="Y28755" s="97"/>
    </row>
    <row r="28756" spans="25:25" x14ac:dyDescent="0.2">
      <c r="Y28756" s="97"/>
    </row>
    <row r="28757" spans="25:25" x14ac:dyDescent="0.2">
      <c r="Y28757" s="97"/>
    </row>
    <row r="28758" spans="25:25" x14ac:dyDescent="0.2">
      <c r="Y28758" s="97"/>
    </row>
    <row r="28759" spans="25:25" x14ac:dyDescent="0.2">
      <c r="Y28759" s="97"/>
    </row>
    <row r="28760" spans="25:25" x14ac:dyDescent="0.2">
      <c r="Y28760" s="97"/>
    </row>
    <row r="28761" spans="25:25" x14ac:dyDescent="0.2">
      <c r="Y28761" s="97"/>
    </row>
    <row r="28762" spans="25:25" x14ac:dyDescent="0.2">
      <c r="Y28762" s="97"/>
    </row>
    <row r="28763" spans="25:25" x14ac:dyDescent="0.2">
      <c r="Y28763" s="97"/>
    </row>
    <row r="28764" spans="25:25" x14ac:dyDescent="0.2">
      <c r="Y28764" s="97"/>
    </row>
    <row r="28765" spans="25:25" x14ac:dyDescent="0.2">
      <c r="Y28765" s="97"/>
    </row>
    <row r="28766" spans="25:25" x14ac:dyDescent="0.2">
      <c r="Y28766" s="97"/>
    </row>
    <row r="28767" spans="25:25" x14ac:dyDescent="0.2">
      <c r="Y28767" s="97"/>
    </row>
    <row r="28768" spans="25:25" x14ac:dyDescent="0.2">
      <c r="Y28768" s="97"/>
    </row>
    <row r="28769" spans="25:25" x14ac:dyDescent="0.2">
      <c r="Y28769" s="97"/>
    </row>
    <row r="28770" spans="25:25" x14ac:dyDescent="0.2">
      <c r="Y28770" s="97"/>
    </row>
    <row r="28771" spans="25:25" x14ac:dyDescent="0.2">
      <c r="Y28771" s="97"/>
    </row>
    <row r="28772" spans="25:25" x14ac:dyDescent="0.2">
      <c r="Y28772" s="97"/>
    </row>
    <row r="28773" spans="25:25" x14ac:dyDescent="0.2">
      <c r="Y28773" s="97"/>
    </row>
    <row r="28774" spans="25:25" x14ac:dyDescent="0.2">
      <c r="Y28774" s="97"/>
    </row>
    <row r="28775" spans="25:25" x14ac:dyDescent="0.2">
      <c r="Y28775" s="97"/>
    </row>
    <row r="28776" spans="25:25" x14ac:dyDescent="0.2">
      <c r="Y28776" s="97"/>
    </row>
    <row r="28777" spans="25:25" x14ac:dyDescent="0.2">
      <c r="Y28777" s="97"/>
    </row>
    <row r="28778" spans="25:25" x14ac:dyDescent="0.2">
      <c r="Y28778" s="97"/>
    </row>
    <row r="28779" spans="25:25" x14ac:dyDescent="0.2">
      <c r="Y28779" s="97"/>
    </row>
    <row r="28780" spans="25:25" x14ac:dyDescent="0.2">
      <c r="Y28780" s="97"/>
    </row>
    <row r="28781" spans="25:25" x14ac:dyDescent="0.2">
      <c r="Y28781" s="97"/>
    </row>
    <row r="28782" spans="25:25" x14ac:dyDescent="0.2">
      <c r="Y28782" s="97"/>
    </row>
    <row r="28783" spans="25:25" x14ac:dyDescent="0.2">
      <c r="Y28783" s="97"/>
    </row>
    <row r="28784" spans="25:25" x14ac:dyDescent="0.2">
      <c r="Y28784" s="97"/>
    </row>
    <row r="28785" spans="25:25" x14ac:dyDescent="0.2">
      <c r="Y28785" s="97"/>
    </row>
    <row r="28786" spans="25:25" x14ac:dyDescent="0.2">
      <c r="Y28786" s="97"/>
    </row>
    <row r="28787" spans="25:25" x14ac:dyDescent="0.2">
      <c r="Y28787" s="97"/>
    </row>
    <row r="28788" spans="25:25" x14ac:dyDescent="0.2">
      <c r="Y28788" s="97"/>
    </row>
    <row r="28789" spans="25:25" x14ac:dyDescent="0.2">
      <c r="Y28789" s="97"/>
    </row>
    <row r="28790" spans="25:25" x14ac:dyDescent="0.2">
      <c r="Y28790" s="97"/>
    </row>
    <row r="28791" spans="25:25" x14ac:dyDescent="0.2">
      <c r="Y28791" s="97"/>
    </row>
    <row r="28792" spans="25:25" x14ac:dyDescent="0.2">
      <c r="Y28792" s="97"/>
    </row>
    <row r="28793" spans="25:25" x14ac:dyDescent="0.2">
      <c r="Y28793" s="97"/>
    </row>
    <row r="28794" spans="25:25" x14ac:dyDescent="0.2">
      <c r="Y28794" s="97"/>
    </row>
    <row r="28795" spans="25:25" x14ac:dyDescent="0.2">
      <c r="Y28795" s="97"/>
    </row>
    <row r="28796" spans="25:25" x14ac:dyDescent="0.2">
      <c r="Y28796" s="97"/>
    </row>
    <row r="28797" spans="25:25" x14ac:dyDescent="0.2">
      <c r="Y28797" s="97"/>
    </row>
    <row r="28798" spans="25:25" x14ac:dyDescent="0.2">
      <c r="Y28798" s="97"/>
    </row>
    <row r="28799" spans="25:25" x14ac:dyDescent="0.2">
      <c r="Y28799" s="97"/>
    </row>
    <row r="28800" spans="25:25" x14ac:dyDescent="0.2">
      <c r="Y28800" s="97"/>
    </row>
    <row r="28801" spans="25:25" x14ac:dyDescent="0.2">
      <c r="Y28801" s="97"/>
    </row>
    <row r="28802" spans="25:25" x14ac:dyDescent="0.2">
      <c r="Y28802" s="97"/>
    </row>
    <row r="28803" spans="25:25" x14ac:dyDescent="0.2">
      <c r="Y28803" s="97"/>
    </row>
    <row r="28804" spans="25:25" x14ac:dyDescent="0.2">
      <c r="Y28804" s="97"/>
    </row>
    <row r="28805" spans="25:25" x14ac:dyDescent="0.2">
      <c r="Y28805" s="97"/>
    </row>
    <row r="28806" spans="25:25" x14ac:dyDescent="0.2">
      <c r="Y28806" s="97"/>
    </row>
    <row r="28807" spans="25:25" x14ac:dyDescent="0.2">
      <c r="Y28807" s="97"/>
    </row>
    <row r="28808" spans="25:25" x14ac:dyDescent="0.2">
      <c r="Y28808" s="97"/>
    </row>
    <row r="28809" spans="25:25" x14ac:dyDescent="0.2">
      <c r="Y28809" s="97"/>
    </row>
    <row r="28810" spans="25:25" x14ac:dyDescent="0.2">
      <c r="Y28810" s="97"/>
    </row>
    <row r="28811" spans="25:25" x14ac:dyDescent="0.2">
      <c r="Y28811" s="97"/>
    </row>
    <row r="28812" spans="25:25" x14ac:dyDescent="0.2">
      <c r="Y28812" s="97"/>
    </row>
    <row r="28813" spans="25:25" x14ac:dyDescent="0.2">
      <c r="Y28813" s="97"/>
    </row>
    <row r="28814" spans="25:25" x14ac:dyDescent="0.2">
      <c r="Y28814" s="97"/>
    </row>
    <row r="28815" spans="25:25" x14ac:dyDescent="0.2">
      <c r="Y28815" s="97"/>
    </row>
    <row r="28816" spans="25:25" x14ac:dyDescent="0.2">
      <c r="Y28816" s="97"/>
    </row>
    <row r="28817" spans="25:25" x14ac:dyDescent="0.2">
      <c r="Y28817" s="97"/>
    </row>
    <row r="28818" spans="25:25" x14ac:dyDescent="0.2">
      <c r="Y28818" s="97"/>
    </row>
    <row r="28819" spans="25:25" x14ac:dyDescent="0.2">
      <c r="Y28819" s="97"/>
    </row>
    <row r="28820" spans="25:25" x14ac:dyDescent="0.2">
      <c r="Y28820" s="97"/>
    </row>
    <row r="28821" spans="25:25" x14ac:dyDescent="0.2">
      <c r="Y28821" s="97"/>
    </row>
    <row r="28822" spans="25:25" x14ac:dyDescent="0.2">
      <c r="Y28822" s="97"/>
    </row>
    <row r="28823" spans="25:25" x14ac:dyDescent="0.2">
      <c r="Y28823" s="97"/>
    </row>
    <row r="28824" spans="25:25" x14ac:dyDescent="0.2">
      <c r="Y28824" s="97"/>
    </row>
    <row r="28825" spans="25:25" x14ac:dyDescent="0.2">
      <c r="Y28825" s="97"/>
    </row>
    <row r="28826" spans="25:25" x14ac:dyDescent="0.2">
      <c r="Y28826" s="97"/>
    </row>
    <row r="28827" spans="25:25" x14ac:dyDescent="0.2">
      <c r="Y28827" s="97"/>
    </row>
    <row r="28828" spans="25:25" x14ac:dyDescent="0.2">
      <c r="Y28828" s="97"/>
    </row>
    <row r="28829" spans="25:25" x14ac:dyDescent="0.2">
      <c r="Y28829" s="97"/>
    </row>
    <row r="28830" spans="25:25" x14ac:dyDescent="0.2">
      <c r="Y28830" s="97"/>
    </row>
    <row r="28831" spans="25:25" x14ac:dyDescent="0.2">
      <c r="Y28831" s="97"/>
    </row>
    <row r="28832" spans="25:25" x14ac:dyDescent="0.2">
      <c r="Y28832" s="97"/>
    </row>
    <row r="28833" spans="25:25" x14ac:dyDescent="0.2">
      <c r="Y28833" s="97"/>
    </row>
    <row r="28834" spans="25:25" x14ac:dyDescent="0.2">
      <c r="Y28834" s="97"/>
    </row>
    <row r="28835" spans="25:25" x14ac:dyDescent="0.2">
      <c r="Y28835" s="97"/>
    </row>
    <row r="28836" spans="25:25" x14ac:dyDescent="0.2">
      <c r="Y28836" s="97"/>
    </row>
    <row r="28837" spans="25:25" x14ac:dyDescent="0.2">
      <c r="Y28837" s="97"/>
    </row>
    <row r="28838" spans="25:25" x14ac:dyDescent="0.2">
      <c r="Y28838" s="97"/>
    </row>
    <row r="28839" spans="25:25" x14ac:dyDescent="0.2">
      <c r="Y28839" s="97"/>
    </row>
    <row r="28840" spans="25:25" x14ac:dyDescent="0.2">
      <c r="Y28840" s="97"/>
    </row>
    <row r="28841" spans="25:25" x14ac:dyDescent="0.2">
      <c r="Y28841" s="97"/>
    </row>
    <row r="28842" spans="25:25" x14ac:dyDescent="0.2">
      <c r="Y28842" s="97"/>
    </row>
    <row r="28843" spans="25:25" x14ac:dyDescent="0.2">
      <c r="Y28843" s="97"/>
    </row>
    <row r="28844" spans="25:25" x14ac:dyDescent="0.2">
      <c r="Y28844" s="97"/>
    </row>
    <row r="28845" spans="25:25" x14ac:dyDescent="0.2">
      <c r="Y28845" s="97"/>
    </row>
    <row r="28846" spans="25:25" x14ac:dyDescent="0.2">
      <c r="Y28846" s="97"/>
    </row>
    <row r="28847" spans="25:25" x14ac:dyDescent="0.2">
      <c r="Y28847" s="97"/>
    </row>
    <row r="28848" spans="25:25" x14ac:dyDescent="0.2">
      <c r="Y28848" s="97"/>
    </row>
    <row r="28849" spans="25:25" x14ac:dyDescent="0.2">
      <c r="Y28849" s="97"/>
    </row>
    <row r="28850" spans="25:25" x14ac:dyDescent="0.2">
      <c r="Y28850" s="97"/>
    </row>
    <row r="28851" spans="25:25" x14ac:dyDescent="0.2">
      <c r="Y28851" s="97"/>
    </row>
    <row r="28852" spans="25:25" x14ac:dyDescent="0.2">
      <c r="Y28852" s="97"/>
    </row>
    <row r="28853" spans="25:25" x14ac:dyDescent="0.2">
      <c r="Y28853" s="97"/>
    </row>
    <row r="28854" spans="25:25" x14ac:dyDescent="0.2">
      <c r="Y28854" s="97"/>
    </row>
    <row r="28855" spans="25:25" x14ac:dyDescent="0.2">
      <c r="Y28855" s="97"/>
    </row>
    <row r="28856" spans="25:25" x14ac:dyDescent="0.2">
      <c r="Y28856" s="97"/>
    </row>
    <row r="28857" spans="25:25" x14ac:dyDescent="0.2">
      <c r="Y28857" s="97"/>
    </row>
    <row r="28858" spans="25:25" x14ac:dyDescent="0.2">
      <c r="Y28858" s="97"/>
    </row>
    <row r="28859" spans="25:25" x14ac:dyDescent="0.2">
      <c r="Y28859" s="97"/>
    </row>
    <row r="28860" spans="25:25" x14ac:dyDescent="0.2">
      <c r="Y28860" s="97"/>
    </row>
    <row r="28861" spans="25:25" x14ac:dyDescent="0.2">
      <c r="Y28861" s="97"/>
    </row>
    <row r="28862" spans="25:25" x14ac:dyDescent="0.2">
      <c r="Y28862" s="97"/>
    </row>
    <row r="28863" spans="25:25" x14ac:dyDescent="0.2">
      <c r="Y28863" s="97"/>
    </row>
    <row r="28864" spans="25:25" x14ac:dyDescent="0.2">
      <c r="Y28864" s="97"/>
    </row>
    <row r="28865" spans="25:25" x14ac:dyDescent="0.2">
      <c r="Y28865" s="97"/>
    </row>
    <row r="28866" spans="25:25" x14ac:dyDescent="0.2">
      <c r="Y28866" s="97"/>
    </row>
    <row r="28867" spans="25:25" x14ac:dyDescent="0.2">
      <c r="Y28867" s="97"/>
    </row>
    <row r="28868" spans="25:25" x14ac:dyDescent="0.2">
      <c r="Y28868" s="97"/>
    </row>
    <row r="28869" spans="25:25" x14ac:dyDescent="0.2">
      <c r="Y28869" s="97"/>
    </row>
    <row r="28870" spans="25:25" x14ac:dyDescent="0.2">
      <c r="Y28870" s="97"/>
    </row>
    <row r="28871" spans="25:25" x14ac:dyDescent="0.2">
      <c r="Y28871" s="97"/>
    </row>
    <row r="28872" spans="25:25" x14ac:dyDescent="0.2">
      <c r="Y28872" s="97"/>
    </row>
    <row r="28873" spans="25:25" x14ac:dyDescent="0.2">
      <c r="Y28873" s="97"/>
    </row>
    <row r="28874" spans="25:25" x14ac:dyDescent="0.2">
      <c r="Y28874" s="97"/>
    </row>
    <row r="28875" spans="25:25" x14ac:dyDescent="0.2">
      <c r="Y28875" s="97"/>
    </row>
    <row r="28876" spans="25:25" x14ac:dyDescent="0.2">
      <c r="Y28876" s="97"/>
    </row>
    <row r="28877" spans="25:25" x14ac:dyDescent="0.2">
      <c r="Y28877" s="97"/>
    </row>
    <row r="28878" spans="25:25" x14ac:dyDescent="0.2">
      <c r="Y28878" s="97"/>
    </row>
    <row r="28879" spans="25:25" x14ac:dyDescent="0.2">
      <c r="Y28879" s="97"/>
    </row>
    <row r="28880" spans="25:25" x14ac:dyDescent="0.2">
      <c r="Y28880" s="97"/>
    </row>
    <row r="28881" spans="25:25" x14ac:dyDescent="0.2">
      <c r="Y28881" s="97"/>
    </row>
    <row r="28882" spans="25:25" x14ac:dyDescent="0.2">
      <c r="Y28882" s="97"/>
    </row>
    <row r="28883" spans="25:25" x14ac:dyDescent="0.2">
      <c r="Y28883" s="97"/>
    </row>
    <row r="28884" spans="25:25" x14ac:dyDescent="0.2">
      <c r="Y28884" s="97"/>
    </row>
    <row r="28885" spans="25:25" x14ac:dyDescent="0.2">
      <c r="Y28885" s="97"/>
    </row>
    <row r="28886" spans="25:25" x14ac:dyDescent="0.2">
      <c r="Y28886" s="97"/>
    </row>
    <row r="28887" spans="25:25" x14ac:dyDescent="0.2">
      <c r="Y28887" s="97"/>
    </row>
    <row r="28888" spans="25:25" x14ac:dyDescent="0.2">
      <c r="Y28888" s="97"/>
    </row>
    <row r="28889" spans="25:25" x14ac:dyDescent="0.2">
      <c r="Y28889" s="97"/>
    </row>
    <row r="28890" spans="25:25" x14ac:dyDescent="0.2">
      <c r="Y28890" s="97"/>
    </row>
    <row r="28891" spans="25:25" x14ac:dyDescent="0.2">
      <c r="Y28891" s="97"/>
    </row>
    <row r="28892" spans="25:25" x14ac:dyDescent="0.2">
      <c r="Y28892" s="97"/>
    </row>
    <row r="28893" spans="25:25" x14ac:dyDescent="0.2">
      <c r="Y28893" s="97"/>
    </row>
    <row r="28894" spans="25:25" x14ac:dyDescent="0.2">
      <c r="Y28894" s="97"/>
    </row>
    <row r="28895" spans="25:25" x14ac:dyDescent="0.2">
      <c r="Y28895" s="97"/>
    </row>
    <row r="28896" spans="25:25" x14ac:dyDescent="0.2">
      <c r="Y28896" s="97"/>
    </row>
    <row r="28897" spans="25:25" x14ac:dyDescent="0.2">
      <c r="Y28897" s="97"/>
    </row>
    <row r="28898" spans="25:25" x14ac:dyDescent="0.2">
      <c r="Y28898" s="97"/>
    </row>
    <row r="28899" spans="25:25" x14ac:dyDescent="0.2">
      <c r="Y28899" s="97"/>
    </row>
    <row r="28900" spans="25:25" x14ac:dyDescent="0.2">
      <c r="Y28900" s="97"/>
    </row>
    <row r="28901" spans="25:25" x14ac:dyDescent="0.2">
      <c r="Y28901" s="97"/>
    </row>
    <row r="28902" spans="25:25" x14ac:dyDescent="0.2">
      <c r="Y28902" s="97"/>
    </row>
    <row r="28903" spans="25:25" x14ac:dyDescent="0.2">
      <c r="Y28903" s="97"/>
    </row>
    <row r="28904" spans="25:25" x14ac:dyDescent="0.2">
      <c r="Y28904" s="97"/>
    </row>
    <row r="28905" spans="25:25" x14ac:dyDescent="0.2">
      <c r="Y28905" s="97"/>
    </row>
    <row r="28906" spans="25:25" x14ac:dyDescent="0.2">
      <c r="Y28906" s="97"/>
    </row>
    <row r="28907" spans="25:25" x14ac:dyDescent="0.2">
      <c r="Y28907" s="97"/>
    </row>
    <row r="28908" spans="25:25" x14ac:dyDescent="0.2">
      <c r="Y28908" s="97"/>
    </row>
    <row r="28909" spans="25:25" x14ac:dyDescent="0.2">
      <c r="Y28909" s="97"/>
    </row>
    <row r="28910" spans="25:25" x14ac:dyDescent="0.2">
      <c r="Y28910" s="97"/>
    </row>
    <row r="28911" spans="25:25" x14ac:dyDescent="0.2">
      <c r="Y28911" s="97"/>
    </row>
    <row r="28912" spans="25:25" x14ac:dyDescent="0.2">
      <c r="Y28912" s="97"/>
    </row>
    <row r="28913" spans="25:25" x14ac:dyDescent="0.2">
      <c r="Y28913" s="97"/>
    </row>
    <row r="28914" spans="25:25" x14ac:dyDescent="0.2">
      <c r="Y28914" s="97"/>
    </row>
    <row r="28915" spans="25:25" x14ac:dyDescent="0.2">
      <c r="Y28915" s="97"/>
    </row>
    <row r="28916" spans="25:25" x14ac:dyDescent="0.2">
      <c r="Y28916" s="97"/>
    </row>
    <row r="28917" spans="25:25" x14ac:dyDescent="0.2">
      <c r="Y28917" s="97"/>
    </row>
    <row r="28918" spans="25:25" x14ac:dyDescent="0.2">
      <c r="Y28918" s="97"/>
    </row>
    <row r="28919" spans="25:25" x14ac:dyDescent="0.2">
      <c r="Y28919" s="97"/>
    </row>
    <row r="28920" spans="25:25" x14ac:dyDescent="0.2">
      <c r="Y28920" s="97"/>
    </row>
    <row r="28921" spans="25:25" x14ac:dyDescent="0.2">
      <c r="Y28921" s="97"/>
    </row>
    <row r="28922" spans="25:25" x14ac:dyDescent="0.2">
      <c r="Y28922" s="97"/>
    </row>
    <row r="28923" spans="25:25" x14ac:dyDescent="0.2">
      <c r="Y28923" s="97"/>
    </row>
    <row r="28924" spans="25:25" x14ac:dyDescent="0.2">
      <c r="Y28924" s="97"/>
    </row>
    <row r="28925" spans="25:25" x14ac:dyDescent="0.2">
      <c r="Y28925" s="97"/>
    </row>
    <row r="28926" spans="25:25" x14ac:dyDescent="0.2">
      <c r="Y28926" s="97"/>
    </row>
    <row r="28927" spans="25:25" x14ac:dyDescent="0.2">
      <c r="Y28927" s="97"/>
    </row>
    <row r="28928" spans="25:25" x14ac:dyDescent="0.2">
      <c r="Y28928" s="97"/>
    </row>
    <row r="28929" spans="25:25" x14ac:dyDescent="0.2">
      <c r="Y28929" s="97"/>
    </row>
    <row r="28930" spans="25:25" x14ac:dyDescent="0.2">
      <c r="Y28930" s="97"/>
    </row>
    <row r="28931" spans="25:25" x14ac:dyDescent="0.2">
      <c r="Y28931" s="97"/>
    </row>
    <row r="28932" spans="25:25" x14ac:dyDescent="0.2">
      <c r="Y28932" s="97"/>
    </row>
    <row r="28933" spans="25:25" x14ac:dyDescent="0.2">
      <c r="Y28933" s="97"/>
    </row>
    <row r="28934" spans="25:25" x14ac:dyDescent="0.2">
      <c r="Y28934" s="97"/>
    </row>
    <row r="28935" spans="25:25" x14ac:dyDescent="0.2">
      <c r="Y28935" s="97"/>
    </row>
    <row r="28936" spans="25:25" x14ac:dyDescent="0.2">
      <c r="Y28936" s="97"/>
    </row>
    <row r="28937" spans="25:25" x14ac:dyDescent="0.2">
      <c r="Y28937" s="97"/>
    </row>
    <row r="28938" spans="25:25" x14ac:dyDescent="0.2">
      <c r="Y28938" s="97"/>
    </row>
    <row r="28939" spans="25:25" x14ac:dyDescent="0.2">
      <c r="Y28939" s="97"/>
    </row>
    <row r="28940" spans="25:25" x14ac:dyDescent="0.2">
      <c r="Y28940" s="97"/>
    </row>
    <row r="28941" spans="25:25" x14ac:dyDescent="0.2">
      <c r="Y28941" s="97"/>
    </row>
    <row r="28942" spans="25:25" x14ac:dyDescent="0.2">
      <c r="Y28942" s="97"/>
    </row>
    <row r="28943" spans="25:25" x14ac:dyDescent="0.2">
      <c r="Y28943" s="97"/>
    </row>
    <row r="28944" spans="25:25" x14ac:dyDescent="0.2">
      <c r="Y28944" s="97"/>
    </row>
    <row r="28945" spans="25:25" x14ac:dyDescent="0.2">
      <c r="Y28945" s="97"/>
    </row>
    <row r="28946" spans="25:25" x14ac:dyDescent="0.2">
      <c r="Y28946" s="97"/>
    </row>
    <row r="28947" spans="25:25" x14ac:dyDescent="0.2">
      <c r="Y28947" s="97"/>
    </row>
    <row r="28948" spans="25:25" x14ac:dyDescent="0.2">
      <c r="Y28948" s="97"/>
    </row>
    <row r="28949" spans="25:25" x14ac:dyDescent="0.2">
      <c r="Y28949" s="97"/>
    </row>
    <row r="28950" spans="25:25" x14ac:dyDescent="0.2">
      <c r="Y28950" s="97"/>
    </row>
    <row r="28951" spans="25:25" x14ac:dyDescent="0.2">
      <c r="Y28951" s="97"/>
    </row>
    <row r="28952" spans="25:25" x14ac:dyDescent="0.2">
      <c r="Y28952" s="97"/>
    </row>
    <row r="28953" spans="25:25" x14ac:dyDescent="0.2">
      <c r="Y28953" s="97"/>
    </row>
    <row r="28954" spans="25:25" x14ac:dyDescent="0.2">
      <c r="Y28954" s="97"/>
    </row>
    <row r="28955" spans="25:25" x14ac:dyDescent="0.2">
      <c r="Y28955" s="97"/>
    </row>
    <row r="28956" spans="25:25" x14ac:dyDescent="0.2">
      <c r="Y28956" s="97"/>
    </row>
    <row r="28957" spans="25:25" x14ac:dyDescent="0.2">
      <c r="Y28957" s="97"/>
    </row>
    <row r="28958" spans="25:25" x14ac:dyDescent="0.2">
      <c r="Y28958" s="97"/>
    </row>
    <row r="28959" spans="25:25" x14ac:dyDescent="0.2">
      <c r="Y28959" s="97"/>
    </row>
    <row r="28960" spans="25:25" x14ac:dyDescent="0.2">
      <c r="Y28960" s="97"/>
    </row>
    <row r="28961" spans="25:25" x14ac:dyDescent="0.2">
      <c r="Y28961" s="97"/>
    </row>
    <row r="28962" spans="25:25" x14ac:dyDescent="0.2">
      <c r="Y28962" s="97"/>
    </row>
    <row r="28963" spans="25:25" x14ac:dyDescent="0.2">
      <c r="Y28963" s="97"/>
    </row>
    <row r="28964" spans="25:25" x14ac:dyDescent="0.2">
      <c r="Y28964" s="97"/>
    </row>
    <row r="28965" spans="25:25" x14ac:dyDescent="0.2">
      <c r="Y28965" s="97"/>
    </row>
    <row r="28966" spans="25:25" x14ac:dyDescent="0.2">
      <c r="Y28966" s="97"/>
    </row>
    <row r="28967" spans="25:25" x14ac:dyDescent="0.2">
      <c r="Y28967" s="97"/>
    </row>
    <row r="28968" spans="25:25" x14ac:dyDescent="0.2">
      <c r="Y28968" s="97"/>
    </row>
    <row r="28969" spans="25:25" x14ac:dyDescent="0.2">
      <c r="Y28969" s="97"/>
    </row>
    <row r="28970" spans="25:25" x14ac:dyDescent="0.2">
      <c r="Y28970" s="97"/>
    </row>
    <row r="28971" spans="25:25" x14ac:dyDescent="0.2">
      <c r="Y28971" s="97"/>
    </row>
    <row r="28972" spans="25:25" x14ac:dyDescent="0.2">
      <c r="Y28972" s="97"/>
    </row>
    <row r="28973" spans="25:25" x14ac:dyDescent="0.2">
      <c r="Y28973" s="97"/>
    </row>
    <row r="28974" spans="25:25" x14ac:dyDescent="0.2">
      <c r="Y28974" s="97"/>
    </row>
    <row r="28975" spans="25:25" x14ac:dyDescent="0.2">
      <c r="Y28975" s="97"/>
    </row>
    <row r="28976" spans="25:25" x14ac:dyDescent="0.2">
      <c r="Y28976" s="97"/>
    </row>
    <row r="28977" spans="25:25" x14ac:dyDescent="0.2">
      <c r="Y28977" s="97"/>
    </row>
    <row r="28978" spans="25:25" x14ac:dyDescent="0.2">
      <c r="Y28978" s="97"/>
    </row>
    <row r="28979" spans="25:25" x14ac:dyDescent="0.2">
      <c r="Y28979" s="97"/>
    </row>
    <row r="28980" spans="25:25" x14ac:dyDescent="0.2">
      <c r="Y28980" s="97"/>
    </row>
    <row r="28981" spans="25:25" x14ac:dyDescent="0.2">
      <c r="Y28981" s="97"/>
    </row>
    <row r="28982" spans="25:25" x14ac:dyDescent="0.2">
      <c r="Y28982" s="97"/>
    </row>
    <row r="28983" spans="25:25" x14ac:dyDescent="0.2">
      <c r="Y28983" s="97"/>
    </row>
    <row r="28984" spans="25:25" x14ac:dyDescent="0.2">
      <c r="Y28984" s="97"/>
    </row>
    <row r="28985" spans="25:25" x14ac:dyDescent="0.2">
      <c r="Y28985" s="97"/>
    </row>
    <row r="28986" spans="25:25" x14ac:dyDescent="0.2">
      <c r="Y28986" s="97"/>
    </row>
    <row r="28987" spans="25:25" x14ac:dyDescent="0.2">
      <c r="Y28987" s="97"/>
    </row>
    <row r="28988" spans="25:25" x14ac:dyDescent="0.2">
      <c r="Y28988" s="97"/>
    </row>
    <row r="28989" spans="25:25" x14ac:dyDescent="0.2">
      <c r="Y28989" s="97"/>
    </row>
    <row r="28990" spans="25:25" x14ac:dyDescent="0.2">
      <c r="Y28990" s="97"/>
    </row>
    <row r="28991" spans="25:25" x14ac:dyDescent="0.2">
      <c r="Y28991" s="97"/>
    </row>
    <row r="28992" spans="25:25" x14ac:dyDescent="0.2">
      <c r="Y28992" s="97"/>
    </row>
    <row r="28993" spans="25:25" x14ac:dyDescent="0.2">
      <c r="Y28993" s="97"/>
    </row>
    <row r="28994" spans="25:25" x14ac:dyDescent="0.2">
      <c r="Y28994" s="97"/>
    </row>
    <row r="28995" spans="25:25" x14ac:dyDescent="0.2">
      <c r="Y28995" s="97"/>
    </row>
    <row r="28996" spans="25:25" x14ac:dyDescent="0.2">
      <c r="Y28996" s="97"/>
    </row>
    <row r="28997" spans="25:25" x14ac:dyDescent="0.2">
      <c r="Y28997" s="97"/>
    </row>
    <row r="28998" spans="25:25" x14ac:dyDescent="0.2">
      <c r="Y28998" s="97"/>
    </row>
    <row r="28999" spans="25:25" x14ac:dyDescent="0.2">
      <c r="Y28999" s="97"/>
    </row>
    <row r="29000" spans="25:25" x14ac:dyDescent="0.2">
      <c r="Y29000" s="97"/>
    </row>
    <row r="29001" spans="25:25" x14ac:dyDescent="0.2">
      <c r="Y29001" s="97"/>
    </row>
    <row r="29002" spans="25:25" x14ac:dyDescent="0.2">
      <c r="Y29002" s="97"/>
    </row>
    <row r="29003" spans="25:25" x14ac:dyDescent="0.2">
      <c r="Y29003" s="97"/>
    </row>
    <row r="29004" spans="25:25" x14ac:dyDescent="0.2">
      <c r="Y29004" s="97"/>
    </row>
    <row r="29005" spans="25:25" x14ac:dyDescent="0.2">
      <c r="Y29005" s="97"/>
    </row>
    <row r="29006" spans="25:25" x14ac:dyDescent="0.2">
      <c r="Y29006" s="97"/>
    </row>
    <row r="29007" spans="25:25" x14ac:dyDescent="0.2">
      <c r="Y29007" s="97"/>
    </row>
    <row r="29008" spans="25:25" x14ac:dyDescent="0.2">
      <c r="Y29008" s="97"/>
    </row>
    <row r="29009" spans="25:25" x14ac:dyDescent="0.2">
      <c r="Y29009" s="97"/>
    </row>
    <row r="29010" spans="25:25" x14ac:dyDescent="0.2">
      <c r="Y29010" s="97"/>
    </row>
    <row r="29011" spans="25:25" x14ac:dyDescent="0.2">
      <c r="Y29011" s="97"/>
    </row>
    <row r="29012" spans="25:25" x14ac:dyDescent="0.2">
      <c r="Y29012" s="97"/>
    </row>
    <row r="29013" spans="25:25" x14ac:dyDescent="0.2">
      <c r="Y29013" s="97"/>
    </row>
    <row r="29014" spans="25:25" x14ac:dyDescent="0.2">
      <c r="Y29014" s="97"/>
    </row>
    <row r="29015" spans="25:25" x14ac:dyDescent="0.2">
      <c r="Y29015" s="97"/>
    </row>
    <row r="29016" spans="25:25" x14ac:dyDescent="0.2">
      <c r="Y29016" s="97"/>
    </row>
    <row r="29017" spans="25:25" x14ac:dyDescent="0.2">
      <c r="Y29017" s="97"/>
    </row>
    <row r="29018" spans="25:25" x14ac:dyDescent="0.2">
      <c r="Y29018" s="97"/>
    </row>
    <row r="29019" spans="25:25" x14ac:dyDescent="0.2">
      <c r="Y29019" s="97"/>
    </row>
    <row r="29020" spans="25:25" x14ac:dyDescent="0.2">
      <c r="Y29020" s="97"/>
    </row>
    <row r="29021" spans="25:25" x14ac:dyDescent="0.2">
      <c r="Y29021" s="97"/>
    </row>
    <row r="29022" spans="25:25" x14ac:dyDescent="0.2">
      <c r="Y29022" s="97"/>
    </row>
    <row r="29023" spans="25:25" x14ac:dyDescent="0.2">
      <c r="Y29023" s="97"/>
    </row>
    <row r="29024" spans="25:25" x14ac:dyDescent="0.2">
      <c r="Y29024" s="97"/>
    </row>
    <row r="29025" spans="25:25" x14ac:dyDescent="0.2">
      <c r="Y29025" s="97"/>
    </row>
    <row r="29026" spans="25:25" x14ac:dyDescent="0.2">
      <c r="Y29026" s="97"/>
    </row>
    <row r="29027" spans="25:25" x14ac:dyDescent="0.2">
      <c r="Y29027" s="97"/>
    </row>
    <row r="29028" spans="25:25" x14ac:dyDescent="0.2">
      <c r="Y29028" s="97"/>
    </row>
    <row r="29029" spans="25:25" x14ac:dyDescent="0.2">
      <c r="Y29029" s="97"/>
    </row>
    <row r="29030" spans="25:25" x14ac:dyDescent="0.2">
      <c r="Y29030" s="97"/>
    </row>
    <row r="29031" spans="25:25" x14ac:dyDescent="0.2">
      <c r="Y29031" s="97"/>
    </row>
    <row r="29032" spans="25:25" x14ac:dyDescent="0.2">
      <c r="Y29032" s="97"/>
    </row>
    <row r="29033" spans="25:25" x14ac:dyDescent="0.2">
      <c r="Y29033" s="97"/>
    </row>
    <row r="29034" spans="25:25" x14ac:dyDescent="0.2">
      <c r="Y29034" s="97"/>
    </row>
    <row r="29035" spans="25:25" x14ac:dyDescent="0.2">
      <c r="Y29035" s="97"/>
    </row>
    <row r="29036" spans="25:25" x14ac:dyDescent="0.2">
      <c r="Y29036" s="97"/>
    </row>
    <row r="29037" spans="25:25" x14ac:dyDescent="0.2">
      <c r="Y29037" s="97"/>
    </row>
    <row r="29038" spans="25:25" x14ac:dyDescent="0.2">
      <c r="Y29038" s="97"/>
    </row>
    <row r="29039" spans="25:25" x14ac:dyDescent="0.2">
      <c r="Y29039" s="97"/>
    </row>
    <row r="29040" spans="25:25" x14ac:dyDescent="0.2">
      <c r="Y29040" s="97"/>
    </row>
    <row r="29041" spans="25:25" x14ac:dyDescent="0.2">
      <c r="Y29041" s="97"/>
    </row>
    <row r="29042" spans="25:25" x14ac:dyDescent="0.2">
      <c r="Y29042" s="97"/>
    </row>
    <row r="29043" spans="25:25" x14ac:dyDescent="0.2">
      <c r="Y29043" s="97"/>
    </row>
    <row r="29044" spans="25:25" x14ac:dyDescent="0.2">
      <c r="Y29044" s="97"/>
    </row>
    <row r="29045" spans="25:25" x14ac:dyDescent="0.2">
      <c r="Y29045" s="97"/>
    </row>
    <row r="29046" spans="25:25" x14ac:dyDescent="0.2">
      <c r="Y29046" s="97"/>
    </row>
    <row r="29047" spans="25:25" x14ac:dyDescent="0.2">
      <c r="Y29047" s="97"/>
    </row>
    <row r="29048" spans="25:25" x14ac:dyDescent="0.2">
      <c r="Y29048" s="97"/>
    </row>
    <row r="29049" spans="25:25" x14ac:dyDescent="0.2">
      <c r="Y29049" s="97"/>
    </row>
    <row r="29050" spans="25:25" x14ac:dyDescent="0.2">
      <c r="Y29050" s="97"/>
    </row>
    <row r="29051" spans="25:25" x14ac:dyDescent="0.2">
      <c r="Y29051" s="97"/>
    </row>
    <row r="29052" spans="25:25" x14ac:dyDescent="0.2">
      <c r="Y29052" s="97"/>
    </row>
    <row r="29053" spans="25:25" x14ac:dyDescent="0.2">
      <c r="Y29053" s="97"/>
    </row>
    <row r="29054" spans="25:25" x14ac:dyDescent="0.2">
      <c r="Y29054" s="97"/>
    </row>
    <row r="29055" spans="25:25" x14ac:dyDescent="0.2">
      <c r="Y29055" s="97"/>
    </row>
    <row r="29056" spans="25:25" x14ac:dyDescent="0.2">
      <c r="Y29056" s="97"/>
    </row>
    <row r="29057" spans="25:25" x14ac:dyDescent="0.2">
      <c r="Y29057" s="97"/>
    </row>
    <row r="29058" spans="25:25" x14ac:dyDescent="0.2">
      <c r="Y29058" s="97"/>
    </row>
    <row r="29059" spans="25:25" x14ac:dyDescent="0.2">
      <c r="Y29059" s="97"/>
    </row>
    <row r="29060" spans="25:25" x14ac:dyDescent="0.2">
      <c r="Y29060" s="97"/>
    </row>
    <row r="29061" spans="25:25" x14ac:dyDescent="0.2">
      <c r="Y29061" s="97"/>
    </row>
    <row r="29062" spans="25:25" x14ac:dyDescent="0.2">
      <c r="Y29062" s="97"/>
    </row>
    <row r="29063" spans="25:25" x14ac:dyDescent="0.2">
      <c r="Y29063" s="97"/>
    </row>
    <row r="29064" spans="25:25" x14ac:dyDescent="0.2">
      <c r="Y29064" s="97"/>
    </row>
    <row r="29065" spans="25:25" x14ac:dyDescent="0.2">
      <c r="Y29065" s="97"/>
    </row>
    <row r="29066" spans="25:25" x14ac:dyDescent="0.2">
      <c r="Y29066" s="97"/>
    </row>
    <row r="29067" spans="25:25" x14ac:dyDescent="0.2">
      <c r="Y29067" s="97"/>
    </row>
    <row r="29068" spans="25:25" x14ac:dyDescent="0.2">
      <c r="Y29068" s="97"/>
    </row>
    <row r="29069" spans="25:25" x14ac:dyDescent="0.2">
      <c r="Y29069" s="97"/>
    </row>
    <row r="29070" spans="25:25" x14ac:dyDescent="0.2">
      <c r="Y29070" s="97"/>
    </row>
    <row r="29071" spans="25:25" x14ac:dyDescent="0.2">
      <c r="Y29071" s="97"/>
    </row>
    <row r="29072" spans="25:25" x14ac:dyDescent="0.2">
      <c r="Y29072" s="97"/>
    </row>
    <row r="29073" spans="25:25" x14ac:dyDescent="0.2">
      <c r="Y29073" s="97"/>
    </row>
    <row r="29074" spans="25:25" x14ac:dyDescent="0.2">
      <c r="Y29074" s="97"/>
    </row>
    <row r="29075" spans="25:25" x14ac:dyDescent="0.2">
      <c r="Y29075" s="97"/>
    </row>
    <row r="29076" spans="25:25" x14ac:dyDescent="0.2">
      <c r="Y29076" s="97"/>
    </row>
    <row r="29077" spans="25:25" x14ac:dyDescent="0.2">
      <c r="Y29077" s="97"/>
    </row>
    <row r="29078" spans="25:25" x14ac:dyDescent="0.2">
      <c r="Y29078" s="97"/>
    </row>
    <row r="29079" spans="25:25" x14ac:dyDescent="0.2">
      <c r="Y29079" s="97"/>
    </row>
    <row r="29080" spans="25:25" x14ac:dyDescent="0.2">
      <c r="Y29080" s="97"/>
    </row>
    <row r="29081" spans="25:25" x14ac:dyDescent="0.2">
      <c r="Y29081" s="97"/>
    </row>
    <row r="29082" spans="25:25" x14ac:dyDescent="0.2">
      <c r="Y29082" s="97"/>
    </row>
    <row r="29083" spans="25:25" x14ac:dyDescent="0.2">
      <c r="Y29083" s="97"/>
    </row>
    <row r="29084" spans="25:25" x14ac:dyDescent="0.2">
      <c r="Y29084" s="97"/>
    </row>
    <row r="29085" spans="25:25" x14ac:dyDescent="0.2">
      <c r="Y29085" s="97"/>
    </row>
    <row r="29086" spans="25:25" x14ac:dyDescent="0.2">
      <c r="Y29086" s="97"/>
    </row>
    <row r="29087" spans="25:25" x14ac:dyDescent="0.2">
      <c r="Y29087" s="97"/>
    </row>
    <row r="29088" spans="25:25" x14ac:dyDescent="0.2">
      <c r="Y29088" s="97"/>
    </row>
    <row r="29089" spans="25:25" x14ac:dyDescent="0.2">
      <c r="Y29089" s="97"/>
    </row>
    <row r="29090" spans="25:25" x14ac:dyDescent="0.2">
      <c r="Y29090" s="97"/>
    </row>
    <row r="29091" spans="25:25" x14ac:dyDescent="0.2">
      <c r="Y29091" s="97"/>
    </row>
    <row r="29092" spans="25:25" x14ac:dyDescent="0.2">
      <c r="Y29092" s="97"/>
    </row>
    <row r="29093" spans="25:25" x14ac:dyDescent="0.2">
      <c r="Y29093" s="97"/>
    </row>
    <row r="29094" spans="25:25" x14ac:dyDescent="0.2">
      <c r="Y29094" s="97"/>
    </row>
    <row r="29095" spans="25:25" x14ac:dyDescent="0.2">
      <c r="Y29095" s="97"/>
    </row>
    <row r="29096" spans="25:25" x14ac:dyDescent="0.2">
      <c r="Y29096" s="97"/>
    </row>
    <row r="29097" spans="25:25" x14ac:dyDescent="0.2">
      <c r="Y29097" s="97"/>
    </row>
    <row r="29098" spans="25:25" x14ac:dyDescent="0.2">
      <c r="Y29098" s="97"/>
    </row>
    <row r="29099" spans="25:25" x14ac:dyDescent="0.2">
      <c r="Y29099" s="97"/>
    </row>
    <row r="29100" spans="25:25" x14ac:dyDescent="0.2">
      <c r="Y29100" s="97"/>
    </row>
    <row r="29101" spans="25:25" x14ac:dyDescent="0.2">
      <c r="Y29101" s="97"/>
    </row>
    <row r="29102" spans="25:25" x14ac:dyDescent="0.2">
      <c r="Y29102" s="97"/>
    </row>
    <row r="29103" spans="25:25" x14ac:dyDescent="0.2">
      <c r="Y29103" s="97"/>
    </row>
    <row r="29104" spans="25:25" x14ac:dyDescent="0.2">
      <c r="Y29104" s="97"/>
    </row>
    <row r="29105" spans="25:25" x14ac:dyDescent="0.2">
      <c r="Y29105" s="97"/>
    </row>
    <row r="29106" spans="25:25" x14ac:dyDescent="0.2">
      <c r="Y29106" s="97"/>
    </row>
    <row r="29107" spans="25:25" x14ac:dyDescent="0.2">
      <c r="Y29107" s="97"/>
    </row>
    <row r="29108" spans="25:25" x14ac:dyDescent="0.2">
      <c r="Y29108" s="97"/>
    </row>
    <row r="29109" spans="25:25" x14ac:dyDescent="0.2">
      <c r="Y29109" s="97"/>
    </row>
    <row r="29110" spans="25:25" x14ac:dyDescent="0.2">
      <c r="Y29110" s="97"/>
    </row>
    <row r="29111" spans="25:25" x14ac:dyDescent="0.2">
      <c r="Y29111" s="97"/>
    </row>
    <row r="29112" spans="25:25" x14ac:dyDescent="0.2">
      <c r="Y29112" s="97"/>
    </row>
    <row r="29113" spans="25:25" x14ac:dyDescent="0.2">
      <c r="Y29113" s="97"/>
    </row>
    <row r="29114" spans="25:25" x14ac:dyDescent="0.2">
      <c r="Y29114" s="97"/>
    </row>
    <row r="29115" spans="25:25" x14ac:dyDescent="0.2">
      <c r="Y29115" s="97"/>
    </row>
    <row r="29116" spans="25:25" x14ac:dyDescent="0.2">
      <c r="Y29116" s="97"/>
    </row>
    <row r="29117" spans="25:25" x14ac:dyDescent="0.2">
      <c r="Y29117" s="97"/>
    </row>
    <row r="29118" spans="25:25" x14ac:dyDescent="0.2">
      <c r="Y29118" s="97"/>
    </row>
    <row r="29119" spans="25:25" x14ac:dyDescent="0.2">
      <c r="Y29119" s="97"/>
    </row>
    <row r="29120" spans="25:25" x14ac:dyDescent="0.2">
      <c r="Y29120" s="97"/>
    </row>
    <row r="29121" spans="25:25" x14ac:dyDescent="0.2">
      <c r="Y29121" s="97"/>
    </row>
    <row r="29122" spans="25:25" x14ac:dyDescent="0.2">
      <c r="Y29122" s="97"/>
    </row>
    <row r="29123" spans="25:25" x14ac:dyDescent="0.2">
      <c r="Y29123" s="97"/>
    </row>
    <row r="29124" spans="25:25" x14ac:dyDescent="0.2">
      <c r="Y29124" s="97"/>
    </row>
    <row r="29125" spans="25:25" x14ac:dyDescent="0.2">
      <c r="Y29125" s="97"/>
    </row>
    <row r="29126" spans="25:25" x14ac:dyDescent="0.2">
      <c r="Y29126" s="97"/>
    </row>
    <row r="29127" spans="25:25" x14ac:dyDescent="0.2">
      <c r="Y29127" s="97"/>
    </row>
    <row r="29128" spans="25:25" x14ac:dyDescent="0.2">
      <c r="Y29128" s="97"/>
    </row>
    <row r="29129" spans="25:25" x14ac:dyDescent="0.2">
      <c r="Y29129" s="97"/>
    </row>
    <row r="29130" spans="25:25" x14ac:dyDescent="0.2">
      <c r="Y29130" s="97"/>
    </row>
    <row r="29131" spans="25:25" x14ac:dyDescent="0.2">
      <c r="Y29131" s="97"/>
    </row>
    <row r="29132" spans="25:25" x14ac:dyDescent="0.2">
      <c r="Y29132" s="97"/>
    </row>
    <row r="29133" spans="25:25" x14ac:dyDescent="0.2">
      <c r="Y29133" s="97"/>
    </row>
    <row r="29134" spans="25:25" x14ac:dyDescent="0.2">
      <c r="Y29134" s="97"/>
    </row>
    <row r="29135" spans="25:25" x14ac:dyDescent="0.2">
      <c r="Y29135" s="97"/>
    </row>
    <row r="29136" spans="25:25" x14ac:dyDescent="0.2">
      <c r="Y29136" s="97"/>
    </row>
    <row r="29137" spans="25:25" x14ac:dyDescent="0.2">
      <c r="Y29137" s="97"/>
    </row>
    <row r="29138" spans="25:25" x14ac:dyDescent="0.2">
      <c r="Y29138" s="97"/>
    </row>
    <row r="29139" spans="25:25" x14ac:dyDescent="0.2">
      <c r="Y29139" s="97"/>
    </row>
    <row r="29140" spans="25:25" x14ac:dyDescent="0.2">
      <c r="Y29140" s="97"/>
    </row>
    <row r="29141" spans="25:25" x14ac:dyDescent="0.2">
      <c r="Y29141" s="97"/>
    </row>
    <row r="29142" spans="25:25" x14ac:dyDescent="0.2">
      <c r="Y29142" s="97"/>
    </row>
    <row r="29143" spans="25:25" x14ac:dyDescent="0.2">
      <c r="Y29143" s="97"/>
    </row>
    <row r="29144" spans="25:25" x14ac:dyDescent="0.2">
      <c r="Y29144" s="97"/>
    </row>
    <row r="29145" spans="25:25" x14ac:dyDescent="0.2">
      <c r="Y29145" s="97"/>
    </row>
    <row r="29146" spans="25:25" x14ac:dyDescent="0.2">
      <c r="Y29146" s="97"/>
    </row>
    <row r="29147" spans="25:25" x14ac:dyDescent="0.2">
      <c r="Y29147" s="97"/>
    </row>
    <row r="29148" spans="25:25" x14ac:dyDescent="0.2">
      <c r="Y29148" s="97"/>
    </row>
    <row r="29149" spans="25:25" x14ac:dyDescent="0.2">
      <c r="Y29149" s="97"/>
    </row>
    <row r="29150" spans="25:25" x14ac:dyDescent="0.2">
      <c r="Y29150" s="97"/>
    </row>
    <row r="29151" spans="25:25" x14ac:dyDescent="0.2">
      <c r="Y29151" s="97"/>
    </row>
    <row r="29152" spans="25:25" x14ac:dyDescent="0.2">
      <c r="Y29152" s="97"/>
    </row>
    <row r="29153" spans="25:25" x14ac:dyDescent="0.2">
      <c r="Y29153" s="97"/>
    </row>
    <row r="29154" spans="25:25" x14ac:dyDescent="0.2">
      <c r="Y29154" s="97"/>
    </row>
    <row r="29155" spans="25:25" x14ac:dyDescent="0.2">
      <c r="Y29155" s="97"/>
    </row>
    <row r="29156" spans="25:25" x14ac:dyDescent="0.2">
      <c r="Y29156" s="97"/>
    </row>
    <row r="29157" spans="25:25" x14ac:dyDescent="0.2">
      <c r="Y29157" s="97"/>
    </row>
    <row r="29158" spans="25:25" x14ac:dyDescent="0.2">
      <c r="Y29158" s="97"/>
    </row>
    <row r="29159" spans="25:25" x14ac:dyDescent="0.2">
      <c r="Y29159" s="97"/>
    </row>
    <row r="29160" spans="25:25" x14ac:dyDescent="0.2">
      <c r="Y29160" s="97"/>
    </row>
    <row r="29161" spans="25:25" x14ac:dyDescent="0.2">
      <c r="Y29161" s="97"/>
    </row>
    <row r="29162" spans="25:25" x14ac:dyDescent="0.2">
      <c r="Y29162" s="97"/>
    </row>
    <row r="29163" spans="25:25" x14ac:dyDescent="0.2">
      <c r="Y29163" s="97"/>
    </row>
    <row r="29164" spans="25:25" x14ac:dyDescent="0.2">
      <c r="Y29164" s="97"/>
    </row>
    <row r="29165" spans="25:25" x14ac:dyDescent="0.2">
      <c r="Y29165" s="97"/>
    </row>
    <row r="29166" spans="25:25" x14ac:dyDescent="0.2">
      <c r="Y29166" s="97"/>
    </row>
    <row r="29167" spans="25:25" x14ac:dyDescent="0.2">
      <c r="Y29167" s="97"/>
    </row>
    <row r="29168" spans="25:25" x14ac:dyDescent="0.2">
      <c r="Y29168" s="97"/>
    </row>
    <row r="29169" spans="25:25" x14ac:dyDescent="0.2">
      <c r="Y29169" s="97"/>
    </row>
    <row r="29170" spans="25:25" x14ac:dyDescent="0.2">
      <c r="Y29170" s="97"/>
    </row>
    <row r="29171" spans="25:25" x14ac:dyDescent="0.2">
      <c r="Y29171" s="97"/>
    </row>
    <row r="29172" spans="25:25" x14ac:dyDescent="0.2">
      <c r="Y29172" s="97"/>
    </row>
    <row r="29173" spans="25:25" x14ac:dyDescent="0.2">
      <c r="Y29173" s="97"/>
    </row>
    <row r="29174" spans="25:25" x14ac:dyDescent="0.2">
      <c r="Y29174" s="97"/>
    </row>
    <row r="29175" spans="25:25" x14ac:dyDescent="0.2">
      <c r="Y29175" s="97"/>
    </row>
    <row r="29176" spans="25:25" x14ac:dyDescent="0.2">
      <c r="Y29176" s="97"/>
    </row>
    <row r="29177" spans="25:25" x14ac:dyDescent="0.2">
      <c r="Y29177" s="97"/>
    </row>
    <row r="29178" spans="25:25" x14ac:dyDescent="0.2">
      <c r="Y29178" s="97"/>
    </row>
    <row r="29179" spans="25:25" x14ac:dyDescent="0.2">
      <c r="Y29179" s="97"/>
    </row>
    <row r="29180" spans="25:25" x14ac:dyDescent="0.2">
      <c r="Y29180" s="97"/>
    </row>
    <row r="29181" spans="25:25" x14ac:dyDescent="0.2">
      <c r="Y29181" s="97"/>
    </row>
    <row r="29182" spans="25:25" x14ac:dyDescent="0.2">
      <c r="Y29182" s="97"/>
    </row>
    <row r="29183" spans="25:25" x14ac:dyDescent="0.2">
      <c r="Y29183" s="97"/>
    </row>
    <row r="29184" spans="25:25" x14ac:dyDescent="0.2">
      <c r="Y29184" s="97"/>
    </row>
    <row r="29185" spans="25:25" x14ac:dyDescent="0.2">
      <c r="Y29185" s="97"/>
    </row>
    <row r="29186" spans="25:25" x14ac:dyDescent="0.2">
      <c r="Y29186" s="97"/>
    </row>
    <row r="29187" spans="25:25" x14ac:dyDescent="0.2">
      <c r="Y29187" s="97"/>
    </row>
    <row r="29188" spans="25:25" x14ac:dyDescent="0.2">
      <c r="Y29188" s="97"/>
    </row>
    <row r="29189" spans="25:25" x14ac:dyDescent="0.2">
      <c r="Y29189" s="97"/>
    </row>
    <row r="29190" spans="25:25" x14ac:dyDescent="0.2">
      <c r="Y29190" s="97"/>
    </row>
    <row r="29191" spans="25:25" x14ac:dyDescent="0.2">
      <c r="Y29191" s="97"/>
    </row>
    <row r="29192" spans="25:25" x14ac:dyDescent="0.2">
      <c r="Y29192" s="97"/>
    </row>
    <row r="29193" spans="25:25" x14ac:dyDescent="0.2">
      <c r="Y29193" s="97"/>
    </row>
    <row r="29194" spans="25:25" x14ac:dyDescent="0.2">
      <c r="Y29194" s="97"/>
    </row>
    <row r="29195" spans="25:25" x14ac:dyDescent="0.2">
      <c r="Y29195" s="97"/>
    </row>
    <row r="29196" spans="25:25" x14ac:dyDescent="0.2">
      <c r="Y29196" s="97"/>
    </row>
    <row r="29197" spans="25:25" x14ac:dyDescent="0.2">
      <c r="Y29197" s="97"/>
    </row>
    <row r="29198" spans="25:25" x14ac:dyDescent="0.2">
      <c r="Y29198" s="97"/>
    </row>
    <row r="29199" spans="25:25" x14ac:dyDescent="0.2">
      <c r="Y29199" s="97"/>
    </row>
    <row r="29200" spans="25:25" x14ac:dyDescent="0.2">
      <c r="Y29200" s="97"/>
    </row>
    <row r="29201" spans="25:25" x14ac:dyDescent="0.2">
      <c r="Y29201" s="97"/>
    </row>
    <row r="29202" spans="25:25" x14ac:dyDescent="0.2">
      <c r="Y29202" s="97"/>
    </row>
    <row r="29203" spans="25:25" x14ac:dyDescent="0.2">
      <c r="Y29203" s="97"/>
    </row>
    <row r="29204" spans="25:25" x14ac:dyDescent="0.2">
      <c r="Y29204" s="97"/>
    </row>
    <row r="29205" spans="25:25" x14ac:dyDescent="0.2">
      <c r="Y29205" s="97"/>
    </row>
    <row r="29206" spans="25:25" x14ac:dyDescent="0.2">
      <c r="Y29206" s="97"/>
    </row>
    <row r="29207" spans="25:25" x14ac:dyDescent="0.2">
      <c r="Y29207" s="97"/>
    </row>
    <row r="29208" spans="25:25" x14ac:dyDescent="0.2">
      <c r="Y29208" s="97"/>
    </row>
    <row r="29209" spans="25:25" x14ac:dyDescent="0.2">
      <c r="Y29209" s="97"/>
    </row>
    <row r="29210" spans="25:25" x14ac:dyDescent="0.2">
      <c r="Y29210" s="97"/>
    </row>
    <row r="29211" spans="25:25" x14ac:dyDescent="0.2">
      <c r="Y29211" s="97"/>
    </row>
    <row r="29212" spans="25:25" x14ac:dyDescent="0.2">
      <c r="Y29212" s="97"/>
    </row>
    <row r="29213" spans="25:25" x14ac:dyDescent="0.2">
      <c r="Y29213" s="97"/>
    </row>
    <row r="29214" spans="25:25" x14ac:dyDescent="0.2">
      <c r="Y29214" s="97"/>
    </row>
    <row r="29215" spans="25:25" x14ac:dyDescent="0.2">
      <c r="Y29215" s="97"/>
    </row>
    <row r="29216" spans="25:25" x14ac:dyDescent="0.2">
      <c r="Y29216" s="97"/>
    </row>
    <row r="29217" spans="25:25" x14ac:dyDescent="0.2">
      <c r="Y29217" s="97"/>
    </row>
    <row r="29218" spans="25:25" x14ac:dyDescent="0.2">
      <c r="Y29218" s="97"/>
    </row>
    <row r="29219" spans="25:25" x14ac:dyDescent="0.2">
      <c r="Y29219" s="97"/>
    </row>
    <row r="29220" spans="25:25" x14ac:dyDescent="0.2">
      <c r="Y29220" s="97"/>
    </row>
    <row r="29221" spans="25:25" x14ac:dyDescent="0.2">
      <c r="Y29221" s="97"/>
    </row>
    <row r="29222" spans="25:25" x14ac:dyDescent="0.2">
      <c r="Y29222" s="97"/>
    </row>
    <row r="29223" spans="25:25" x14ac:dyDescent="0.2">
      <c r="Y29223" s="97"/>
    </row>
    <row r="29224" spans="25:25" x14ac:dyDescent="0.2">
      <c r="Y29224" s="97"/>
    </row>
    <row r="29225" spans="25:25" x14ac:dyDescent="0.2">
      <c r="Y29225" s="97"/>
    </row>
    <row r="29226" spans="25:25" x14ac:dyDescent="0.2">
      <c r="Y29226" s="97"/>
    </row>
    <row r="29227" spans="25:25" x14ac:dyDescent="0.2">
      <c r="Y29227" s="97"/>
    </row>
    <row r="29228" spans="25:25" x14ac:dyDescent="0.2">
      <c r="Y29228" s="97"/>
    </row>
    <row r="29229" spans="25:25" x14ac:dyDescent="0.2">
      <c r="Y29229" s="97"/>
    </row>
    <row r="29230" spans="25:25" x14ac:dyDescent="0.2">
      <c r="Y29230" s="97"/>
    </row>
    <row r="29231" spans="25:25" x14ac:dyDescent="0.2">
      <c r="Y29231" s="97"/>
    </row>
    <row r="29232" spans="25:25" x14ac:dyDescent="0.2">
      <c r="Y29232" s="97"/>
    </row>
    <row r="29233" spans="25:25" x14ac:dyDescent="0.2">
      <c r="Y29233" s="97"/>
    </row>
    <row r="29234" spans="25:25" x14ac:dyDescent="0.2">
      <c r="Y29234" s="97"/>
    </row>
    <row r="29235" spans="25:25" x14ac:dyDescent="0.2">
      <c r="Y29235" s="97"/>
    </row>
    <row r="29236" spans="25:25" x14ac:dyDescent="0.2">
      <c r="Y29236" s="97"/>
    </row>
    <row r="29237" spans="25:25" x14ac:dyDescent="0.2">
      <c r="Y29237" s="97"/>
    </row>
    <row r="29238" spans="25:25" x14ac:dyDescent="0.2">
      <c r="Y29238" s="97"/>
    </row>
    <row r="29239" spans="25:25" x14ac:dyDescent="0.2">
      <c r="Y29239" s="97"/>
    </row>
    <row r="29240" spans="25:25" x14ac:dyDescent="0.2">
      <c r="Y29240" s="97"/>
    </row>
    <row r="29241" spans="25:25" x14ac:dyDescent="0.2">
      <c r="Y29241" s="97"/>
    </row>
    <row r="29242" spans="25:25" x14ac:dyDescent="0.2">
      <c r="Y29242" s="97"/>
    </row>
    <row r="29243" spans="25:25" x14ac:dyDescent="0.2">
      <c r="Y29243" s="97"/>
    </row>
    <row r="29244" spans="25:25" x14ac:dyDescent="0.2">
      <c r="Y29244" s="97"/>
    </row>
    <row r="29245" spans="25:25" x14ac:dyDescent="0.2">
      <c r="Y29245" s="97"/>
    </row>
    <row r="29246" spans="25:25" x14ac:dyDescent="0.2">
      <c r="Y29246" s="97"/>
    </row>
    <row r="29247" spans="25:25" x14ac:dyDescent="0.2">
      <c r="Y29247" s="97"/>
    </row>
    <row r="29248" spans="25:25" x14ac:dyDescent="0.2">
      <c r="Y29248" s="97"/>
    </row>
    <row r="29249" spans="25:25" x14ac:dyDescent="0.2">
      <c r="Y29249" s="97"/>
    </row>
    <row r="29250" spans="25:25" x14ac:dyDescent="0.2">
      <c r="Y29250" s="97"/>
    </row>
    <row r="29251" spans="25:25" x14ac:dyDescent="0.2">
      <c r="Y29251" s="97"/>
    </row>
    <row r="29252" spans="25:25" x14ac:dyDescent="0.2">
      <c r="Y29252" s="97"/>
    </row>
    <row r="29253" spans="25:25" x14ac:dyDescent="0.2">
      <c r="Y29253" s="97"/>
    </row>
    <row r="29254" spans="25:25" x14ac:dyDescent="0.2">
      <c r="Y29254" s="97"/>
    </row>
    <row r="29255" spans="25:25" x14ac:dyDescent="0.2">
      <c r="Y29255" s="97"/>
    </row>
    <row r="29256" spans="25:25" x14ac:dyDescent="0.2">
      <c r="Y29256" s="97"/>
    </row>
    <row r="29257" spans="25:25" x14ac:dyDescent="0.2">
      <c r="Y29257" s="97"/>
    </row>
    <row r="29258" spans="25:25" x14ac:dyDescent="0.2">
      <c r="Y29258" s="97"/>
    </row>
    <row r="29259" spans="25:25" x14ac:dyDescent="0.2">
      <c r="Y29259" s="97"/>
    </row>
    <row r="29260" spans="25:25" x14ac:dyDescent="0.2">
      <c r="Y29260" s="97"/>
    </row>
    <row r="29261" spans="25:25" x14ac:dyDescent="0.2">
      <c r="Y29261" s="97"/>
    </row>
    <row r="29262" spans="25:25" x14ac:dyDescent="0.2">
      <c r="Y29262" s="97"/>
    </row>
    <row r="29263" spans="25:25" x14ac:dyDescent="0.2">
      <c r="Y29263" s="97"/>
    </row>
    <row r="29264" spans="25:25" x14ac:dyDescent="0.2">
      <c r="Y29264" s="97"/>
    </row>
    <row r="29265" spans="25:25" x14ac:dyDescent="0.2">
      <c r="Y29265" s="97"/>
    </row>
    <row r="29266" spans="25:25" x14ac:dyDescent="0.2">
      <c r="Y29266" s="97"/>
    </row>
    <row r="29267" spans="25:25" x14ac:dyDescent="0.2">
      <c r="Y29267" s="97"/>
    </row>
    <row r="29268" spans="25:25" x14ac:dyDescent="0.2">
      <c r="Y29268" s="97"/>
    </row>
    <row r="29269" spans="25:25" x14ac:dyDescent="0.2">
      <c r="Y29269" s="97"/>
    </row>
    <row r="29270" spans="25:25" x14ac:dyDescent="0.2">
      <c r="Y29270" s="97"/>
    </row>
    <row r="29271" spans="25:25" x14ac:dyDescent="0.2">
      <c r="Y29271" s="97"/>
    </row>
    <row r="29272" spans="25:25" x14ac:dyDescent="0.2">
      <c r="Y29272" s="97"/>
    </row>
    <row r="29273" spans="25:25" x14ac:dyDescent="0.2">
      <c r="Y29273" s="97"/>
    </row>
    <row r="29274" spans="25:25" x14ac:dyDescent="0.2">
      <c r="Y29274" s="97"/>
    </row>
    <row r="29275" spans="25:25" x14ac:dyDescent="0.2">
      <c r="Y29275" s="97"/>
    </row>
    <row r="29276" spans="25:25" x14ac:dyDescent="0.2">
      <c r="Y29276" s="97"/>
    </row>
    <row r="29277" spans="25:25" x14ac:dyDescent="0.2">
      <c r="Y29277" s="97"/>
    </row>
    <row r="29278" spans="25:25" x14ac:dyDescent="0.2">
      <c r="Y29278" s="97"/>
    </row>
    <row r="29279" spans="25:25" x14ac:dyDescent="0.2">
      <c r="Y29279" s="97"/>
    </row>
    <row r="29280" spans="25:25" x14ac:dyDescent="0.2">
      <c r="Y29280" s="97"/>
    </row>
    <row r="29281" spans="25:25" x14ac:dyDescent="0.2">
      <c r="Y29281" s="97"/>
    </row>
    <row r="29282" spans="25:25" x14ac:dyDescent="0.2">
      <c r="Y29282" s="97"/>
    </row>
    <row r="29283" spans="25:25" x14ac:dyDescent="0.2">
      <c r="Y29283" s="97"/>
    </row>
    <row r="29284" spans="25:25" x14ac:dyDescent="0.2">
      <c r="Y29284" s="97"/>
    </row>
    <row r="29285" spans="25:25" x14ac:dyDescent="0.2">
      <c r="Y29285" s="97"/>
    </row>
    <row r="29286" spans="25:25" x14ac:dyDescent="0.2">
      <c r="Y29286" s="97"/>
    </row>
    <row r="29287" spans="25:25" x14ac:dyDescent="0.2">
      <c r="Y29287" s="97"/>
    </row>
    <row r="29288" spans="25:25" x14ac:dyDescent="0.2">
      <c r="Y29288" s="97"/>
    </row>
    <row r="29289" spans="25:25" x14ac:dyDescent="0.2">
      <c r="Y29289" s="97"/>
    </row>
    <row r="29290" spans="25:25" x14ac:dyDescent="0.2">
      <c r="Y29290" s="97"/>
    </row>
    <row r="29291" spans="25:25" x14ac:dyDescent="0.2">
      <c r="Y29291" s="97"/>
    </row>
    <row r="29292" spans="25:25" x14ac:dyDescent="0.2">
      <c r="Y29292" s="97"/>
    </row>
    <row r="29293" spans="25:25" x14ac:dyDescent="0.2">
      <c r="Y29293" s="97"/>
    </row>
    <row r="29294" spans="25:25" x14ac:dyDescent="0.2">
      <c r="Y29294" s="97"/>
    </row>
    <row r="29295" spans="25:25" x14ac:dyDescent="0.2">
      <c r="Y29295" s="97"/>
    </row>
    <row r="29296" spans="25:25" x14ac:dyDescent="0.2">
      <c r="Y29296" s="97"/>
    </row>
    <row r="29297" spans="25:25" x14ac:dyDescent="0.2">
      <c r="Y29297" s="97"/>
    </row>
    <row r="29298" spans="25:25" x14ac:dyDescent="0.2">
      <c r="Y29298" s="97"/>
    </row>
    <row r="29299" spans="25:25" x14ac:dyDescent="0.2">
      <c r="Y29299" s="97"/>
    </row>
    <row r="29300" spans="25:25" x14ac:dyDescent="0.2">
      <c r="Y29300" s="97"/>
    </row>
    <row r="29301" spans="25:25" x14ac:dyDescent="0.2">
      <c r="Y29301" s="97"/>
    </row>
    <row r="29302" spans="25:25" x14ac:dyDescent="0.2">
      <c r="Y29302" s="97"/>
    </row>
    <row r="29303" spans="25:25" x14ac:dyDescent="0.2">
      <c r="Y29303" s="97"/>
    </row>
    <row r="29304" spans="25:25" x14ac:dyDescent="0.2">
      <c r="Y29304" s="97"/>
    </row>
    <row r="29305" spans="25:25" x14ac:dyDescent="0.2">
      <c r="Y29305" s="97"/>
    </row>
    <row r="29306" spans="25:25" x14ac:dyDescent="0.2">
      <c r="Y29306" s="97"/>
    </row>
    <row r="29307" spans="25:25" x14ac:dyDescent="0.2">
      <c r="Y29307" s="97"/>
    </row>
    <row r="29308" spans="25:25" x14ac:dyDescent="0.2">
      <c r="Y29308" s="97"/>
    </row>
    <row r="29309" spans="25:25" x14ac:dyDescent="0.2">
      <c r="Y29309" s="97"/>
    </row>
    <row r="29310" spans="25:25" x14ac:dyDescent="0.2">
      <c r="Y29310" s="97"/>
    </row>
    <row r="29311" spans="25:25" x14ac:dyDescent="0.2">
      <c r="Y29311" s="97"/>
    </row>
    <row r="29312" spans="25:25" x14ac:dyDescent="0.2">
      <c r="Y29312" s="97"/>
    </row>
    <row r="29313" spans="25:25" x14ac:dyDescent="0.2">
      <c r="Y29313" s="97"/>
    </row>
    <row r="29314" spans="25:25" x14ac:dyDescent="0.2">
      <c r="Y29314" s="97"/>
    </row>
    <row r="29315" spans="25:25" x14ac:dyDescent="0.2">
      <c r="Y29315" s="97"/>
    </row>
    <row r="29316" spans="25:25" x14ac:dyDescent="0.2">
      <c r="Y29316" s="97"/>
    </row>
    <row r="29317" spans="25:25" x14ac:dyDescent="0.2">
      <c r="Y29317" s="97"/>
    </row>
    <row r="29318" spans="25:25" x14ac:dyDescent="0.2">
      <c r="Y29318" s="97"/>
    </row>
    <row r="29319" spans="25:25" x14ac:dyDescent="0.2">
      <c r="Y29319" s="97"/>
    </row>
    <row r="29320" spans="25:25" x14ac:dyDescent="0.2">
      <c r="Y29320" s="97"/>
    </row>
    <row r="29321" spans="25:25" x14ac:dyDescent="0.2">
      <c r="Y29321" s="97"/>
    </row>
    <row r="29322" spans="25:25" x14ac:dyDescent="0.2">
      <c r="Y29322" s="97"/>
    </row>
    <row r="29323" spans="25:25" x14ac:dyDescent="0.2">
      <c r="Y29323" s="97"/>
    </row>
    <row r="29324" spans="25:25" x14ac:dyDescent="0.2">
      <c r="Y29324" s="97"/>
    </row>
    <row r="29325" spans="25:25" x14ac:dyDescent="0.2">
      <c r="Y29325" s="97"/>
    </row>
    <row r="29326" spans="25:25" x14ac:dyDescent="0.2">
      <c r="Y29326" s="97"/>
    </row>
    <row r="29327" spans="25:25" x14ac:dyDescent="0.2">
      <c r="Y29327" s="97"/>
    </row>
    <row r="29328" spans="25:25" x14ac:dyDescent="0.2">
      <c r="Y29328" s="97"/>
    </row>
    <row r="29329" spans="25:25" x14ac:dyDescent="0.2">
      <c r="Y29329" s="97"/>
    </row>
    <row r="29330" spans="25:25" x14ac:dyDescent="0.2">
      <c r="Y29330" s="97"/>
    </row>
    <row r="29331" spans="25:25" x14ac:dyDescent="0.2">
      <c r="Y29331" s="97"/>
    </row>
    <row r="29332" spans="25:25" x14ac:dyDescent="0.2">
      <c r="Y29332" s="97"/>
    </row>
    <row r="29333" spans="25:25" x14ac:dyDescent="0.2">
      <c r="Y29333" s="97"/>
    </row>
    <row r="29334" spans="25:25" x14ac:dyDescent="0.2">
      <c r="Y29334" s="97"/>
    </row>
    <row r="29335" spans="25:25" x14ac:dyDescent="0.2">
      <c r="Y29335" s="97"/>
    </row>
    <row r="29336" spans="25:25" x14ac:dyDescent="0.2">
      <c r="Y29336" s="97"/>
    </row>
    <row r="29337" spans="25:25" x14ac:dyDescent="0.2">
      <c r="Y29337" s="97"/>
    </row>
    <row r="29338" spans="25:25" x14ac:dyDescent="0.2">
      <c r="Y29338" s="97"/>
    </row>
    <row r="29339" spans="25:25" x14ac:dyDescent="0.2">
      <c r="Y29339" s="97"/>
    </row>
    <row r="29340" spans="25:25" x14ac:dyDescent="0.2">
      <c r="Y29340" s="97"/>
    </row>
    <row r="29341" spans="25:25" x14ac:dyDescent="0.2">
      <c r="Y29341" s="97"/>
    </row>
    <row r="29342" spans="25:25" x14ac:dyDescent="0.2">
      <c r="Y29342" s="97"/>
    </row>
    <row r="29343" spans="25:25" x14ac:dyDescent="0.2">
      <c r="Y29343" s="97"/>
    </row>
    <row r="29344" spans="25:25" x14ac:dyDescent="0.2">
      <c r="Y29344" s="97"/>
    </row>
    <row r="29345" spans="25:25" x14ac:dyDescent="0.2">
      <c r="Y29345" s="97"/>
    </row>
    <row r="29346" spans="25:25" x14ac:dyDescent="0.2">
      <c r="Y29346" s="97"/>
    </row>
    <row r="29347" spans="25:25" x14ac:dyDescent="0.2">
      <c r="Y29347" s="97"/>
    </row>
    <row r="29348" spans="25:25" x14ac:dyDescent="0.2">
      <c r="Y29348" s="97"/>
    </row>
    <row r="29349" spans="25:25" x14ac:dyDescent="0.2">
      <c r="Y29349" s="97"/>
    </row>
    <row r="29350" spans="25:25" x14ac:dyDescent="0.2">
      <c r="Y29350" s="97"/>
    </row>
    <row r="29351" spans="25:25" x14ac:dyDescent="0.2">
      <c r="Y29351" s="97"/>
    </row>
    <row r="29352" spans="25:25" x14ac:dyDescent="0.2">
      <c r="Y29352" s="97"/>
    </row>
    <row r="29353" spans="25:25" x14ac:dyDescent="0.2">
      <c r="Y29353" s="97"/>
    </row>
    <row r="29354" spans="25:25" x14ac:dyDescent="0.2">
      <c r="Y29354" s="97"/>
    </row>
    <row r="29355" spans="25:25" x14ac:dyDescent="0.2">
      <c r="Y29355" s="97"/>
    </row>
    <row r="29356" spans="25:25" x14ac:dyDescent="0.2">
      <c r="Y29356" s="97"/>
    </row>
    <row r="29357" spans="25:25" x14ac:dyDescent="0.2">
      <c r="Y29357" s="97"/>
    </row>
    <row r="29358" spans="25:25" x14ac:dyDescent="0.2">
      <c r="Y29358" s="97"/>
    </row>
    <row r="29359" spans="25:25" x14ac:dyDescent="0.2">
      <c r="Y29359" s="97"/>
    </row>
    <row r="29360" spans="25:25" x14ac:dyDescent="0.2">
      <c r="Y29360" s="97"/>
    </row>
    <row r="29361" spans="25:25" x14ac:dyDescent="0.2">
      <c r="Y29361" s="97"/>
    </row>
    <row r="29362" spans="25:25" x14ac:dyDescent="0.2">
      <c r="Y29362" s="97"/>
    </row>
    <row r="29363" spans="25:25" x14ac:dyDescent="0.2">
      <c r="Y29363" s="97"/>
    </row>
    <row r="29364" spans="25:25" x14ac:dyDescent="0.2">
      <c r="Y29364" s="97"/>
    </row>
    <row r="29365" spans="25:25" x14ac:dyDescent="0.2">
      <c r="Y29365" s="97"/>
    </row>
    <row r="29366" spans="25:25" x14ac:dyDescent="0.2">
      <c r="Y29366" s="97"/>
    </row>
    <row r="29367" spans="25:25" x14ac:dyDescent="0.2">
      <c r="Y29367" s="97"/>
    </row>
    <row r="29368" spans="25:25" x14ac:dyDescent="0.2">
      <c r="Y29368" s="97"/>
    </row>
    <row r="29369" spans="25:25" x14ac:dyDescent="0.2">
      <c r="Y29369" s="97"/>
    </row>
    <row r="29370" spans="25:25" x14ac:dyDescent="0.2">
      <c r="Y29370" s="97"/>
    </row>
    <row r="29371" spans="25:25" x14ac:dyDescent="0.2">
      <c r="Y29371" s="97"/>
    </row>
    <row r="29372" spans="25:25" x14ac:dyDescent="0.2">
      <c r="Y29372" s="97"/>
    </row>
    <row r="29373" spans="25:25" x14ac:dyDescent="0.2">
      <c r="Y29373" s="97"/>
    </row>
    <row r="29374" spans="25:25" x14ac:dyDescent="0.2">
      <c r="Y29374" s="97"/>
    </row>
    <row r="29375" spans="25:25" x14ac:dyDescent="0.2">
      <c r="Y29375" s="97"/>
    </row>
    <row r="29376" spans="25:25" x14ac:dyDescent="0.2">
      <c r="Y29376" s="97"/>
    </row>
    <row r="29377" spans="25:25" x14ac:dyDescent="0.2">
      <c r="Y29377" s="97"/>
    </row>
    <row r="29378" spans="25:25" x14ac:dyDescent="0.2">
      <c r="Y29378" s="97"/>
    </row>
    <row r="29379" spans="25:25" x14ac:dyDescent="0.2">
      <c r="Y29379" s="97"/>
    </row>
    <row r="29380" spans="25:25" x14ac:dyDescent="0.2">
      <c r="Y29380" s="97"/>
    </row>
    <row r="29381" spans="25:25" x14ac:dyDescent="0.2">
      <c r="Y29381" s="97"/>
    </row>
    <row r="29382" spans="25:25" x14ac:dyDescent="0.2">
      <c r="Y29382" s="97"/>
    </row>
    <row r="29383" spans="25:25" x14ac:dyDescent="0.2">
      <c r="Y29383" s="97"/>
    </row>
    <row r="29384" spans="25:25" x14ac:dyDescent="0.2">
      <c r="Y29384" s="97"/>
    </row>
    <row r="29385" spans="25:25" x14ac:dyDescent="0.2">
      <c r="Y29385" s="97"/>
    </row>
    <row r="29386" spans="25:25" x14ac:dyDescent="0.2">
      <c r="Y29386" s="97"/>
    </row>
    <row r="29387" spans="25:25" x14ac:dyDescent="0.2">
      <c r="Y29387" s="97"/>
    </row>
    <row r="29388" spans="25:25" x14ac:dyDescent="0.2">
      <c r="Y29388" s="97"/>
    </row>
    <row r="29389" spans="25:25" x14ac:dyDescent="0.2">
      <c r="Y29389" s="97"/>
    </row>
    <row r="29390" spans="25:25" x14ac:dyDescent="0.2">
      <c r="Y29390" s="97"/>
    </row>
    <row r="29391" spans="25:25" x14ac:dyDescent="0.2">
      <c r="Y29391" s="97"/>
    </row>
    <row r="29392" spans="25:25" x14ac:dyDescent="0.2">
      <c r="Y29392" s="97"/>
    </row>
    <row r="29393" spans="25:25" x14ac:dyDescent="0.2">
      <c r="Y29393" s="97"/>
    </row>
    <row r="29394" spans="25:25" x14ac:dyDescent="0.2">
      <c r="Y29394" s="97"/>
    </row>
    <row r="29395" spans="25:25" x14ac:dyDescent="0.2">
      <c r="Y29395" s="97"/>
    </row>
    <row r="29396" spans="25:25" x14ac:dyDescent="0.2">
      <c r="Y29396" s="97"/>
    </row>
    <row r="29397" spans="25:25" x14ac:dyDescent="0.2">
      <c r="Y29397" s="97"/>
    </row>
    <row r="29398" spans="25:25" x14ac:dyDescent="0.2">
      <c r="Y29398" s="97"/>
    </row>
    <row r="29399" spans="25:25" x14ac:dyDescent="0.2">
      <c r="Y29399" s="97"/>
    </row>
    <row r="29400" spans="25:25" x14ac:dyDescent="0.2">
      <c r="Y29400" s="97"/>
    </row>
    <row r="29401" spans="25:25" x14ac:dyDescent="0.2">
      <c r="Y29401" s="97"/>
    </row>
    <row r="29402" spans="25:25" x14ac:dyDescent="0.2">
      <c r="Y29402" s="97"/>
    </row>
    <row r="29403" spans="25:25" x14ac:dyDescent="0.2">
      <c r="Y29403" s="97"/>
    </row>
    <row r="29404" spans="25:25" x14ac:dyDescent="0.2">
      <c r="Y29404" s="97"/>
    </row>
    <row r="29405" spans="25:25" x14ac:dyDescent="0.2">
      <c r="Y29405" s="97"/>
    </row>
    <row r="29406" spans="25:25" x14ac:dyDescent="0.2">
      <c r="Y29406" s="97"/>
    </row>
    <row r="29407" spans="25:25" x14ac:dyDescent="0.2">
      <c r="Y29407" s="97"/>
    </row>
    <row r="29408" spans="25:25" x14ac:dyDescent="0.2">
      <c r="Y29408" s="97"/>
    </row>
    <row r="29409" spans="25:25" x14ac:dyDescent="0.2">
      <c r="Y29409" s="97"/>
    </row>
    <row r="29410" spans="25:25" x14ac:dyDescent="0.2">
      <c r="Y29410" s="97"/>
    </row>
    <row r="29411" spans="25:25" x14ac:dyDescent="0.2">
      <c r="Y29411" s="97"/>
    </row>
    <row r="29412" spans="25:25" x14ac:dyDescent="0.2">
      <c r="Y29412" s="97"/>
    </row>
    <row r="29413" spans="25:25" x14ac:dyDescent="0.2">
      <c r="Y29413" s="97"/>
    </row>
    <row r="29414" spans="25:25" x14ac:dyDescent="0.2">
      <c r="Y29414" s="97"/>
    </row>
    <row r="29415" spans="25:25" x14ac:dyDescent="0.2">
      <c r="Y29415" s="97"/>
    </row>
    <row r="29416" spans="25:25" x14ac:dyDescent="0.2">
      <c r="Y29416" s="97"/>
    </row>
    <row r="29417" spans="25:25" x14ac:dyDescent="0.2">
      <c r="Y29417" s="97"/>
    </row>
    <row r="29418" spans="25:25" x14ac:dyDescent="0.2">
      <c r="Y29418" s="97"/>
    </row>
    <row r="29419" spans="25:25" x14ac:dyDescent="0.2">
      <c r="Y29419" s="97"/>
    </row>
    <row r="29420" spans="25:25" x14ac:dyDescent="0.2">
      <c r="Y29420" s="97"/>
    </row>
    <row r="29421" spans="25:25" x14ac:dyDescent="0.2">
      <c r="Y29421" s="97"/>
    </row>
    <row r="29422" spans="25:25" x14ac:dyDescent="0.2">
      <c r="Y29422" s="97"/>
    </row>
    <row r="29423" spans="25:25" x14ac:dyDescent="0.2">
      <c r="Y29423" s="97"/>
    </row>
    <row r="29424" spans="25:25" x14ac:dyDescent="0.2">
      <c r="Y29424" s="97"/>
    </row>
    <row r="29425" spans="25:25" x14ac:dyDescent="0.2">
      <c r="Y29425" s="97"/>
    </row>
    <row r="29426" spans="25:25" x14ac:dyDescent="0.2">
      <c r="Y29426" s="97"/>
    </row>
    <row r="29427" spans="25:25" x14ac:dyDescent="0.2">
      <c r="Y29427" s="97"/>
    </row>
    <row r="29428" spans="25:25" x14ac:dyDescent="0.2">
      <c r="Y29428" s="97"/>
    </row>
    <row r="29429" spans="25:25" x14ac:dyDescent="0.2">
      <c r="Y29429" s="97"/>
    </row>
    <row r="29430" spans="25:25" x14ac:dyDescent="0.2">
      <c r="Y29430" s="97"/>
    </row>
    <row r="29431" spans="25:25" x14ac:dyDescent="0.2">
      <c r="Y29431" s="97"/>
    </row>
    <row r="29432" spans="25:25" x14ac:dyDescent="0.2">
      <c r="Y29432" s="97"/>
    </row>
    <row r="29433" spans="25:25" x14ac:dyDescent="0.2">
      <c r="Y29433" s="97"/>
    </row>
    <row r="29434" spans="25:25" x14ac:dyDescent="0.2">
      <c r="Y29434" s="97"/>
    </row>
    <row r="29435" spans="25:25" x14ac:dyDescent="0.2">
      <c r="Y29435" s="97"/>
    </row>
    <row r="29436" spans="25:25" x14ac:dyDescent="0.2">
      <c r="Y29436" s="97"/>
    </row>
    <row r="29437" spans="25:25" x14ac:dyDescent="0.2">
      <c r="Y29437" s="97"/>
    </row>
    <row r="29438" spans="25:25" x14ac:dyDescent="0.2">
      <c r="Y29438" s="97"/>
    </row>
    <row r="29439" spans="25:25" x14ac:dyDescent="0.2">
      <c r="Y29439" s="97"/>
    </row>
    <row r="29440" spans="25:25" x14ac:dyDescent="0.2">
      <c r="Y29440" s="97"/>
    </row>
    <row r="29441" spans="25:25" x14ac:dyDescent="0.2">
      <c r="Y29441" s="97"/>
    </row>
    <row r="29442" spans="25:25" x14ac:dyDescent="0.2">
      <c r="Y29442" s="97"/>
    </row>
    <row r="29443" spans="25:25" x14ac:dyDescent="0.2">
      <c r="Y29443" s="97"/>
    </row>
    <row r="29444" spans="25:25" x14ac:dyDescent="0.2">
      <c r="Y29444" s="97"/>
    </row>
    <row r="29445" spans="25:25" x14ac:dyDescent="0.2">
      <c r="Y29445" s="97"/>
    </row>
    <row r="29446" spans="25:25" x14ac:dyDescent="0.2">
      <c r="Y29446" s="97"/>
    </row>
    <row r="29447" spans="25:25" x14ac:dyDescent="0.2">
      <c r="Y29447" s="97"/>
    </row>
    <row r="29448" spans="25:25" x14ac:dyDescent="0.2">
      <c r="Y29448" s="97"/>
    </row>
    <row r="29449" spans="25:25" x14ac:dyDescent="0.2">
      <c r="Y29449" s="97"/>
    </row>
    <row r="29450" spans="25:25" x14ac:dyDescent="0.2">
      <c r="Y29450" s="97"/>
    </row>
    <row r="29451" spans="25:25" x14ac:dyDescent="0.2">
      <c r="Y29451" s="97"/>
    </row>
    <row r="29452" spans="25:25" x14ac:dyDescent="0.2">
      <c r="Y29452" s="97"/>
    </row>
    <row r="29453" spans="25:25" x14ac:dyDescent="0.2">
      <c r="Y29453" s="97"/>
    </row>
    <row r="29454" spans="25:25" x14ac:dyDescent="0.2">
      <c r="Y29454" s="97"/>
    </row>
    <row r="29455" spans="25:25" x14ac:dyDescent="0.2">
      <c r="Y29455" s="97"/>
    </row>
    <row r="29456" spans="25:25" x14ac:dyDescent="0.2">
      <c r="Y29456" s="97"/>
    </row>
    <row r="29457" spans="25:25" x14ac:dyDescent="0.2">
      <c r="Y29457" s="97"/>
    </row>
    <row r="29458" spans="25:25" x14ac:dyDescent="0.2">
      <c r="Y29458" s="97"/>
    </row>
    <row r="29459" spans="25:25" x14ac:dyDescent="0.2">
      <c r="Y29459" s="97"/>
    </row>
    <row r="29460" spans="25:25" x14ac:dyDescent="0.2">
      <c r="Y29460" s="97"/>
    </row>
    <row r="29461" spans="25:25" x14ac:dyDescent="0.2">
      <c r="Y29461" s="97"/>
    </row>
    <row r="29462" spans="25:25" x14ac:dyDescent="0.2">
      <c r="Y29462" s="97"/>
    </row>
    <row r="29463" spans="25:25" x14ac:dyDescent="0.2">
      <c r="Y29463" s="97"/>
    </row>
    <row r="29464" spans="25:25" x14ac:dyDescent="0.2">
      <c r="Y29464" s="97"/>
    </row>
    <row r="29465" spans="25:25" x14ac:dyDescent="0.2">
      <c r="Y29465" s="97"/>
    </row>
    <row r="29466" spans="25:25" x14ac:dyDescent="0.2">
      <c r="Y29466" s="97"/>
    </row>
    <row r="29467" spans="25:25" x14ac:dyDescent="0.2">
      <c r="Y29467" s="97"/>
    </row>
    <row r="29468" spans="25:25" x14ac:dyDescent="0.2">
      <c r="Y29468" s="97"/>
    </row>
    <row r="29469" spans="25:25" x14ac:dyDescent="0.2">
      <c r="Y29469" s="97"/>
    </row>
    <row r="29470" spans="25:25" x14ac:dyDescent="0.2">
      <c r="Y29470" s="97"/>
    </row>
    <row r="29471" spans="25:25" x14ac:dyDescent="0.2">
      <c r="Y29471" s="97"/>
    </row>
    <row r="29472" spans="25:25" x14ac:dyDescent="0.2">
      <c r="Y29472" s="97"/>
    </row>
    <row r="29473" spans="25:25" x14ac:dyDescent="0.2">
      <c r="Y29473" s="97"/>
    </row>
    <row r="29474" spans="25:25" x14ac:dyDescent="0.2">
      <c r="Y29474" s="97"/>
    </row>
    <row r="29475" spans="25:25" x14ac:dyDescent="0.2">
      <c r="Y29475" s="97"/>
    </row>
    <row r="29476" spans="25:25" x14ac:dyDescent="0.2">
      <c r="Y29476" s="97"/>
    </row>
    <row r="29477" spans="25:25" x14ac:dyDescent="0.2">
      <c r="Y29477" s="97"/>
    </row>
    <row r="29478" spans="25:25" x14ac:dyDescent="0.2">
      <c r="Y29478" s="97"/>
    </row>
    <row r="29479" spans="25:25" x14ac:dyDescent="0.2">
      <c r="Y29479" s="97"/>
    </row>
    <row r="29480" spans="25:25" x14ac:dyDescent="0.2">
      <c r="Y29480" s="97"/>
    </row>
    <row r="29481" spans="25:25" x14ac:dyDescent="0.2">
      <c r="Y29481" s="97"/>
    </row>
    <row r="29482" spans="25:25" x14ac:dyDescent="0.2">
      <c r="Y29482" s="97"/>
    </row>
    <row r="29483" spans="25:25" x14ac:dyDescent="0.2">
      <c r="Y29483" s="97"/>
    </row>
    <row r="29484" spans="25:25" x14ac:dyDescent="0.2">
      <c r="Y29484" s="97"/>
    </row>
    <row r="29485" spans="25:25" x14ac:dyDescent="0.2">
      <c r="Y29485" s="97"/>
    </row>
    <row r="29486" spans="25:25" x14ac:dyDescent="0.2">
      <c r="Y29486" s="97"/>
    </row>
    <row r="29487" spans="25:25" x14ac:dyDescent="0.2">
      <c r="Y29487" s="97"/>
    </row>
    <row r="29488" spans="25:25" x14ac:dyDescent="0.2">
      <c r="Y29488" s="97"/>
    </row>
    <row r="29489" spans="25:25" x14ac:dyDescent="0.2">
      <c r="Y29489" s="97"/>
    </row>
    <row r="29490" spans="25:25" x14ac:dyDescent="0.2">
      <c r="Y29490" s="97"/>
    </row>
    <row r="29491" spans="25:25" x14ac:dyDescent="0.2">
      <c r="Y29491" s="97"/>
    </row>
    <row r="29492" spans="25:25" x14ac:dyDescent="0.2">
      <c r="Y29492" s="97"/>
    </row>
    <row r="29493" spans="25:25" x14ac:dyDescent="0.2">
      <c r="Y29493" s="97"/>
    </row>
    <row r="29494" spans="25:25" x14ac:dyDescent="0.2">
      <c r="Y29494" s="97"/>
    </row>
    <row r="29495" spans="25:25" x14ac:dyDescent="0.2">
      <c r="Y29495" s="97"/>
    </row>
    <row r="29496" spans="25:25" x14ac:dyDescent="0.2">
      <c r="Y29496" s="97"/>
    </row>
    <row r="29497" spans="25:25" x14ac:dyDescent="0.2">
      <c r="Y29497" s="97"/>
    </row>
    <row r="29498" spans="25:25" x14ac:dyDescent="0.2">
      <c r="Y29498" s="97"/>
    </row>
    <row r="29499" spans="25:25" x14ac:dyDescent="0.2">
      <c r="Y29499" s="97"/>
    </row>
    <row r="29500" spans="25:25" x14ac:dyDescent="0.2">
      <c r="Y29500" s="97"/>
    </row>
    <row r="29501" spans="25:25" x14ac:dyDescent="0.2">
      <c r="Y29501" s="97"/>
    </row>
    <row r="29502" spans="25:25" x14ac:dyDescent="0.2">
      <c r="Y29502" s="97"/>
    </row>
    <row r="29503" spans="25:25" x14ac:dyDescent="0.2">
      <c r="Y29503" s="97"/>
    </row>
    <row r="29504" spans="25:25" x14ac:dyDescent="0.2">
      <c r="Y29504" s="97"/>
    </row>
    <row r="29505" spans="25:25" x14ac:dyDescent="0.2">
      <c r="Y29505" s="97"/>
    </row>
    <row r="29506" spans="25:25" x14ac:dyDescent="0.2">
      <c r="Y29506" s="97"/>
    </row>
    <row r="29507" spans="25:25" x14ac:dyDescent="0.2">
      <c r="Y29507" s="97"/>
    </row>
    <row r="29508" spans="25:25" x14ac:dyDescent="0.2">
      <c r="Y29508" s="97"/>
    </row>
    <row r="29509" spans="25:25" x14ac:dyDescent="0.2">
      <c r="Y29509" s="97"/>
    </row>
    <row r="29510" spans="25:25" x14ac:dyDescent="0.2">
      <c r="Y29510" s="97"/>
    </row>
    <row r="29511" spans="25:25" x14ac:dyDescent="0.2">
      <c r="Y29511" s="97"/>
    </row>
    <row r="29512" spans="25:25" x14ac:dyDescent="0.2">
      <c r="Y29512" s="97"/>
    </row>
    <row r="29513" spans="25:25" x14ac:dyDescent="0.2">
      <c r="Y29513" s="97"/>
    </row>
    <row r="29514" spans="25:25" x14ac:dyDescent="0.2">
      <c r="Y29514" s="97"/>
    </row>
    <row r="29515" spans="25:25" x14ac:dyDescent="0.2">
      <c r="Y29515" s="97"/>
    </row>
    <row r="29516" spans="25:25" x14ac:dyDescent="0.2">
      <c r="Y29516" s="97"/>
    </row>
    <row r="29517" spans="25:25" x14ac:dyDescent="0.2">
      <c r="Y29517" s="97"/>
    </row>
    <row r="29518" spans="25:25" x14ac:dyDescent="0.2">
      <c r="Y29518" s="97"/>
    </row>
    <row r="29519" spans="25:25" x14ac:dyDescent="0.2">
      <c r="Y29519" s="97"/>
    </row>
    <row r="29520" spans="25:25" x14ac:dyDescent="0.2">
      <c r="Y29520" s="97"/>
    </row>
    <row r="29521" spans="25:25" x14ac:dyDescent="0.2">
      <c r="Y29521" s="97"/>
    </row>
    <row r="29522" spans="25:25" x14ac:dyDescent="0.2">
      <c r="Y29522" s="97"/>
    </row>
    <row r="29523" spans="25:25" x14ac:dyDescent="0.2">
      <c r="Y29523" s="97"/>
    </row>
    <row r="29524" spans="25:25" x14ac:dyDescent="0.2">
      <c r="Y29524" s="97"/>
    </row>
    <row r="29525" spans="25:25" x14ac:dyDescent="0.2">
      <c r="Y29525" s="97"/>
    </row>
    <row r="29526" spans="25:25" x14ac:dyDescent="0.2">
      <c r="Y29526" s="97"/>
    </row>
    <row r="29527" spans="25:25" x14ac:dyDescent="0.2">
      <c r="Y29527" s="97"/>
    </row>
    <row r="29528" spans="25:25" x14ac:dyDescent="0.2">
      <c r="Y29528" s="97"/>
    </row>
    <row r="29529" spans="25:25" x14ac:dyDescent="0.2">
      <c r="Y29529" s="97"/>
    </row>
    <row r="29530" spans="25:25" x14ac:dyDescent="0.2">
      <c r="Y29530" s="97"/>
    </row>
    <row r="29531" spans="25:25" x14ac:dyDescent="0.2">
      <c r="Y29531" s="97"/>
    </row>
    <row r="29532" spans="25:25" x14ac:dyDescent="0.2">
      <c r="Y29532" s="97"/>
    </row>
    <row r="29533" spans="25:25" x14ac:dyDescent="0.2">
      <c r="Y29533" s="97"/>
    </row>
    <row r="29534" spans="25:25" x14ac:dyDescent="0.2">
      <c r="Y29534" s="97"/>
    </row>
    <row r="29535" spans="25:25" x14ac:dyDescent="0.2">
      <c r="Y29535" s="97"/>
    </row>
    <row r="29536" spans="25:25" x14ac:dyDescent="0.2">
      <c r="Y29536" s="97"/>
    </row>
    <row r="29537" spans="25:25" x14ac:dyDescent="0.2">
      <c r="Y29537" s="97"/>
    </row>
    <row r="29538" spans="25:25" x14ac:dyDescent="0.2">
      <c r="Y29538" s="97"/>
    </row>
    <row r="29539" spans="25:25" x14ac:dyDescent="0.2">
      <c r="Y29539" s="97"/>
    </row>
    <row r="29540" spans="25:25" x14ac:dyDescent="0.2">
      <c r="Y29540" s="97"/>
    </row>
    <row r="29541" spans="25:25" x14ac:dyDescent="0.2">
      <c r="Y29541" s="97"/>
    </row>
    <row r="29542" spans="25:25" x14ac:dyDescent="0.2">
      <c r="Y29542" s="97"/>
    </row>
    <row r="29543" spans="25:25" x14ac:dyDescent="0.2">
      <c r="Y29543" s="97"/>
    </row>
    <row r="29544" spans="25:25" x14ac:dyDescent="0.2">
      <c r="Y29544" s="97"/>
    </row>
    <row r="29545" spans="25:25" x14ac:dyDescent="0.2">
      <c r="Y29545" s="97"/>
    </row>
    <row r="29546" spans="25:25" x14ac:dyDescent="0.2">
      <c r="Y29546" s="97"/>
    </row>
    <row r="29547" spans="25:25" x14ac:dyDescent="0.2">
      <c r="Y29547" s="97"/>
    </row>
    <row r="29548" spans="25:25" x14ac:dyDescent="0.2">
      <c r="Y29548" s="97"/>
    </row>
    <row r="29549" spans="25:25" x14ac:dyDescent="0.2">
      <c r="Y29549" s="97"/>
    </row>
    <row r="29550" spans="25:25" x14ac:dyDescent="0.2">
      <c r="Y29550" s="97"/>
    </row>
    <row r="29551" spans="25:25" x14ac:dyDescent="0.2">
      <c r="Y29551" s="97"/>
    </row>
    <row r="29552" spans="25:25" x14ac:dyDescent="0.2">
      <c r="Y29552" s="97"/>
    </row>
    <row r="29553" spans="25:25" x14ac:dyDescent="0.2">
      <c r="Y29553" s="97"/>
    </row>
    <row r="29554" spans="25:25" x14ac:dyDescent="0.2">
      <c r="Y29554" s="97"/>
    </row>
    <row r="29555" spans="25:25" x14ac:dyDescent="0.2">
      <c r="Y29555" s="97"/>
    </row>
    <row r="29556" spans="25:25" x14ac:dyDescent="0.2">
      <c r="Y29556" s="97"/>
    </row>
    <row r="29557" spans="25:25" x14ac:dyDescent="0.2">
      <c r="Y29557" s="97"/>
    </row>
    <row r="29558" spans="25:25" x14ac:dyDescent="0.2">
      <c r="Y29558" s="97"/>
    </row>
    <row r="29559" spans="25:25" x14ac:dyDescent="0.2">
      <c r="Y29559" s="97"/>
    </row>
    <row r="29560" spans="25:25" x14ac:dyDescent="0.2">
      <c r="Y29560" s="97"/>
    </row>
    <row r="29561" spans="25:25" x14ac:dyDescent="0.2">
      <c r="Y29561" s="97"/>
    </row>
    <row r="29562" spans="25:25" x14ac:dyDescent="0.2">
      <c r="Y29562" s="97"/>
    </row>
    <row r="29563" spans="25:25" x14ac:dyDescent="0.2">
      <c r="Y29563" s="97"/>
    </row>
    <row r="29564" spans="25:25" x14ac:dyDescent="0.2">
      <c r="Y29564" s="97"/>
    </row>
    <row r="29565" spans="25:25" x14ac:dyDescent="0.2">
      <c r="Y29565" s="97"/>
    </row>
    <row r="29566" spans="25:25" x14ac:dyDescent="0.2">
      <c r="Y29566" s="97"/>
    </row>
    <row r="29567" spans="25:25" x14ac:dyDescent="0.2">
      <c r="Y29567" s="97"/>
    </row>
    <row r="29568" spans="25:25" x14ac:dyDescent="0.2">
      <c r="Y29568" s="97"/>
    </row>
    <row r="29569" spans="25:25" x14ac:dyDescent="0.2">
      <c r="Y29569" s="97"/>
    </row>
    <row r="29570" spans="25:25" x14ac:dyDescent="0.2">
      <c r="Y29570" s="97"/>
    </row>
    <row r="29571" spans="25:25" x14ac:dyDescent="0.2">
      <c r="Y29571" s="97"/>
    </row>
    <row r="29572" spans="25:25" x14ac:dyDescent="0.2">
      <c r="Y29572" s="97"/>
    </row>
    <row r="29573" spans="25:25" x14ac:dyDescent="0.2">
      <c r="Y29573" s="97"/>
    </row>
    <row r="29574" spans="25:25" x14ac:dyDescent="0.2">
      <c r="Y29574" s="97"/>
    </row>
    <row r="29575" spans="25:25" x14ac:dyDescent="0.2">
      <c r="Y29575" s="97"/>
    </row>
    <row r="29576" spans="25:25" x14ac:dyDescent="0.2">
      <c r="Y29576" s="97"/>
    </row>
    <row r="29577" spans="25:25" x14ac:dyDescent="0.2">
      <c r="Y29577" s="97"/>
    </row>
    <row r="29578" spans="25:25" x14ac:dyDescent="0.2">
      <c r="Y29578" s="97"/>
    </row>
    <row r="29579" spans="25:25" x14ac:dyDescent="0.2">
      <c r="Y29579" s="97"/>
    </row>
    <row r="29580" spans="25:25" x14ac:dyDescent="0.2">
      <c r="Y29580" s="97"/>
    </row>
    <row r="29581" spans="25:25" x14ac:dyDescent="0.2">
      <c r="Y29581" s="97"/>
    </row>
    <row r="29582" spans="25:25" x14ac:dyDescent="0.2">
      <c r="Y29582" s="97"/>
    </row>
    <row r="29583" spans="25:25" x14ac:dyDescent="0.2">
      <c r="Y29583" s="97"/>
    </row>
    <row r="29584" spans="25:25" x14ac:dyDescent="0.2">
      <c r="Y29584" s="97"/>
    </row>
    <row r="29585" spans="25:25" x14ac:dyDescent="0.2">
      <c r="Y29585" s="97"/>
    </row>
    <row r="29586" spans="25:25" x14ac:dyDescent="0.2">
      <c r="Y29586" s="97"/>
    </row>
    <row r="29587" spans="25:25" x14ac:dyDescent="0.2">
      <c r="Y29587" s="97"/>
    </row>
    <row r="29588" spans="25:25" x14ac:dyDescent="0.2">
      <c r="Y29588" s="97"/>
    </row>
    <row r="29589" spans="25:25" x14ac:dyDescent="0.2">
      <c r="Y29589" s="97"/>
    </row>
    <row r="29590" spans="25:25" x14ac:dyDescent="0.2">
      <c r="Y29590" s="97"/>
    </row>
    <row r="29591" spans="25:25" x14ac:dyDescent="0.2">
      <c r="Y29591" s="97"/>
    </row>
    <row r="29592" spans="25:25" x14ac:dyDescent="0.2">
      <c r="Y29592" s="97"/>
    </row>
    <row r="29593" spans="25:25" x14ac:dyDescent="0.2">
      <c r="Y29593" s="97"/>
    </row>
    <row r="29594" spans="25:25" x14ac:dyDescent="0.2">
      <c r="Y29594" s="97"/>
    </row>
    <row r="29595" spans="25:25" x14ac:dyDescent="0.2">
      <c r="Y29595" s="97"/>
    </row>
    <row r="29596" spans="25:25" x14ac:dyDescent="0.2">
      <c r="Y29596" s="97"/>
    </row>
    <row r="29597" spans="25:25" x14ac:dyDescent="0.2">
      <c r="Y29597" s="97"/>
    </row>
    <row r="29598" spans="25:25" x14ac:dyDescent="0.2">
      <c r="Y29598" s="97"/>
    </row>
    <row r="29599" spans="25:25" x14ac:dyDescent="0.2">
      <c r="Y29599" s="97"/>
    </row>
    <row r="29600" spans="25:25" x14ac:dyDescent="0.2">
      <c r="Y29600" s="97"/>
    </row>
    <row r="29601" spans="25:25" x14ac:dyDescent="0.2">
      <c r="Y29601" s="97"/>
    </row>
    <row r="29602" spans="25:25" x14ac:dyDescent="0.2">
      <c r="Y29602" s="97"/>
    </row>
    <row r="29603" spans="25:25" x14ac:dyDescent="0.2">
      <c r="Y29603" s="97"/>
    </row>
    <row r="29604" spans="25:25" x14ac:dyDescent="0.2">
      <c r="Y29604" s="97"/>
    </row>
    <row r="29605" spans="25:25" x14ac:dyDescent="0.2">
      <c r="Y29605" s="97"/>
    </row>
    <row r="29606" spans="25:25" x14ac:dyDescent="0.2">
      <c r="Y29606" s="97"/>
    </row>
    <row r="29607" spans="25:25" x14ac:dyDescent="0.2">
      <c r="Y29607" s="97"/>
    </row>
    <row r="29608" spans="25:25" x14ac:dyDescent="0.2">
      <c r="Y29608" s="97"/>
    </row>
    <row r="29609" spans="25:25" x14ac:dyDescent="0.2">
      <c r="Y29609" s="97"/>
    </row>
    <row r="29610" spans="25:25" x14ac:dyDescent="0.2">
      <c r="Y29610" s="97"/>
    </row>
    <row r="29611" spans="25:25" x14ac:dyDescent="0.2">
      <c r="Y29611" s="97"/>
    </row>
    <row r="29612" spans="25:25" x14ac:dyDescent="0.2">
      <c r="Y29612" s="97"/>
    </row>
    <row r="29613" spans="25:25" x14ac:dyDescent="0.2">
      <c r="Y29613" s="97"/>
    </row>
    <row r="29614" spans="25:25" x14ac:dyDescent="0.2">
      <c r="Y29614" s="97"/>
    </row>
    <row r="29615" spans="25:25" x14ac:dyDescent="0.2">
      <c r="Y29615" s="97"/>
    </row>
    <row r="29616" spans="25:25" x14ac:dyDescent="0.2">
      <c r="Y29616" s="97"/>
    </row>
    <row r="29617" spans="25:25" x14ac:dyDescent="0.2">
      <c r="Y29617" s="97"/>
    </row>
    <row r="29618" spans="25:25" x14ac:dyDescent="0.2">
      <c r="Y29618" s="97"/>
    </row>
    <row r="29619" spans="25:25" x14ac:dyDescent="0.2">
      <c r="Y29619" s="97"/>
    </row>
    <row r="29620" spans="25:25" x14ac:dyDescent="0.2">
      <c r="Y29620" s="97"/>
    </row>
    <row r="29621" spans="25:25" x14ac:dyDescent="0.2">
      <c r="Y29621" s="97"/>
    </row>
    <row r="29622" spans="25:25" x14ac:dyDescent="0.2">
      <c r="Y29622" s="97"/>
    </row>
    <row r="29623" spans="25:25" x14ac:dyDescent="0.2">
      <c r="Y29623" s="97"/>
    </row>
    <row r="29624" spans="25:25" x14ac:dyDescent="0.2">
      <c r="Y29624" s="97"/>
    </row>
    <row r="29625" spans="25:25" x14ac:dyDescent="0.2">
      <c r="Y29625" s="97"/>
    </row>
    <row r="29626" spans="25:25" x14ac:dyDescent="0.2">
      <c r="Y29626" s="97"/>
    </row>
    <row r="29627" spans="25:25" x14ac:dyDescent="0.2">
      <c r="Y29627" s="97"/>
    </row>
    <row r="29628" spans="25:25" x14ac:dyDescent="0.2">
      <c r="Y29628" s="97"/>
    </row>
    <row r="29629" spans="25:25" x14ac:dyDescent="0.2">
      <c r="Y29629" s="97"/>
    </row>
    <row r="29630" spans="25:25" x14ac:dyDescent="0.2">
      <c r="Y29630" s="97"/>
    </row>
    <row r="29631" spans="25:25" x14ac:dyDescent="0.2">
      <c r="Y29631" s="97"/>
    </row>
    <row r="29632" spans="25:25" x14ac:dyDescent="0.2">
      <c r="Y29632" s="97"/>
    </row>
    <row r="29633" spans="25:25" x14ac:dyDescent="0.2">
      <c r="Y29633" s="97"/>
    </row>
    <row r="29634" spans="25:25" x14ac:dyDescent="0.2">
      <c r="Y29634" s="97"/>
    </row>
    <row r="29635" spans="25:25" x14ac:dyDescent="0.2">
      <c r="Y29635" s="97"/>
    </row>
    <row r="29636" spans="25:25" x14ac:dyDescent="0.2">
      <c r="Y29636" s="97"/>
    </row>
    <row r="29637" spans="25:25" x14ac:dyDescent="0.2">
      <c r="Y29637" s="97"/>
    </row>
    <row r="29638" spans="25:25" x14ac:dyDescent="0.2">
      <c r="Y29638" s="97"/>
    </row>
    <row r="29639" spans="25:25" x14ac:dyDescent="0.2">
      <c r="Y29639" s="97"/>
    </row>
    <row r="29640" spans="25:25" x14ac:dyDescent="0.2">
      <c r="Y29640" s="97"/>
    </row>
    <row r="29641" spans="25:25" x14ac:dyDescent="0.2">
      <c r="Y29641" s="97"/>
    </row>
    <row r="29642" spans="25:25" x14ac:dyDescent="0.2">
      <c r="Y29642" s="97"/>
    </row>
    <row r="29643" spans="25:25" x14ac:dyDescent="0.2">
      <c r="Y29643" s="97"/>
    </row>
    <row r="29644" spans="25:25" x14ac:dyDescent="0.2">
      <c r="Y29644" s="97"/>
    </row>
    <row r="29645" spans="25:25" x14ac:dyDescent="0.2">
      <c r="Y29645" s="97"/>
    </row>
    <row r="29646" spans="25:25" x14ac:dyDescent="0.2">
      <c r="Y29646" s="97"/>
    </row>
    <row r="29647" spans="25:25" x14ac:dyDescent="0.2">
      <c r="Y29647" s="97"/>
    </row>
    <row r="29648" spans="25:25" x14ac:dyDescent="0.2">
      <c r="Y29648" s="97"/>
    </row>
    <row r="29649" spans="25:25" x14ac:dyDescent="0.2">
      <c r="Y29649" s="97"/>
    </row>
    <row r="29650" spans="25:25" x14ac:dyDescent="0.2">
      <c r="Y29650" s="97"/>
    </row>
    <row r="29651" spans="25:25" x14ac:dyDescent="0.2">
      <c r="Y29651" s="97"/>
    </row>
    <row r="29652" spans="25:25" x14ac:dyDescent="0.2">
      <c r="Y29652" s="97"/>
    </row>
    <row r="29653" spans="25:25" x14ac:dyDescent="0.2">
      <c r="Y29653" s="97"/>
    </row>
    <row r="29654" spans="25:25" x14ac:dyDescent="0.2">
      <c r="Y29654" s="97"/>
    </row>
    <row r="29655" spans="25:25" x14ac:dyDescent="0.2">
      <c r="Y29655" s="97"/>
    </row>
    <row r="29656" spans="25:25" x14ac:dyDescent="0.2">
      <c r="Y29656" s="97"/>
    </row>
    <row r="29657" spans="25:25" x14ac:dyDescent="0.2">
      <c r="Y29657" s="97"/>
    </row>
    <row r="29658" spans="25:25" x14ac:dyDescent="0.2">
      <c r="Y29658" s="97"/>
    </row>
    <row r="29659" spans="25:25" x14ac:dyDescent="0.2">
      <c r="Y29659" s="97"/>
    </row>
    <row r="29660" spans="25:25" x14ac:dyDescent="0.2">
      <c r="Y29660" s="97"/>
    </row>
    <row r="29661" spans="25:25" x14ac:dyDescent="0.2">
      <c r="Y29661" s="97"/>
    </row>
    <row r="29662" spans="25:25" x14ac:dyDescent="0.2">
      <c r="Y29662" s="97"/>
    </row>
    <row r="29663" spans="25:25" x14ac:dyDescent="0.2">
      <c r="Y29663" s="97"/>
    </row>
    <row r="29664" spans="25:25" x14ac:dyDescent="0.2">
      <c r="Y29664" s="97"/>
    </row>
    <row r="29665" spans="25:25" x14ac:dyDescent="0.2">
      <c r="Y29665" s="97"/>
    </row>
    <row r="29666" spans="25:25" x14ac:dyDescent="0.2">
      <c r="Y29666" s="97"/>
    </row>
    <row r="29667" spans="25:25" x14ac:dyDescent="0.2">
      <c r="Y29667" s="97"/>
    </row>
    <row r="29668" spans="25:25" x14ac:dyDescent="0.2">
      <c r="Y29668" s="97"/>
    </row>
    <row r="29669" spans="25:25" x14ac:dyDescent="0.2">
      <c r="Y29669" s="97"/>
    </row>
    <row r="29670" spans="25:25" x14ac:dyDescent="0.2">
      <c r="Y29670" s="97"/>
    </row>
    <row r="29671" spans="25:25" x14ac:dyDescent="0.2">
      <c r="Y29671" s="97"/>
    </row>
    <row r="29672" spans="25:25" x14ac:dyDescent="0.2">
      <c r="Y29672" s="97"/>
    </row>
    <row r="29673" spans="25:25" x14ac:dyDescent="0.2">
      <c r="Y29673" s="97"/>
    </row>
    <row r="29674" spans="25:25" x14ac:dyDescent="0.2">
      <c r="Y29674" s="97"/>
    </row>
    <row r="29675" spans="25:25" x14ac:dyDescent="0.2">
      <c r="Y29675" s="97"/>
    </row>
    <row r="29676" spans="25:25" x14ac:dyDescent="0.2">
      <c r="Y29676" s="97"/>
    </row>
    <row r="29677" spans="25:25" x14ac:dyDescent="0.2">
      <c r="Y29677" s="97"/>
    </row>
    <row r="29678" spans="25:25" x14ac:dyDescent="0.2">
      <c r="Y29678" s="97"/>
    </row>
    <row r="29679" spans="25:25" x14ac:dyDescent="0.2">
      <c r="Y29679" s="97"/>
    </row>
    <row r="29680" spans="25:25" x14ac:dyDescent="0.2">
      <c r="Y29680" s="97"/>
    </row>
    <row r="29681" spans="25:25" x14ac:dyDescent="0.2">
      <c r="Y29681" s="97"/>
    </row>
    <row r="29682" spans="25:25" x14ac:dyDescent="0.2">
      <c r="Y29682" s="97"/>
    </row>
    <row r="29683" spans="25:25" x14ac:dyDescent="0.2">
      <c r="Y29683" s="97"/>
    </row>
    <row r="29684" spans="25:25" x14ac:dyDescent="0.2">
      <c r="Y29684" s="97"/>
    </row>
    <row r="29685" spans="25:25" x14ac:dyDescent="0.2">
      <c r="Y29685" s="97"/>
    </row>
    <row r="29686" spans="25:25" x14ac:dyDescent="0.2">
      <c r="Y29686" s="97"/>
    </row>
    <row r="29687" spans="25:25" x14ac:dyDescent="0.2">
      <c r="Y29687" s="97"/>
    </row>
    <row r="29688" spans="25:25" x14ac:dyDescent="0.2">
      <c r="Y29688" s="97"/>
    </row>
    <row r="29689" spans="25:25" x14ac:dyDescent="0.2">
      <c r="Y29689" s="97"/>
    </row>
    <row r="29690" spans="25:25" x14ac:dyDescent="0.2">
      <c r="Y29690" s="97"/>
    </row>
    <row r="29691" spans="25:25" x14ac:dyDescent="0.2">
      <c r="Y29691" s="97"/>
    </row>
    <row r="29692" spans="25:25" x14ac:dyDescent="0.2">
      <c r="Y29692" s="97"/>
    </row>
    <row r="29693" spans="25:25" x14ac:dyDescent="0.2">
      <c r="Y29693" s="97"/>
    </row>
    <row r="29694" spans="25:25" x14ac:dyDescent="0.2">
      <c r="Y29694" s="97"/>
    </row>
    <row r="29695" spans="25:25" x14ac:dyDescent="0.2">
      <c r="Y29695" s="97"/>
    </row>
    <row r="29696" spans="25:25" x14ac:dyDescent="0.2">
      <c r="Y29696" s="97"/>
    </row>
    <row r="29697" spans="25:25" x14ac:dyDescent="0.2">
      <c r="Y29697" s="97"/>
    </row>
    <row r="29698" spans="25:25" x14ac:dyDescent="0.2">
      <c r="Y29698" s="97"/>
    </row>
    <row r="29699" spans="25:25" x14ac:dyDescent="0.2">
      <c r="Y29699" s="97"/>
    </row>
    <row r="29700" spans="25:25" x14ac:dyDescent="0.2">
      <c r="Y29700" s="97"/>
    </row>
    <row r="29701" spans="25:25" x14ac:dyDescent="0.2">
      <c r="Y29701" s="97"/>
    </row>
    <row r="29702" spans="25:25" x14ac:dyDescent="0.2">
      <c r="Y29702" s="97"/>
    </row>
    <row r="29703" spans="25:25" x14ac:dyDescent="0.2">
      <c r="Y29703" s="97"/>
    </row>
    <row r="29704" spans="25:25" x14ac:dyDescent="0.2">
      <c r="Y29704" s="97"/>
    </row>
    <row r="29705" spans="25:25" x14ac:dyDescent="0.2">
      <c r="Y29705" s="97"/>
    </row>
    <row r="29706" spans="25:25" x14ac:dyDescent="0.2">
      <c r="Y29706" s="97"/>
    </row>
    <row r="29707" spans="25:25" x14ac:dyDescent="0.2">
      <c r="Y29707" s="97"/>
    </row>
    <row r="29708" spans="25:25" x14ac:dyDescent="0.2">
      <c r="Y29708" s="97"/>
    </row>
    <row r="29709" spans="25:25" x14ac:dyDescent="0.2">
      <c r="Y29709" s="97"/>
    </row>
    <row r="29710" spans="25:25" x14ac:dyDescent="0.2">
      <c r="Y29710" s="97"/>
    </row>
    <row r="29711" spans="25:25" x14ac:dyDescent="0.2">
      <c r="Y29711" s="97"/>
    </row>
    <row r="29712" spans="25:25" x14ac:dyDescent="0.2">
      <c r="Y29712" s="97"/>
    </row>
    <row r="29713" spans="25:25" x14ac:dyDescent="0.2">
      <c r="Y29713" s="97"/>
    </row>
    <row r="29714" spans="25:25" x14ac:dyDescent="0.2">
      <c r="Y29714" s="97"/>
    </row>
    <row r="29715" spans="25:25" x14ac:dyDescent="0.2">
      <c r="Y29715" s="97"/>
    </row>
    <row r="29716" spans="25:25" x14ac:dyDescent="0.2">
      <c r="Y29716" s="97"/>
    </row>
    <row r="29717" spans="25:25" x14ac:dyDescent="0.2">
      <c r="Y29717" s="97"/>
    </row>
    <row r="29718" spans="25:25" x14ac:dyDescent="0.2">
      <c r="Y29718" s="97"/>
    </row>
    <row r="29719" spans="25:25" x14ac:dyDescent="0.2">
      <c r="Y29719" s="97"/>
    </row>
    <row r="29720" spans="25:25" x14ac:dyDescent="0.2">
      <c r="Y29720" s="97"/>
    </row>
    <row r="29721" spans="25:25" x14ac:dyDescent="0.2">
      <c r="Y29721" s="97"/>
    </row>
    <row r="29722" spans="25:25" x14ac:dyDescent="0.2">
      <c r="Y29722" s="97"/>
    </row>
    <row r="29723" spans="25:25" x14ac:dyDescent="0.2">
      <c r="Y29723" s="97"/>
    </row>
    <row r="29724" spans="25:25" x14ac:dyDescent="0.2">
      <c r="Y29724" s="97"/>
    </row>
    <row r="29725" spans="25:25" x14ac:dyDescent="0.2">
      <c r="Y29725" s="97"/>
    </row>
    <row r="29726" spans="25:25" x14ac:dyDescent="0.2">
      <c r="Y29726" s="97"/>
    </row>
    <row r="29727" spans="25:25" x14ac:dyDescent="0.2">
      <c r="Y29727" s="97"/>
    </row>
    <row r="29728" spans="25:25" x14ac:dyDescent="0.2">
      <c r="Y29728" s="97"/>
    </row>
    <row r="29729" spans="25:25" x14ac:dyDescent="0.2">
      <c r="Y29729" s="97"/>
    </row>
    <row r="29730" spans="25:25" x14ac:dyDescent="0.2">
      <c r="Y29730" s="97"/>
    </row>
    <row r="29731" spans="25:25" x14ac:dyDescent="0.2">
      <c r="Y29731" s="97"/>
    </row>
    <row r="29732" spans="25:25" x14ac:dyDescent="0.2">
      <c r="Y29732" s="97"/>
    </row>
    <row r="29733" spans="25:25" x14ac:dyDescent="0.2">
      <c r="Y29733" s="97"/>
    </row>
    <row r="29734" spans="25:25" x14ac:dyDescent="0.2">
      <c r="Y29734" s="97"/>
    </row>
    <row r="29735" spans="25:25" x14ac:dyDescent="0.2">
      <c r="Y29735" s="97"/>
    </row>
    <row r="29736" spans="25:25" x14ac:dyDescent="0.2">
      <c r="Y29736" s="97"/>
    </row>
    <row r="29737" spans="25:25" x14ac:dyDescent="0.2">
      <c r="Y29737" s="97"/>
    </row>
    <row r="29738" spans="25:25" x14ac:dyDescent="0.2">
      <c r="Y29738" s="97"/>
    </row>
    <row r="29739" spans="25:25" x14ac:dyDescent="0.2">
      <c r="Y29739" s="97"/>
    </row>
    <row r="29740" spans="25:25" x14ac:dyDescent="0.2">
      <c r="Y29740" s="97"/>
    </row>
    <row r="29741" spans="25:25" x14ac:dyDescent="0.2">
      <c r="Y29741" s="97"/>
    </row>
    <row r="29742" spans="25:25" x14ac:dyDescent="0.2">
      <c r="Y29742" s="97"/>
    </row>
    <row r="29743" spans="25:25" x14ac:dyDescent="0.2">
      <c r="Y29743" s="97"/>
    </row>
    <row r="29744" spans="25:25" x14ac:dyDescent="0.2">
      <c r="Y29744" s="97"/>
    </row>
    <row r="29745" spans="25:25" x14ac:dyDescent="0.2">
      <c r="Y29745" s="97"/>
    </row>
    <row r="29746" spans="25:25" x14ac:dyDescent="0.2">
      <c r="Y29746" s="97"/>
    </row>
    <row r="29747" spans="25:25" x14ac:dyDescent="0.2">
      <c r="Y29747" s="97"/>
    </row>
    <row r="29748" spans="25:25" x14ac:dyDescent="0.2">
      <c r="Y29748" s="97"/>
    </row>
    <row r="29749" spans="25:25" x14ac:dyDescent="0.2">
      <c r="Y29749" s="97"/>
    </row>
    <row r="29750" spans="25:25" x14ac:dyDescent="0.2">
      <c r="Y29750" s="97"/>
    </row>
    <row r="29751" spans="25:25" x14ac:dyDescent="0.2">
      <c r="Y29751" s="97"/>
    </row>
    <row r="29752" spans="25:25" x14ac:dyDescent="0.2">
      <c r="Y29752" s="97"/>
    </row>
    <row r="29753" spans="25:25" x14ac:dyDescent="0.2">
      <c r="Y29753" s="97"/>
    </row>
    <row r="29754" spans="25:25" x14ac:dyDescent="0.2">
      <c r="Y29754" s="97"/>
    </row>
    <row r="29755" spans="25:25" x14ac:dyDescent="0.2">
      <c r="Y29755" s="97"/>
    </row>
    <row r="29756" spans="25:25" x14ac:dyDescent="0.2">
      <c r="Y29756" s="97"/>
    </row>
    <row r="29757" spans="25:25" x14ac:dyDescent="0.2">
      <c r="Y29757" s="97"/>
    </row>
    <row r="29758" spans="25:25" x14ac:dyDescent="0.2">
      <c r="Y29758" s="97"/>
    </row>
    <row r="29759" spans="25:25" x14ac:dyDescent="0.2">
      <c r="Y29759" s="97"/>
    </row>
    <row r="29760" spans="25:25" x14ac:dyDescent="0.2">
      <c r="Y29760" s="97"/>
    </row>
    <row r="29761" spans="25:25" x14ac:dyDescent="0.2">
      <c r="Y29761" s="97"/>
    </row>
    <row r="29762" spans="25:25" x14ac:dyDescent="0.2">
      <c r="Y29762" s="97"/>
    </row>
    <row r="29763" spans="25:25" x14ac:dyDescent="0.2">
      <c r="Y29763" s="97"/>
    </row>
    <row r="29764" spans="25:25" x14ac:dyDescent="0.2">
      <c r="Y29764" s="97"/>
    </row>
    <row r="29765" spans="25:25" x14ac:dyDescent="0.2">
      <c r="Y29765" s="97"/>
    </row>
    <row r="29766" spans="25:25" x14ac:dyDescent="0.2">
      <c r="Y29766" s="97"/>
    </row>
    <row r="29767" spans="25:25" x14ac:dyDescent="0.2">
      <c r="Y29767" s="97"/>
    </row>
    <row r="29768" spans="25:25" x14ac:dyDescent="0.2">
      <c r="Y29768" s="97"/>
    </row>
    <row r="29769" spans="25:25" x14ac:dyDescent="0.2">
      <c r="Y29769" s="97"/>
    </row>
    <row r="29770" spans="25:25" x14ac:dyDescent="0.2">
      <c r="Y29770" s="97"/>
    </row>
    <row r="29771" spans="25:25" x14ac:dyDescent="0.2">
      <c r="Y29771" s="97"/>
    </row>
    <row r="29772" spans="25:25" x14ac:dyDescent="0.2">
      <c r="Y29772" s="97"/>
    </row>
    <row r="29773" spans="25:25" x14ac:dyDescent="0.2">
      <c r="Y29773" s="97"/>
    </row>
    <row r="29774" spans="25:25" x14ac:dyDescent="0.2">
      <c r="Y29774" s="97"/>
    </row>
    <row r="29775" spans="25:25" x14ac:dyDescent="0.2">
      <c r="Y29775" s="97"/>
    </row>
    <row r="29776" spans="25:25" x14ac:dyDescent="0.2">
      <c r="Y29776" s="97"/>
    </row>
    <row r="29777" spans="25:25" x14ac:dyDescent="0.2">
      <c r="Y29777" s="97"/>
    </row>
    <row r="29778" spans="25:25" x14ac:dyDescent="0.2">
      <c r="Y29778" s="97"/>
    </row>
    <row r="29779" spans="25:25" x14ac:dyDescent="0.2">
      <c r="Y29779" s="97"/>
    </row>
    <row r="29780" spans="25:25" x14ac:dyDescent="0.2">
      <c r="Y29780" s="97"/>
    </row>
    <row r="29781" spans="25:25" x14ac:dyDescent="0.2">
      <c r="Y29781" s="97"/>
    </row>
    <row r="29782" spans="25:25" x14ac:dyDescent="0.2">
      <c r="Y29782" s="97"/>
    </row>
    <row r="29783" spans="25:25" x14ac:dyDescent="0.2">
      <c r="Y29783" s="97"/>
    </row>
    <row r="29784" spans="25:25" x14ac:dyDescent="0.2">
      <c r="Y29784" s="97"/>
    </row>
    <row r="29785" spans="25:25" x14ac:dyDescent="0.2">
      <c r="Y29785" s="97"/>
    </row>
    <row r="29786" spans="25:25" x14ac:dyDescent="0.2">
      <c r="Y29786" s="97"/>
    </row>
    <row r="29787" spans="25:25" x14ac:dyDescent="0.2">
      <c r="Y29787" s="97"/>
    </row>
    <row r="29788" spans="25:25" x14ac:dyDescent="0.2">
      <c r="Y29788" s="97"/>
    </row>
    <row r="29789" spans="25:25" x14ac:dyDescent="0.2">
      <c r="Y29789" s="97"/>
    </row>
    <row r="29790" spans="25:25" x14ac:dyDescent="0.2">
      <c r="Y29790" s="97"/>
    </row>
    <row r="29791" spans="25:25" x14ac:dyDescent="0.2">
      <c r="Y29791" s="97"/>
    </row>
    <row r="29792" spans="25:25" x14ac:dyDescent="0.2">
      <c r="Y29792" s="97"/>
    </row>
    <row r="29793" spans="25:25" x14ac:dyDescent="0.2">
      <c r="Y29793" s="97"/>
    </row>
    <row r="29794" spans="25:25" x14ac:dyDescent="0.2">
      <c r="Y29794" s="97"/>
    </row>
    <row r="29795" spans="25:25" x14ac:dyDescent="0.2">
      <c r="Y29795" s="97"/>
    </row>
    <row r="29796" spans="25:25" x14ac:dyDescent="0.2">
      <c r="Y29796" s="97"/>
    </row>
    <row r="29797" spans="25:25" x14ac:dyDescent="0.2">
      <c r="Y29797" s="97"/>
    </row>
    <row r="29798" spans="25:25" x14ac:dyDescent="0.2">
      <c r="Y29798" s="97"/>
    </row>
    <row r="29799" spans="25:25" x14ac:dyDescent="0.2">
      <c r="Y29799" s="97"/>
    </row>
    <row r="29800" spans="25:25" x14ac:dyDescent="0.2">
      <c r="Y29800" s="97"/>
    </row>
    <row r="29801" spans="25:25" x14ac:dyDescent="0.2">
      <c r="Y29801" s="97"/>
    </row>
    <row r="29802" spans="25:25" x14ac:dyDescent="0.2">
      <c r="Y29802" s="97"/>
    </row>
    <row r="29803" spans="25:25" x14ac:dyDescent="0.2">
      <c r="Y29803" s="97"/>
    </row>
    <row r="29804" spans="25:25" x14ac:dyDescent="0.2">
      <c r="Y29804" s="97"/>
    </row>
    <row r="29805" spans="25:25" x14ac:dyDescent="0.2">
      <c r="Y29805" s="97"/>
    </row>
    <row r="29806" spans="25:25" x14ac:dyDescent="0.2">
      <c r="Y29806" s="97"/>
    </row>
    <row r="29807" spans="25:25" x14ac:dyDescent="0.2">
      <c r="Y29807" s="97"/>
    </row>
    <row r="29808" spans="25:25" x14ac:dyDescent="0.2">
      <c r="Y29808" s="97"/>
    </row>
    <row r="29809" spans="25:25" x14ac:dyDescent="0.2">
      <c r="Y29809" s="97"/>
    </row>
    <row r="29810" spans="25:25" x14ac:dyDescent="0.2">
      <c r="Y29810" s="97"/>
    </row>
    <row r="29811" spans="25:25" x14ac:dyDescent="0.2">
      <c r="Y29811" s="97"/>
    </row>
    <row r="29812" spans="25:25" x14ac:dyDescent="0.2">
      <c r="Y29812" s="97"/>
    </row>
    <row r="29813" spans="25:25" x14ac:dyDescent="0.2">
      <c r="Y29813" s="97"/>
    </row>
    <row r="29814" spans="25:25" x14ac:dyDescent="0.2">
      <c r="Y29814" s="97"/>
    </row>
    <row r="29815" spans="25:25" x14ac:dyDescent="0.2">
      <c r="Y29815" s="97"/>
    </row>
    <row r="29816" spans="25:25" x14ac:dyDescent="0.2">
      <c r="Y29816" s="97"/>
    </row>
    <row r="29817" spans="25:25" x14ac:dyDescent="0.2">
      <c r="Y29817" s="97"/>
    </row>
    <row r="29818" spans="25:25" x14ac:dyDescent="0.2">
      <c r="Y29818" s="97"/>
    </row>
    <row r="29819" spans="25:25" x14ac:dyDescent="0.2">
      <c r="Y29819" s="97"/>
    </row>
    <row r="29820" spans="25:25" x14ac:dyDescent="0.2">
      <c r="Y29820" s="97"/>
    </row>
    <row r="29821" spans="25:25" x14ac:dyDescent="0.2">
      <c r="Y29821" s="97"/>
    </row>
    <row r="29822" spans="25:25" x14ac:dyDescent="0.2">
      <c r="Y29822" s="97"/>
    </row>
    <row r="29823" spans="25:25" x14ac:dyDescent="0.2">
      <c r="Y29823" s="97"/>
    </row>
    <row r="29824" spans="25:25" x14ac:dyDescent="0.2">
      <c r="Y29824" s="97"/>
    </row>
    <row r="29825" spans="25:25" x14ac:dyDescent="0.2">
      <c r="Y29825" s="97"/>
    </row>
    <row r="29826" spans="25:25" x14ac:dyDescent="0.2">
      <c r="Y29826" s="97"/>
    </row>
    <row r="29827" spans="25:25" x14ac:dyDescent="0.2">
      <c r="Y29827" s="97"/>
    </row>
    <row r="29828" spans="25:25" x14ac:dyDescent="0.2">
      <c r="Y29828" s="97"/>
    </row>
    <row r="29829" spans="25:25" x14ac:dyDescent="0.2">
      <c r="Y29829" s="97"/>
    </row>
    <row r="29830" spans="25:25" x14ac:dyDescent="0.2">
      <c r="Y29830" s="97"/>
    </row>
    <row r="29831" spans="25:25" x14ac:dyDescent="0.2">
      <c r="Y29831" s="97"/>
    </row>
    <row r="29832" spans="25:25" x14ac:dyDescent="0.2">
      <c r="Y29832" s="97"/>
    </row>
    <row r="29833" spans="25:25" x14ac:dyDescent="0.2">
      <c r="Y29833" s="97"/>
    </row>
    <row r="29834" spans="25:25" x14ac:dyDescent="0.2">
      <c r="Y29834" s="97"/>
    </row>
    <row r="29835" spans="25:25" x14ac:dyDescent="0.2">
      <c r="Y29835" s="97"/>
    </row>
    <row r="29836" spans="25:25" x14ac:dyDescent="0.2">
      <c r="Y29836" s="97"/>
    </row>
    <row r="29837" spans="25:25" x14ac:dyDescent="0.2">
      <c r="Y29837" s="97"/>
    </row>
    <row r="29838" spans="25:25" x14ac:dyDescent="0.2">
      <c r="Y29838" s="97"/>
    </row>
    <row r="29839" spans="25:25" x14ac:dyDescent="0.2">
      <c r="Y29839" s="97"/>
    </row>
    <row r="29840" spans="25:25" x14ac:dyDescent="0.2">
      <c r="Y29840" s="97"/>
    </row>
    <row r="29841" spans="25:25" x14ac:dyDescent="0.2">
      <c r="Y29841" s="97"/>
    </row>
    <row r="29842" spans="25:25" x14ac:dyDescent="0.2">
      <c r="Y29842" s="97"/>
    </row>
    <row r="29843" spans="25:25" x14ac:dyDescent="0.2">
      <c r="Y29843" s="97"/>
    </row>
    <row r="29844" spans="25:25" x14ac:dyDescent="0.2">
      <c r="Y29844" s="97"/>
    </row>
    <row r="29845" spans="25:25" x14ac:dyDescent="0.2">
      <c r="Y29845" s="97"/>
    </row>
    <row r="29846" spans="25:25" x14ac:dyDescent="0.2">
      <c r="Y29846" s="97"/>
    </row>
    <row r="29847" spans="25:25" x14ac:dyDescent="0.2">
      <c r="Y29847" s="97"/>
    </row>
    <row r="29848" spans="25:25" x14ac:dyDescent="0.2">
      <c r="Y29848" s="97"/>
    </row>
    <row r="29849" spans="25:25" x14ac:dyDescent="0.2">
      <c r="Y29849" s="97"/>
    </row>
    <row r="29850" spans="25:25" x14ac:dyDescent="0.2">
      <c r="Y29850" s="97"/>
    </row>
    <row r="29851" spans="25:25" x14ac:dyDescent="0.2">
      <c r="Y29851" s="97"/>
    </row>
    <row r="29852" spans="25:25" x14ac:dyDescent="0.2">
      <c r="Y29852" s="97"/>
    </row>
    <row r="29853" spans="25:25" x14ac:dyDescent="0.2">
      <c r="Y29853" s="97"/>
    </row>
    <row r="29854" spans="25:25" x14ac:dyDescent="0.2">
      <c r="Y29854" s="97"/>
    </row>
    <row r="29855" spans="25:25" x14ac:dyDescent="0.2">
      <c r="Y29855" s="97"/>
    </row>
    <row r="29856" spans="25:25" x14ac:dyDescent="0.2">
      <c r="Y29856" s="97"/>
    </row>
    <row r="29857" spans="25:25" x14ac:dyDescent="0.2">
      <c r="Y29857" s="97"/>
    </row>
    <row r="29858" spans="25:25" x14ac:dyDescent="0.2">
      <c r="Y29858" s="97"/>
    </row>
    <row r="29859" spans="25:25" x14ac:dyDescent="0.2">
      <c r="Y29859" s="97"/>
    </row>
    <row r="29860" spans="25:25" x14ac:dyDescent="0.2">
      <c r="Y29860" s="97"/>
    </row>
    <row r="29861" spans="25:25" x14ac:dyDescent="0.2">
      <c r="Y29861" s="97"/>
    </row>
    <row r="29862" spans="25:25" x14ac:dyDescent="0.2">
      <c r="Y29862" s="97"/>
    </row>
    <row r="29863" spans="25:25" x14ac:dyDescent="0.2">
      <c r="Y29863" s="97"/>
    </row>
    <row r="29864" spans="25:25" x14ac:dyDescent="0.2">
      <c r="Y29864" s="97"/>
    </row>
    <row r="29865" spans="25:25" x14ac:dyDescent="0.2">
      <c r="Y29865" s="97"/>
    </row>
    <row r="29866" spans="25:25" x14ac:dyDescent="0.2">
      <c r="Y29866" s="97"/>
    </row>
    <row r="29867" spans="25:25" x14ac:dyDescent="0.2">
      <c r="Y29867" s="97"/>
    </row>
    <row r="29868" spans="25:25" x14ac:dyDescent="0.2">
      <c r="Y29868" s="97"/>
    </row>
    <row r="29869" spans="25:25" x14ac:dyDescent="0.2">
      <c r="Y29869" s="97"/>
    </row>
    <row r="29870" spans="25:25" x14ac:dyDescent="0.2">
      <c r="Y29870" s="97"/>
    </row>
    <row r="29871" spans="25:25" x14ac:dyDescent="0.2">
      <c r="Y29871" s="97"/>
    </row>
    <row r="29872" spans="25:25" x14ac:dyDescent="0.2">
      <c r="Y29872" s="97"/>
    </row>
    <row r="29873" spans="25:25" x14ac:dyDescent="0.2">
      <c r="Y29873" s="97"/>
    </row>
    <row r="29874" spans="25:25" x14ac:dyDescent="0.2">
      <c r="Y29874" s="97"/>
    </row>
    <row r="29875" spans="25:25" x14ac:dyDescent="0.2">
      <c r="Y29875" s="97"/>
    </row>
    <row r="29876" spans="25:25" x14ac:dyDescent="0.2">
      <c r="Y29876" s="97"/>
    </row>
    <row r="29877" spans="25:25" x14ac:dyDescent="0.2">
      <c r="Y29877" s="97"/>
    </row>
    <row r="29878" spans="25:25" x14ac:dyDescent="0.2">
      <c r="Y29878" s="97"/>
    </row>
    <row r="29879" spans="25:25" x14ac:dyDescent="0.2">
      <c r="Y29879" s="97"/>
    </row>
    <row r="29880" spans="25:25" x14ac:dyDescent="0.2">
      <c r="Y29880" s="97"/>
    </row>
    <row r="29881" spans="25:25" x14ac:dyDescent="0.2">
      <c r="Y29881" s="97"/>
    </row>
    <row r="29882" spans="25:25" x14ac:dyDescent="0.2">
      <c r="Y29882" s="97"/>
    </row>
    <row r="29883" spans="25:25" x14ac:dyDescent="0.2">
      <c r="Y29883" s="97"/>
    </row>
    <row r="29884" spans="25:25" x14ac:dyDescent="0.2">
      <c r="Y29884" s="97"/>
    </row>
    <row r="29885" spans="25:25" x14ac:dyDescent="0.2">
      <c r="Y29885" s="97"/>
    </row>
    <row r="29886" spans="25:25" x14ac:dyDescent="0.2">
      <c r="Y29886" s="97"/>
    </row>
    <row r="29887" spans="25:25" x14ac:dyDescent="0.2">
      <c r="Y29887" s="97"/>
    </row>
    <row r="29888" spans="25:25" x14ac:dyDescent="0.2">
      <c r="Y29888" s="97"/>
    </row>
    <row r="29889" spans="25:25" x14ac:dyDescent="0.2">
      <c r="Y29889" s="97"/>
    </row>
    <row r="29890" spans="25:25" x14ac:dyDescent="0.2">
      <c r="Y29890" s="97"/>
    </row>
    <row r="29891" spans="25:25" x14ac:dyDescent="0.2">
      <c r="Y29891" s="97"/>
    </row>
    <row r="29892" spans="25:25" x14ac:dyDescent="0.2">
      <c r="Y29892" s="97"/>
    </row>
    <row r="29893" spans="25:25" x14ac:dyDescent="0.2">
      <c r="Y29893" s="97"/>
    </row>
    <row r="29894" spans="25:25" x14ac:dyDescent="0.2">
      <c r="Y29894" s="97"/>
    </row>
    <row r="29895" spans="25:25" x14ac:dyDescent="0.2">
      <c r="Y29895" s="97"/>
    </row>
    <row r="29896" spans="25:25" x14ac:dyDescent="0.2">
      <c r="Y29896" s="97"/>
    </row>
    <row r="29897" spans="25:25" x14ac:dyDescent="0.2">
      <c r="Y29897" s="97"/>
    </row>
    <row r="29898" spans="25:25" x14ac:dyDescent="0.2">
      <c r="Y29898" s="97"/>
    </row>
    <row r="29899" spans="25:25" x14ac:dyDescent="0.2">
      <c r="Y29899" s="97"/>
    </row>
    <row r="29900" spans="25:25" x14ac:dyDescent="0.2">
      <c r="Y29900" s="97"/>
    </row>
    <row r="29901" spans="25:25" x14ac:dyDescent="0.2">
      <c r="Y29901" s="97"/>
    </row>
    <row r="29902" spans="25:25" x14ac:dyDescent="0.2">
      <c r="Y29902" s="97"/>
    </row>
    <row r="29903" spans="25:25" x14ac:dyDescent="0.2">
      <c r="Y29903" s="97"/>
    </row>
    <row r="29904" spans="25:25" x14ac:dyDescent="0.2">
      <c r="Y29904" s="97"/>
    </row>
    <row r="29905" spans="25:25" x14ac:dyDescent="0.2">
      <c r="Y29905" s="97"/>
    </row>
    <row r="29906" spans="25:25" x14ac:dyDescent="0.2">
      <c r="Y29906" s="97"/>
    </row>
    <row r="29907" spans="25:25" x14ac:dyDescent="0.2">
      <c r="Y29907" s="97"/>
    </row>
    <row r="29908" spans="25:25" x14ac:dyDescent="0.2">
      <c r="Y29908" s="97"/>
    </row>
    <row r="29909" spans="25:25" x14ac:dyDescent="0.2">
      <c r="Y29909" s="97"/>
    </row>
    <row r="29910" spans="25:25" x14ac:dyDescent="0.2">
      <c r="Y29910" s="97"/>
    </row>
    <row r="29911" spans="25:25" x14ac:dyDescent="0.2">
      <c r="Y29911" s="97"/>
    </row>
    <row r="29912" spans="25:25" x14ac:dyDescent="0.2">
      <c r="Y29912" s="97"/>
    </row>
    <row r="29913" spans="25:25" x14ac:dyDescent="0.2">
      <c r="Y29913" s="97"/>
    </row>
    <row r="29914" spans="25:25" x14ac:dyDescent="0.2">
      <c r="Y29914" s="97"/>
    </row>
    <row r="29915" spans="25:25" x14ac:dyDescent="0.2">
      <c r="Y29915" s="97"/>
    </row>
    <row r="29916" spans="25:25" x14ac:dyDescent="0.2">
      <c r="Y29916" s="97"/>
    </row>
    <row r="29917" spans="25:25" x14ac:dyDescent="0.2">
      <c r="Y29917" s="97"/>
    </row>
    <row r="29918" spans="25:25" x14ac:dyDescent="0.2">
      <c r="Y29918" s="97"/>
    </row>
    <row r="29919" spans="25:25" x14ac:dyDescent="0.2">
      <c r="Y29919" s="97"/>
    </row>
    <row r="29920" spans="25:25" x14ac:dyDescent="0.2">
      <c r="Y29920" s="97"/>
    </row>
    <row r="29921" spans="25:25" x14ac:dyDescent="0.2">
      <c r="Y29921" s="97"/>
    </row>
    <row r="29922" spans="25:25" x14ac:dyDescent="0.2">
      <c r="Y29922" s="97"/>
    </row>
    <row r="29923" spans="25:25" x14ac:dyDescent="0.2">
      <c r="Y29923" s="97"/>
    </row>
    <row r="29924" spans="25:25" x14ac:dyDescent="0.2">
      <c r="Y29924" s="97"/>
    </row>
    <row r="29925" spans="25:25" x14ac:dyDescent="0.2">
      <c r="Y29925" s="97"/>
    </row>
    <row r="29926" spans="25:25" x14ac:dyDescent="0.2">
      <c r="Y29926" s="97"/>
    </row>
    <row r="29927" spans="25:25" x14ac:dyDescent="0.2">
      <c r="Y29927" s="97"/>
    </row>
    <row r="29928" spans="25:25" x14ac:dyDescent="0.2">
      <c r="Y29928" s="97"/>
    </row>
    <row r="29929" spans="25:25" x14ac:dyDescent="0.2">
      <c r="Y29929" s="97"/>
    </row>
    <row r="29930" spans="25:25" x14ac:dyDescent="0.2">
      <c r="Y29930" s="97"/>
    </row>
    <row r="29931" spans="25:25" x14ac:dyDescent="0.2">
      <c r="Y29931" s="97"/>
    </row>
    <row r="29932" spans="25:25" x14ac:dyDescent="0.2">
      <c r="Y29932" s="97"/>
    </row>
    <row r="29933" spans="25:25" x14ac:dyDescent="0.2">
      <c r="Y29933" s="97"/>
    </row>
    <row r="29934" spans="25:25" x14ac:dyDescent="0.2">
      <c r="Y29934" s="97"/>
    </row>
    <row r="29935" spans="25:25" x14ac:dyDescent="0.2">
      <c r="Y29935" s="97"/>
    </row>
    <row r="29936" spans="25:25" x14ac:dyDescent="0.2">
      <c r="Y29936" s="97"/>
    </row>
    <row r="29937" spans="25:25" x14ac:dyDescent="0.2">
      <c r="Y29937" s="97"/>
    </row>
    <row r="29938" spans="25:25" x14ac:dyDescent="0.2">
      <c r="Y29938" s="97"/>
    </row>
    <row r="29939" spans="25:25" x14ac:dyDescent="0.2">
      <c r="Y29939" s="97"/>
    </row>
    <row r="29940" spans="25:25" x14ac:dyDescent="0.2">
      <c r="Y29940" s="97"/>
    </row>
    <row r="29941" spans="25:25" x14ac:dyDescent="0.2">
      <c r="Y29941" s="97"/>
    </row>
    <row r="29942" spans="25:25" x14ac:dyDescent="0.2">
      <c r="Y29942" s="97"/>
    </row>
    <row r="29943" spans="25:25" x14ac:dyDescent="0.2">
      <c r="Y29943" s="97"/>
    </row>
    <row r="29944" spans="25:25" x14ac:dyDescent="0.2">
      <c r="Y29944" s="97"/>
    </row>
    <row r="29945" spans="25:25" x14ac:dyDescent="0.2">
      <c r="Y29945" s="97"/>
    </row>
    <row r="29946" spans="25:25" x14ac:dyDescent="0.2">
      <c r="Y29946" s="97"/>
    </row>
    <row r="29947" spans="25:25" x14ac:dyDescent="0.2">
      <c r="Y29947" s="97"/>
    </row>
    <row r="29948" spans="25:25" x14ac:dyDescent="0.2">
      <c r="Y29948" s="97"/>
    </row>
    <row r="29949" spans="25:25" x14ac:dyDescent="0.2">
      <c r="Y29949" s="97"/>
    </row>
    <row r="29950" spans="25:25" x14ac:dyDescent="0.2">
      <c r="Y29950" s="97"/>
    </row>
    <row r="29951" spans="25:25" x14ac:dyDescent="0.2">
      <c r="Y29951" s="97"/>
    </row>
    <row r="29952" spans="25:25" x14ac:dyDescent="0.2">
      <c r="Y29952" s="97"/>
    </row>
    <row r="29953" spans="25:25" x14ac:dyDescent="0.2">
      <c r="Y29953" s="97"/>
    </row>
    <row r="29954" spans="25:25" x14ac:dyDescent="0.2">
      <c r="Y29954" s="97"/>
    </row>
    <row r="29955" spans="25:25" x14ac:dyDescent="0.2">
      <c r="Y29955" s="97"/>
    </row>
    <row r="29956" spans="25:25" x14ac:dyDescent="0.2">
      <c r="Y29956" s="97"/>
    </row>
    <row r="29957" spans="25:25" x14ac:dyDescent="0.2">
      <c r="Y29957" s="97"/>
    </row>
    <row r="29958" spans="25:25" x14ac:dyDescent="0.2">
      <c r="Y29958" s="97"/>
    </row>
    <row r="29959" spans="25:25" x14ac:dyDescent="0.2">
      <c r="Y29959" s="97"/>
    </row>
    <row r="29960" spans="25:25" x14ac:dyDescent="0.2">
      <c r="Y29960" s="97"/>
    </row>
    <row r="29961" spans="25:25" x14ac:dyDescent="0.2">
      <c r="Y29961" s="97"/>
    </row>
    <row r="29962" spans="25:25" x14ac:dyDescent="0.2">
      <c r="Y29962" s="97"/>
    </row>
    <row r="29963" spans="25:25" x14ac:dyDescent="0.2">
      <c r="Y29963" s="97"/>
    </row>
    <row r="29964" spans="25:25" x14ac:dyDescent="0.2">
      <c r="Y29964" s="97"/>
    </row>
    <row r="29965" spans="25:25" x14ac:dyDescent="0.2">
      <c r="Y29965" s="97"/>
    </row>
    <row r="29966" spans="25:25" x14ac:dyDescent="0.2">
      <c r="Y29966" s="97"/>
    </row>
    <row r="29967" spans="25:25" x14ac:dyDescent="0.2">
      <c r="Y29967" s="97"/>
    </row>
    <row r="29968" spans="25:25" x14ac:dyDescent="0.2">
      <c r="Y29968" s="97"/>
    </row>
    <row r="29969" spans="25:25" x14ac:dyDescent="0.2">
      <c r="Y29969" s="97"/>
    </row>
    <row r="29970" spans="25:25" x14ac:dyDescent="0.2">
      <c r="Y29970" s="97"/>
    </row>
    <row r="29971" spans="25:25" x14ac:dyDescent="0.2">
      <c r="Y29971" s="97"/>
    </row>
    <row r="29972" spans="25:25" x14ac:dyDescent="0.2">
      <c r="Y29972" s="97"/>
    </row>
    <row r="29973" spans="25:25" x14ac:dyDescent="0.2">
      <c r="Y29973" s="97"/>
    </row>
    <row r="29974" spans="25:25" x14ac:dyDescent="0.2">
      <c r="Y29974" s="97"/>
    </row>
    <row r="29975" spans="25:25" x14ac:dyDescent="0.2">
      <c r="Y29975" s="97"/>
    </row>
    <row r="29976" spans="25:25" x14ac:dyDescent="0.2">
      <c r="Y29976" s="97"/>
    </row>
    <row r="29977" spans="25:25" x14ac:dyDescent="0.2">
      <c r="Y29977" s="97"/>
    </row>
    <row r="29978" spans="25:25" x14ac:dyDescent="0.2">
      <c r="Y29978" s="97"/>
    </row>
    <row r="29979" spans="25:25" x14ac:dyDescent="0.2">
      <c r="Y29979" s="97"/>
    </row>
    <row r="29980" spans="25:25" x14ac:dyDescent="0.2">
      <c r="Y29980" s="97"/>
    </row>
    <row r="29981" spans="25:25" x14ac:dyDescent="0.2">
      <c r="Y29981" s="97"/>
    </row>
    <row r="29982" spans="25:25" x14ac:dyDescent="0.2">
      <c r="Y29982" s="97"/>
    </row>
    <row r="29983" spans="25:25" x14ac:dyDescent="0.2">
      <c r="Y29983" s="97"/>
    </row>
    <row r="29984" spans="25:25" x14ac:dyDescent="0.2">
      <c r="Y29984" s="97"/>
    </row>
    <row r="29985" spans="25:25" x14ac:dyDescent="0.2">
      <c r="Y29985" s="97"/>
    </row>
    <row r="29986" spans="25:25" x14ac:dyDescent="0.2">
      <c r="Y29986" s="97"/>
    </row>
    <row r="29987" spans="25:25" x14ac:dyDescent="0.2">
      <c r="Y29987" s="97"/>
    </row>
    <row r="29988" spans="25:25" x14ac:dyDescent="0.2">
      <c r="Y29988" s="97"/>
    </row>
    <row r="29989" spans="25:25" x14ac:dyDescent="0.2">
      <c r="Y29989" s="97"/>
    </row>
    <row r="29990" spans="25:25" x14ac:dyDescent="0.2">
      <c r="Y29990" s="97"/>
    </row>
    <row r="29991" spans="25:25" x14ac:dyDescent="0.2">
      <c r="Y29991" s="97"/>
    </row>
    <row r="29992" spans="25:25" x14ac:dyDescent="0.2">
      <c r="Y29992" s="97"/>
    </row>
    <row r="29993" spans="25:25" x14ac:dyDescent="0.2">
      <c r="Y29993" s="97"/>
    </row>
    <row r="29994" spans="25:25" x14ac:dyDescent="0.2">
      <c r="Y29994" s="97"/>
    </row>
    <row r="29995" spans="25:25" x14ac:dyDescent="0.2">
      <c r="Y29995" s="97"/>
    </row>
    <row r="29996" spans="25:25" x14ac:dyDescent="0.2">
      <c r="Y29996" s="97"/>
    </row>
    <row r="29997" spans="25:25" x14ac:dyDescent="0.2">
      <c r="Y29997" s="97"/>
    </row>
    <row r="29998" spans="25:25" x14ac:dyDescent="0.2">
      <c r="Y29998" s="97"/>
    </row>
    <row r="29999" spans="25:25" x14ac:dyDescent="0.2">
      <c r="Y29999" s="97"/>
    </row>
    <row r="30000" spans="25:25" x14ac:dyDescent="0.2">
      <c r="Y30000" s="97"/>
    </row>
    <row r="30001" spans="25:25" x14ac:dyDescent="0.2">
      <c r="Y30001" s="97"/>
    </row>
    <row r="30002" spans="25:25" x14ac:dyDescent="0.2">
      <c r="Y30002" s="97"/>
    </row>
    <row r="30003" spans="25:25" x14ac:dyDescent="0.2">
      <c r="Y30003" s="97"/>
    </row>
    <row r="30004" spans="25:25" x14ac:dyDescent="0.2">
      <c r="Y30004" s="97"/>
    </row>
    <row r="30005" spans="25:25" x14ac:dyDescent="0.2">
      <c r="Y30005" s="97"/>
    </row>
    <row r="30006" spans="25:25" x14ac:dyDescent="0.2">
      <c r="Y30006" s="97"/>
    </row>
    <row r="30007" spans="25:25" x14ac:dyDescent="0.2">
      <c r="Y30007" s="97"/>
    </row>
    <row r="30008" spans="25:25" x14ac:dyDescent="0.2">
      <c r="Y30008" s="97"/>
    </row>
    <row r="30009" spans="25:25" x14ac:dyDescent="0.2">
      <c r="Y30009" s="97"/>
    </row>
    <row r="30010" spans="25:25" x14ac:dyDescent="0.2">
      <c r="Y30010" s="97"/>
    </row>
    <row r="30011" spans="25:25" x14ac:dyDescent="0.2">
      <c r="Y30011" s="97"/>
    </row>
    <row r="30012" spans="25:25" x14ac:dyDescent="0.2">
      <c r="Y30012" s="97"/>
    </row>
    <row r="30013" spans="25:25" x14ac:dyDescent="0.2">
      <c r="Y30013" s="97"/>
    </row>
    <row r="30014" spans="25:25" x14ac:dyDescent="0.2">
      <c r="Y30014" s="97"/>
    </row>
    <row r="30015" spans="25:25" x14ac:dyDescent="0.2">
      <c r="Y30015" s="97"/>
    </row>
    <row r="30016" spans="25:25" x14ac:dyDescent="0.2">
      <c r="Y30016" s="97"/>
    </row>
    <row r="30017" spans="25:25" x14ac:dyDescent="0.2">
      <c r="Y30017" s="97"/>
    </row>
    <row r="30018" spans="25:25" x14ac:dyDescent="0.2">
      <c r="Y30018" s="97"/>
    </row>
    <row r="30019" spans="25:25" x14ac:dyDescent="0.2">
      <c r="Y30019" s="97"/>
    </row>
    <row r="30020" spans="25:25" x14ac:dyDescent="0.2">
      <c r="Y30020" s="97"/>
    </row>
    <row r="30021" spans="25:25" x14ac:dyDescent="0.2">
      <c r="Y30021" s="97"/>
    </row>
    <row r="30022" spans="25:25" x14ac:dyDescent="0.2">
      <c r="Y30022" s="97"/>
    </row>
    <row r="30023" spans="25:25" x14ac:dyDescent="0.2">
      <c r="Y30023" s="97"/>
    </row>
    <row r="30024" spans="25:25" x14ac:dyDescent="0.2">
      <c r="Y30024" s="97"/>
    </row>
    <row r="30025" spans="25:25" x14ac:dyDescent="0.2">
      <c r="Y30025" s="97"/>
    </row>
    <row r="30026" spans="25:25" x14ac:dyDescent="0.2">
      <c r="Y30026" s="97"/>
    </row>
    <row r="30027" spans="25:25" x14ac:dyDescent="0.2">
      <c r="Y30027" s="97"/>
    </row>
    <row r="30028" spans="25:25" x14ac:dyDescent="0.2">
      <c r="Y30028" s="97"/>
    </row>
    <row r="30029" spans="25:25" x14ac:dyDescent="0.2">
      <c r="Y30029" s="97"/>
    </row>
    <row r="30030" spans="25:25" x14ac:dyDescent="0.2">
      <c r="Y30030" s="97"/>
    </row>
    <row r="30031" spans="25:25" x14ac:dyDescent="0.2">
      <c r="Y30031" s="97"/>
    </row>
    <row r="30032" spans="25:25" x14ac:dyDescent="0.2">
      <c r="Y30032" s="97"/>
    </row>
    <row r="30033" spans="25:25" x14ac:dyDescent="0.2">
      <c r="Y30033" s="97"/>
    </row>
    <row r="30034" spans="25:25" x14ac:dyDescent="0.2">
      <c r="Y30034" s="97"/>
    </row>
    <row r="30035" spans="25:25" x14ac:dyDescent="0.2">
      <c r="Y30035" s="97"/>
    </row>
    <row r="30036" spans="25:25" x14ac:dyDescent="0.2">
      <c r="Y30036" s="97"/>
    </row>
    <row r="30037" spans="25:25" x14ac:dyDescent="0.2">
      <c r="Y30037" s="97"/>
    </row>
    <row r="30038" spans="25:25" x14ac:dyDescent="0.2">
      <c r="Y30038" s="97"/>
    </row>
    <row r="30039" spans="25:25" x14ac:dyDescent="0.2">
      <c r="Y30039" s="97"/>
    </row>
    <row r="30040" spans="25:25" x14ac:dyDescent="0.2">
      <c r="Y30040" s="97"/>
    </row>
    <row r="30041" spans="25:25" x14ac:dyDescent="0.2">
      <c r="Y30041" s="97"/>
    </row>
    <row r="30042" spans="25:25" x14ac:dyDescent="0.2">
      <c r="Y30042" s="97"/>
    </row>
    <row r="30043" spans="25:25" x14ac:dyDescent="0.2">
      <c r="Y30043" s="97"/>
    </row>
    <row r="30044" spans="25:25" x14ac:dyDescent="0.2">
      <c r="Y30044" s="97"/>
    </row>
    <row r="30045" spans="25:25" x14ac:dyDescent="0.2">
      <c r="Y30045" s="97"/>
    </row>
    <row r="30046" spans="25:25" x14ac:dyDescent="0.2">
      <c r="Y30046" s="97"/>
    </row>
    <row r="30047" spans="25:25" x14ac:dyDescent="0.2">
      <c r="Y30047" s="97"/>
    </row>
    <row r="30048" spans="25:25" x14ac:dyDescent="0.2">
      <c r="Y30048" s="97"/>
    </row>
    <row r="30049" spans="25:25" x14ac:dyDescent="0.2">
      <c r="Y30049" s="97"/>
    </row>
    <row r="30050" spans="25:25" x14ac:dyDescent="0.2">
      <c r="Y30050" s="97"/>
    </row>
    <row r="30051" spans="25:25" x14ac:dyDescent="0.2">
      <c r="Y30051" s="97"/>
    </row>
    <row r="30052" spans="25:25" x14ac:dyDescent="0.2">
      <c r="Y30052" s="97"/>
    </row>
    <row r="30053" spans="25:25" x14ac:dyDescent="0.2">
      <c r="Y30053" s="97"/>
    </row>
    <row r="30054" spans="25:25" x14ac:dyDescent="0.2">
      <c r="Y30054" s="97"/>
    </row>
    <row r="30055" spans="25:25" x14ac:dyDescent="0.2">
      <c r="Y30055" s="97"/>
    </row>
    <row r="30056" spans="25:25" x14ac:dyDescent="0.2">
      <c r="Y30056" s="97"/>
    </row>
    <row r="30057" spans="25:25" x14ac:dyDescent="0.2">
      <c r="Y30057" s="97"/>
    </row>
    <row r="30058" spans="25:25" x14ac:dyDescent="0.2">
      <c r="Y30058" s="97"/>
    </row>
    <row r="30059" spans="25:25" x14ac:dyDescent="0.2">
      <c r="Y30059" s="97"/>
    </row>
    <row r="30060" spans="25:25" x14ac:dyDescent="0.2">
      <c r="Y30060" s="97"/>
    </row>
    <row r="30061" spans="25:25" x14ac:dyDescent="0.2">
      <c r="Y30061" s="97"/>
    </row>
    <row r="30062" spans="25:25" x14ac:dyDescent="0.2">
      <c r="Y30062" s="97"/>
    </row>
    <row r="30063" spans="25:25" x14ac:dyDescent="0.2">
      <c r="Y30063" s="97"/>
    </row>
    <row r="30064" spans="25:25" x14ac:dyDescent="0.2">
      <c r="Y30064" s="97"/>
    </row>
    <row r="30065" spans="25:25" x14ac:dyDescent="0.2">
      <c r="Y30065" s="97"/>
    </row>
    <row r="30066" spans="25:25" x14ac:dyDescent="0.2">
      <c r="Y30066" s="97"/>
    </row>
    <row r="30067" spans="25:25" x14ac:dyDescent="0.2">
      <c r="Y30067" s="97"/>
    </row>
    <row r="30068" spans="25:25" x14ac:dyDescent="0.2">
      <c r="Y30068" s="97"/>
    </row>
    <row r="30069" spans="25:25" x14ac:dyDescent="0.2">
      <c r="Y30069" s="97"/>
    </row>
    <row r="30070" spans="25:25" x14ac:dyDescent="0.2">
      <c r="Y30070" s="97"/>
    </row>
    <row r="30071" spans="25:25" x14ac:dyDescent="0.2">
      <c r="Y30071" s="97"/>
    </row>
    <row r="30072" spans="25:25" x14ac:dyDescent="0.2">
      <c r="Y30072" s="97"/>
    </row>
    <row r="30073" spans="25:25" x14ac:dyDescent="0.2">
      <c r="Y30073" s="97"/>
    </row>
    <row r="30074" spans="25:25" x14ac:dyDescent="0.2">
      <c r="Y30074" s="97"/>
    </row>
    <row r="30075" spans="25:25" x14ac:dyDescent="0.2">
      <c r="Y30075" s="97"/>
    </row>
    <row r="30076" spans="25:25" x14ac:dyDescent="0.2">
      <c r="Y30076" s="97"/>
    </row>
    <row r="30077" spans="25:25" x14ac:dyDescent="0.2">
      <c r="Y30077" s="97"/>
    </row>
    <row r="30078" spans="25:25" x14ac:dyDescent="0.2">
      <c r="Y30078" s="97"/>
    </row>
    <row r="30079" spans="25:25" x14ac:dyDescent="0.2">
      <c r="Y30079" s="97"/>
    </row>
    <row r="30080" spans="25:25" x14ac:dyDescent="0.2">
      <c r="Y30080" s="97"/>
    </row>
    <row r="30081" spans="25:25" x14ac:dyDescent="0.2">
      <c r="Y30081" s="97"/>
    </row>
    <row r="30082" spans="25:25" x14ac:dyDescent="0.2">
      <c r="Y30082" s="97"/>
    </row>
    <row r="30083" spans="25:25" x14ac:dyDescent="0.2">
      <c r="Y30083" s="97"/>
    </row>
    <row r="30084" spans="25:25" x14ac:dyDescent="0.2">
      <c r="Y30084" s="97"/>
    </row>
    <row r="30085" spans="25:25" x14ac:dyDescent="0.2">
      <c r="Y30085" s="97"/>
    </row>
    <row r="30086" spans="25:25" x14ac:dyDescent="0.2">
      <c r="Y30086" s="97"/>
    </row>
    <row r="30087" spans="25:25" x14ac:dyDescent="0.2">
      <c r="Y30087" s="97"/>
    </row>
    <row r="30088" spans="25:25" x14ac:dyDescent="0.2">
      <c r="Y30088" s="97"/>
    </row>
    <row r="30089" spans="25:25" x14ac:dyDescent="0.2">
      <c r="Y30089" s="97"/>
    </row>
    <row r="30090" spans="25:25" x14ac:dyDescent="0.2">
      <c r="Y30090" s="97"/>
    </row>
    <row r="30091" spans="25:25" x14ac:dyDescent="0.2">
      <c r="Y30091" s="97"/>
    </row>
    <row r="30092" spans="25:25" x14ac:dyDescent="0.2">
      <c r="Y30092" s="97"/>
    </row>
    <row r="30093" spans="25:25" x14ac:dyDescent="0.2">
      <c r="Y30093" s="97"/>
    </row>
    <row r="30094" spans="25:25" x14ac:dyDescent="0.2">
      <c r="Y30094" s="97"/>
    </row>
    <row r="30095" spans="25:25" x14ac:dyDescent="0.2">
      <c r="Y30095" s="97"/>
    </row>
    <row r="30096" spans="25:25" x14ac:dyDescent="0.2">
      <c r="Y30096" s="97"/>
    </row>
    <row r="30097" spans="25:25" x14ac:dyDescent="0.2">
      <c r="Y30097" s="97"/>
    </row>
    <row r="30098" spans="25:25" x14ac:dyDescent="0.2">
      <c r="Y30098" s="97"/>
    </row>
    <row r="30099" spans="25:25" x14ac:dyDescent="0.2">
      <c r="Y30099" s="97"/>
    </row>
    <row r="30100" spans="25:25" x14ac:dyDescent="0.2">
      <c r="Y30100" s="97"/>
    </row>
    <row r="30101" spans="25:25" x14ac:dyDescent="0.2">
      <c r="Y30101" s="97"/>
    </row>
    <row r="30102" spans="25:25" x14ac:dyDescent="0.2">
      <c r="Y30102" s="97"/>
    </row>
    <row r="30103" spans="25:25" x14ac:dyDescent="0.2">
      <c r="Y30103" s="97"/>
    </row>
    <row r="30104" spans="25:25" x14ac:dyDescent="0.2">
      <c r="Y30104" s="97"/>
    </row>
    <row r="30105" spans="25:25" x14ac:dyDescent="0.2">
      <c r="Y30105" s="97"/>
    </row>
    <row r="30106" spans="25:25" x14ac:dyDescent="0.2">
      <c r="Y30106" s="97"/>
    </row>
    <row r="30107" spans="25:25" x14ac:dyDescent="0.2">
      <c r="Y30107" s="97"/>
    </row>
    <row r="30108" spans="25:25" x14ac:dyDescent="0.2">
      <c r="Y30108" s="97"/>
    </row>
    <row r="30109" spans="25:25" x14ac:dyDescent="0.2">
      <c r="Y30109" s="97"/>
    </row>
    <row r="30110" spans="25:25" x14ac:dyDescent="0.2">
      <c r="Y30110" s="97"/>
    </row>
    <row r="30111" spans="25:25" x14ac:dyDescent="0.2">
      <c r="Y30111" s="97"/>
    </row>
    <row r="30112" spans="25:25" x14ac:dyDescent="0.2">
      <c r="Y30112" s="97"/>
    </row>
    <row r="30113" spans="25:25" x14ac:dyDescent="0.2">
      <c r="Y30113" s="97"/>
    </row>
    <row r="30114" spans="25:25" x14ac:dyDescent="0.2">
      <c r="Y30114" s="97"/>
    </row>
    <row r="30115" spans="25:25" x14ac:dyDescent="0.2">
      <c r="Y30115" s="97"/>
    </row>
    <row r="30116" spans="25:25" x14ac:dyDescent="0.2">
      <c r="Y30116" s="97"/>
    </row>
    <row r="30117" spans="25:25" x14ac:dyDescent="0.2">
      <c r="Y30117" s="97"/>
    </row>
    <row r="30118" spans="25:25" x14ac:dyDescent="0.2">
      <c r="Y30118" s="97"/>
    </row>
    <row r="30119" spans="25:25" x14ac:dyDescent="0.2">
      <c r="Y30119" s="97"/>
    </row>
    <row r="30120" spans="25:25" x14ac:dyDescent="0.2">
      <c r="Y30120" s="97"/>
    </row>
    <row r="30121" spans="25:25" x14ac:dyDescent="0.2">
      <c r="Y30121" s="97"/>
    </row>
    <row r="30122" spans="25:25" x14ac:dyDescent="0.2">
      <c r="Y30122" s="97"/>
    </row>
    <row r="30123" spans="25:25" x14ac:dyDescent="0.2">
      <c r="Y30123" s="97"/>
    </row>
    <row r="30124" spans="25:25" x14ac:dyDescent="0.2">
      <c r="Y30124" s="97"/>
    </row>
    <row r="30125" spans="25:25" x14ac:dyDescent="0.2">
      <c r="Y30125" s="97"/>
    </row>
    <row r="30126" spans="25:25" x14ac:dyDescent="0.2">
      <c r="Y30126" s="97"/>
    </row>
    <row r="30127" spans="25:25" x14ac:dyDescent="0.2">
      <c r="Y30127" s="97"/>
    </row>
    <row r="30128" spans="25:25" x14ac:dyDescent="0.2">
      <c r="Y30128" s="97"/>
    </row>
    <row r="30129" spans="25:25" x14ac:dyDescent="0.2">
      <c r="Y30129" s="97"/>
    </row>
    <row r="30130" spans="25:25" x14ac:dyDescent="0.2">
      <c r="Y30130" s="97"/>
    </row>
    <row r="30131" spans="25:25" x14ac:dyDescent="0.2">
      <c r="Y30131" s="97"/>
    </row>
    <row r="30132" spans="25:25" x14ac:dyDescent="0.2">
      <c r="Y30132" s="97"/>
    </row>
    <row r="30133" spans="25:25" x14ac:dyDescent="0.2">
      <c r="Y30133" s="97"/>
    </row>
    <row r="30134" spans="25:25" x14ac:dyDescent="0.2">
      <c r="Y30134" s="97"/>
    </row>
    <row r="30135" spans="25:25" x14ac:dyDescent="0.2">
      <c r="Y30135" s="97"/>
    </row>
    <row r="30136" spans="25:25" x14ac:dyDescent="0.2">
      <c r="Y30136" s="97"/>
    </row>
    <row r="30137" spans="25:25" x14ac:dyDescent="0.2">
      <c r="Y30137" s="97"/>
    </row>
    <row r="30138" spans="25:25" x14ac:dyDescent="0.2">
      <c r="Y30138" s="97"/>
    </row>
    <row r="30139" spans="25:25" x14ac:dyDescent="0.2">
      <c r="Y30139" s="97"/>
    </row>
    <row r="30140" spans="25:25" x14ac:dyDescent="0.2">
      <c r="Y30140" s="97"/>
    </row>
    <row r="30141" spans="25:25" x14ac:dyDescent="0.2">
      <c r="Y30141" s="97"/>
    </row>
    <row r="30142" spans="25:25" x14ac:dyDescent="0.2">
      <c r="Y30142" s="97"/>
    </row>
    <row r="30143" spans="25:25" x14ac:dyDescent="0.2">
      <c r="Y30143" s="97"/>
    </row>
    <row r="30144" spans="25:25" x14ac:dyDescent="0.2">
      <c r="Y30144" s="97"/>
    </row>
    <row r="30145" spans="25:25" x14ac:dyDescent="0.2">
      <c r="Y30145" s="97"/>
    </row>
    <row r="30146" spans="25:25" x14ac:dyDescent="0.2">
      <c r="Y30146" s="97"/>
    </row>
    <row r="30147" spans="25:25" x14ac:dyDescent="0.2">
      <c r="Y30147" s="97"/>
    </row>
    <row r="30148" spans="25:25" x14ac:dyDescent="0.2">
      <c r="Y30148" s="97"/>
    </row>
    <row r="30149" spans="25:25" x14ac:dyDescent="0.2">
      <c r="Y30149" s="97"/>
    </row>
    <row r="30150" spans="25:25" x14ac:dyDescent="0.2">
      <c r="Y30150" s="97"/>
    </row>
    <row r="30151" spans="25:25" x14ac:dyDescent="0.2">
      <c r="Y30151" s="97"/>
    </row>
    <row r="30152" spans="25:25" x14ac:dyDescent="0.2">
      <c r="Y30152" s="97"/>
    </row>
    <row r="30153" spans="25:25" x14ac:dyDescent="0.2">
      <c r="Y30153" s="97"/>
    </row>
    <row r="30154" spans="25:25" x14ac:dyDescent="0.2">
      <c r="Y30154" s="97"/>
    </row>
    <row r="30155" spans="25:25" x14ac:dyDescent="0.2">
      <c r="Y30155" s="97"/>
    </row>
    <row r="30156" spans="25:25" x14ac:dyDescent="0.2">
      <c r="Y30156" s="97"/>
    </row>
    <row r="30157" spans="25:25" x14ac:dyDescent="0.2">
      <c r="Y30157" s="97"/>
    </row>
    <row r="30158" spans="25:25" x14ac:dyDescent="0.2">
      <c r="Y30158" s="97"/>
    </row>
    <row r="30159" spans="25:25" x14ac:dyDescent="0.2">
      <c r="Y30159" s="97"/>
    </row>
    <row r="30160" spans="25:25" x14ac:dyDescent="0.2">
      <c r="Y30160" s="97"/>
    </row>
    <row r="30161" spans="25:25" x14ac:dyDescent="0.2">
      <c r="Y30161" s="97"/>
    </row>
    <row r="30162" spans="25:25" x14ac:dyDescent="0.2">
      <c r="Y30162" s="97"/>
    </row>
    <row r="30163" spans="25:25" x14ac:dyDescent="0.2">
      <c r="Y30163" s="97"/>
    </row>
    <row r="30164" spans="25:25" x14ac:dyDescent="0.2">
      <c r="Y30164" s="97"/>
    </row>
    <row r="30165" spans="25:25" x14ac:dyDescent="0.2">
      <c r="Y30165" s="97"/>
    </row>
    <row r="30166" spans="25:25" x14ac:dyDescent="0.2">
      <c r="Y30166" s="97"/>
    </row>
    <row r="30167" spans="25:25" x14ac:dyDescent="0.2">
      <c r="Y30167" s="97"/>
    </row>
    <row r="30168" spans="25:25" x14ac:dyDescent="0.2">
      <c r="Y30168" s="97"/>
    </row>
    <row r="30169" spans="25:25" x14ac:dyDescent="0.2">
      <c r="Y30169" s="97"/>
    </row>
    <row r="30170" spans="25:25" x14ac:dyDescent="0.2">
      <c r="Y30170" s="97"/>
    </row>
    <row r="30171" spans="25:25" x14ac:dyDescent="0.2">
      <c r="Y30171" s="97"/>
    </row>
    <row r="30172" spans="25:25" x14ac:dyDescent="0.2">
      <c r="Y30172" s="97"/>
    </row>
    <row r="30173" spans="25:25" x14ac:dyDescent="0.2">
      <c r="Y30173" s="97"/>
    </row>
    <row r="30174" spans="25:25" x14ac:dyDescent="0.2">
      <c r="Y30174" s="97"/>
    </row>
    <row r="30175" spans="25:25" x14ac:dyDescent="0.2">
      <c r="Y30175" s="97"/>
    </row>
    <row r="30176" spans="25:25" x14ac:dyDescent="0.2">
      <c r="Y30176" s="97"/>
    </row>
    <row r="30177" spans="25:25" x14ac:dyDescent="0.2">
      <c r="Y30177" s="97"/>
    </row>
    <row r="30178" spans="25:25" x14ac:dyDescent="0.2">
      <c r="Y30178" s="97"/>
    </row>
    <row r="30179" spans="25:25" x14ac:dyDescent="0.2">
      <c r="Y30179" s="97"/>
    </row>
    <row r="30180" spans="25:25" x14ac:dyDescent="0.2">
      <c r="Y30180" s="97"/>
    </row>
    <row r="30181" spans="25:25" x14ac:dyDescent="0.2">
      <c r="Y30181" s="97"/>
    </row>
    <row r="30182" spans="25:25" x14ac:dyDescent="0.2">
      <c r="Y30182" s="97"/>
    </row>
    <row r="30183" spans="25:25" x14ac:dyDescent="0.2">
      <c r="Y30183" s="97"/>
    </row>
    <row r="30184" spans="25:25" x14ac:dyDescent="0.2">
      <c r="Y30184" s="97"/>
    </row>
    <row r="30185" spans="25:25" x14ac:dyDescent="0.2">
      <c r="Y30185" s="97"/>
    </row>
    <row r="30186" spans="25:25" x14ac:dyDescent="0.2">
      <c r="Y30186" s="97"/>
    </row>
    <row r="30187" spans="25:25" x14ac:dyDescent="0.2">
      <c r="Y30187" s="97"/>
    </row>
    <row r="30188" spans="25:25" x14ac:dyDescent="0.2">
      <c r="Y30188" s="97"/>
    </row>
    <row r="30189" spans="25:25" x14ac:dyDescent="0.2">
      <c r="Y30189" s="97"/>
    </row>
    <row r="30190" spans="25:25" x14ac:dyDescent="0.2">
      <c r="Y30190" s="97"/>
    </row>
    <row r="30191" spans="25:25" x14ac:dyDescent="0.2">
      <c r="Y30191" s="97"/>
    </row>
    <row r="30192" spans="25:25" x14ac:dyDescent="0.2">
      <c r="Y30192" s="97"/>
    </row>
    <row r="30193" spans="25:25" x14ac:dyDescent="0.2">
      <c r="Y30193" s="97"/>
    </row>
    <row r="30194" spans="25:25" x14ac:dyDescent="0.2">
      <c r="Y30194" s="97"/>
    </row>
    <row r="30195" spans="25:25" x14ac:dyDescent="0.2">
      <c r="Y30195" s="97"/>
    </row>
    <row r="30196" spans="25:25" x14ac:dyDescent="0.2">
      <c r="Y30196" s="97"/>
    </row>
    <row r="30197" spans="25:25" x14ac:dyDescent="0.2">
      <c r="Y30197" s="97"/>
    </row>
    <row r="30198" spans="25:25" x14ac:dyDescent="0.2">
      <c r="Y30198" s="97"/>
    </row>
    <row r="30199" spans="25:25" x14ac:dyDescent="0.2">
      <c r="Y30199" s="97"/>
    </row>
    <row r="30200" spans="25:25" x14ac:dyDescent="0.2">
      <c r="Y30200" s="97"/>
    </row>
    <row r="30201" spans="25:25" x14ac:dyDescent="0.2">
      <c r="Y30201" s="97"/>
    </row>
    <row r="30202" spans="25:25" x14ac:dyDescent="0.2">
      <c r="Y30202" s="97"/>
    </row>
    <row r="30203" spans="25:25" x14ac:dyDescent="0.2">
      <c r="Y30203" s="97"/>
    </row>
    <row r="30204" spans="25:25" x14ac:dyDescent="0.2">
      <c r="Y30204" s="97"/>
    </row>
    <row r="30205" spans="25:25" x14ac:dyDescent="0.2">
      <c r="Y30205" s="97"/>
    </row>
    <row r="30206" spans="25:25" x14ac:dyDescent="0.2">
      <c r="Y30206" s="97"/>
    </row>
    <row r="30207" spans="25:25" x14ac:dyDescent="0.2">
      <c r="Y30207" s="97"/>
    </row>
    <row r="30208" spans="25:25" x14ac:dyDescent="0.2">
      <c r="Y30208" s="97"/>
    </row>
    <row r="30209" spans="25:25" x14ac:dyDescent="0.2">
      <c r="Y30209" s="97"/>
    </row>
    <row r="30210" spans="25:25" x14ac:dyDescent="0.2">
      <c r="Y30210" s="97"/>
    </row>
    <row r="30211" spans="25:25" x14ac:dyDescent="0.2">
      <c r="Y30211" s="97"/>
    </row>
    <row r="30212" spans="25:25" x14ac:dyDescent="0.2">
      <c r="Y30212" s="97"/>
    </row>
    <row r="30213" spans="25:25" x14ac:dyDescent="0.2">
      <c r="Y30213" s="97"/>
    </row>
    <row r="30214" spans="25:25" x14ac:dyDescent="0.2">
      <c r="Y30214" s="97"/>
    </row>
    <row r="30215" spans="25:25" x14ac:dyDescent="0.2">
      <c r="Y30215" s="97"/>
    </row>
    <row r="30216" spans="25:25" x14ac:dyDescent="0.2">
      <c r="Y30216" s="97"/>
    </row>
    <row r="30217" spans="25:25" x14ac:dyDescent="0.2">
      <c r="Y30217" s="97"/>
    </row>
    <row r="30218" spans="25:25" x14ac:dyDescent="0.2">
      <c r="Y30218" s="97"/>
    </row>
    <row r="30219" spans="25:25" x14ac:dyDescent="0.2">
      <c r="Y30219" s="97"/>
    </row>
    <row r="30220" spans="25:25" x14ac:dyDescent="0.2">
      <c r="Y30220" s="97"/>
    </row>
    <row r="30221" spans="25:25" x14ac:dyDescent="0.2">
      <c r="Y30221" s="97"/>
    </row>
    <row r="30222" spans="25:25" x14ac:dyDescent="0.2">
      <c r="Y30222" s="97"/>
    </row>
    <row r="30223" spans="25:25" x14ac:dyDescent="0.2">
      <c r="Y30223" s="97"/>
    </row>
    <row r="30224" spans="25:25" x14ac:dyDescent="0.2">
      <c r="Y30224" s="97"/>
    </row>
    <row r="30225" spans="25:25" x14ac:dyDescent="0.2">
      <c r="Y30225" s="97"/>
    </row>
    <row r="30226" spans="25:25" x14ac:dyDescent="0.2">
      <c r="Y30226" s="97"/>
    </row>
    <row r="30227" spans="25:25" x14ac:dyDescent="0.2">
      <c r="Y30227" s="97"/>
    </row>
    <row r="30228" spans="25:25" x14ac:dyDescent="0.2">
      <c r="Y30228" s="97"/>
    </row>
    <row r="30229" spans="25:25" x14ac:dyDescent="0.2">
      <c r="Y30229" s="97"/>
    </row>
    <row r="30230" spans="25:25" x14ac:dyDescent="0.2">
      <c r="Y30230" s="97"/>
    </row>
    <row r="30231" spans="25:25" x14ac:dyDescent="0.2">
      <c r="Y30231" s="97"/>
    </row>
    <row r="30232" spans="25:25" x14ac:dyDescent="0.2">
      <c r="Y30232" s="97"/>
    </row>
    <row r="30233" spans="25:25" x14ac:dyDescent="0.2">
      <c r="Y30233" s="97"/>
    </row>
    <row r="30234" spans="25:25" x14ac:dyDescent="0.2">
      <c r="Y30234" s="97"/>
    </row>
    <row r="30235" spans="25:25" x14ac:dyDescent="0.2">
      <c r="Y30235" s="97"/>
    </row>
    <row r="30236" spans="25:25" x14ac:dyDescent="0.2">
      <c r="Y30236" s="97"/>
    </row>
    <row r="30237" spans="25:25" x14ac:dyDescent="0.2">
      <c r="Y30237" s="97"/>
    </row>
    <row r="30238" spans="25:25" x14ac:dyDescent="0.2">
      <c r="Y30238" s="97"/>
    </row>
    <row r="30239" spans="25:25" x14ac:dyDescent="0.2">
      <c r="Y30239" s="97"/>
    </row>
    <row r="30240" spans="25:25" x14ac:dyDescent="0.2">
      <c r="Y30240" s="97"/>
    </row>
    <row r="30241" spans="25:25" x14ac:dyDescent="0.2">
      <c r="Y30241" s="97"/>
    </row>
    <row r="30242" spans="25:25" x14ac:dyDescent="0.2">
      <c r="Y30242" s="97"/>
    </row>
    <row r="30243" spans="25:25" x14ac:dyDescent="0.2">
      <c r="Y30243" s="97"/>
    </row>
    <row r="30244" spans="25:25" x14ac:dyDescent="0.2">
      <c r="Y30244" s="97"/>
    </row>
    <row r="30245" spans="25:25" x14ac:dyDescent="0.2">
      <c r="Y30245" s="97"/>
    </row>
    <row r="30246" spans="25:25" x14ac:dyDescent="0.2">
      <c r="Y30246" s="97"/>
    </row>
    <row r="30247" spans="25:25" x14ac:dyDescent="0.2">
      <c r="Y30247" s="97"/>
    </row>
    <row r="30248" spans="25:25" x14ac:dyDescent="0.2">
      <c r="Y30248" s="97"/>
    </row>
    <row r="30249" spans="25:25" x14ac:dyDescent="0.2">
      <c r="Y30249" s="97"/>
    </row>
    <row r="30250" spans="25:25" x14ac:dyDescent="0.2">
      <c r="Y30250" s="97"/>
    </row>
    <row r="30251" spans="25:25" x14ac:dyDescent="0.2">
      <c r="Y30251" s="97"/>
    </row>
    <row r="30252" spans="25:25" x14ac:dyDescent="0.2">
      <c r="Y30252" s="97"/>
    </row>
    <row r="30253" spans="25:25" x14ac:dyDescent="0.2">
      <c r="Y30253" s="97"/>
    </row>
    <row r="30254" spans="25:25" x14ac:dyDescent="0.2">
      <c r="Y30254" s="97"/>
    </row>
    <row r="30255" spans="25:25" x14ac:dyDescent="0.2">
      <c r="Y30255" s="97"/>
    </row>
    <row r="30256" spans="25:25" x14ac:dyDescent="0.2">
      <c r="Y30256" s="97"/>
    </row>
    <row r="30257" spans="25:25" x14ac:dyDescent="0.2">
      <c r="Y30257" s="97"/>
    </row>
    <row r="30258" spans="25:25" x14ac:dyDescent="0.2">
      <c r="Y30258" s="97"/>
    </row>
    <row r="30259" spans="25:25" x14ac:dyDescent="0.2">
      <c r="Y30259" s="97"/>
    </row>
    <row r="30260" spans="25:25" x14ac:dyDescent="0.2">
      <c r="Y30260" s="97"/>
    </row>
    <row r="30261" spans="25:25" x14ac:dyDescent="0.2">
      <c r="Y30261" s="97"/>
    </row>
    <row r="30262" spans="25:25" x14ac:dyDescent="0.2">
      <c r="Y30262" s="97"/>
    </row>
    <row r="30263" spans="25:25" x14ac:dyDescent="0.2">
      <c r="Y30263" s="97"/>
    </row>
    <row r="30264" spans="25:25" x14ac:dyDescent="0.2">
      <c r="Y30264" s="97"/>
    </row>
    <row r="30265" spans="25:25" x14ac:dyDescent="0.2">
      <c r="Y30265" s="97"/>
    </row>
    <row r="30266" spans="25:25" x14ac:dyDescent="0.2">
      <c r="Y30266" s="97"/>
    </row>
    <row r="30267" spans="25:25" x14ac:dyDescent="0.2">
      <c r="Y30267" s="97"/>
    </row>
    <row r="30268" spans="25:25" x14ac:dyDescent="0.2">
      <c r="Y30268" s="97"/>
    </row>
    <row r="30269" spans="25:25" x14ac:dyDescent="0.2">
      <c r="Y30269" s="97"/>
    </row>
    <row r="30270" spans="25:25" x14ac:dyDescent="0.2">
      <c r="Y30270" s="97"/>
    </row>
    <row r="30271" spans="25:25" x14ac:dyDescent="0.2">
      <c r="Y30271" s="97"/>
    </row>
    <row r="30272" spans="25:25" x14ac:dyDescent="0.2">
      <c r="Y30272" s="97"/>
    </row>
    <row r="30273" spans="25:25" x14ac:dyDescent="0.2">
      <c r="Y30273" s="97"/>
    </row>
    <row r="30274" spans="25:25" x14ac:dyDescent="0.2">
      <c r="Y30274" s="97"/>
    </row>
    <row r="30275" spans="25:25" x14ac:dyDescent="0.2">
      <c r="Y30275" s="97"/>
    </row>
    <row r="30276" spans="25:25" x14ac:dyDescent="0.2">
      <c r="Y30276" s="97"/>
    </row>
    <row r="30277" spans="25:25" x14ac:dyDescent="0.2">
      <c r="Y30277" s="97"/>
    </row>
    <row r="30278" spans="25:25" x14ac:dyDescent="0.2">
      <c r="Y30278" s="97"/>
    </row>
    <row r="30279" spans="25:25" x14ac:dyDescent="0.2">
      <c r="Y30279" s="97"/>
    </row>
    <row r="30280" spans="25:25" x14ac:dyDescent="0.2">
      <c r="Y30280" s="97"/>
    </row>
    <row r="30281" spans="25:25" x14ac:dyDescent="0.2">
      <c r="Y30281" s="97"/>
    </row>
    <row r="30282" spans="25:25" x14ac:dyDescent="0.2">
      <c r="Y30282" s="97"/>
    </row>
    <row r="30283" spans="25:25" x14ac:dyDescent="0.2">
      <c r="Y30283" s="97"/>
    </row>
    <row r="30284" spans="25:25" x14ac:dyDescent="0.2">
      <c r="Y30284" s="97"/>
    </row>
    <row r="30285" spans="25:25" x14ac:dyDescent="0.2">
      <c r="Y30285" s="97"/>
    </row>
    <row r="30286" spans="25:25" x14ac:dyDescent="0.2">
      <c r="Y30286" s="97"/>
    </row>
    <row r="30287" spans="25:25" x14ac:dyDescent="0.2">
      <c r="Y30287" s="97"/>
    </row>
    <row r="30288" spans="25:25" x14ac:dyDescent="0.2">
      <c r="Y30288" s="97"/>
    </row>
    <row r="30289" spans="25:25" x14ac:dyDescent="0.2">
      <c r="Y30289" s="97"/>
    </row>
    <row r="30290" spans="25:25" x14ac:dyDescent="0.2">
      <c r="Y30290" s="97"/>
    </row>
    <row r="30291" spans="25:25" x14ac:dyDescent="0.2">
      <c r="Y30291" s="97"/>
    </row>
    <row r="30292" spans="25:25" x14ac:dyDescent="0.2">
      <c r="Y30292" s="97"/>
    </row>
    <row r="30293" spans="25:25" x14ac:dyDescent="0.2">
      <c r="Y30293" s="97"/>
    </row>
    <row r="30294" spans="25:25" x14ac:dyDescent="0.2">
      <c r="Y30294" s="97"/>
    </row>
    <row r="30295" spans="25:25" x14ac:dyDescent="0.2">
      <c r="Y30295" s="97"/>
    </row>
    <row r="30296" spans="25:25" x14ac:dyDescent="0.2">
      <c r="Y30296" s="97"/>
    </row>
    <row r="30297" spans="25:25" x14ac:dyDescent="0.2">
      <c r="Y30297" s="97"/>
    </row>
    <row r="30298" spans="25:25" x14ac:dyDescent="0.2">
      <c r="Y30298" s="97"/>
    </row>
    <row r="30299" spans="25:25" x14ac:dyDescent="0.2">
      <c r="Y30299" s="97"/>
    </row>
    <row r="30300" spans="25:25" x14ac:dyDescent="0.2">
      <c r="Y30300" s="97"/>
    </row>
    <row r="30301" spans="25:25" x14ac:dyDescent="0.2">
      <c r="Y30301" s="97"/>
    </row>
    <row r="30302" spans="25:25" x14ac:dyDescent="0.2">
      <c r="Y30302" s="97"/>
    </row>
    <row r="30303" spans="25:25" x14ac:dyDescent="0.2">
      <c r="Y30303" s="97"/>
    </row>
    <row r="30304" spans="25:25" x14ac:dyDescent="0.2">
      <c r="Y30304" s="97"/>
    </row>
    <row r="30305" spans="25:25" x14ac:dyDescent="0.2">
      <c r="Y30305" s="97"/>
    </row>
    <row r="30306" spans="25:25" x14ac:dyDescent="0.2">
      <c r="Y30306" s="97"/>
    </row>
    <row r="30307" spans="25:25" x14ac:dyDescent="0.2">
      <c r="Y30307" s="97"/>
    </row>
    <row r="30308" spans="25:25" x14ac:dyDescent="0.2">
      <c r="Y30308" s="97"/>
    </row>
    <row r="30309" spans="25:25" x14ac:dyDescent="0.2">
      <c r="Y30309" s="97"/>
    </row>
    <row r="30310" spans="25:25" x14ac:dyDescent="0.2">
      <c r="Y30310" s="97"/>
    </row>
    <row r="30311" spans="25:25" x14ac:dyDescent="0.2">
      <c r="Y30311" s="97"/>
    </row>
    <row r="30312" spans="25:25" x14ac:dyDescent="0.2">
      <c r="Y30312" s="97"/>
    </row>
    <row r="30313" spans="25:25" x14ac:dyDescent="0.2">
      <c r="Y30313" s="97"/>
    </row>
    <row r="30314" spans="25:25" x14ac:dyDescent="0.2">
      <c r="Y30314" s="97"/>
    </row>
    <row r="30315" spans="25:25" x14ac:dyDescent="0.2">
      <c r="Y30315" s="97"/>
    </row>
    <row r="30316" spans="25:25" x14ac:dyDescent="0.2">
      <c r="Y30316" s="97"/>
    </row>
    <row r="30317" spans="25:25" x14ac:dyDescent="0.2">
      <c r="Y30317" s="97"/>
    </row>
    <row r="30318" spans="25:25" x14ac:dyDescent="0.2">
      <c r="Y30318" s="97"/>
    </row>
    <row r="30319" spans="25:25" x14ac:dyDescent="0.2">
      <c r="Y30319" s="97"/>
    </row>
    <row r="30320" spans="25:25" x14ac:dyDescent="0.2">
      <c r="Y30320" s="97"/>
    </row>
    <row r="30321" spans="25:25" x14ac:dyDescent="0.2">
      <c r="Y30321" s="97"/>
    </row>
    <row r="30322" spans="25:25" x14ac:dyDescent="0.2">
      <c r="Y30322" s="97"/>
    </row>
    <row r="30323" spans="25:25" x14ac:dyDescent="0.2">
      <c r="Y30323" s="97"/>
    </row>
    <row r="30324" spans="25:25" x14ac:dyDescent="0.2">
      <c r="Y30324" s="97"/>
    </row>
    <row r="30325" spans="25:25" x14ac:dyDescent="0.2">
      <c r="Y30325" s="97"/>
    </row>
    <row r="30326" spans="25:25" x14ac:dyDescent="0.2">
      <c r="Y30326" s="97"/>
    </row>
    <row r="30327" spans="25:25" x14ac:dyDescent="0.2">
      <c r="Y30327" s="97"/>
    </row>
    <row r="30328" spans="25:25" x14ac:dyDescent="0.2">
      <c r="Y30328" s="97"/>
    </row>
    <row r="30329" spans="25:25" x14ac:dyDescent="0.2">
      <c r="Y30329" s="97"/>
    </row>
    <row r="30330" spans="25:25" x14ac:dyDescent="0.2">
      <c r="Y30330" s="97"/>
    </row>
    <row r="30331" spans="25:25" x14ac:dyDescent="0.2">
      <c r="Y30331" s="97"/>
    </row>
    <row r="30332" spans="25:25" x14ac:dyDescent="0.2">
      <c r="Y30332" s="97"/>
    </row>
    <row r="30333" spans="25:25" x14ac:dyDescent="0.2">
      <c r="Y30333" s="97"/>
    </row>
    <row r="30334" spans="25:25" x14ac:dyDescent="0.2">
      <c r="Y30334" s="97"/>
    </row>
    <row r="30335" spans="25:25" x14ac:dyDescent="0.2">
      <c r="Y30335" s="97"/>
    </row>
    <row r="30336" spans="25:25" x14ac:dyDescent="0.2">
      <c r="Y30336" s="97"/>
    </row>
    <row r="30337" spans="25:25" x14ac:dyDescent="0.2">
      <c r="Y30337" s="97"/>
    </row>
    <row r="30338" spans="25:25" x14ac:dyDescent="0.2">
      <c r="Y30338" s="97"/>
    </row>
    <row r="30339" spans="25:25" x14ac:dyDescent="0.2">
      <c r="Y30339" s="97"/>
    </row>
    <row r="30340" spans="25:25" x14ac:dyDescent="0.2">
      <c r="Y30340" s="97"/>
    </row>
    <row r="30341" spans="25:25" x14ac:dyDescent="0.2">
      <c r="Y30341" s="97"/>
    </row>
    <row r="30342" spans="25:25" x14ac:dyDescent="0.2">
      <c r="Y30342" s="97"/>
    </row>
    <row r="30343" spans="25:25" x14ac:dyDescent="0.2">
      <c r="Y30343" s="97"/>
    </row>
    <row r="30344" spans="25:25" x14ac:dyDescent="0.2">
      <c r="Y30344" s="97"/>
    </row>
    <row r="30345" spans="25:25" x14ac:dyDescent="0.2">
      <c r="Y30345" s="97"/>
    </row>
    <row r="30346" spans="25:25" x14ac:dyDescent="0.2">
      <c r="Y30346" s="97"/>
    </row>
    <row r="30347" spans="25:25" x14ac:dyDescent="0.2">
      <c r="Y30347" s="97"/>
    </row>
    <row r="30348" spans="25:25" x14ac:dyDescent="0.2">
      <c r="Y30348" s="97"/>
    </row>
    <row r="30349" spans="25:25" x14ac:dyDescent="0.2">
      <c r="Y30349" s="97"/>
    </row>
    <row r="30350" spans="25:25" x14ac:dyDescent="0.2">
      <c r="Y30350" s="97"/>
    </row>
    <row r="30351" spans="25:25" x14ac:dyDescent="0.2">
      <c r="Y30351" s="97"/>
    </row>
    <row r="30352" spans="25:25" x14ac:dyDescent="0.2">
      <c r="Y30352" s="97"/>
    </row>
    <row r="30353" spans="25:25" x14ac:dyDescent="0.2">
      <c r="Y30353" s="97"/>
    </row>
    <row r="30354" spans="25:25" x14ac:dyDescent="0.2">
      <c r="Y30354" s="97"/>
    </row>
    <row r="30355" spans="25:25" x14ac:dyDescent="0.2">
      <c r="Y30355" s="97"/>
    </row>
    <row r="30356" spans="25:25" x14ac:dyDescent="0.2">
      <c r="Y30356" s="97"/>
    </row>
    <row r="30357" spans="25:25" x14ac:dyDescent="0.2">
      <c r="Y30357" s="97"/>
    </row>
    <row r="30358" spans="25:25" x14ac:dyDescent="0.2">
      <c r="Y30358" s="97"/>
    </row>
    <row r="30359" spans="25:25" x14ac:dyDescent="0.2">
      <c r="Y30359" s="97"/>
    </row>
    <row r="30360" spans="25:25" x14ac:dyDescent="0.2">
      <c r="Y30360" s="97"/>
    </row>
    <row r="30361" spans="25:25" x14ac:dyDescent="0.2">
      <c r="Y30361" s="97"/>
    </row>
    <row r="30362" spans="25:25" x14ac:dyDescent="0.2">
      <c r="Y30362" s="97"/>
    </row>
    <row r="30363" spans="25:25" x14ac:dyDescent="0.2">
      <c r="Y30363" s="97"/>
    </row>
    <row r="30364" spans="25:25" x14ac:dyDescent="0.2">
      <c r="Y30364" s="97"/>
    </row>
    <row r="30365" spans="25:25" x14ac:dyDescent="0.2">
      <c r="Y30365" s="97"/>
    </row>
    <row r="30366" spans="25:25" x14ac:dyDescent="0.2">
      <c r="Y30366" s="97"/>
    </row>
    <row r="30367" spans="25:25" x14ac:dyDescent="0.2">
      <c r="Y30367" s="97"/>
    </row>
    <row r="30368" spans="25:25" x14ac:dyDescent="0.2">
      <c r="Y30368" s="97"/>
    </row>
    <row r="30369" spans="25:25" x14ac:dyDescent="0.2">
      <c r="Y30369" s="97"/>
    </row>
    <row r="30370" spans="25:25" x14ac:dyDescent="0.2">
      <c r="Y30370" s="97"/>
    </row>
    <row r="30371" spans="25:25" x14ac:dyDescent="0.2">
      <c r="Y30371" s="97"/>
    </row>
    <row r="30372" spans="25:25" x14ac:dyDescent="0.2">
      <c r="Y30372" s="97"/>
    </row>
    <row r="30373" spans="25:25" x14ac:dyDescent="0.2">
      <c r="Y30373" s="97"/>
    </row>
    <row r="30374" spans="25:25" x14ac:dyDescent="0.2">
      <c r="Y30374" s="97"/>
    </row>
    <row r="30375" spans="25:25" x14ac:dyDescent="0.2">
      <c r="Y30375" s="97"/>
    </row>
    <row r="30376" spans="25:25" x14ac:dyDescent="0.2">
      <c r="Y30376" s="97"/>
    </row>
    <row r="30377" spans="25:25" x14ac:dyDescent="0.2">
      <c r="Y30377" s="97"/>
    </row>
    <row r="30378" spans="25:25" x14ac:dyDescent="0.2">
      <c r="Y30378" s="97"/>
    </row>
    <row r="30379" spans="25:25" x14ac:dyDescent="0.2">
      <c r="Y30379" s="97"/>
    </row>
    <row r="30380" spans="25:25" x14ac:dyDescent="0.2">
      <c r="Y30380" s="97"/>
    </row>
    <row r="30381" spans="25:25" x14ac:dyDescent="0.2">
      <c r="Y30381" s="97"/>
    </row>
    <row r="30382" spans="25:25" x14ac:dyDescent="0.2">
      <c r="Y30382" s="97"/>
    </row>
    <row r="30383" spans="25:25" x14ac:dyDescent="0.2">
      <c r="Y30383" s="97"/>
    </row>
    <row r="30384" spans="25:25" x14ac:dyDescent="0.2">
      <c r="Y30384" s="97"/>
    </row>
    <row r="30385" spans="25:25" x14ac:dyDescent="0.2">
      <c r="Y30385" s="97"/>
    </row>
    <row r="30386" spans="25:25" x14ac:dyDescent="0.2">
      <c r="Y30386" s="97"/>
    </row>
    <row r="30387" spans="25:25" x14ac:dyDescent="0.2">
      <c r="Y30387" s="97"/>
    </row>
    <row r="30388" spans="25:25" x14ac:dyDescent="0.2">
      <c r="Y30388" s="97"/>
    </row>
    <row r="30389" spans="25:25" x14ac:dyDescent="0.2">
      <c r="Y30389" s="97"/>
    </row>
    <row r="30390" spans="25:25" x14ac:dyDescent="0.2">
      <c r="Y30390" s="97"/>
    </row>
    <row r="30391" spans="25:25" x14ac:dyDescent="0.2">
      <c r="Y30391" s="97"/>
    </row>
    <row r="30392" spans="25:25" x14ac:dyDescent="0.2">
      <c r="Y30392" s="97"/>
    </row>
    <row r="30393" spans="25:25" x14ac:dyDescent="0.2">
      <c r="Y30393" s="97"/>
    </row>
    <row r="30394" spans="25:25" x14ac:dyDescent="0.2">
      <c r="Y30394" s="97"/>
    </row>
    <row r="30395" spans="25:25" x14ac:dyDescent="0.2">
      <c r="Y30395" s="97"/>
    </row>
    <row r="30396" spans="25:25" x14ac:dyDescent="0.2">
      <c r="Y30396" s="97"/>
    </row>
    <row r="30397" spans="25:25" x14ac:dyDescent="0.2">
      <c r="Y30397" s="97"/>
    </row>
    <row r="30398" spans="25:25" x14ac:dyDescent="0.2">
      <c r="Y30398" s="97"/>
    </row>
    <row r="30399" spans="25:25" x14ac:dyDescent="0.2">
      <c r="Y30399" s="97"/>
    </row>
    <row r="30400" spans="25:25" x14ac:dyDescent="0.2">
      <c r="Y30400" s="97"/>
    </row>
    <row r="30401" spans="25:25" x14ac:dyDescent="0.2">
      <c r="Y30401" s="97"/>
    </row>
    <row r="30402" spans="25:25" x14ac:dyDescent="0.2">
      <c r="Y30402" s="97"/>
    </row>
    <row r="30403" spans="25:25" x14ac:dyDescent="0.2">
      <c r="Y30403" s="97"/>
    </row>
    <row r="30404" spans="25:25" x14ac:dyDescent="0.2">
      <c r="Y30404" s="97"/>
    </row>
    <row r="30405" spans="25:25" x14ac:dyDescent="0.2">
      <c r="Y30405" s="97"/>
    </row>
    <row r="30406" spans="25:25" x14ac:dyDescent="0.2">
      <c r="Y30406" s="97"/>
    </row>
    <row r="30407" spans="25:25" x14ac:dyDescent="0.2">
      <c r="Y30407" s="97"/>
    </row>
    <row r="30408" spans="25:25" x14ac:dyDescent="0.2">
      <c r="Y30408" s="97"/>
    </row>
    <row r="30409" spans="25:25" x14ac:dyDescent="0.2">
      <c r="Y30409" s="97"/>
    </row>
    <row r="30410" spans="25:25" x14ac:dyDescent="0.2">
      <c r="Y30410" s="97"/>
    </row>
    <row r="30411" spans="25:25" x14ac:dyDescent="0.2">
      <c r="Y30411" s="97"/>
    </row>
    <row r="30412" spans="25:25" x14ac:dyDescent="0.2">
      <c r="Y30412" s="97"/>
    </row>
    <row r="30413" spans="25:25" x14ac:dyDescent="0.2">
      <c r="Y30413" s="97"/>
    </row>
    <row r="30414" spans="25:25" x14ac:dyDescent="0.2">
      <c r="Y30414" s="97"/>
    </row>
    <row r="30415" spans="25:25" x14ac:dyDescent="0.2">
      <c r="Y30415" s="97"/>
    </row>
    <row r="30416" spans="25:25" x14ac:dyDescent="0.2">
      <c r="Y30416" s="97"/>
    </row>
    <row r="30417" spans="25:25" x14ac:dyDescent="0.2">
      <c r="Y30417" s="97"/>
    </row>
    <row r="30418" spans="25:25" x14ac:dyDescent="0.2">
      <c r="Y30418" s="97"/>
    </row>
    <row r="30419" spans="25:25" x14ac:dyDescent="0.2">
      <c r="Y30419" s="97"/>
    </row>
    <row r="30420" spans="25:25" x14ac:dyDescent="0.2">
      <c r="Y30420" s="97"/>
    </row>
    <row r="30421" spans="25:25" x14ac:dyDescent="0.2">
      <c r="Y30421" s="97"/>
    </row>
    <row r="30422" spans="25:25" x14ac:dyDescent="0.2">
      <c r="Y30422" s="97"/>
    </row>
    <row r="30423" spans="25:25" x14ac:dyDescent="0.2">
      <c r="Y30423" s="97"/>
    </row>
    <row r="30424" spans="25:25" x14ac:dyDescent="0.2">
      <c r="Y30424" s="97"/>
    </row>
    <row r="30425" spans="25:25" x14ac:dyDescent="0.2">
      <c r="Y30425" s="97"/>
    </row>
    <row r="30426" spans="25:25" x14ac:dyDescent="0.2">
      <c r="Y30426" s="97"/>
    </row>
    <row r="30427" spans="25:25" x14ac:dyDescent="0.2">
      <c r="Y30427" s="97"/>
    </row>
    <row r="30428" spans="25:25" x14ac:dyDescent="0.2">
      <c r="Y30428" s="97"/>
    </row>
    <row r="30429" spans="25:25" x14ac:dyDescent="0.2">
      <c r="Y30429" s="97"/>
    </row>
    <row r="30430" spans="25:25" x14ac:dyDescent="0.2">
      <c r="Y30430" s="97"/>
    </row>
    <row r="30431" spans="25:25" x14ac:dyDescent="0.2">
      <c r="Y30431" s="97"/>
    </row>
    <row r="30432" spans="25:25" x14ac:dyDescent="0.2">
      <c r="Y30432" s="97"/>
    </row>
    <row r="30433" spans="25:25" x14ac:dyDescent="0.2">
      <c r="Y30433" s="97"/>
    </row>
    <row r="30434" spans="25:25" x14ac:dyDescent="0.2">
      <c r="Y30434" s="97"/>
    </row>
    <row r="30435" spans="25:25" x14ac:dyDescent="0.2">
      <c r="Y30435" s="97"/>
    </row>
    <row r="30436" spans="25:25" x14ac:dyDescent="0.2">
      <c r="Y30436" s="97"/>
    </row>
    <row r="30437" spans="25:25" x14ac:dyDescent="0.2">
      <c r="Y30437" s="97"/>
    </row>
    <row r="30438" spans="25:25" x14ac:dyDescent="0.2">
      <c r="Y30438" s="97"/>
    </row>
    <row r="30439" spans="25:25" x14ac:dyDescent="0.2">
      <c r="Y30439" s="97"/>
    </row>
    <row r="30440" spans="25:25" x14ac:dyDescent="0.2">
      <c r="Y30440" s="97"/>
    </row>
    <row r="30441" spans="25:25" x14ac:dyDescent="0.2">
      <c r="Y30441" s="97"/>
    </row>
    <row r="30442" spans="25:25" x14ac:dyDescent="0.2">
      <c r="Y30442" s="97"/>
    </row>
    <row r="30443" spans="25:25" x14ac:dyDescent="0.2">
      <c r="Y30443" s="97"/>
    </row>
    <row r="30444" spans="25:25" x14ac:dyDescent="0.2">
      <c r="Y30444" s="97"/>
    </row>
    <row r="30445" spans="25:25" x14ac:dyDescent="0.2">
      <c r="Y30445" s="97"/>
    </row>
    <row r="30446" spans="25:25" x14ac:dyDescent="0.2">
      <c r="Y30446" s="97"/>
    </row>
    <row r="30447" spans="25:25" x14ac:dyDescent="0.2">
      <c r="Y30447" s="97"/>
    </row>
    <row r="30448" spans="25:25" x14ac:dyDescent="0.2">
      <c r="Y30448" s="97"/>
    </row>
    <row r="30449" spans="25:25" x14ac:dyDescent="0.2">
      <c r="Y30449" s="97"/>
    </row>
    <row r="30450" spans="25:25" x14ac:dyDescent="0.2">
      <c r="Y30450" s="97"/>
    </row>
    <row r="30451" spans="25:25" x14ac:dyDescent="0.2">
      <c r="Y30451" s="97"/>
    </row>
    <row r="30452" spans="25:25" x14ac:dyDescent="0.2">
      <c r="Y30452" s="97"/>
    </row>
    <row r="30453" spans="25:25" x14ac:dyDescent="0.2">
      <c r="Y30453" s="97"/>
    </row>
    <row r="30454" spans="25:25" x14ac:dyDescent="0.2">
      <c r="Y30454" s="97"/>
    </row>
    <row r="30455" spans="25:25" x14ac:dyDescent="0.2">
      <c r="Y30455" s="97"/>
    </row>
    <row r="30456" spans="25:25" x14ac:dyDescent="0.2">
      <c r="Y30456" s="97"/>
    </row>
    <row r="30457" spans="25:25" x14ac:dyDescent="0.2">
      <c r="Y30457" s="97"/>
    </row>
    <row r="30458" spans="25:25" x14ac:dyDescent="0.2">
      <c r="Y30458" s="97"/>
    </row>
    <row r="30459" spans="25:25" x14ac:dyDescent="0.2">
      <c r="Y30459" s="97"/>
    </row>
    <row r="30460" spans="25:25" x14ac:dyDescent="0.2">
      <c r="Y30460" s="97"/>
    </row>
    <row r="30461" spans="25:25" x14ac:dyDescent="0.2">
      <c r="Y30461" s="97"/>
    </row>
    <row r="30462" spans="25:25" x14ac:dyDescent="0.2">
      <c r="Y30462" s="97"/>
    </row>
    <row r="30463" spans="25:25" x14ac:dyDescent="0.2">
      <c r="Y30463" s="97"/>
    </row>
    <row r="30464" spans="25:25" x14ac:dyDescent="0.2">
      <c r="Y30464" s="97"/>
    </row>
    <row r="30465" spans="25:25" x14ac:dyDescent="0.2">
      <c r="Y30465" s="97"/>
    </row>
    <row r="30466" spans="25:25" x14ac:dyDescent="0.2">
      <c r="Y30466" s="97"/>
    </row>
    <row r="30467" spans="25:25" x14ac:dyDescent="0.2">
      <c r="Y30467" s="97"/>
    </row>
    <row r="30468" spans="25:25" x14ac:dyDescent="0.2">
      <c r="Y30468" s="97"/>
    </row>
    <row r="30469" spans="25:25" x14ac:dyDescent="0.2">
      <c r="Y30469" s="97"/>
    </row>
    <row r="30470" spans="25:25" x14ac:dyDescent="0.2">
      <c r="Y30470" s="97"/>
    </row>
    <row r="30471" spans="25:25" x14ac:dyDescent="0.2">
      <c r="Y30471" s="97"/>
    </row>
    <row r="30472" spans="25:25" x14ac:dyDescent="0.2">
      <c r="Y30472" s="97"/>
    </row>
    <row r="30473" spans="25:25" x14ac:dyDescent="0.2">
      <c r="Y30473" s="97"/>
    </row>
    <row r="30474" spans="25:25" x14ac:dyDescent="0.2">
      <c r="Y30474" s="97"/>
    </row>
    <row r="30475" spans="25:25" x14ac:dyDescent="0.2">
      <c r="Y30475" s="97"/>
    </row>
    <row r="30476" spans="25:25" x14ac:dyDescent="0.2">
      <c r="Y30476" s="97"/>
    </row>
    <row r="30477" spans="25:25" x14ac:dyDescent="0.2">
      <c r="Y30477" s="97"/>
    </row>
    <row r="30478" spans="25:25" x14ac:dyDescent="0.2">
      <c r="Y30478" s="97"/>
    </row>
    <row r="30479" spans="25:25" x14ac:dyDescent="0.2">
      <c r="Y30479" s="97"/>
    </row>
    <row r="30480" spans="25:25" x14ac:dyDescent="0.2">
      <c r="Y30480" s="97"/>
    </row>
    <row r="30481" spans="25:25" x14ac:dyDescent="0.2">
      <c r="Y30481" s="97"/>
    </row>
    <row r="30482" spans="25:25" x14ac:dyDescent="0.2">
      <c r="Y30482" s="97"/>
    </row>
    <row r="30483" spans="25:25" x14ac:dyDescent="0.2">
      <c r="Y30483" s="97"/>
    </row>
    <row r="30484" spans="25:25" x14ac:dyDescent="0.2">
      <c r="Y30484" s="97"/>
    </row>
    <row r="30485" spans="25:25" x14ac:dyDescent="0.2">
      <c r="Y30485" s="97"/>
    </row>
    <row r="30486" spans="25:25" x14ac:dyDescent="0.2">
      <c r="Y30486" s="97"/>
    </row>
    <row r="30487" spans="25:25" x14ac:dyDescent="0.2">
      <c r="Y30487" s="97"/>
    </row>
    <row r="30488" spans="25:25" x14ac:dyDescent="0.2">
      <c r="Y30488" s="97"/>
    </row>
    <row r="30489" spans="25:25" x14ac:dyDescent="0.2">
      <c r="Y30489" s="97"/>
    </row>
    <row r="30490" spans="25:25" x14ac:dyDescent="0.2">
      <c r="Y30490" s="97"/>
    </row>
    <row r="30491" spans="25:25" x14ac:dyDescent="0.2">
      <c r="Y30491" s="97"/>
    </row>
    <row r="30492" spans="25:25" x14ac:dyDescent="0.2">
      <c r="Y30492" s="97"/>
    </row>
    <row r="30493" spans="25:25" x14ac:dyDescent="0.2">
      <c r="Y30493" s="97"/>
    </row>
    <row r="30494" spans="25:25" x14ac:dyDescent="0.2">
      <c r="Y30494" s="97"/>
    </row>
    <row r="30495" spans="25:25" x14ac:dyDescent="0.2">
      <c r="Y30495" s="97"/>
    </row>
    <row r="30496" spans="25:25" x14ac:dyDescent="0.2">
      <c r="Y30496" s="97"/>
    </row>
    <row r="30497" spans="25:25" x14ac:dyDescent="0.2">
      <c r="Y30497" s="97"/>
    </row>
    <row r="30498" spans="25:25" x14ac:dyDescent="0.2">
      <c r="Y30498" s="97"/>
    </row>
    <row r="30499" spans="25:25" x14ac:dyDescent="0.2">
      <c r="Y30499" s="97"/>
    </row>
    <row r="30500" spans="25:25" x14ac:dyDescent="0.2">
      <c r="Y30500" s="97"/>
    </row>
    <row r="30501" spans="25:25" x14ac:dyDescent="0.2">
      <c r="Y30501" s="97"/>
    </row>
    <row r="30502" spans="25:25" x14ac:dyDescent="0.2">
      <c r="Y30502" s="97"/>
    </row>
    <row r="30503" spans="25:25" x14ac:dyDescent="0.2">
      <c r="Y30503" s="97"/>
    </row>
    <row r="30504" spans="25:25" x14ac:dyDescent="0.2">
      <c r="Y30504" s="97"/>
    </row>
    <row r="30505" spans="25:25" x14ac:dyDescent="0.2">
      <c r="Y30505" s="97"/>
    </row>
    <row r="30506" spans="25:25" x14ac:dyDescent="0.2">
      <c r="Y30506" s="97"/>
    </row>
    <row r="30507" spans="25:25" x14ac:dyDescent="0.2">
      <c r="Y30507" s="97"/>
    </row>
    <row r="30508" spans="25:25" x14ac:dyDescent="0.2">
      <c r="Y30508" s="97"/>
    </row>
    <row r="30509" spans="25:25" x14ac:dyDescent="0.2">
      <c r="Y30509" s="97"/>
    </row>
    <row r="30510" spans="25:25" x14ac:dyDescent="0.2">
      <c r="Y30510" s="97"/>
    </row>
    <row r="30511" spans="25:25" x14ac:dyDescent="0.2">
      <c r="Y30511" s="97"/>
    </row>
    <row r="30512" spans="25:25" x14ac:dyDescent="0.2">
      <c r="Y30512" s="97"/>
    </row>
    <row r="30513" spans="25:25" x14ac:dyDescent="0.2">
      <c r="Y30513" s="97"/>
    </row>
    <row r="30514" spans="25:25" x14ac:dyDescent="0.2">
      <c r="Y30514" s="97"/>
    </row>
    <row r="30515" spans="25:25" x14ac:dyDescent="0.2">
      <c r="Y30515" s="97"/>
    </row>
    <row r="30516" spans="25:25" x14ac:dyDescent="0.2">
      <c r="Y30516" s="97"/>
    </row>
    <row r="30517" spans="25:25" x14ac:dyDescent="0.2">
      <c r="Y30517" s="97"/>
    </row>
    <row r="30518" spans="25:25" x14ac:dyDescent="0.2">
      <c r="Y30518" s="97"/>
    </row>
    <row r="30519" spans="25:25" x14ac:dyDescent="0.2">
      <c r="Y30519" s="97"/>
    </row>
    <row r="30520" spans="25:25" x14ac:dyDescent="0.2">
      <c r="Y30520" s="97"/>
    </row>
    <row r="30521" spans="25:25" x14ac:dyDescent="0.2">
      <c r="Y30521" s="97"/>
    </row>
    <row r="30522" spans="25:25" x14ac:dyDescent="0.2">
      <c r="Y30522" s="97"/>
    </row>
    <row r="30523" spans="25:25" x14ac:dyDescent="0.2">
      <c r="Y30523" s="97"/>
    </row>
    <row r="30524" spans="25:25" x14ac:dyDescent="0.2">
      <c r="Y30524" s="97"/>
    </row>
    <row r="30525" spans="25:25" x14ac:dyDescent="0.2">
      <c r="Y30525" s="97"/>
    </row>
    <row r="30526" spans="25:25" x14ac:dyDescent="0.2">
      <c r="Y30526" s="97"/>
    </row>
    <row r="30527" spans="25:25" x14ac:dyDescent="0.2">
      <c r="Y30527" s="97"/>
    </row>
    <row r="30528" spans="25:25" x14ac:dyDescent="0.2">
      <c r="Y30528" s="97"/>
    </row>
    <row r="30529" spans="25:25" x14ac:dyDescent="0.2">
      <c r="Y30529" s="97"/>
    </row>
    <row r="30530" spans="25:25" x14ac:dyDescent="0.2">
      <c r="Y30530" s="97"/>
    </row>
    <row r="30531" spans="25:25" x14ac:dyDescent="0.2">
      <c r="Y30531" s="97"/>
    </row>
    <row r="30532" spans="25:25" x14ac:dyDescent="0.2">
      <c r="Y30532" s="97"/>
    </row>
    <row r="30533" spans="25:25" x14ac:dyDescent="0.2">
      <c r="Y30533" s="97"/>
    </row>
    <row r="30534" spans="25:25" x14ac:dyDescent="0.2">
      <c r="Y30534" s="97"/>
    </row>
    <row r="30535" spans="25:25" x14ac:dyDescent="0.2">
      <c r="Y30535" s="97"/>
    </row>
    <row r="30536" spans="25:25" x14ac:dyDescent="0.2">
      <c r="Y30536" s="97"/>
    </row>
    <row r="30537" spans="25:25" x14ac:dyDescent="0.2">
      <c r="Y30537" s="97"/>
    </row>
    <row r="30538" spans="25:25" x14ac:dyDescent="0.2">
      <c r="Y30538" s="97"/>
    </row>
    <row r="30539" spans="25:25" x14ac:dyDescent="0.2">
      <c r="Y30539" s="97"/>
    </row>
    <row r="30540" spans="25:25" x14ac:dyDescent="0.2">
      <c r="Y30540" s="97"/>
    </row>
    <row r="30541" spans="25:25" x14ac:dyDescent="0.2">
      <c r="Y30541" s="97"/>
    </row>
    <row r="30542" spans="25:25" x14ac:dyDescent="0.2">
      <c r="Y30542" s="97"/>
    </row>
    <row r="30543" spans="25:25" x14ac:dyDescent="0.2">
      <c r="Y30543" s="97"/>
    </row>
    <row r="30544" spans="25:25" x14ac:dyDescent="0.2">
      <c r="Y30544" s="97"/>
    </row>
    <row r="30545" spans="25:25" x14ac:dyDescent="0.2">
      <c r="Y30545" s="97"/>
    </row>
    <row r="30546" spans="25:25" x14ac:dyDescent="0.2">
      <c r="Y30546" s="97"/>
    </row>
    <row r="30547" spans="25:25" x14ac:dyDescent="0.2">
      <c r="Y30547" s="97"/>
    </row>
    <row r="30548" spans="25:25" x14ac:dyDescent="0.2">
      <c r="Y30548" s="97"/>
    </row>
    <row r="30549" spans="25:25" x14ac:dyDescent="0.2">
      <c r="Y30549" s="97"/>
    </row>
    <row r="30550" spans="25:25" x14ac:dyDescent="0.2">
      <c r="Y30550" s="97"/>
    </row>
    <row r="30551" spans="25:25" x14ac:dyDescent="0.2">
      <c r="Y30551" s="97"/>
    </row>
    <row r="30552" spans="25:25" x14ac:dyDescent="0.2">
      <c r="Y30552" s="97"/>
    </row>
    <row r="30553" spans="25:25" x14ac:dyDescent="0.2">
      <c r="Y30553" s="97"/>
    </row>
    <row r="30554" spans="25:25" x14ac:dyDescent="0.2">
      <c r="Y30554" s="97"/>
    </row>
    <row r="30555" spans="25:25" x14ac:dyDescent="0.2">
      <c r="Y30555" s="97"/>
    </row>
    <row r="30556" spans="25:25" x14ac:dyDescent="0.2">
      <c r="Y30556" s="97"/>
    </row>
    <row r="30557" spans="25:25" x14ac:dyDescent="0.2">
      <c r="Y30557" s="97"/>
    </row>
    <row r="30558" spans="25:25" x14ac:dyDescent="0.2">
      <c r="Y30558" s="97"/>
    </row>
    <row r="30559" spans="25:25" x14ac:dyDescent="0.2">
      <c r="Y30559" s="97"/>
    </row>
    <row r="30560" spans="25:25" x14ac:dyDescent="0.2">
      <c r="Y30560" s="97"/>
    </row>
    <row r="30561" spans="25:25" x14ac:dyDescent="0.2">
      <c r="Y30561" s="97"/>
    </row>
    <row r="30562" spans="25:25" x14ac:dyDescent="0.2">
      <c r="Y30562" s="97"/>
    </row>
    <row r="30563" spans="25:25" x14ac:dyDescent="0.2">
      <c r="Y30563" s="97"/>
    </row>
    <row r="30564" spans="25:25" x14ac:dyDescent="0.2">
      <c r="Y30564" s="97"/>
    </row>
    <row r="30565" spans="25:25" x14ac:dyDescent="0.2">
      <c r="Y30565" s="97"/>
    </row>
    <row r="30566" spans="25:25" x14ac:dyDescent="0.2">
      <c r="Y30566" s="97"/>
    </row>
    <row r="30567" spans="25:25" x14ac:dyDescent="0.2">
      <c r="Y30567" s="97"/>
    </row>
    <row r="30568" spans="25:25" x14ac:dyDescent="0.2">
      <c r="Y30568" s="97"/>
    </row>
    <row r="30569" spans="25:25" x14ac:dyDescent="0.2">
      <c r="Y30569" s="97"/>
    </row>
    <row r="30570" spans="25:25" x14ac:dyDescent="0.2">
      <c r="Y30570" s="97"/>
    </row>
    <row r="30571" spans="25:25" x14ac:dyDescent="0.2">
      <c r="Y30571" s="97"/>
    </row>
    <row r="30572" spans="25:25" x14ac:dyDescent="0.2">
      <c r="Y30572" s="97"/>
    </row>
    <row r="30573" spans="25:25" x14ac:dyDescent="0.2">
      <c r="Y30573" s="97"/>
    </row>
    <row r="30574" spans="25:25" x14ac:dyDescent="0.2">
      <c r="Y30574" s="97"/>
    </row>
    <row r="30575" spans="25:25" x14ac:dyDescent="0.2">
      <c r="Y30575" s="97"/>
    </row>
    <row r="30576" spans="25:25" x14ac:dyDescent="0.2">
      <c r="Y30576" s="97"/>
    </row>
    <row r="30577" spans="25:25" x14ac:dyDescent="0.2">
      <c r="Y30577" s="97"/>
    </row>
    <row r="30578" spans="25:25" x14ac:dyDescent="0.2">
      <c r="Y30578" s="97"/>
    </row>
    <row r="30579" spans="25:25" x14ac:dyDescent="0.2">
      <c r="Y30579" s="97"/>
    </row>
    <row r="30580" spans="25:25" x14ac:dyDescent="0.2">
      <c r="Y30580" s="97"/>
    </row>
    <row r="30581" spans="25:25" x14ac:dyDescent="0.2">
      <c r="Y30581" s="97"/>
    </row>
    <row r="30582" spans="25:25" x14ac:dyDescent="0.2">
      <c r="Y30582" s="97"/>
    </row>
    <row r="30583" spans="25:25" x14ac:dyDescent="0.2">
      <c r="Y30583" s="97"/>
    </row>
    <row r="30584" spans="25:25" x14ac:dyDescent="0.2">
      <c r="Y30584" s="97"/>
    </row>
    <row r="30585" spans="25:25" x14ac:dyDescent="0.2">
      <c r="Y30585" s="97"/>
    </row>
    <row r="30586" spans="25:25" x14ac:dyDescent="0.2">
      <c r="Y30586" s="97"/>
    </row>
    <row r="30587" spans="25:25" x14ac:dyDescent="0.2">
      <c r="Y30587" s="97"/>
    </row>
    <row r="30588" spans="25:25" x14ac:dyDescent="0.2">
      <c r="Y30588" s="97"/>
    </row>
    <row r="30589" spans="25:25" x14ac:dyDescent="0.2">
      <c r="Y30589" s="97"/>
    </row>
    <row r="30590" spans="25:25" x14ac:dyDescent="0.2">
      <c r="Y30590" s="97"/>
    </row>
    <row r="30591" spans="25:25" x14ac:dyDescent="0.2">
      <c r="Y30591" s="97"/>
    </row>
    <row r="30592" spans="25:25" x14ac:dyDescent="0.2">
      <c r="Y30592" s="97"/>
    </row>
    <row r="30593" spans="25:25" x14ac:dyDescent="0.2">
      <c r="Y30593" s="97"/>
    </row>
    <row r="30594" spans="25:25" x14ac:dyDescent="0.2">
      <c r="Y30594" s="97"/>
    </row>
    <row r="30595" spans="25:25" x14ac:dyDescent="0.2">
      <c r="Y30595" s="97"/>
    </row>
    <row r="30596" spans="25:25" x14ac:dyDescent="0.2">
      <c r="Y30596" s="97"/>
    </row>
    <row r="30597" spans="25:25" x14ac:dyDescent="0.2">
      <c r="Y30597" s="97"/>
    </row>
    <row r="30598" spans="25:25" x14ac:dyDescent="0.2">
      <c r="Y30598" s="97"/>
    </row>
    <row r="30599" spans="25:25" x14ac:dyDescent="0.2">
      <c r="Y30599" s="97"/>
    </row>
    <row r="30600" spans="25:25" x14ac:dyDescent="0.2">
      <c r="Y30600" s="97"/>
    </row>
    <row r="30601" spans="25:25" x14ac:dyDescent="0.2">
      <c r="Y30601" s="97"/>
    </row>
    <row r="30602" spans="25:25" x14ac:dyDescent="0.2">
      <c r="Y30602" s="97"/>
    </row>
    <row r="30603" spans="25:25" x14ac:dyDescent="0.2">
      <c r="Y30603" s="97"/>
    </row>
    <row r="30604" spans="25:25" x14ac:dyDescent="0.2">
      <c r="Y30604" s="97"/>
    </row>
    <row r="30605" spans="25:25" x14ac:dyDescent="0.2">
      <c r="Y30605" s="97"/>
    </row>
    <row r="30606" spans="25:25" x14ac:dyDescent="0.2">
      <c r="Y30606" s="97"/>
    </row>
    <row r="30607" spans="25:25" x14ac:dyDescent="0.2">
      <c r="Y30607" s="97"/>
    </row>
    <row r="30608" spans="25:25" x14ac:dyDescent="0.2">
      <c r="Y30608" s="97"/>
    </row>
    <row r="30609" spans="25:25" x14ac:dyDescent="0.2">
      <c r="Y30609" s="97"/>
    </row>
    <row r="30610" spans="25:25" x14ac:dyDescent="0.2">
      <c r="Y30610" s="97"/>
    </row>
    <row r="30611" spans="25:25" x14ac:dyDescent="0.2">
      <c r="Y30611" s="97"/>
    </row>
    <row r="30612" spans="25:25" x14ac:dyDescent="0.2">
      <c r="Y30612" s="97"/>
    </row>
    <row r="30613" spans="25:25" x14ac:dyDescent="0.2">
      <c r="Y30613" s="97"/>
    </row>
    <row r="30614" spans="25:25" x14ac:dyDescent="0.2">
      <c r="Y30614" s="97"/>
    </row>
    <row r="30615" spans="25:25" x14ac:dyDescent="0.2">
      <c r="Y30615" s="97"/>
    </row>
    <row r="30616" spans="25:25" x14ac:dyDescent="0.2">
      <c r="Y30616" s="97"/>
    </row>
    <row r="30617" spans="25:25" x14ac:dyDescent="0.2">
      <c r="Y30617" s="97"/>
    </row>
    <row r="30618" spans="25:25" x14ac:dyDescent="0.2">
      <c r="Y30618" s="97"/>
    </row>
    <row r="30619" spans="25:25" x14ac:dyDescent="0.2">
      <c r="Y30619" s="97"/>
    </row>
    <row r="30620" spans="25:25" x14ac:dyDescent="0.2">
      <c r="Y30620" s="97"/>
    </row>
    <row r="30621" spans="25:25" x14ac:dyDescent="0.2">
      <c r="Y30621" s="97"/>
    </row>
    <row r="30622" spans="25:25" x14ac:dyDescent="0.2">
      <c r="Y30622" s="97"/>
    </row>
    <row r="30623" spans="25:25" x14ac:dyDescent="0.2">
      <c r="Y30623" s="97"/>
    </row>
    <row r="30624" spans="25:25" x14ac:dyDescent="0.2">
      <c r="Y30624" s="97"/>
    </row>
    <row r="30625" spans="25:25" x14ac:dyDescent="0.2">
      <c r="Y30625" s="97"/>
    </row>
    <row r="30626" spans="25:25" x14ac:dyDescent="0.2">
      <c r="Y30626" s="97"/>
    </row>
    <row r="30627" spans="25:25" x14ac:dyDescent="0.2">
      <c r="Y30627" s="97"/>
    </row>
    <row r="30628" spans="25:25" x14ac:dyDescent="0.2">
      <c r="Y30628" s="97"/>
    </row>
    <row r="30629" spans="25:25" x14ac:dyDescent="0.2">
      <c r="Y30629" s="97"/>
    </row>
    <row r="30630" spans="25:25" x14ac:dyDescent="0.2">
      <c r="Y30630" s="97"/>
    </row>
    <row r="30631" spans="25:25" x14ac:dyDescent="0.2">
      <c r="Y30631" s="97"/>
    </row>
    <row r="30632" spans="25:25" x14ac:dyDescent="0.2">
      <c r="Y30632" s="97"/>
    </row>
    <row r="30633" spans="25:25" x14ac:dyDescent="0.2">
      <c r="Y30633" s="97"/>
    </row>
    <row r="30634" spans="25:25" x14ac:dyDescent="0.2">
      <c r="Y30634" s="97"/>
    </row>
    <row r="30635" spans="25:25" x14ac:dyDescent="0.2">
      <c r="Y30635" s="97"/>
    </row>
    <row r="30636" spans="25:25" x14ac:dyDescent="0.2">
      <c r="Y30636" s="97"/>
    </row>
    <row r="30637" spans="25:25" x14ac:dyDescent="0.2">
      <c r="Y30637" s="97"/>
    </row>
    <row r="30638" spans="25:25" x14ac:dyDescent="0.2">
      <c r="Y30638" s="97"/>
    </row>
    <row r="30639" spans="25:25" x14ac:dyDescent="0.2">
      <c r="Y30639" s="97"/>
    </row>
    <row r="30640" spans="25:25" x14ac:dyDescent="0.2">
      <c r="Y30640" s="97"/>
    </row>
    <row r="30641" spans="25:25" x14ac:dyDescent="0.2">
      <c r="Y30641" s="97"/>
    </row>
    <row r="30642" spans="25:25" x14ac:dyDescent="0.2">
      <c r="Y30642" s="97"/>
    </row>
    <row r="30643" spans="25:25" x14ac:dyDescent="0.2">
      <c r="Y30643" s="97"/>
    </row>
    <row r="30644" spans="25:25" x14ac:dyDescent="0.2">
      <c r="Y30644" s="97"/>
    </row>
    <row r="30645" spans="25:25" x14ac:dyDescent="0.2">
      <c r="Y30645" s="97"/>
    </row>
    <row r="30646" spans="25:25" x14ac:dyDescent="0.2">
      <c r="Y30646" s="97"/>
    </row>
    <row r="30647" spans="25:25" x14ac:dyDescent="0.2">
      <c r="Y30647" s="97"/>
    </row>
    <row r="30648" spans="25:25" x14ac:dyDescent="0.2">
      <c r="Y30648" s="97"/>
    </row>
    <row r="30649" spans="25:25" x14ac:dyDescent="0.2">
      <c r="Y30649" s="97"/>
    </row>
    <row r="30650" spans="25:25" x14ac:dyDescent="0.2">
      <c r="Y30650" s="97"/>
    </row>
    <row r="30651" spans="25:25" x14ac:dyDescent="0.2">
      <c r="Y30651" s="97"/>
    </row>
    <row r="30652" spans="25:25" x14ac:dyDescent="0.2">
      <c r="Y30652" s="97"/>
    </row>
    <row r="30653" spans="25:25" x14ac:dyDescent="0.2">
      <c r="Y30653" s="97"/>
    </row>
    <row r="30654" spans="25:25" x14ac:dyDescent="0.2">
      <c r="Y30654" s="97"/>
    </row>
    <row r="30655" spans="25:25" x14ac:dyDescent="0.2">
      <c r="Y30655" s="97"/>
    </row>
    <row r="30656" spans="25:25" x14ac:dyDescent="0.2">
      <c r="Y30656" s="97"/>
    </row>
    <row r="30657" spans="25:25" x14ac:dyDescent="0.2">
      <c r="Y30657" s="97"/>
    </row>
    <row r="30658" spans="25:25" x14ac:dyDescent="0.2">
      <c r="Y30658" s="97"/>
    </row>
    <row r="30659" spans="25:25" x14ac:dyDescent="0.2">
      <c r="Y30659" s="97"/>
    </row>
    <row r="30660" spans="25:25" x14ac:dyDescent="0.2">
      <c r="Y30660" s="97"/>
    </row>
    <row r="30661" spans="25:25" x14ac:dyDescent="0.2">
      <c r="Y30661" s="97"/>
    </row>
    <row r="30662" spans="25:25" x14ac:dyDescent="0.2">
      <c r="Y30662" s="97"/>
    </row>
    <row r="30663" spans="25:25" x14ac:dyDescent="0.2">
      <c r="Y30663" s="97"/>
    </row>
    <row r="30664" spans="25:25" x14ac:dyDescent="0.2">
      <c r="Y30664" s="97"/>
    </row>
    <row r="30665" spans="25:25" x14ac:dyDescent="0.2">
      <c r="Y30665" s="97"/>
    </row>
    <row r="30666" spans="25:25" x14ac:dyDescent="0.2">
      <c r="Y30666" s="97"/>
    </row>
    <row r="30667" spans="25:25" x14ac:dyDescent="0.2">
      <c r="Y30667" s="97"/>
    </row>
    <row r="30668" spans="25:25" x14ac:dyDescent="0.2">
      <c r="Y30668" s="97"/>
    </row>
    <row r="30669" spans="25:25" x14ac:dyDescent="0.2">
      <c r="Y30669" s="97"/>
    </row>
    <row r="30670" spans="25:25" x14ac:dyDescent="0.2">
      <c r="Y30670" s="97"/>
    </row>
    <row r="30671" spans="25:25" x14ac:dyDescent="0.2">
      <c r="Y30671" s="97"/>
    </row>
    <row r="30672" spans="25:25" x14ac:dyDescent="0.2">
      <c r="Y30672" s="97"/>
    </row>
    <row r="30673" spans="25:25" x14ac:dyDescent="0.2">
      <c r="Y30673" s="97"/>
    </row>
    <row r="30674" spans="25:25" x14ac:dyDescent="0.2">
      <c r="Y30674" s="97"/>
    </row>
    <row r="30675" spans="25:25" x14ac:dyDescent="0.2">
      <c r="Y30675" s="97"/>
    </row>
    <row r="30676" spans="25:25" x14ac:dyDescent="0.2">
      <c r="Y30676" s="97"/>
    </row>
    <row r="30677" spans="25:25" x14ac:dyDescent="0.2">
      <c r="Y30677" s="97"/>
    </row>
    <row r="30678" spans="25:25" x14ac:dyDescent="0.2">
      <c r="Y30678" s="97"/>
    </row>
    <row r="30679" spans="25:25" x14ac:dyDescent="0.2">
      <c r="Y30679" s="97"/>
    </row>
    <row r="30680" spans="25:25" x14ac:dyDescent="0.2">
      <c r="Y30680" s="97"/>
    </row>
    <row r="30681" spans="25:25" x14ac:dyDescent="0.2">
      <c r="Y30681" s="97"/>
    </row>
    <row r="30682" spans="25:25" x14ac:dyDescent="0.2">
      <c r="Y30682" s="97"/>
    </row>
    <row r="30683" spans="25:25" x14ac:dyDescent="0.2">
      <c r="Y30683" s="97"/>
    </row>
    <row r="30684" spans="25:25" x14ac:dyDescent="0.2">
      <c r="Y30684" s="97"/>
    </row>
    <row r="30685" spans="25:25" x14ac:dyDescent="0.2">
      <c r="Y30685" s="97"/>
    </row>
    <row r="30686" spans="25:25" x14ac:dyDescent="0.2">
      <c r="Y30686" s="97"/>
    </row>
    <row r="30687" spans="25:25" x14ac:dyDescent="0.2">
      <c r="Y30687" s="97"/>
    </row>
    <row r="30688" spans="25:25" x14ac:dyDescent="0.2">
      <c r="Y30688" s="97"/>
    </row>
    <row r="30689" spans="25:25" x14ac:dyDescent="0.2">
      <c r="Y30689" s="97"/>
    </row>
    <row r="30690" spans="25:25" x14ac:dyDescent="0.2">
      <c r="Y30690" s="97"/>
    </row>
    <row r="30691" spans="25:25" x14ac:dyDescent="0.2">
      <c r="Y30691" s="97"/>
    </row>
    <row r="30692" spans="25:25" x14ac:dyDescent="0.2">
      <c r="Y30692" s="97"/>
    </row>
    <row r="30693" spans="25:25" x14ac:dyDescent="0.2">
      <c r="Y30693" s="97"/>
    </row>
    <row r="30694" spans="25:25" x14ac:dyDescent="0.2">
      <c r="Y30694" s="97"/>
    </row>
    <row r="30695" spans="25:25" x14ac:dyDescent="0.2">
      <c r="Y30695" s="97"/>
    </row>
    <row r="30696" spans="25:25" x14ac:dyDescent="0.2">
      <c r="Y30696" s="97"/>
    </row>
    <row r="30697" spans="25:25" x14ac:dyDescent="0.2">
      <c r="Y30697" s="97"/>
    </row>
    <row r="30698" spans="25:25" x14ac:dyDescent="0.2">
      <c r="Y30698" s="97"/>
    </row>
    <row r="30699" spans="25:25" x14ac:dyDescent="0.2">
      <c r="Y30699" s="97"/>
    </row>
    <row r="30700" spans="25:25" x14ac:dyDescent="0.2">
      <c r="Y30700" s="97"/>
    </row>
    <row r="30701" spans="25:25" x14ac:dyDescent="0.2">
      <c r="Y30701" s="97"/>
    </row>
    <row r="30702" spans="25:25" x14ac:dyDescent="0.2">
      <c r="Y30702" s="97"/>
    </row>
    <row r="30703" spans="25:25" x14ac:dyDescent="0.2">
      <c r="Y30703" s="97"/>
    </row>
    <row r="30704" spans="25:25" x14ac:dyDescent="0.2">
      <c r="Y30704" s="97"/>
    </row>
    <row r="30705" spans="25:25" x14ac:dyDescent="0.2">
      <c r="Y30705" s="97"/>
    </row>
    <row r="30706" spans="25:25" x14ac:dyDescent="0.2">
      <c r="Y30706" s="97"/>
    </row>
    <row r="30707" spans="25:25" x14ac:dyDescent="0.2">
      <c r="Y30707" s="97"/>
    </row>
    <row r="30708" spans="25:25" x14ac:dyDescent="0.2">
      <c r="Y30708" s="97"/>
    </row>
    <row r="30709" spans="25:25" x14ac:dyDescent="0.2">
      <c r="Y30709" s="97"/>
    </row>
    <row r="30710" spans="25:25" x14ac:dyDescent="0.2">
      <c r="Y30710" s="97"/>
    </row>
    <row r="30711" spans="25:25" x14ac:dyDescent="0.2">
      <c r="Y30711" s="97"/>
    </row>
    <row r="30712" spans="25:25" x14ac:dyDescent="0.2">
      <c r="Y30712" s="97"/>
    </row>
    <row r="30713" spans="25:25" x14ac:dyDescent="0.2">
      <c r="Y30713" s="97"/>
    </row>
    <row r="30714" spans="25:25" x14ac:dyDescent="0.2">
      <c r="Y30714" s="97"/>
    </row>
    <row r="30715" spans="25:25" x14ac:dyDescent="0.2">
      <c r="Y30715" s="97"/>
    </row>
    <row r="30716" spans="25:25" x14ac:dyDescent="0.2">
      <c r="Y30716" s="97"/>
    </row>
    <row r="30717" spans="25:25" x14ac:dyDescent="0.2">
      <c r="Y30717" s="97"/>
    </row>
    <row r="30718" spans="25:25" x14ac:dyDescent="0.2">
      <c r="Y30718" s="97"/>
    </row>
    <row r="30719" spans="25:25" x14ac:dyDescent="0.2">
      <c r="Y30719" s="97"/>
    </row>
    <row r="30720" spans="25:25" x14ac:dyDescent="0.2">
      <c r="Y30720" s="97"/>
    </row>
    <row r="30721" spans="25:25" x14ac:dyDescent="0.2">
      <c r="Y30721" s="97"/>
    </row>
    <row r="30722" spans="25:25" x14ac:dyDescent="0.2">
      <c r="Y30722" s="97"/>
    </row>
    <row r="30723" spans="25:25" x14ac:dyDescent="0.2">
      <c r="Y30723" s="97"/>
    </row>
    <row r="30724" spans="25:25" x14ac:dyDescent="0.2">
      <c r="Y30724" s="97"/>
    </row>
    <row r="30725" spans="25:25" x14ac:dyDescent="0.2">
      <c r="Y30725" s="97"/>
    </row>
    <row r="30726" spans="25:25" x14ac:dyDescent="0.2">
      <c r="Y30726" s="97"/>
    </row>
    <row r="30727" spans="25:25" x14ac:dyDescent="0.2">
      <c r="Y30727" s="97"/>
    </row>
    <row r="30728" spans="25:25" x14ac:dyDescent="0.2">
      <c r="Y30728" s="97"/>
    </row>
    <row r="30729" spans="25:25" x14ac:dyDescent="0.2">
      <c r="Y30729" s="97"/>
    </row>
    <row r="30730" spans="25:25" x14ac:dyDescent="0.2">
      <c r="Y30730" s="97"/>
    </row>
    <row r="30731" spans="25:25" x14ac:dyDescent="0.2">
      <c r="Y30731" s="97"/>
    </row>
    <row r="30732" spans="25:25" x14ac:dyDescent="0.2">
      <c r="Y30732" s="97"/>
    </row>
    <row r="30733" spans="25:25" x14ac:dyDescent="0.2">
      <c r="Y30733" s="97"/>
    </row>
    <row r="30734" spans="25:25" x14ac:dyDescent="0.2">
      <c r="Y30734" s="97"/>
    </row>
    <row r="30735" spans="25:25" x14ac:dyDescent="0.2">
      <c r="Y30735" s="97"/>
    </row>
    <row r="30736" spans="25:25" x14ac:dyDescent="0.2">
      <c r="Y30736" s="97"/>
    </row>
    <row r="30737" spans="25:25" x14ac:dyDescent="0.2">
      <c r="Y30737" s="97"/>
    </row>
    <row r="30738" spans="25:25" x14ac:dyDescent="0.2">
      <c r="Y30738" s="97"/>
    </row>
    <row r="30739" spans="25:25" x14ac:dyDescent="0.2">
      <c r="Y30739" s="97"/>
    </row>
    <row r="30740" spans="25:25" x14ac:dyDescent="0.2">
      <c r="Y30740" s="97"/>
    </row>
    <row r="30741" spans="25:25" x14ac:dyDescent="0.2">
      <c r="Y30741" s="97"/>
    </row>
    <row r="30742" spans="25:25" x14ac:dyDescent="0.2">
      <c r="Y30742" s="97"/>
    </row>
    <row r="30743" spans="25:25" x14ac:dyDescent="0.2">
      <c r="Y30743" s="97"/>
    </row>
    <row r="30744" spans="25:25" x14ac:dyDescent="0.2">
      <c r="Y30744" s="97"/>
    </row>
    <row r="30745" spans="25:25" x14ac:dyDescent="0.2">
      <c r="Y30745" s="97"/>
    </row>
    <row r="30746" spans="25:25" x14ac:dyDescent="0.2">
      <c r="Y30746" s="97"/>
    </row>
    <row r="30747" spans="25:25" x14ac:dyDescent="0.2">
      <c r="Y30747" s="97"/>
    </row>
    <row r="30748" spans="25:25" x14ac:dyDescent="0.2">
      <c r="Y30748" s="97"/>
    </row>
    <row r="30749" spans="25:25" x14ac:dyDescent="0.2">
      <c r="Y30749" s="97"/>
    </row>
    <row r="30750" spans="25:25" x14ac:dyDescent="0.2">
      <c r="Y30750" s="97"/>
    </row>
    <row r="30751" spans="25:25" x14ac:dyDescent="0.2">
      <c r="Y30751" s="97"/>
    </row>
    <row r="30752" spans="25:25" x14ac:dyDescent="0.2">
      <c r="Y30752" s="97"/>
    </row>
    <row r="30753" spans="25:25" x14ac:dyDescent="0.2">
      <c r="Y30753" s="97"/>
    </row>
    <row r="30754" spans="25:25" x14ac:dyDescent="0.2">
      <c r="Y30754" s="97"/>
    </row>
    <row r="30755" spans="25:25" x14ac:dyDescent="0.2">
      <c r="Y30755" s="97"/>
    </row>
    <row r="30756" spans="25:25" x14ac:dyDescent="0.2">
      <c r="Y30756" s="97"/>
    </row>
    <row r="30757" spans="25:25" x14ac:dyDescent="0.2">
      <c r="Y30757" s="97"/>
    </row>
    <row r="30758" spans="25:25" x14ac:dyDescent="0.2">
      <c r="Y30758" s="97"/>
    </row>
    <row r="30759" spans="25:25" x14ac:dyDescent="0.2">
      <c r="Y30759" s="97"/>
    </row>
    <row r="30760" spans="25:25" x14ac:dyDescent="0.2">
      <c r="Y30760" s="97"/>
    </row>
    <row r="30761" spans="25:25" x14ac:dyDescent="0.2">
      <c r="Y30761" s="97"/>
    </row>
    <row r="30762" spans="25:25" x14ac:dyDescent="0.2">
      <c r="Y30762" s="97"/>
    </row>
    <row r="30763" spans="25:25" x14ac:dyDescent="0.2">
      <c r="Y30763" s="97"/>
    </row>
    <row r="30764" spans="25:25" x14ac:dyDescent="0.2">
      <c r="Y30764" s="97"/>
    </row>
    <row r="30765" spans="25:25" x14ac:dyDescent="0.2">
      <c r="Y30765" s="97"/>
    </row>
    <row r="30766" spans="25:25" x14ac:dyDescent="0.2">
      <c r="Y30766" s="97"/>
    </row>
    <row r="30767" spans="25:25" x14ac:dyDescent="0.2">
      <c r="Y30767" s="97"/>
    </row>
    <row r="30768" spans="25:25" x14ac:dyDescent="0.2">
      <c r="Y30768" s="97"/>
    </row>
    <row r="30769" spans="25:25" x14ac:dyDescent="0.2">
      <c r="Y30769" s="97"/>
    </row>
    <row r="30770" spans="25:25" x14ac:dyDescent="0.2">
      <c r="Y30770" s="97"/>
    </row>
    <row r="30771" spans="25:25" x14ac:dyDescent="0.2">
      <c r="Y30771" s="97"/>
    </row>
    <row r="30772" spans="25:25" x14ac:dyDescent="0.2">
      <c r="Y30772" s="97"/>
    </row>
    <row r="30773" spans="25:25" x14ac:dyDescent="0.2">
      <c r="Y30773" s="97"/>
    </row>
    <row r="30774" spans="25:25" x14ac:dyDescent="0.2">
      <c r="Y30774" s="97"/>
    </row>
    <row r="30775" spans="25:25" x14ac:dyDescent="0.2">
      <c r="Y30775" s="97"/>
    </row>
    <row r="30776" spans="25:25" x14ac:dyDescent="0.2">
      <c r="Y30776" s="97"/>
    </row>
    <row r="30777" spans="25:25" x14ac:dyDescent="0.2">
      <c r="Y30777" s="97"/>
    </row>
    <row r="30778" spans="25:25" x14ac:dyDescent="0.2">
      <c r="Y30778" s="97"/>
    </row>
    <row r="30779" spans="25:25" x14ac:dyDescent="0.2">
      <c r="Y30779" s="97"/>
    </row>
    <row r="30780" spans="25:25" x14ac:dyDescent="0.2">
      <c r="Y30780" s="97"/>
    </row>
    <row r="30781" spans="25:25" x14ac:dyDescent="0.2">
      <c r="Y30781" s="97"/>
    </row>
    <row r="30782" spans="25:25" x14ac:dyDescent="0.2">
      <c r="Y30782" s="97"/>
    </row>
    <row r="30783" spans="25:25" x14ac:dyDescent="0.2">
      <c r="Y30783" s="97"/>
    </row>
    <row r="30784" spans="25:25" x14ac:dyDescent="0.2">
      <c r="Y30784" s="97"/>
    </row>
    <row r="30785" spans="25:25" x14ac:dyDescent="0.2">
      <c r="Y30785" s="97"/>
    </row>
    <row r="30786" spans="25:25" x14ac:dyDescent="0.2">
      <c r="Y30786" s="97"/>
    </row>
    <row r="30787" spans="25:25" x14ac:dyDescent="0.2">
      <c r="Y30787" s="97"/>
    </row>
    <row r="30788" spans="25:25" x14ac:dyDescent="0.2">
      <c r="Y30788" s="97"/>
    </row>
    <row r="30789" spans="25:25" x14ac:dyDescent="0.2">
      <c r="Y30789" s="97"/>
    </row>
    <row r="30790" spans="25:25" x14ac:dyDescent="0.2">
      <c r="Y30790" s="97"/>
    </row>
    <row r="30791" spans="25:25" x14ac:dyDescent="0.2">
      <c r="Y30791" s="97"/>
    </row>
    <row r="30792" spans="25:25" x14ac:dyDescent="0.2">
      <c r="Y30792" s="97"/>
    </row>
    <row r="30793" spans="25:25" x14ac:dyDescent="0.2">
      <c r="Y30793" s="97"/>
    </row>
    <row r="30794" spans="25:25" x14ac:dyDescent="0.2">
      <c r="Y30794" s="97"/>
    </row>
    <row r="30795" spans="25:25" x14ac:dyDescent="0.2">
      <c r="Y30795" s="97"/>
    </row>
    <row r="30796" spans="25:25" x14ac:dyDescent="0.2">
      <c r="Y30796" s="97"/>
    </row>
    <row r="30797" spans="25:25" x14ac:dyDescent="0.2">
      <c r="Y30797" s="97"/>
    </row>
    <row r="30798" spans="25:25" x14ac:dyDescent="0.2">
      <c r="Y30798" s="97"/>
    </row>
    <row r="30799" spans="25:25" x14ac:dyDescent="0.2">
      <c r="Y30799" s="97"/>
    </row>
    <row r="30800" spans="25:25" x14ac:dyDescent="0.2">
      <c r="Y30800" s="97"/>
    </row>
    <row r="30801" spans="25:25" x14ac:dyDescent="0.2">
      <c r="Y30801" s="97"/>
    </row>
    <row r="30802" spans="25:25" x14ac:dyDescent="0.2">
      <c r="Y30802" s="97"/>
    </row>
    <row r="30803" spans="25:25" x14ac:dyDescent="0.2">
      <c r="Y30803" s="97"/>
    </row>
    <row r="30804" spans="25:25" x14ac:dyDescent="0.2">
      <c r="Y30804" s="97"/>
    </row>
    <row r="30805" spans="25:25" x14ac:dyDescent="0.2">
      <c r="Y30805" s="97"/>
    </row>
    <row r="30806" spans="25:25" x14ac:dyDescent="0.2">
      <c r="Y30806" s="97"/>
    </row>
    <row r="30807" spans="25:25" x14ac:dyDescent="0.2">
      <c r="Y30807" s="97"/>
    </row>
    <row r="30808" spans="25:25" x14ac:dyDescent="0.2">
      <c r="Y30808" s="97"/>
    </row>
    <row r="30809" spans="25:25" x14ac:dyDescent="0.2">
      <c r="Y30809" s="97"/>
    </row>
    <row r="30810" spans="25:25" x14ac:dyDescent="0.2">
      <c r="Y30810" s="97"/>
    </row>
    <row r="30811" spans="25:25" x14ac:dyDescent="0.2">
      <c r="Y30811" s="97"/>
    </row>
    <row r="30812" spans="25:25" x14ac:dyDescent="0.2">
      <c r="Y30812" s="97"/>
    </row>
    <row r="30813" spans="25:25" x14ac:dyDescent="0.2">
      <c r="Y30813" s="97"/>
    </row>
    <row r="30814" spans="25:25" x14ac:dyDescent="0.2">
      <c r="Y30814" s="97"/>
    </row>
    <row r="30815" spans="25:25" x14ac:dyDescent="0.2">
      <c r="Y30815" s="97"/>
    </row>
    <row r="30816" spans="25:25" x14ac:dyDescent="0.2">
      <c r="Y30816" s="97"/>
    </row>
    <row r="30817" spans="25:25" x14ac:dyDescent="0.2">
      <c r="Y30817" s="97"/>
    </row>
    <row r="30818" spans="25:25" x14ac:dyDescent="0.2">
      <c r="Y30818" s="97"/>
    </row>
    <row r="30819" spans="25:25" x14ac:dyDescent="0.2">
      <c r="Y30819" s="97"/>
    </row>
    <row r="30820" spans="25:25" x14ac:dyDescent="0.2">
      <c r="Y30820" s="97"/>
    </row>
    <row r="30821" spans="25:25" x14ac:dyDescent="0.2">
      <c r="Y30821" s="97"/>
    </row>
    <row r="30822" spans="25:25" x14ac:dyDescent="0.2">
      <c r="Y30822" s="97"/>
    </row>
    <row r="30823" spans="25:25" x14ac:dyDescent="0.2">
      <c r="Y30823" s="97"/>
    </row>
    <row r="30824" spans="25:25" x14ac:dyDescent="0.2">
      <c r="Y30824" s="97"/>
    </row>
    <row r="30825" spans="25:25" x14ac:dyDescent="0.2">
      <c r="Y30825" s="97"/>
    </row>
    <row r="30826" spans="25:25" x14ac:dyDescent="0.2">
      <c r="Y30826" s="97"/>
    </row>
    <row r="30827" spans="25:25" x14ac:dyDescent="0.2">
      <c r="Y30827" s="97"/>
    </row>
    <row r="30828" spans="25:25" x14ac:dyDescent="0.2">
      <c r="Y30828" s="97"/>
    </row>
    <row r="30829" spans="25:25" x14ac:dyDescent="0.2">
      <c r="Y30829" s="97"/>
    </row>
    <row r="30830" spans="25:25" x14ac:dyDescent="0.2">
      <c r="Y30830" s="97"/>
    </row>
    <row r="30831" spans="25:25" x14ac:dyDescent="0.2">
      <c r="Y30831" s="97"/>
    </row>
    <row r="30832" spans="25:25" x14ac:dyDescent="0.2">
      <c r="Y30832" s="97"/>
    </row>
    <row r="30833" spans="25:25" x14ac:dyDescent="0.2">
      <c r="Y30833" s="97"/>
    </row>
    <row r="30834" spans="25:25" x14ac:dyDescent="0.2">
      <c r="Y30834" s="97"/>
    </row>
    <row r="30835" spans="25:25" x14ac:dyDescent="0.2">
      <c r="Y30835" s="97"/>
    </row>
    <row r="30836" spans="25:25" x14ac:dyDescent="0.2">
      <c r="Y30836" s="97"/>
    </row>
    <row r="30837" spans="25:25" x14ac:dyDescent="0.2">
      <c r="Y30837" s="97"/>
    </row>
    <row r="30838" spans="25:25" x14ac:dyDescent="0.2">
      <c r="Y30838" s="97"/>
    </row>
    <row r="30839" spans="25:25" x14ac:dyDescent="0.2">
      <c r="Y30839" s="97"/>
    </row>
    <row r="30840" spans="25:25" x14ac:dyDescent="0.2">
      <c r="Y30840" s="97"/>
    </row>
    <row r="30841" spans="25:25" x14ac:dyDescent="0.2">
      <c r="Y30841" s="97"/>
    </row>
    <row r="30842" spans="25:25" x14ac:dyDescent="0.2">
      <c r="Y30842" s="97"/>
    </row>
    <row r="30843" spans="25:25" x14ac:dyDescent="0.2">
      <c r="Y30843" s="97"/>
    </row>
    <row r="30844" spans="25:25" x14ac:dyDescent="0.2">
      <c r="Y30844" s="97"/>
    </row>
    <row r="30845" spans="25:25" x14ac:dyDescent="0.2">
      <c r="Y30845" s="97"/>
    </row>
    <row r="30846" spans="25:25" x14ac:dyDescent="0.2">
      <c r="Y30846" s="97"/>
    </row>
    <row r="30847" spans="25:25" x14ac:dyDescent="0.2">
      <c r="Y30847" s="97"/>
    </row>
    <row r="30848" spans="25:25" x14ac:dyDescent="0.2">
      <c r="Y30848" s="97"/>
    </row>
    <row r="30849" spans="25:25" x14ac:dyDescent="0.2">
      <c r="Y30849" s="97"/>
    </row>
    <row r="30850" spans="25:25" x14ac:dyDescent="0.2">
      <c r="Y30850" s="97"/>
    </row>
    <row r="30851" spans="25:25" x14ac:dyDescent="0.2">
      <c r="Y30851" s="97"/>
    </row>
    <row r="30852" spans="25:25" x14ac:dyDescent="0.2">
      <c r="Y30852" s="97"/>
    </row>
    <row r="30853" spans="25:25" x14ac:dyDescent="0.2">
      <c r="Y30853" s="97"/>
    </row>
    <row r="30854" spans="25:25" x14ac:dyDescent="0.2">
      <c r="Y30854" s="97"/>
    </row>
    <row r="30855" spans="25:25" x14ac:dyDescent="0.2">
      <c r="Y30855" s="97"/>
    </row>
    <row r="30856" spans="25:25" x14ac:dyDescent="0.2">
      <c r="Y30856" s="97"/>
    </row>
    <row r="30857" spans="25:25" x14ac:dyDescent="0.2">
      <c r="Y30857" s="97"/>
    </row>
    <row r="30858" spans="25:25" x14ac:dyDescent="0.2">
      <c r="Y30858" s="97"/>
    </row>
    <row r="30859" spans="25:25" x14ac:dyDescent="0.2">
      <c r="Y30859" s="97"/>
    </row>
    <row r="30860" spans="25:25" x14ac:dyDescent="0.2">
      <c r="Y30860" s="97"/>
    </row>
    <row r="30861" spans="25:25" x14ac:dyDescent="0.2">
      <c r="Y30861" s="97"/>
    </row>
    <row r="30862" spans="25:25" x14ac:dyDescent="0.2">
      <c r="Y30862" s="97"/>
    </row>
    <row r="30863" spans="25:25" x14ac:dyDescent="0.2">
      <c r="Y30863" s="97"/>
    </row>
    <row r="30864" spans="25:25" x14ac:dyDescent="0.2">
      <c r="Y30864" s="97"/>
    </row>
    <row r="30865" spans="25:25" x14ac:dyDescent="0.2">
      <c r="Y30865" s="97"/>
    </row>
    <row r="30866" spans="25:25" x14ac:dyDescent="0.2">
      <c r="Y30866" s="97"/>
    </row>
    <row r="30867" spans="25:25" x14ac:dyDescent="0.2">
      <c r="Y30867" s="97"/>
    </row>
    <row r="30868" spans="25:25" x14ac:dyDescent="0.2">
      <c r="Y30868" s="97"/>
    </row>
    <row r="30869" spans="25:25" x14ac:dyDescent="0.2">
      <c r="Y30869" s="97"/>
    </row>
    <row r="30870" spans="25:25" x14ac:dyDescent="0.2">
      <c r="Y30870" s="97"/>
    </row>
    <row r="30871" spans="25:25" x14ac:dyDescent="0.2">
      <c r="Y30871" s="97"/>
    </row>
    <row r="30872" spans="25:25" x14ac:dyDescent="0.2">
      <c r="Y30872" s="97"/>
    </row>
    <row r="30873" spans="25:25" x14ac:dyDescent="0.2">
      <c r="Y30873" s="97"/>
    </row>
    <row r="30874" spans="25:25" x14ac:dyDescent="0.2">
      <c r="Y30874" s="97"/>
    </row>
    <row r="30875" spans="25:25" x14ac:dyDescent="0.2">
      <c r="Y30875" s="97"/>
    </row>
    <row r="30876" spans="25:25" x14ac:dyDescent="0.2">
      <c r="Y30876" s="97"/>
    </row>
    <row r="30877" spans="25:25" x14ac:dyDescent="0.2">
      <c r="Y30877" s="97"/>
    </row>
    <row r="30878" spans="25:25" x14ac:dyDescent="0.2">
      <c r="Y30878" s="97"/>
    </row>
    <row r="30879" spans="25:25" x14ac:dyDescent="0.2">
      <c r="Y30879" s="97"/>
    </row>
    <row r="30880" spans="25:25" x14ac:dyDescent="0.2">
      <c r="Y30880" s="97"/>
    </row>
    <row r="30881" spans="25:25" x14ac:dyDescent="0.2">
      <c r="Y30881" s="97"/>
    </row>
    <row r="30882" spans="25:25" x14ac:dyDescent="0.2">
      <c r="Y30882" s="97"/>
    </row>
    <row r="30883" spans="25:25" x14ac:dyDescent="0.2">
      <c r="Y30883" s="97"/>
    </row>
    <row r="30884" spans="25:25" x14ac:dyDescent="0.2">
      <c r="Y30884" s="97"/>
    </row>
    <row r="30885" spans="25:25" x14ac:dyDescent="0.2">
      <c r="Y30885" s="97"/>
    </row>
    <row r="30886" spans="25:25" x14ac:dyDescent="0.2">
      <c r="Y30886" s="97"/>
    </row>
    <row r="30887" spans="25:25" x14ac:dyDescent="0.2">
      <c r="Y30887" s="97"/>
    </row>
    <row r="30888" spans="25:25" x14ac:dyDescent="0.2">
      <c r="Y30888" s="97"/>
    </row>
    <row r="30889" spans="25:25" x14ac:dyDescent="0.2">
      <c r="Y30889" s="97"/>
    </row>
    <row r="30890" spans="25:25" x14ac:dyDescent="0.2">
      <c r="Y30890" s="97"/>
    </row>
    <row r="30891" spans="25:25" x14ac:dyDescent="0.2">
      <c r="Y30891" s="97"/>
    </row>
    <row r="30892" spans="25:25" x14ac:dyDescent="0.2">
      <c r="Y30892" s="97"/>
    </row>
    <row r="30893" spans="25:25" x14ac:dyDescent="0.2">
      <c r="Y30893" s="97"/>
    </row>
    <row r="30894" spans="25:25" x14ac:dyDescent="0.2">
      <c r="Y30894" s="97"/>
    </row>
    <row r="30895" spans="25:25" x14ac:dyDescent="0.2">
      <c r="Y30895" s="97"/>
    </row>
    <row r="30896" spans="25:25" x14ac:dyDescent="0.2">
      <c r="Y30896" s="97"/>
    </row>
    <row r="30897" spans="25:25" x14ac:dyDescent="0.2">
      <c r="Y30897" s="97"/>
    </row>
    <row r="30898" spans="25:25" x14ac:dyDescent="0.2">
      <c r="Y30898" s="97"/>
    </row>
    <row r="30899" spans="25:25" x14ac:dyDescent="0.2">
      <c r="Y30899" s="97"/>
    </row>
    <row r="30900" spans="25:25" x14ac:dyDescent="0.2">
      <c r="Y30900" s="97"/>
    </row>
    <row r="30901" spans="25:25" x14ac:dyDescent="0.2">
      <c r="Y30901" s="97"/>
    </row>
    <row r="30902" spans="25:25" x14ac:dyDescent="0.2">
      <c r="Y30902" s="97"/>
    </row>
    <row r="30903" spans="25:25" x14ac:dyDescent="0.2">
      <c r="Y30903" s="97"/>
    </row>
    <row r="30904" spans="25:25" x14ac:dyDescent="0.2">
      <c r="Y30904" s="97"/>
    </row>
    <row r="30905" spans="25:25" x14ac:dyDescent="0.2">
      <c r="Y30905" s="97"/>
    </row>
    <row r="30906" spans="25:25" x14ac:dyDescent="0.2">
      <c r="Y30906" s="97"/>
    </row>
    <row r="30907" spans="25:25" x14ac:dyDescent="0.2">
      <c r="Y30907" s="97"/>
    </row>
    <row r="30908" spans="25:25" x14ac:dyDescent="0.2">
      <c r="Y30908" s="97"/>
    </row>
    <row r="30909" spans="25:25" x14ac:dyDescent="0.2">
      <c r="Y30909" s="97"/>
    </row>
    <row r="30910" spans="25:25" x14ac:dyDescent="0.2">
      <c r="Y30910" s="97"/>
    </row>
    <row r="30911" spans="25:25" x14ac:dyDescent="0.2">
      <c r="Y30911" s="97"/>
    </row>
    <row r="30912" spans="25:25" x14ac:dyDescent="0.2">
      <c r="Y30912" s="97"/>
    </row>
    <row r="30913" spans="25:25" x14ac:dyDescent="0.2">
      <c r="Y30913" s="97"/>
    </row>
    <row r="30914" spans="25:25" x14ac:dyDescent="0.2">
      <c r="Y30914" s="97"/>
    </row>
    <row r="30915" spans="25:25" x14ac:dyDescent="0.2">
      <c r="Y30915" s="97"/>
    </row>
    <row r="30916" spans="25:25" x14ac:dyDescent="0.2">
      <c r="Y30916" s="97"/>
    </row>
    <row r="30917" spans="25:25" x14ac:dyDescent="0.2">
      <c r="Y30917" s="97"/>
    </row>
    <row r="30918" spans="25:25" x14ac:dyDescent="0.2">
      <c r="Y30918" s="97"/>
    </row>
    <row r="30919" spans="25:25" x14ac:dyDescent="0.2">
      <c r="Y30919" s="97"/>
    </row>
    <row r="30920" spans="25:25" x14ac:dyDescent="0.2">
      <c r="Y30920" s="97"/>
    </row>
    <row r="30921" spans="25:25" x14ac:dyDescent="0.2">
      <c r="Y30921" s="97"/>
    </row>
    <row r="30922" spans="25:25" x14ac:dyDescent="0.2">
      <c r="Y30922" s="97"/>
    </row>
    <row r="30923" spans="25:25" x14ac:dyDescent="0.2">
      <c r="Y30923" s="97"/>
    </row>
    <row r="30924" spans="25:25" x14ac:dyDescent="0.2">
      <c r="Y30924" s="97"/>
    </row>
    <row r="30925" spans="25:25" x14ac:dyDescent="0.2">
      <c r="Y30925" s="97"/>
    </row>
    <row r="30926" spans="25:25" x14ac:dyDescent="0.2">
      <c r="Y30926" s="97"/>
    </row>
    <row r="30927" spans="25:25" x14ac:dyDescent="0.2">
      <c r="Y30927" s="97"/>
    </row>
    <row r="30928" spans="25:25" x14ac:dyDescent="0.2">
      <c r="Y30928" s="97"/>
    </row>
    <row r="30929" spans="25:25" x14ac:dyDescent="0.2">
      <c r="Y30929" s="97"/>
    </row>
    <row r="30930" spans="25:25" x14ac:dyDescent="0.2">
      <c r="Y30930" s="97"/>
    </row>
    <row r="30931" spans="25:25" x14ac:dyDescent="0.2">
      <c r="Y30931" s="97"/>
    </row>
    <row r="30932" spans="25:25" x14ac:dyDescent="0.2">
      <c r="Y30932" s="97"/>
    </row>
    <row r="30933" spans="25:25" x14ac:dyDescent="0.2">
      <c r="Y30933" s="97"/>
    </row>
    <row r="30934" spans="25:25" x14ac:dyDescent="0.2">
      <c r="Y30934" s="97"/>
    </row>
    <row r="30935" spans="25:25" x14ac:dyDescent="0.2">
      <c r="Y30935" s="97"/>
    </row>
    <row r="30936" spans="25:25" x14ac:dyDescent="0.2">
      <c r="Y30936" s="97"/>
    </row>
    <row r="30937" spans="25:25" x14ac:dyDescent="0.2">
      <c r="Y30937" s="97"/>
    </row>
    <row r="30938" spans="25:25" x14ac:dyDescent="0.2">
      <c r="Y30938" s="97"/>
    </row>
    <row r="30939" spans="25:25" x14ac:dyDescent="0.2">
      <c r="Y30939" s="97"/>
    </row>
    <row r="30940" spans="25:25" x14ac:dyDescent="0.2">
      <c r="Y30940" s="97"/>
    </row>
    <row r="30941" spans="25:25" x14ac:dyDescent="0.2">
      <c r="Y30941" s="97"/>
    </row>
    <row r="30942" spans="25:25" x14ac:dyDescent="0.2">
      <c r="Y30942" s="97"/>
    </row>
    <row r="30943" spans="25:25" x14ac:dyDescent="0.2">
      <c r="Y30943" s="97"/>
    </row>
    <row r="30944" spans="25:25" x14ac:dyDescent="0.2">
      <c r="Y30944" s="97"/>
    </row>
    <row r="30945" spans="25:25" x14ac:dyDescent="0.2">
      <c r="Y30945" s="97"/>
    </row>
    <row r="30946" spans="25:25" x14ac:dyDescent="0.2">
      <c r="Y30946" s="97"/>
    </row>
    <row r="30947" spans="25:25" x14ac:dyDescent="0.2">
      <c r="Y30947" s="97"/>
    </row>
    <row r="30948" spans="25:25" x14ac:dyDescent="0.2">
      <c r="Y30948" s="97"/>
    </row>
    <row r="30949" spans="25:25" x14ac:dyDescent="0.2">
      <c r="Y30949" s="97"/>
    </row>
    <row r="30950" spans="25:25" x14ac:dyDescent="0.2">
      <c r="Y30950" s="97"/>
    </row>
    <row r="30951" spans="25:25" x14ac:dyDescent="0.2">
      <c r="Y30951" s="97"/>
    </row>
    <row r="30952" spans="25:25" x14ac:dyDescent="0.2">
      <c r="Y30952" s="97"/>
    </row>
    <row r="30953" spans="25:25" x14ac:dyDescent="0.2">
      <c r="Y30953" s="97"/>
    </row>
    <row r="30954" spans="25:25" x14ac:dyDescent="0.2">
      <c r="Y30954" s="97"/>
    </row>
    <row r="30955" spans="25:25" x14ac:dyDescent="0.2">
      <c r="Y30955" s="97"/>
    </row>
    <row r="30956" spans="25:25" x14ac:dyDescent="0.2">
      <c r="Y30956" s="97"/>
    </row>
    <row r="30957" spans="25:25" x14ac:dyDescent="0.2">
      <c r="Y30957" s="97"/>
    </row>
    <row r="30958" spans="25:25" x14ac:dyDescent="0.2">
      <c r="Y30958" s="97"/>
    </row>
    <row r="30959" spans="25:25" x14ac:dyDescent="0.2">
      <c r="Y30959" s="97"/>
    </row>
    <row r="30960" spans="25:25" x14ac:dyDescent="0.2">
      <c r="Y30960" s="97"/>
    </row>
    <row r="30961" spans="25:25" x14ac:dyDescent="0.2">
      <c r="Y30961" s="97"/>
    </row>
    <row r="30962" spans="25:25" x14ac:dyDescent="0.2">
      <c r="Y30962" s="97"/>
    </row>
    <row r="30963" spans="25:25" x14ac:dyDescent="0.2">
      <c r="Y30963" s="97"/>
    </row>
    <row r="30964" spans="25:25" x14ac:dyDescent="0.2">
      <c r="Y30964" s="97"/>
    </row>
    <row r="30965" spans="25:25" x14ac:dyDescent="0.2">
      <c r="Y30965" s="97"/>
    </row>
    <row r="30966" spans="25:25" x14ac:dyDescent="0.2">
      <c r="Y30966" s="97"/>
    </row>
    <row r="30967" spans="25:25" x14ac:dyDescent="0.2">
      <c r="Y30967" s="97"/>
    </row>
    <row r="30968" spans="25:25" x14ac:dyDescent="0.2">
      <c r="Y30968" s="97"/>
    </row>
    <row r="30969" spans="25:25" x14ac:dyDescent="0.2">
      <c r="Y30969" s="97"/>
    </row>
    <row r="30970" spans="25:25" x14ac:dyDescent="0.2">
      <c r="Y30970" s="97"/>
    </row>
    <row r="30971" spans="25:25" x14ac:dyDescent="0.2">
      <c r="Y30971" s="97"/>
    </row>
    <row r="30972" spans="25:25" x14ac:dyDescent="0.2">
      <c r="Y30972" s="97"/>
    </row>
    <row r="30973" spans="25:25" x14ac:dyDescent="0.2">
      <c r="Y30973" s="97"/>
    </row>
    <row r="30974" spans="25:25" x14ac:dyDescent="0.2">
      <c r="Y30974" s="97"/>
    </row>
    <row r="30975" spans="25:25" x14ac:dyDescent="0.2">
      <c r="Y30975" s="97"/>
    </row>
    <row r="30976" spans="25:25" x14ac:dyDescent="0.2">
      <c r="Y30976" s="97"/>
    </row>
    <row r="30977" spans="25:25" x14ac:dyDescent="0.2">
      <c r="Y30977" s="97"/>
    </row>
    <row r="30978" spans="25:25" x14ac:dyDescent="0.2">
      <c r="Y30978" s="97"/>
    </row>
    <row r="30979" spans="25:25" x14ac:dyDescent="0.2">
      <c r="Y30979" s="97"/>
    </row>
    <row r="30980" spans="25:25" x14ac:dyDescent="0.2">
      <c r="Y30980" s="97"/>
    </row>
    <row r="30981" spans="25:25" x14ac:dyDescent="0.2">
      <c r="Y30981" s="97"/>
    </row>
    <row r="30982" spans="25:25" x14ac:dyDescent="0.2">
      <c r="Y30982" s="97"/>
    </row>
    <row r="30983" spans="25:25" x14ac:dyDescent="0.2">
      <c r="Y30983" s="97"/>
    </row>
    <row r="30984" spans="25:25" x14ac:dyDescent="0.2">
      <c r="Y30984" s="97"/>
    </row>
    <row r="30985" spans="25:25" x14ac:dyDescent="0.2">
      <c r="Y30985" s="97"/>
    </row>
    <row r="30986" spans="25:25" x14ac:dyDescent="0.2">
      <c r="Y30986" s="97"/>
    </row>
    <row r="30987" spans="25:25" x14ac:dyDescent="0.2">
      <c r="Y30987" s="97"/>
    </row>
    <row r="30988" spans="25:25" x14ac:dyDescent="0.2">
      <c r="Y30988" s="97"/>
    </row>
    <row r="30989" spans="25:25" x14ac:dyDescent="0.2">
      <c r="Y30989" s="97"/>
    </row>
    <row r="30990" spans="25:25" x14ac:dyDescent="0.2">
      <c r="Y30990" s="97"/>
    </row>
    <row r="30991" spans="25:25" x14ac:dyDescent="0.2">
      <c r="Y30991" s="97"/>
    </row>
    <row r="30992" spans="25:25" x14ac:dyDescent="0.2">
      <c r="Y30992" s="97"/>
    </row>
    <row r="30993" spans="25:25" x14ac:dyDescent="0.2">
      <c r="Y30993" s="97"/>
    </row>
    <row r="30994" spans="25:25" x14ac:dyDescent="0.2">
      <c r="Y30994" s="97"/>
    </row>
    <row r="30995" spans="25:25" x14ac:dyDescent="0.2">
      <c r="Y30995" s="97"/>
    </row>
    <row r="30996" spans="25:25" x14ac:dyDescent="0.2">
      <c r="Y30996" s="97"/>
    </row>
    <row r="30997" spans="25:25" x14ac:dyDescent="0.2">
      <c r="Y30997" s="97"/>
    </row>
    <row r="30998" spans="25:25" x14ac:dyDescent="0.2">
      <c r="Y30998" s="97"/>
    </row>
    <row r="30999" spans="25:25" x14ac:dyDescent="0.2">
      <c r="Y30999" s="97"/>
    </row>
    <row r="31000" spans="25:25" x14ac:dyDescent="0.2">
      <c r="Y31000" s="97"/>
    </row>
    <row r="31001" spans="25:25" x14ac:dyDescent="0.2">
      <c r="Y31001" s="97"/>
    </row>
    <row r="31002" spans="25:25" x14ac:dyDescent="0.2">
      <c r="Y31002" s="97"/>
    </row>
    <row r="31003" spans="25:25" x14ac:dyDescent="0.2">
      <c r="Y31003" s="97"/>
    </row>
    <row r="31004" spans="25:25" x14ac:dyDescent="0.2">
      <c r="Y31004" s="97"/>
    </row>
    <row r="31005" spans="25:25" x14ac:dyDescent="0.2">
      <c r="Y31005" s="97"/>
    </row>
    <row r="31006" spans="25:25" x14ac:dyDescent="0.2">
      <c r="Y31006" s="97"/>
    </row>
    <row r="31007" spans="25:25" x14ac:dyDescent="0.2">
      <c r="Y31007" s="97"/>
    </row>
    <row r="31008" spans="25:25" x14ac:dyDescent="0.2">
      <c r="Y31008" s="97"/>
    </row>
    <row r="31009" spans="25:25" x14ac:dyDescent="0.2">
      <c r="Y31009" s="97"/>
    </row>
    <row r="31010" spans="25:25" x14ac:dyDescent="0.2">
      <c r="Y31010" s="97"/>
    </row>
    <row r="31011" spans="25:25" x14ac:dyDescent="0.2">
      <c r="Y31011" s="97"/>
    </row>
    <row r="31012" spans="25:25" x14ac:dyDescent="0.2">
      <c r="Y31012" s="97"/>
    </row>
    <row r="31013" spans="25:25" x14ac:dyDescent="0.2">
      <c r="Y31013" s="97"/>
    </row>
    <row r="31014" spans="25:25" x14ac:dyDescent="0.2">
      <c r="Y31014" s="97"/>
    </row>
    <row r="31015" spans="25:25" x14ac:dyDescent="0.2">
      <c r="Y31015" s="97"/>
    </row>
    <row r="31016" spans="25:25" x14ac:dyDescent="0.2">
      <c r="Y31016" s="97"/>
    </row>
    <row r="31017" spans="25:25" x14ac:dyDescent="0.2">
      <c r="Y31017" s="97"/>
    </row>
    <row r="31018" spans="25:25" x14ac:dyDescent="0.2">
      <c r="Y31018" s="97"/>
    </row>
    <row r="31019" spans="25:25" x14ac:dyDescent="0.2">
      <c r="Y31019" s="97"/>
    </row>
    <row r="31020" spans="25:25" x14ac:dyDescent="0.2">
      <c r="Y31020" s="97"/>
    </row>
    <row r="31021" spans="25:25" x14ac:dyDescent="0.2">
      <c r="Y31021" s="97"/>
    </row>
    <row r="31022" spans="25:25" x14ac:dyDescent="0.2">
      <c r="Y31022" s="97"/>
    </row>
    <row r="31023" spans="25:25" x14ac:dyDescent="0.2">
      <c r="Y31023" s="97"/>
    </row>
    <row r="31024" spans="25:25" x14ac:dyDescent="0.2">
      <c r="Y31024" s="97"/>
    </row>
    <row r="31025" spans="25:25" x14ac:dyDescent="0.2">
      <c r="Y31025" s="97"/>
    </row>
    <row r="31026" spans="25:25" x14ac:dyDescent="0.2">
      <c r="Y31026" s="97"/>
    </row>
    <row r="31027" spans="25:25" x14ac:dyDescent="0.2">
      <c r="Y31027" s="97"/>
    </row>
    <row r="31028" spans="25:25" x14ac:dyDescent="0.2">
      <c r="Y31028" s="97"/>
    </row>
    <row r="31029" spans="25:25" x14ac:dyDescent="0.2">
      <c r="Y31029" s="97"/>
    </row>
    <row r="31030" spans="25:25" x14ac:dyDescent="0.2">
      <c r="Y31030" s="97"/>
    </row>
    <row r="31031" spans="25:25" x14ac:dyDescent="0.2">
      <c r="Y31031" s="97"/>
    </row>
    <row r="31032" spans="25:25" x14ac:dyDescent="0.2">
      <c r="Y31032" s="97"/>
    </row>
    <row r="31033" spans="25:25" x14ac:dyDescent="0.2">
      <c r="Y31033" s="97"/>
    </row>
    <row r="31034" spans="25:25" x14ac:dyDescent="0.2">
      <c r="Y31034" s="97"/>
    </row>
    <row r="31035" spans="25:25" x14ac:dyDescent="0.2">
      <c r="Y31035" s="97"/>
    </row>
    <row r="31036" spans="25:25" x14ac:dyDescent="0.2">
      <c r="Y31036" s="97"/>
    </row>
    <row r="31037" spans="25:25" x14ac:dyDescent="0.2">
      <c r="Y31037" s="97"/>
    </row>
    <row r="31038" spans="25:25" x14ac:dyDescent="0.2">
      <c r="Y31038" s="97"/>
    </row>
    <row r="31039" spans="25:25" x14ac:dyDescent="0.2">
      <c r="Y31039" s="97"/>
    </row>
    <row r="31040" spans="25:25" x14ac:dyDescent="0.2">
      <c r="Y31040" s="97"/>
    </row>
    <row r="31041" spans="25:25" x14ac:dyDescent="0.2">
      <c r="Y31041" s="97"/>
    </row>
    <row r="31042" spans="25:25" x14ac:dyDescent="0.2">
      <c r="Y31042" s="97"/>
    </row>
    <row r="31043" spans="25:25" x14ac:dyDescent="0.2">
      <c r="Y31043" s="97"/>
    </row>
    <row r="31044" spans="25:25" x14ac:dyDescent="0.2">
      <c r="Y31044" s="97"/>
    </row>
    <row r="31045" spans="25:25" x14ac:dyDescent="0.2">
      <c r="Y31045" s="97"/>
    </row>
    <row r="31046" spans="25:25" x14ac:dyDescent="0.2">
      <c r="Y31046" s="97"/>
    </row>
    <row r="31047" spans="25:25" x14ac:dyDescent="0.2">
      <c r="Y31047" s="97"/>
    </row>
    <row r="31048" spans="25:25" x14ac:dyDescent="0.2">
      <c r="Y31048" s="97"/>
    </row>
    <row r="31049" spans="25:25" x14ac:dyDescent="0.2">
      <c r="Y31049" s="97"/>
    </row>
    <row r="31050" spans="25:25" x14ac:dyDescent="0.2">
      <c r="Y31050" s="97"/>
    </row>
    <row r="31051" spans="25:25" x14ac:dyDescent="0.2">
      <c r="Y31051" s="97"/>
    </row>
    <row r="31052" spans="25:25" x14ac:dyDescent="0.2">
      <c r="Y31052" s="97"/>
    </row>
    <row r="31053" spans="25:25" x14ac:dyDescent="0.2">
      <c r="Y31053" s="97"/>
    </row>
    <row r="31054" spans="25:25" x14ac:dyDescent="0.2">
      <c r="Y31054" s="97"/>
    </row>
    <row r="31055" spans="25:25" x14ac:dyDescent="0.2">
      <c r="Y31055" s="97"/>
    </row>
    <row r="31056" spans="25:25" x14ac:dyDescent="0.2">
      <c r="Y31056" s="97"/>
    </row>
    <row r="31057" spans="25:25" x14ac:dyDescent="0.2">
      <c r="Y31057" s="97"/>
    </row>
    <row r="31058" spans="25:25" x14ac:dyDescent="0.2">
      <c r="Y31058" s="97"/>
    </row>
    <row r="31059" spans="25:25" x14ac:dyDescent="0.2">
      <c r="Y31059" s="97"/>
    </row>
    <row r="31060" spans="25:25" x14ac:dyDescent="0.2">
      <c r="Y31060" s="97"/>
    </row>
    <row r="31061" spans="25:25" x14ac:dyDescent="0.2">
      <c r="Y31061" s="97"/>
    </row>
    <row r="31062" spans="25:25" x14ac:dyDescent="0.2">
      <c r="Y31062" s="97"/>
    </row>
    <row r="31063" spans="25:25" x14ac:dyDescent="0.2">
      <c r="Y31063" s="97"/>
    </row>
    <row r="31064" spans="25:25" x14ac:dyDescent="0.2">
      <c r="Y31064" s="97"/>
    </row>
    <row r="31065" spans="25:25" x14ac:dyDescent="0.2">
      <c r="Y31065" s="97"/>
    </row>
    <row r="31066" spans="25:25" x14ac:dyDescent="0.2">
      <c r="Y31066" s="97"/>
    </row>
    <row r="31067" spans="25:25" x14ac:dyDescent="0.2">
      <c r="Y31067" s="97"/>
    </row>
    <row r="31068" spans="25:25" x14ac:dyDescent="0.2">
      <c r="Y31068" s="97"/>
    </row>
    <row r="31069" spans="25:25" x14ac:dyDescent="0.2">
      <c r="Y31069" s="97"/>
    </row>
    <row r="31070" spans="25:25" x14ac:dyDescent="0.2">
      <c r="Y31070" s="97"/>
    </row>
    <row r="31071" spans="25:25" x14ac:dyDescent="0.2">
      <c r="Y31071" s="97"/>
    </row>
    <row r="31072" spans="25:25" x14ac:dyDescent="0.2">
      <c r="Y31072" s="97"/>
    </row>
    <row r="31073" spans="25:25" x14ac:dyDescent="0.2">
      <c r="Y31073" s="97"/>
    </row>
    <row r="31074" spans="25:25" x14ac:dyDescent="0.2">
      <c r="Y31074" s="97"/>
    </row>
    <row r="31075" spans="25:25" x14ac:dyDescent="0.2">
      <c r="Y31075" s="97"/>
    </row>
    <row r="31076" spans="25:25" x14ac:dyDescent="0.2">
      <c r="Y31076" s="97"/>
    </row>
    <row r="31077" spans="25:25" x14ac:dyDescent="0.2">
      <c r="Y31077" s="97"/>
    </row>
    <row r="31078" spans="25:25" x14ac:dyDescent="0.2">
      <c r="Y31078" s="97"/>
    </row>
    <row r="31079" spans="25:25" x14ac:dyDescent="0.2">
      <c r="Y31079" s="97"/>
    </row>
    <row r="31080" spans="25:25" x14ac:dyDescent="0.2">
      <c r="Y31080" s="97"/>
    </row>
    <row r="31081" spans="25:25" x14ac:dyDescent="0.2">
      <c r="Y31081" s="97"/>
    </row>
    <row r="31082" spans="25:25" x14ac:dyDescent="0.2">
      <c r="Y31082" s="97"/>
    </row>
    <row r="31083" spans="25:25" x14ac:dyDescent="0.2">
      <c r="Y31083" s="97"/>
    </row>
    <row r="31084" spans="25:25" x14ac:dyDescent="0.2">
      <c r="Y31084" s="97"/>
    </row>
    <row r="31085" spans="25:25" x14ac:dyDescent="0.2">
      <c r="Y31085" s="97"/>
    </row>
    <row r="31086" spans="25:25" x14ac:dyDescent="0.2">
      <c r="Y31086" s="97"/>
    </row>
    <row r="31087" spans="25:25" x14ac:dyDescent="0.2">
      <c r="Y31087" s="97"/>
    </row>
    <row r="31088" spans="25:25" x14ac:dyDescent="0.2">
      <c r="Y31088" s="97"/>
    </row>
    <row r="31089" spans="25:25" x14ac:dyDescent="0.2">
      <c r="Y31089" s="97"/>
    </row>
    <row r="31090" spans="25:25" x14ac:dyDescent="0.2">
      <c r="Y31090" s="97"/>
    </row>
    <row r="31091" spans="25:25" x14ac:dyDescent="0.2">
      <c r="Y31091" s="97"/>
    </row>
    <row r="31092" spans="25:25" x14ac:dyDescent="0.2">
      <c r="Y31092" s="97"/>
    </row>
    <row r="31093" spans="25:25" x14ac:dyDescent="0.2">
      <c r="Y31093" s="97"/>
    </row>
    <row r="31094" spans="25:25" x14ac:dyDescent="0.2">
      <c r="Y31094" s="97"/>
    </row>
    <row r="31095" spans="25:25" x14ac:dyDescent="0.2">
      <c r="Y31095" s="97"/>
    </row>
    <row r="31096" spans="25:25" x14ac:dyDescent="0.2">
      <c r="Y31096" s="97"/>
    </row>
    <row r="31097" spans="25:25" x14ac:dyDescent="0.2">
      <c r="Y31097" s="97"/>
    </row>
    <row r="31098" spans="25:25" x14ac:dyDescent="0.2">
      <c r="Y31098" s="97"/>
    </row>
    <row r="31099" spans="25:25" x14ac:dyDescent="0.2">
      <c r="Y31099" s="97"/>
    </row>
    <row r="31100" spans="25:25" x14ac:dyDescent="0.2">
      <c r="Y31100" s="97"/>
    </row>
    <row r="31101" spans="25:25" x14ac:dyDescent="0.2">
      <c r="Y31101" s="97"/>
    </row>
    <row r="31102" spans="25:25" x14ac:dyDescent="0.2">
      <c r="Y31102" s="97"/>
    </row>
    <row r="31103" spans="25:25" x14ac:dyDescent="0.2">
      <c r="Y31103" s="97"/>
    </row>
    <row r="31104" spans="25:25" x14ac:dyDescent="0.2">
      <c r="Y31104" s="97"/>
    </row>
    <row r="31105" spans="25:25" x14ac:dyDescent="0.2">
      <c r="Y31105" s="97"/>
    </row>
    <row r="31106" spans="25:25" x14ac:dyDescent="0.2">
      <c r="Y31106" s="97"/>
    </row>
    <row r="31107" spans="25:25" x14ac:dyDescent="0.2">
      <c r="Y31107" s="97"/>
    </row>
    <row r="31108" spans="25:25" x14ac:dyDescent="0.2">
      <c r="Y31108" s="97"/>
    </row>
    <row r="31109" spans="25:25" x14ac:dyDescent="0.2">
      <c r="Y31109" s="97"/>
    </row>
    <row r="31110" spans="25:25" x14ac:dyDescent="0.2">
      <c r="Y31110" s="97"/>
    </row>
    <row r="31111" spans="25:25" x14ac:dyDescent="0.2">
      <c r="Y31111" s="97"/>
    </row>
    <row r="31112" spans="25:25" x14ac:dyDescent="0.2">
      <c r="Y31112" s="97"/>
    </row>
    <row r="31113" spans="25:25" x14ac:dyDescent="0.2">
      <c r="Y31113" s="97"/>
    </row>
    <row r="31114" spans="25:25" x14ac:dyDescent="0.2">
      <c r="Y31114" s="97"/>
    </row>
    <row r="31115" spans="25:25" x14ac:dyDescent="0.2">
      <c r="Y31115" s="97"/>
    </row>
    <row r="31116" spans="25:25" x14ac:dyDescent="0.2">
      <c r="Y31116" s="97"/>
    </row>
    <row r="31117" spans="25:25" x14ac:dyDescent="0.2">
      <c r="Y31117" s="97"/>
    </row>
    <row r="31118" spans="25:25" x14ac:dyDescent="0.2">
      <c r="Y31118" s="97"/>
    </row>
    <row r="31119" spans="25:25" x14ac:dyDescent="0.2">
      <c r="Y31119" s="97"/>
    </row>
    <row r="31120" spans="25:25" x14ac:dyDescent="0.2">
      <c r="Y31120" s="97"/>
    </row>
    <row r="31121" spans="25:25" x14ac:dyDescent="0.2">
      <c r="Y31121" s="97"/>
    </row>
    <row r="31122" spans="25:25" x14ac:dyDescent="0.2">
      <c r="Y31122" s="97"/>
    </row>
    <row r="31123" spans="25:25" x14ac:dyDescent="0.2">
      <c r="Y31123" s="97"/>
    </row>
    <row r="31124" spans="25:25" x14ac:dyDescent="0.2">
      <c r="Y31124" s="97"/>
    </row>
    <row r="31125" spans="25:25" x14ac:dyDescent="0.2">
      <c r="Y31125" s="97"/>
    </row>
    <row r="31126" spans="25:25" x14ac:dyDescent="0.2">
      <c r="Y31126" s="97"/>
    </row>
    <row r="31127" spans="25:25" x14ac:dyDescent="0.2">
      <c r="Y31127" s="97"/>
    </row>
    <row r="31128" spans="25:25" x14ac:dyDescent="0.2">
      <c r="Y31128" s="97"/>
    </row>
    <row r="31129" spans="25:25" x14ac:dyDescent="0.2">
      <c r="Y31129" s="97"/>
    </row>
    <row r="31130" spans="25:25" x14ac:dyDescent="0.2">
      <c r="Y31130" s="97"/>
    </row>
    <row r="31131" spans="25:25" x14ac:dyDescent="0.2">
      <c r="Y31131" s="97"/>
    </row>
    <row r="31132" spans="25:25" x14ac:dyDescent="0.2">
      <c r="Y31132" s="97"/>
    </row>
    <row r="31133" spans="25:25" x14ac:dyDescent="0.2">
      <c r="Y31133" s="97"/>
    </row>
    <row r="31134" spans="25:25" x14ac:dyDescent="0.2">
      <c r="Y31134" s="97"/>
    </row>
    <row r="31135" spans="25:25" x14ac:dyDescent="0.2">
      <c r="Y31135" s="97"/>
    </row>
    <row r="31136" spans="25:25" x14ac:dyDescent="0.2">
      <c r="Y31136" s="97"/>
    </row>
    <row r="31137" spans="25:25" x14ac:dyDescent="0.2">
      <c r="Y31137" s="97"/>
    </row>
    <row r="31138" spans="25:25" x14ac:dyDescent="0.2">
      <c r="Y31138" s="97"/>
    </row>
    <row r="31139" spans="25:25" x14ac:dyDescent="0.2">
      <c r="Y31139" s="97"/>
    </row>
    <row r="31140" spans="25:25" x14ac:dyDescent="0.2">
      <c r="Y31140" s="97"/>
    </row>
    <row r="31141" spans="25:25" x14ac:dyDescent="0.2">
      <c r="Y31141" s="97"/>
    </row>
    <row r="31142" spans="25:25" x14ac:dyDescent="0.2">
      <c r="Y31142" s="97"/>
    </row>
    <row r="31143" spans="25:25" x14ac:dyDescent="0.2">
      <c r="Y31143" s="97"/>
    </row>
    <row r="31144" spans="25:25" x14ac:dyDescent="0.2">
      <c r="Y31144" s="97"/>
    </row>
    <row r="31145" spans="25:25" x14ac:dyDescent="0.2">
      <c r="Y31145" s="97"/>
    </row>
    <row r="31146" spans="25:25" x14ac:dyDescent="0.2">
      <c r="Y31146" s="97"/>
    </row>
    <row r="31147" spans="25:25" x14ac:dyDescent="0.2">
      <c r="Y31147" s="97"/>
    </row>
    <row r="31148" spans="25:25" x14ac:dyDescent="0.2">
      <c r="Y31148" s="97"/>
    </row>
    <row r="31149" spans="25:25" x14ac:dyDescent="0.2">
      <c r="Y31149" s="97"/>
    </row>
    <row r="31150" spans="25:25" x14ac:dyDescent="0.2">
      <c r="Y31150" s="97"/>
    </row>
    <row r="31151" spans="25:25" x14ac:dyDescent="0.2">
      <c r="Y31151" s="97"/>
    </row>
    <row r="31152" spans="25:25" x14ac:dyDescent="0.2">
      <c r="Y31152" s="97"/>
    </row>
    <row r="31153" spans="25:25" x14ac:dyDescent="0.2">
      <c r="Y31153" s="97"/>
    </row>
    <row r="31154" spans="25:25" x14ac:dyDescent="0.2">
      <c r="Y31154" s="97"/>
    </row>
    <row r="31155" spans="25:25" x14ac:dyDescent="0.2">
      <c r="Y31155" s="97"/>
    </row>
    <row r="31156" spans="25:25" x14ac:dyDescent="0.2">
      <c r="Y31156" s="97"/>
    </row>
    <row r="31157" spans="25:25" x14ac:dyDescent="0.2">
      <c r="Y31157" s="97"/>
    </row>
    <row r="31158" spans="25:25" x14ac:dyDescent="0.2">
      <c r="Y31158" s="97"/>
    </row>
    <row r="31159" spans="25:25" x14ac:dyDescent="0.2">
      <c r="Y31159" s="97"/>
    </row>
    <row r="31160" spans="25:25" x14ac:dyDescent="0.2">
      <c r="Y31160" s="97"/>
    </row>
    <row r="31161" spans="25:25" x14ac:dyDescent="0.2">
      <c r="Y31161" s="97"/>
    </row>
    <row r="31162" spans="25:25" x14ac:dyDescent="0.2">
      <c r="Y31162" s="97"/>
    </row>
    <row r="31163" spans="25:25" x14ac:dyDescent="0.2">
      <c r="Y31163" s="97"/>
    </row>
    <row r="31164" spans="25:25" x14ac:dyDescent="0.2">
      <c r="Y31164" s="97"/>
    </row>
    <row r="31165" spans="25:25" x14ac:dyDescent="0.2">
      <c r="Y31165" s="97"/>
    </row>
    <row r="31166" spans="25:25" x14ac:dyDescent="0.2">
      <c r="Y31166" s="97"/>
    </row>
    <row r="31167" spans="25:25" x14ac:dyDescent="0.2">
      <c r="Y31167" s="97"/>
    </row>
    <row r="31168" spans="25:25" x14ac:dyDescent="0.2">
      <c r="Y31168" s="97"/>
    </row>
    <row r="31169" spans="25:25" x14ac:dyDescent="0.2">
      <c r="Y31169" s="97"/>
    </row>
    <row r="31170" spans="25:25" x14ac:dyDescent="0.2">
      <c r="Y31170" s="97"/>
    </row>
    <row r="31171" spans="25:25" x14ac:dyDescent="0.2">
      <c r="Y31171" s="97"/>
    </row>
    <row r="31172" spans="25:25" x14ac:dyDescent="0.2">
      <c r="Y31172" s="97"/>
    </row>
    <row r="31173" spans="25:25" x14ac:dyDescent="0.2">
      <c r="Y31173" s="97"/>
    </row>
    <row r="31174" spans="25:25" x14ac:dyDescent="0.2">
      <c r="Y31174" s="97"/>
    </row>
    <row r="31175" spans="25:25" x14ac:dyDescent="0.2">
      <c r="Y31175" s="97"/>
    </row>
    <row r="31176" spans="25:25" x14ac:dyDescent="0.2">
      <c r="Y31176" s="97"/>
    </row>
    <row r="31177" spans="25:25" x14ac:dyDescent="0.2">
      <c r="Y31177" s="97"/>
    </row>
    <row r="31178" spans="25:25" x14ac:dyDescent="0.2">
      <c r="Y31178" s="97"/>
    </row>
    <row r="31179" spans="25:25" x14ac:dyDescent="0.2">
      <c r="Y31179" s="97"/>
    </row>
    <row r="31180" spans="25:25" x14ac:dyDescent="0.2">
      <c r="Y31180" s="97"/>
    </row>
    <row r="31181" spans="25:25" x14ac:dyDescent="0.2">
      <c r="Y31181" s="97"/>
    </row>
    <row r="31182" spans="25:25" x14ac:dyDescent="0.2">
      <c r="Y31182" s="97"/>
    </row>
    <row r="31183" spans="25:25" x14ac:dyDescent="0.2">
      <c r="Y31183" s="97"/>
    </row>
    <row r="31184" spans="25:25" x14ac:dyDescent="0.2">
      <c r="Y31184" s="97"/>
    </row>
    <row r="31185" spans="25:25" x14ac:dyDescent="0.2">
      <c r="Y31185" s="97"/>
    </row>
    <row r="31186" spans="25:25" x14ac:dyDescent="0.2">
      <c r="Y31186" s="97"/>
    </row>
    <row r="31187" spans="25:25" x14ac:dyDescent="0.2">
      <c r="Y31187" s="97"/>
    </row>
    <row r="31188" spans="25:25" x14ac:dyDescent="0.2">
      <c r="Y31188" s="97"/>
    </row>
    <row r="31189" spans="25:25" x14ac:dyDescent="0.2">
      <c r="Y31189" s="97"/>
    </row>
    <row r="31190" spans="25:25" x14ac:dyDescent="0.2">
      <c r="Y31190" s="97"/>
    </row>
    <row r="31191" spans="25:25" x14ac:dyDescent="0.2">
      <c r="Y31191" s="97"/>
    </row>
    <row r="31192" spans="25:25" x14ac:dyDescent="0.2">
      <c r="Y31192" s="97"/>
    </row>
    <row r="31193" spans="25:25" x14ac:dyDescent="0.2">
      <c r="Y31193" s="97"/>
    </row>
    <row r="31194" spans="25:25" x14ac:dyDescent="0.2">
      <c r="Y31194" s="97"/>
    </row>
    <row r="31195" spans="25:25" x14ac:dyDescent="0.2">
      <c r="Y31195" s="97"/>
    </row>
    <row r="31196" spans="25:25" x14ac:dyDescent="0.2">
      <c r="Y31196" s="97"/>
    </row>
    <row r="31197" spans="25:25" x14ac:dyDescent="0.2">
      <c r="Y31197" s="97"/>
    </row>
    <row r="31198" spans="25:25" x14ac:dyDescent="0.2">
      <c r="Y31198" s="97"/>
    </row>
    <row r="31199" spans="25:25" x14ac:dyDescent="0.2">
      <c r="Y31199" s="97"/>
    </row>
    <row r="31200" spans="25:25" x14ac:dyDescent="0.2">
      <c r="Y31200" s="97"/>
    </row>
    <row r="31201" spans="25:25" x14ac:dyDescent="0.2">
      <c r="Y31201" s="97"/>
    </row>
    <row r="31202" spans="25:25" x14ac:dyDescent="0.2">
      <c r="Y31202" s="97"/>
    </row>
    <row r="31203" spans="25:25" x14ac:dyDescent="0.2">
      <c r="Y31203" s="97"/>
    </row>
    <row r="31204" spans="25:25" x14ac:dyDescent="0.2">
      <c r="Y31204" s="97"/>
    </row>
    <row r="31205" spans="25:25" x14ac:dyDescent="0.2">
      <c r="Y31205" s="97"/>
    </row>
    <row r="31206" spans="25:25" x14ac:dyDescent="0.2">
      <c r="Y31206" s="97"/>
    </row>
    <row r="31207" spans="25:25" x14ac:dyDescent="0.2">
      <c r="Y31207" s="97"/>
    </row>
    <row r="31208" spans="25:25" x14ac:dyDescent="0.2">
      <c r="Y31208" s="97"/>
    </row>
    <row r="31209" spans="25:25" x14ac:dyDescent="0.2">
      <c r="Y31209" s="97"/>
    </row>
    <row r="31210" spans="25:25" x14ac:dyDescent="0.2">
      <c r="Y31210" s="97"/>
    </row>
    <row r="31211" spans="25:25" x14ac:dyDescent="0.2">
      <c r="Y31211" s="97"/>
    </row>
    <row r="31212" spans="25:25" x14ac:dyDescent="0.2">
      <c r="Y31212" s="97"/>
    </row>
    <row r="31213" spans="25:25" x14ac:dyDescent="0.2">
      <c r="Y31213" s="97"/>
    </row>
    <row r="31214" spans="25:25" x14ac:dyDescent="0.2">
      <c r="Y31214" s="97"/>
    </row>
    <row r="31215" spans="25:25" x14ac:dyDescent="0.2">
      <c r="Y31215" s="97"/>
    </row>
    <row r="31216" spans="25:25" x14ac:dyDescent="0.2">
      <c r="Y31216" s="97"/>
    </row>
    <row r="31217" spans="25:25" x14ac:dyDescent="0.2">
      <c r="Y31217" s="97"/>
    </row>
    <row r="31218" spans="25:25" x14ac:dyDescent="0.2">
      <c r="Y31218" s="97"/>
    </row>
    <row r="31219" spans="25:25" x14ac:dyDescent="0.2">
      <c r="Y31219" s="97"/>
    </row>
    <row r="31220" spans="25:25" x14ac:dyDescent="0.2">
      <c r="Y31220" s="97"/>
    </row>
    <row r="31221" spans="25:25" x14ac:dyDescent="0.2">
      <c r="Y31221" s="97"/>
    </row>
    <row r="31222" spans="25:25" x14ac:dyDescent="0.2">
      <c r="Y31222" s="97"/>
    </row>
    <row r="31223" spans="25:25" x14ac:dyDescent="0.2">
      <c r="Y31223" s="97"/>
    </row>
    <row r="31224" spans="25:25" x14ac:dyDescent="0.2">
      <c r="Y31224" s="97"/>
    </row>
    <row r="31225" spans="25:25" x14ac:dyDescent="0.2">
      <c r="Y31225" s="97"/>
    </row>
    <row r="31226" spans="25:25" x14ac:dyDescent="0.2">
      <c r="Y31226" s="97"/>
    </row>
    <row r="31227" spans="25:25" x14ac:dyDescent="0.2">
      <c r="Y31227" s="97"/>
    </row>
    <row r="31228" spans="25:25" x14ac:dyDescent="0.2">
      <c r="Y31228" s="97"/>
    </row>
    <row r="31229" spans="25:25" x14ac:dyDescent="0.2">
      <c r="Y31229" s="97"/>
    </row>
    <row r="31230" spans="25:25" x14ac:dyDescent="0.2">
      <c r="Y31230" s="97"/>
    </row>
    <row r="31231" spans="25:25" x14ac:dyDescent="0.2">
      <c r="Y31231" s="97"/>
    </row>
    <row r="31232" spans="25:25" x14ac:dyDescent="0.2">
      <c r="Y31232" s="97"/>
    </row>
    <row r="31233" spans="25:25" x14ac:dyDescent="0.2">
      <c r="Y31233" s="97"/>
    </row>
    <row r="31234" spans="25:25" x14ac:dyDescent="0.2">
      <c r="Y31234" s="97"/>
    </row>
    <row r="31235" spans="25:25" x14ac:dyDescent="0.2">
      <c r="Y31235" s="97"/>
    </row>
    <row r="31236" spans="25:25" x14ac:dyDescent="0.2">
      <c r="Y31236" s="97"/>
    </row>
    <row r="31237" spans="25:25" x14ac:dyDescent="0.2">
      <c r="Y31237" s="97"/>
    </row>
    <row r="31238" spans="25:25" x14ac:dyDescent="0.2">
      <c r="Y31238" s="97"/>
    </row>
    <row r="31239" spans="25:25" x14ac:dyDescent="0.2">
      <c r="Y31239" s="97"/>
    </row>
    <row r="31240" spans="25:25" x14ac:dyDescent="0.2">
      <c r="Y31240" s="97"/>
    </row>
    <row r="31241" spans="25:25" x14ac:dyDescent="0.2">
      <c r="Y31241" s="97"/>
    </row>
    <row r="31242" spans="25:25" x14ac:dyDescent="0.2">
      <c r="Y31242" s="97"/>
    </row>
    <row r="31243" spans="25:25" x14ac:dyDescent="0.2">
      <c r="Y31243" s="97"/>
    </row>
    <row r="31244" spans="25:25" x14ac:dyDescent="0.2">
      <c r="Y31244" s="97"/>
    </row>
    <row r="31245" spans="25:25" x14ac:dyDescent="0.2">
      <c r="Y31245" s="97"/>
    </row>
    <row r="31246" spans="25:25" x14ac:dyDescent="0.2">
      <c r="Y31246" s="97"/>
    </row>
    <row r="31247" spans="25:25" x14ac:dyDescent="0.2">
      <c r="Y31247" s="97"/>
    </row>
    <row r="31248" spans="25:25" x14ac:dyDescent="0.2">
      <c r="Y31248" s="97"/>
    </row>
    <row r="31249" spans="25:25" x14ac:dyDescent="0.2">
      <c r="Y31249" s="97"/>
    </row>
    <row r="31250" spans="25:25" x14ac:dyDescent="0.2">
      <c r="Y31250" s="97"/>
    </row>
    <row r="31251" spans="25:25" x14ac:dyDescent="0.2">
      <c r="Y31251" s="97"/>
    </row>
    <row r="31252" spans="25:25" x14ac:dyDescent="0.2">
      <c r="Y31252" s="97"/>
    </row>
    <row r="31253" spans="25:25" x14ac:dyDescent="0.2">
      <c r="Y31253" s="97"/>
    </row>
    <row r="31254" spans="25:25" x14ac:dyDescent="0.2">
      <c r="Y31254" s="97"/>
    </row>
    <row r="31255" spans="25:25" x14ac:dyDescent="0.2">
      <c r="Y31255" s="97"/>
    </row>
    <row r="31256" spans="25:25" x14ac:dyDescent="0.2">
      <c r="Y31256" s="97"/>
    </row>
    <row r="31257" spans="25:25" x14ac:dyDescent="0.2">
      <c r="Y31257" s="97"/>
    </row>
    <row r="31258" spans="25:25" x14ac:dyDescent="0.2">
      <c r="Y31258" s="97"/>
    </row>
    <row r="31259" spans="25:25" x14ac:dyDescent="0.2">
      <c r="Y31259" s="97"/>
    </row>
    <row r="31260" spans="25:25" x14ac:dyDescent="0.2">
      <c r="Y31260" s="97"/>
    </row>
    <row r="31261" spans="25:25" x14ac:dyDescent="0.2">
      <c r="Y31261" s="97"/>
    </row>
    <row r="31262" spans="25:25" x14ac:dyDescent="0.2">
      <c r="Y31262" s="97"/>
    </row>
    <row r="31263" spans="25:25" x14ac:dyDescent="0.2">
      <c r="Y31263" s="97"/>
    </row>
    <row r="31264" spans="25:25" x14ac:dyDescent="0.2">
      <c r="Y31264" s="97"/>
    </row>
    <row r="31265" spans="25:25" x14ac:dyDescent="0.2">
      <c r="Y31265" s="97"/>
    </row>
    <row r="31266" spans="25:25" x14ac:dyDescent="0.2">
      <c r="Y31266" s="97"/>
    </row>
    <row r="31267" spans="25:25" x14ac:dyDescent="0.2">
      <c r="Y31267" s="97"/>
    </row>
    <row r="31268" spans="25:25" x14ac:dyDescent="0.2">
      <c r="Y31268" s="97"/>
    </row>
    <row r="31269" spans="25:25" x14ac:dyDescent="0.2">
      <c r="Y31269" s="97"/>
    </row>
    <row r="31270" spans="25:25" x14ac:dyDescent="0.2">
      <c r="Y31270" s="97"/>
    </row>
    <row r="31271" spans="25:25" x14ac:dyDescent="0.2">
      <c r="Y31271" s="97"/>
    </row>
    <row r="31272" spans="25:25" x14ac:dyDescent="0.2">
      <c r="Y31272" s="97"/>
    </row>
    <row r="31273" spans="25:25" x14ac:dyDescent="0.2">
      <c r="Y31273" s="97"/>
    </row>
    <row r="31274" spans="25:25" x14ac:dyDescent="0.2">
      <c r="Y31274" s="97"/>
    </row>
    <row r="31275" spans="25:25" x14ac:dyDescent="0.2">
      <c r="Y31275" s="97"/>
    </row>
    <row r="31276" spans="25:25" x14ac:dyDescent="0.2">
      <c r="Y31276" s="97"/>
    </row>
    <row r="31277" spans="25:25" x14ac:dyDescent="0.2">
      <c r="Y31277" s="97"/>
    </row>
    <row r="31278" spans="25:25" x14ac:dyDescent="0.2">
      <c r="Y31278" s="97"/>
    </row>
    <row r="31279" spans="25:25" x14ac:dyDescent="0.2">
      <c r="Y31279" s="97"/>
    </row>
    <row r="31280" spans="25:25" x14ac:dyDescent="0.2">
      <c r="Y31280" s="97"/>
    </row>
    <row r="31281" spans="25:25" x14ac:dyDescent="0.2">
      <c r="Y31281" s="97"/>
    </row>
    <row r="31282" spans="25:25" x14ac:dyDescent="0.2">
      <c r="Y31282" s="97"/>
    </row>
    <row r="31283" spans="25:25" x14ac:dyDescent="0.2">
      <c r="Y31283" s="97"/>
    </row>
    <row r="31284" spans="25:25" x14ac:dyDescent="0.2">
      <c r="Y31284" s="97"/>
    </row>
    <row r="31285" spans="25:25" x14ac:dyDescent="0.2">
      <c r="Y31285" s="97"/>
    </row>
    <row r="31286" spans="25:25" x14ac:dyDescent="0.2">
      <c r="Y31286" s="97"/>
    </row>
    <row r="31287" spans="25:25" x14ac:dyDescent="0.2">
      <c r="Y31287" s="97"/>
    </row>
    <row r="31288" spans="25:25" x14ac:dyDescent="0.2">
      <c r="Y31288" s="97"/>
    </row>
    <row r="31289" spans="25:25" x14ac:dyDescent="0.2">
      <c r="Y31289" s="97"/>
    </row>
    <row r="31290" spans="25:25" x14ac:dyDescent="0.2">
      <c r="Y31290" s="97"/>
    </row>
    <row r="31291" spans="25:25" x14ac:dyDescent="0.2">
      <c r="Y31291" s="97"/>
    </row>
    <row r="31292" spans="25:25" x14ac:dyDescent="0.2">
      <c r="Y31292" s="97"/>
    </row>
    <row r="31293" spans="25:25" x14ac:dyDescent="0.2">
      <c r="Y31293" s="97"/>
    </row>
    <row r="31294" spans="25:25" x14ac:dyDescent="0.2">
      <c r="Y31294" s="97"/>
    </row>
    <row r="31295" spans="25:25" x14ac:dyDescent="0.2">
      <c r="Y31295" s="97"/>
    </row>
    <row r="31296" spans="25:25" x14ac:dyDescent="0.2">
      <c r="Y31296" s="97"/>
    </row>
    <row r="31297" spans="25:25" x14ac:dyDescent="0.2">
      <c r="Y31297" s="97"/>
    </row>
    <row r="31298" spans="25:25" x14ac:dyDescent="0.2">
      <c r="Y31298" s="97"/>
    </row>
    <row r="31299" spans="25:25" x14ac:dyDescent="0.2">
      <c r="Y31299" s="97"/>
    </row>
    <row r="31300" spans="25:25" x14ac:dyDescent="0.2">
      <c r="Y31300" s="97"/>
    </row>
    <row r="31301" spans="25:25" x14ac:dyDescent="0.2">
      <c r="Y31301" s="97"/>
    </row>
    <row r="31302" spans="25:25" x14ac:dyDescent="0.2">
      <c r="Y31302" s="97"/>
    </row>
    <row r="31303" spans="25:25" x14ac:dyDescent="0.2">
      <c r="Y31303" s="97"/>
    </row>
    <row r="31304" spans="25:25" x14ac:dyDescent="0.2">
      <c r="Y31304" s="97"/>
    </row>
    <row r="31305" spans="25:25" x14ac:dyDescent="0.2">
      <c r="Y31305" s="97"/>
    </row>
    <row r="31306" spans="25:25" x14ac:dyDescent="0.2">
      <c r="Y31306" s="97"/>
    </row>
    <row r="31307" spans="25:25" x14ac:dyDescent="0.2">
      <c r="Y31307" s="97"/>
    </row>
    <row r="31308" spans="25:25" x14ac:dyDescent="0.2">
      <c r="Y31308" s="97"/>
    </row>
    <row r="31309" spans="25:25" x14ac:dyDescent="0.2">
      <c r="Y31309" s="97"/>
    </row>
    <row r="31310" spans="25:25" x14ac:dyDescent="0.2">
      <c r="Y31310" s="97"/>
    </row>
    <row r="31311" spans="25:25" x14ac:dyDescent="0.2">
      <c r="Y31311" s="97"/>
    </row>
    <row r="31312" spans="25:25" x14ac:dyDescent="0.2">
      <c r="Y31312" s="97"/>
    </row>
    <row r="31313" spans="25:25" x14ac:dyDescent="0.2">
      <c r="Y31313" s="97"/>
    </row>
    <row r="31314" spans="25:25" x14ac:dyDescent="0.2">
      <c r="Y31314" s="97"/>
    </row>
    <row r="31315" spans="25:25" x14ac:dyDescent="0.2">
      <c r="Y31315" s="97"/>
    </row>
    <row r="31316" spans="25:25" x14ac:dyDescent="0.2">
      <c r="Y31316" s="97"/>
    </row>
    <row r="31317" spans="25:25" x14ac:dyDescent="0.2">
      <c r="Y31317" s="97"/>
    </row>
    <row r="31318" spans="25:25" x14ac:dyDescent="0.2">
      <c r="Y31318" s="97"/>
    </row>
    <row r="31319" spans="25:25" x14ac:dyDescent="0.2">
      <c r="Y31319" s="97"/>
    </row>
    <row r="31320" spans="25:25" x14ac:dyDescent="0.2">
      <c r="Y31320" s="97"/>
    </row>
    <row r="31321" spans="25:25" x14ac:dyDescent="0.2">
      <c r="Y31321" s="97"/>
    </row>
    <row r="31322" spans="25:25" x14ac:dyDescent="0.2">
      <c r="Y31322" s="97"/>
    </row>
    <row r="31323" spans="25:25" x14ac:dyDescent="0.2">
      <c r="Y31323" s="97"/>
    </row>
    <row r="31324" spans="25:25" x14ac:dyDescent="0.2">
      <c r="Y31324" s="97"/>
    </row>
    <row r="31325" spans="25:25" x14ac:dyDescent="0.2">
      <c r="Y31325" s="97"/>
    </row>
    <row r="31326" spans="25:25" x14ac:dyDescent="0.2">
      <c r="Y31326" s="97"/>
    </row>
    <row r="31327" spans="25:25" x14ac:dyDescent="0.2">
      <c r="Y31327" s="97"/>
    </row>
    <row r="31328" spans="25:25" x14ac:dyDescent="0.2">
      <c r="Y31328" s="97"/>
    </row>
    <row r="31329" spans="25:25" x14ac:dyDescent="0.2">
      <c r="Y31329" s="97"/>
    </row>
    <row r="31330" spans="25:25" x14ac:dyDescent="0.2">
      <c r="Y31330" s="97"/>
    </row>
    <row r="31331" spans="25:25" x14ac:dyDescent="0.2">
      <c r="Y31331" s="97"/>
    </row>
    <row r="31332" spans="25:25" x14ac:dyDescent="0.2">
      <c r="Y31332" s="97"/>
    </row>
    <row r="31333" spans="25:25" x14ac:dyDescent="0.2">
      <c r="Y31333" s="97"/>
    </row>
    <row r="31334" spans="25:25" x14ac:dyDescent="0.2">
      <c r="Y31334" s="97"/>
    </row>
    <row r="31335" spans="25:25" x14ac:dyDescent="0.2">
      <c r="Y31335" s="97"/>
    </row>
    <row r="31336" spans="25:25" x14ac:dyDescent="0.2">
      <c r="Y31336" s="97"/>
    </row>
    <row r="31337" spans="25:25" x14ac:dyDescent="0.2">
      <c r="Y31337" s="97"/>
    </row>
    <row r="31338" spans="25:25" x14ac:dyDescent="0.2">
      <c r="Y31338" s="97"/>
    </row>
    <row r="31339" spans="25:25" x14ac:dyDescent="0.2">
      <c r="Y31339" s="97"/>
    </row>
    <row r="31340" spans="25:25" x14ac:dyDescent="0.2">
      <c r="Y31340" s="97"/>
    </row>
    <row r="31341" spans="25:25" x14ac:dyDescent="0.2">
      <c r="Y31341" s="97"/>
    </row>
    <row r="31342" spans="25:25" x14ac:dyDescent="0.2">
      <c r="Y31342" s="97"/>
    </row>
    <row r="31343" spans="25:25" x14ac:dyDescent="0.2">
      <c r="Y31343" s="97"/>
    </row>
    <row r="31344" spans="25:25" x14ac:dyDescent="0.2">
      <c r="Y31344" s="97"/>
    </row>
    <row r="31345" spans="25:25" x14ac:dyDescent="0.2">
      <c r="Y31345" s="97"/>
    </row>
    <row r="31346" spans="25:25" x14ac:dyDescent="0.2">
      <c r="Y31346" s="97"/>
    </row>
    <row r="31347" spans="25:25" x14ac:dyDescent="0.2">
      <c r="Y31347" s="97"/>
    </row>
    <row r="31348" spans="25:25" x14ac:dyDescent="0.2">
      <c r="Y31348" s="97"/>
    </row>
    <row r="31349" spans="25:25" x14ac:dyDescent="0.2">
      <c r="Y31349" s="97"/>
    </row>
    <row r="31350" spans="25:25" x14ac:dyDescent="0.2">
      <c r="Y31350" s="97"/>
    </row>
    <row r="31351" spans="25:25" x14ac:dyDescent="0.2">
      <c r="Y31351" s="97"/>
    </row>
    <row r="31352" spans="25:25" x14ac:dyDescent="0.2">
      <c r="Y31352" s="97"/>
    </row>
    <row r="31353" spans="25:25" x14ac:dyDescent="0.2">
      <c r="Y31353" s="97"/>
    </row>
    <row r="31354" spans="25:25" x14ac:dyDescent="0.2">
      <c r="Y31354" s="97"/>
    </row>
    <row r="31355" spans="25:25" x14ac:dyDescent="0.2">
      <c r="Y31355" s="97"/>
    </row>
    <row r="31356" spans="25:25" x14ac:dyDescent="0.2">
      <c r="Y31356" s="97"/>
    </row>
    <row r="31357" spans="25:25" x14ac:dyDescent="0.2">
      <c r="Y31357" s="97"/>
    </row>
    <row r="31358" spans="25:25" x14ac:dyDescent="0.2">
      <c r="Y31358" s="97"/>
    </row>
    <row r="31359" spans="25:25" x14ac:dyDescent="0.2">
      <c r="Y31359" s="97"/>
    </row>
    <row r="31360" spans="25:25" x14ac:dyDescent="0.2">
      <c r="Y31360" s="97"/>
    </row>
    <row r="31361" spans="25:25" x14ac:dyDescent="0.2">
      <c r="Y31361" s="97"/>
    </row>
    <row r="31362" spans="25:25" x14ac:dyDescent="0.2">
      <c r="Y31362" s="97"/>
    </row>
    <row r="31363" spans="25:25" x14ac:dyDescent="0.2">
      <c r="Y31363" s="97"/>
    </row>
    <row r="31364" spans="25:25" x14ac:dyDescent="0.2">
      <c r="Y31364" s="97"/>
    </row>
    <row r="31365" spans="25:25" x14ac:dyDescent="0.2">
      <c r="Y31365" s="97"/>
    </row>
    <row r="31366" spans="25:25" x14ac:dyDescent="0.2">
      <c r="Y31366" s="97"/>
    </row>
    <row r="31367" spans="25:25" x14ac:dyDescent="0.2">
      <c r="Y31367" s="97"/>
    </row>
    <row r="31368" spans="25:25" x14ac:dyDescent="0.2">
      <c r="Y31368" s="97"/>
    </row>
    <row r="31369" spans="25:25" x14ac:dyDescent="0.2">
      <c r="Y31369" s="97"/>
    </row>
    <row r="31370" spans="25:25" x14ac:dyDescent="0.2">
      <c r="Y31370" s="97"/>
    </row>
    <row r="31371" spans="25:25" x14ac:dyDescent="0.2">
      <c r="Y31371" s="97"/>
    </row>
    <row r="31372" spans="25:25" x14ac:dyDescent="0.2">
      <c r="Y31372" s="97"/>
    </row>
    <row r="31373" spans="25:25" x14ac:dyDescent="0.2">
      <c r="Y31373" s="97"/>
    </row>
    <row r="31374" spans="25:25" x14ac:dyDescent="0.2">
      <c r="Y31374" s="97"/>
    </row>
    <row r="31375" spans="25:25" x14ac:dyDescent="0.2">
      <c r="Y31375" s="97"/>
    </row>
    <row r="31376" spans="25:25" x14ac:dyDescent="0.2">
      <c r="Y31376" s="97"/>
    </row>
    <row r="31377" spans="25:25" x14ac:dyDescent="0.2">
      <c r="Y31377" s="97"/>
    </row>
    <row r="31378" spans="25:25" x14ac:dyDescent="0.2">
      <c r="Y31378" s="97"/>
    </row>
    <row r="31379" spans="25:25" x14ac:dyDescent="0.2">
      <c r="Y31379" s="97"/>
    </row>
    <row r="31380" spans="25:25" x14ac:dyDescent="0.2">
      <c r="Y31380" s="97"/>
    </row>
    <row r="31381" spans="25:25" x14ac:dyDescent="0.2">
      <c r="Y31381" s="97"/>
    </row>
    <row r="31382" spans="25:25" x14ac:dyDescent="0.2">
      <c r="Y31382" s="97"/>
    </row>
    <row r="31383" spans="25:25" x14ac:dyDescent="0.2">
      <c r="Y31383" s="97"/>
    </row>
    <row r="31384" spans="25:25" x14ac:dyDescent="0.2">
      <c r="Y31384" s="97"/>
    </row>
    <row r="31385" spans="25:25" x14ac:dyDescent="0.2">
      <c r="Y31385" s="97"/>
    </row>
    <row r="31386" spans="25:25" x14ac:dyDescent="0.2">
      <c r="Y31386" s="97"/>
    </row>
    <row r="31387" spans="25:25" x14ac:dyDescent="0.2">
      <c r="Y31387" s="97"/>
    </row>
    <row r="31388" spans="25:25" x14ac:dyDescent="0.2">
      <c r="Y31388" s="97"/>
    </row>
    <row r="31389" spans="25:25" x14ac:dyDescent="0.2">
      <c r="Y31389" s="97"/>
    </row>
    <row r="31390" spans="25:25" x14ac:dyDescent="0.2">
      <c r="Y31390" s="97"/>
    </row>
    <row r="31391" spans="25:25" x14ac:dyDescent="0.2">
      <c r="Y31391" s="97"/>
    </row>
    <row r="31392" spans="25:25" x14ac:dyDescent="0.2">
      <c r="Y31392" s="97"/>
    </row>
    <row r="31393" spans="25:25" x14ac:dyDescent="0.2">
      <c r="Y31393" s="97"/>
    </row>
    <row r="31394" spans="25:25" x14ac:dyDescent="0.2">
      <c r="Y31394" s="97"/>
    </row>
    <row r="31395" spans="25:25" x14ac:dyDescent="0.2">
      <c r="Y31395" s="97"/>
    </row>
    <row r="31396" spans="25:25" x14ac:dyDescent="0.2">
      <c r="Y31396" s="97"/>
    </row>
    <row r="31397" spans="25:25" x14ac:dyDescent="0.2">
      <c r="Y31397" s="97"/>
    </row>
    <row r="31398" spans="25:25" x14ac:dyDescent="0.2">
      <c r="Y31398" s="97"/>
    </row>
    <row r="31399" spans="25:25" x14ac:dyDescent="0.2">
      <c r="Y31399" s="97"/>
    </row>
    <row r="31400" spans="25:25" x14ac:dyDescent="0.2">
      <c r="Y31400" s="97"/>
    </row>
    <row r="31401" spans="25:25" x14ac:dyDescent="0.2">
      <c r="Y31401" s="97"/>
    </row>
    <row r="31402" spans="25:25" x14ac:dyDescent="0.2">
      <c r="Y31402" s="97"/>
    </row>
    <row r="31403" spans="25:25" x14ac:dyDescent="0.2">
      <c r="Y31403" s="97"/>
    </row>
    <row r="31404" spans="25:25" x14ac:dyDescent="0.2">
      <c r="Y31404" s="97"/>
    </row>
    <row r="31405" spans="25:25" x14ac:dyDescent="0.2">
      <c r="Y31405" s="97"/>
    </row>
    <row r="31406" spans="25:25" x14ac:dyDescent="0.2">
      <c r="Y31406" s="97"/>
    </row>
    <row r="31407" spans="25:25" x14ac:dyDescent="0.2">
      <c r="Y31407" s="97"/>
    </row>
    <row r="31408" spans="25:25" x14ac:dyDescent="0.2">
      <c r="Y31408" s="97"/>
    </row>
    <row r="31409" spans="25:25" x14ac:dyDescent="0.2">
      <c r="Y31409" s="97"/>
    </row>
    <row r="31410" spans="25:25" x14ac:dyDescent="0.2">
      <c r="Y31410" s="97"/>
    </row>
    <row r="31411" spans="25:25" x14ac:dyDescent="0.2">
      <c r="Y31411" s="97"/>
    </row>
    <row r="31412" spans="25:25" x14ac:dyDescent="0.2">
      <c r="Y31412" s="97"/>
    </row>
    <row r="31413" spans="25:25" x14ac:dyDescent="0.2">
      <c r="Y31413" s="97"/>
    </row>
    <row r="31414" spans="25:25" x14ac:dyDescent="0.2">
      <c r="Y31414" s="97"/>
    </row>
    <row r="31415" spans="25:25" x14ac:dyDescent="0.2">
      <c r="Y31415" s="97"/>
    </row>
    <row r="31416" spans="25:25" x14ac:dyDescent="0.2">
      <c r="Y31416" s="97"/>
    </row>
    <row r="31417" spans="25:25" x14ac:dyDescent="0.2">
      <c r="Y31417" s="97"/>
    </row>
    <row r="31418" spans="25:25" x14ac:dyDescent="0.2">
      <c r="Y31418" s="97"/>
    </row>
    <row r="31419" spans="25:25" x14ac:dyDescent="0.2">
      <c r="Y31419" s="97"/>
    </row>
    <row r="31420" spans="25:25" x14ac:dyDescent="0.2">
      <c r="Y31420" s="97"/>
    </row>
    <row r="31421" spans="25:25" x14ac:dyDescent="0.2">
      <c r="Y31421" s="97"/>
    </row>
    <row r="31422" spans="25:25" x14ac:dyDescent="0.2">
      <c r="Y31422" s="97"/>
    </row>
    <row r="31423" spans="25:25" x14ac:dyDescent="0.2">
      <c r="Y31423" s="97"/>
    </row>
    <row r="31424" spans="25:25" x14ac:dyDescent="0.2">
      <c r="Y31424" s="97"/>
    </row>
    <row r="31425" spans="25:25" x14ac:dyDescent="0.2">
      <c r="Y31425" s="97"/>
    </row>
    <row r="31426" spans="25:25" x14ac:dyDescent="0.2">
      <c r="Y31426" s="97"/>
    </row>
    <row r="31427" spans="25:25" x14ac:dyDescent="0.2">
      <c r="Y31427" s="97"/>
    </row>
    <row r="31428" spans="25:25" x14ac:dyDescent="0.2">
      <c r="Y31428" s="97"/>
    </row>
    <row r="31429" spans="25:25" x14ac:dyDescent="0.2">
      <c r="Y31429" s="97"/>
    </row>
    <row r="31430" spans="25:25" x14ac:dyDescent="0.2">
      <c r="Y31430" s="97"/>
    </row>
    <row r="31431" spans="25:25" x14ac:dyDescent="0.2">
      <c r="Y31431" s="97"/>
    </row>
    <row r="31432" spans="25:25" x14ac:dyDescent="0.2">
      <c r="Y31432" s="97"/>
    </row>
    <row r="31433" spans="25:25" x14ac:dyDescent="0.2">
      <c r="Y31433" s="97"/>
    </row>
    <row r="31434" spans="25:25" x14ac:dyDescent="0.2">
      <c r="Y31434" s="97"/>
    </row>
    <row r="31435" spans="25:25" x14ac:dyDescent="0.2">
      <c r="Y31435" s="97"/>
    </row>
    <row r="31436" spans="25:25" x14ac:dyDescent="0.2">
      <c r="Y31436" s="97"/>
    </row>
    <row r="31437" spans="25:25" x14ac:dyDescent="0.2">
      <c r="Y31437" s="97"/>
    </row>
    <row r="31438" spans="25:25" x14ac:dyDescent="0.2">
      <c r="Y31438" s="97"/>
    </row>
    <row r="31439" spans="25:25" x14ac:dyDescent="0.2">
      <c r="Y31439" s="97"/>
    </row>
    <row r="31440" spans="25:25" x14ac:dyDescent="0.2">
      <c r="Y31440" s="97"/>
    </row>
    <row r="31441" spans="25:25" x14ac:dyDescent="0.2">
      <c r="Y31441" s="97"/>
    </row>
    <row r="31442" spans="25:25" x14ac:dyDescent="0.2">
      <c r="Y31442" s="97"/>
    </row>
    <row r="31443" spans="25:25" x14ac:dyDescent="0.2">
      <c r="Y31443" s="97"/>
    </row>
    <row r="31444" spans="25:25" x14ac:dyDescent="0.2">
      <c r="Y31444" s="97"/>
    </row>
    <row r="31445" spans="25:25" x14ac:dyDescent="0.2">
      <c r="Y31445" s="97"/>
    </row>
    <row r="31446" spans="25:25" x14ac:dyDescent="0.2">
      <c r="Y31446" s="97"/>
    </row>
    <row r="31447" spans="25:25" x14ac:dyDescent="0.2">
      <c r="Y31447" s="97"/>
    </row>
    <row r="31448" spans="25:25" x14ac:dyDescent="0.2">
      <c r="Y31448" s="97"/>
    </row>
    <row r="31449" spans="25:25" x14ac:dyDescent="0.2">
      <c r="Y31449" s="97"/>
    </row>
    <row r="31450" spans="25:25" x14ac:dyDescent="0.2">
      <c r="Y31450" s="97"/>
    </row>
    <row r="31451" spans="25:25" x14ac:dyDescent="0.2">
      <c r="Y31451" s="97"/>
    </row>
    <row r="31452" spans="25:25" x14ac:dyDescent="0.2">
      <c r="Y31452" s="97"/>
    </row>
    <row r="31453" spans="25:25" x14ac:dyDescent="0.2">
      <c r="Y31453" s="97"/>
    </row>
    <row r="31454" spans="25:25" x14ac:dyDescent="0.2">
      <c r="Y31454" s="97"/>
    </row>
    <row r="31455" spans="25:25" x14ac:dyDescent="0.2">
      <c r="Y31455" s="97"/>
    </row>
    <row r="31456" spans="25:25" x14ac:dyDescent="0.2">
      <c r="Y31456" s="97"/>
    </row>
    <row r="31457" spans="25:25" x14ac:dyDescent="0.2">
      <c r="Y31457" s="97"/>
    </row>
    <row r="31458" spans="25:25" x14ac:dyDescent="0.2">
      <c r="Y31458" s="97"/>
    </row>
    <row r="31459" spans="25:25" x14ac:dyDescent="0.2">
      <c r="Y31459" s="97"/>
    </row>
    <row r="31460" spans="25:25" x14ac:dyDescent="0.2">
      <c r="Y31460" s="97"/>
    </row>
    <row r="31461" spans="25:25" x14ac:dyDescent="0.2">
      <c r="Y31461" s="97"/>
    </row>
    <row r="31462" spans="25:25" x14ac:dyDescent="0.2">
      <c r="Y31462" s="97"/>
    </row>
    <row r="31463" spans="25:25" x14ac:dyDescent="0.2">
      <c r="Y31463" s="97"/>
    </row>
    <row r="31464" spans="25:25" x14ac:dyDescent="0.2">
      <c r="Y31464" s="97"/>
    </row>
    <row r="31465" spans="25:25" x14ac:dyDescent="0.2">
      <c r="Y31465" s="97"/>
    </row>
    <row r="31466" spans="25:25" x14ac:dyDescent="0.2">
      <c r="Y31466" s="97"/>
    </row>
    <row r="31467" spans="25:25" x14ac:dyDescent="0.2">
      <c r="Y31467" s="97"/>
    </row>
    <row r="31468" spans="25:25" x14ac:dyDescent="0.2">
      <c r="Y31468" s="97"/>
    </row>
    <row r="31469" spans="25:25" x14ac:dyDescent="0.2">
      <c r="Y31469" s="97"/>
    </row>
    <row r="31470" spans="25:25" x14ac:dyDescent="0.2">
      <c r="Y31470" s="97"/>
    </row>
    <row r="31471" spans="25:25" x14ac:dyDescent="0.2">
      <c r="Y31471" s="97"/>
    </row>
    <row r="31472" spans="25:25" x14ac:dyDescent="0.2">
      <c r="Y31472" s="97"/>
    </row>
    <row r="31473" spans="25:25" x14ac:dyDescent="0.2">
      <c r="Y31473" s="97"/>
    </row>
    <row r="31474" spans="25:25" x14ac:dyDescent="0.2">
      <c r="Y31474" s="97"/>
    </row>
    <row r="31475" spans="25:25" x14ac:dyDescent="0.2">
      <c r="Y31475" s="97"/>
    </row>
    <row r="31476" spans="25:25" x14ac:dyDescent="0.2">
      <c r="Y31476" s="97"/>
    </row>
    <row r="31477" spans="25:25" x14ac:dyDescent="0.2">
      <c r="Y31477" s="97"/>
    </row>
    <row r="31478" spans="25:25" x14ac:dyDescent="0.2">
      <c r="Y31478" s="97"/>
    </row>
    <row r="31479" spans="25:25" x14ac:dyDescent="0.2">
      <c r="Y31479" s="97"/>
    </row>
    <row r="31480" spans="25:25" x14ac:dyDescent="0.2">
      <c r="Y31480" s="97"/>
    </row>
    <row r="31481" spans="25:25" x14ac:dyDescent="0.2">
      <c r="Y31481" s="97"/>
    </row>
    <row r="31482" spans="25:25" x14ac:dyDescent="0.2">
      <c r="Y31482" s="97"/>
    </row>
    <row r="31483" spans="25:25" x14ac:dyDescent="0.2">
      <c r="Y31483" s="97"/>
    </row>
    <row r="31484" spans="25:25" x14ac:dyDescent="0.2">
      <c r="Y31484" s="97"/>
    </row>
    <row r="31485" spans="25:25" x14ac:dyDescent="0.2">
      <c r="Y31485" s="97"/>
    </row>
    <row r="31486" spans="25:25" x14ac:dyDescent="0.2">
      <c r="Y31486" s="97"/>
    </row>
    <row r="31487" spans="25:25" x14ac:dyDescent="0.2">
      <c r="Y31487" s="97"/>
    </row>
    <row r="31488" spans="25:25" x14ac:dyDescent="0.2">
      <c r="Y31488" s="97"/>
    </row>
    <row r="31489" spans="25:25" x14ac:dyDescent="0.2">
      <c r="Y31489" s="97"/>
    </row>
    <row r="31490" spans="25:25" x14ac:dyDescent="0.2">
      <c r="Y31490" s="97"/>
    </row>
    <row r="31491" spans="25:25" x14ac:dyDescent="0.2">
      <c r="Y31491" s="97"/>
    </row>
    <row r="31492" spans="25:25" x14ac:dyDescent="0.2">
      <c r="Y31492" s="97"/>
    </row>
    <row r="31493" spans="25:25" x14ac:dyDescent="0.2">
      <c r="Y31493" s="97"/>
    </row>
    <row r="31494" spans="25:25" x14ac:dyDescent="0.2">
      <c r="Y31494" s="97"/>
    </row>
    <row r="31495" spans="25:25" x14ac:dyDescent="0.2">
      <c r="Y31495" s="97"/>
    </row>
    <row r="31496" spans="25:25" x14ac:dyDescent="0.2">
      <c r="Y31496" s="97"/>
    </row>
    <row r="31497" spans="25:25" x14ac:dyDescent="0.2">
      <c r="Y31497" s="97"/>
    </row>
    <row r="31498" spans="25:25" x14ac:dyDescent="0.2">
      <c r="Y31498" s="97"/>
    </row>
    <row r="31499" spans="25:25" x14ac:dyDescent="0.2">
      <c r="Y31499" s="97"/>
    </row>
    <row r="31500" spans="25:25" x14ac:dyDescent="0.2">
      <c r="Y31500" s="97"/>
    </row>
    <row r="31501" spans="25:25" x14ac:dyDescent="0.2">
      <c r="Y31501" s="97"/>
    </row>
    <row r="31502" spans="25:25" x14ac:dyDescent="0.2">
      <c r="Y31502" s="97"/>
    </row>
    <row r="31503" spans="25:25" x14ac:dyDescent="0.2">
      <c r="Y31503" s="97"/>
    </row>
    <row r="31504" spans="25:25" x14ac:dyDescent="0.2">
      <c r="Y31504" s="97"/>
    </row>
    <row r="31505" spans="25:25" x14ac:dyDescent="0.2">
      <c r="Y31505" s="97"/>
    </row>
    <row r="31506" spans="25:25" x14ac:dyDescent="0.2">
      <c r="Y31506" s="97"/>
    </row>
    <row r="31507" spans="25:25" x14ac:dyDescent="0.2">
      <c r="Y31507" s="97"/>
    </row>
    <row r="31508" spans="25:25" x14ac:dyDescent="0.2">
      <c r="Y31508" s="97"/>
    </row>
    <row r="31509" spans="25:25" x14ac:dyDescent="0.2">
      <c r="Y31509" s="97"/>
    </row>
    <row r="31510" spans="25:25" x14ac:dyDescent="0.2">
      <c r="Y31510" s="97"/>
    </row>
    <row r="31511" spans="25:25" x14ac:dyDescent="0.2">
      <c r="Y31511" s="97"/>
    </row>
    <row r="31512" spans="25:25" x14ac:dyDescent="0.2">
      <c r="Y31512" s="97"/>
    </row>
    <row r="31513" spans="25:25" x14ac:dyDescent="0.2">
      <c r="Y31513" s="97"/>
    </row>
    <row r="31514" spans="25:25" x14ac:dyDescent="0.2">
      <c r="Y31514" s="97"/>
    </row>
    <row r="31515" spans="25:25" x14ac:dyDescent="0.2">
      <c r="Y31515" s="97"/>
    </row>
    <row r="31516" spans="25:25" x14ac:dyDescent="0.2">
      <c r="Y31516" s="97"/>
    </row>
    <row r="31517" spans="25:25" x14ac:dyDescent="0.2">
      <c r="Y31517" s="97"/>
    </row>
    <row r="31518" spans="25:25" x14ac:dyDescent="0.2">
      <c r="Y31518" s="97"/>
    </row>
    <row r="31519" spans="25:25" x14ac:dyDescent="0.2">
      <c r="Y31519" s="97"/>
    </row>
    <row r="31520" spans="25:25" x14ac:dyDescent="0.2">
      <c r="Y31520" s="97"/>
    </row>
    <row r="31521" spans="25:25" x14ac:dyDescent="0.2">
      <c r="Y31521" s="97"/>
    </row>
    <row r="31522" spans="25:25" x14ac:dyDescent="0.2">
      <c r="Y31522" s="97"/>
    </row>
    <row r="31523" spans="25:25" x14ac:dyDescent="0.2">
      <c r="Y31523" s="97"/>
    </row>
    <row r="31524" spans="25:25" x14ac:dyDescent="0.2">
      <c r="Y31524" s="97"/>
    </row>
    <row r="31525" spans="25:25" x14ac:dyDescent="0.2">
      <c r="Y31525" s="97"/>
    </row>
    <row r="31526" spans="25:25" x14ac:dyDescent="0.2">
      <c r="Y31526" s="97"/>
    </row>
    <row r="31527" spans="25:25" x14ac:dyDescent="0.2">
      <c r="Y31527" s="97"/>
    </row>
    <row r="31528" spans="25:25" x14ac:dyDescent="0.2">
      <c r="Y31528" s="97"/>
    </row>
    <row r="31529" spans="25:25" x14ac:dyDescent="0.2">
      <c r="Y31529" s="97"/>
    </row>
    <row r="31530" spans="25:25" x14ac:dyDescent="0.2">
      <c r="Y31530" s="97"/>
    </row>
    <row r="31531" spans="25:25" x14ac:dyDescent="0.2">
      <c r="Y31531" s="97"/>
    </row>
    <row r="31532" spans="25:25" x14ac:dyDescent="0.2">
      <c r="Y31532" s="97"/>
    </row>
    <row r="31533" spans="25:25" x14ac:dyDescent="0.2">
      <c r="Y31533" s="97"/>
    </row>
    <row r="31534" spans="25:25" x14ac:dyDescent="0.2">
      <c r="Y31534" s="97"/>
    </row>
    <row r="31535" spans="25:25" x14ac:dyDescent="0.2">
      <c r="Y31535" s="97"/>
    </row>
    <row r="31536" spans="25:25" x14ac:dyDescent="0.2">
      <c r="Y31536" s="97"/>
    </row>
    <row r="31537" spans="25:25" x14ac:dyDescent="0.2">
      <c r="Y31537" s="97"/>
    </row>
    <row r="31538" spans="25:25" x14ac:dyDescent="0.2">
      <c r="Y31538" s="97"/>
    </row>
    <row r="31539" spans="25:25" x14ac:dyDescent="0.2">
      <c r="Y31539" s="97"/>
    </row>
    <row r="31540" spans="25:25" x14ac:dyDescent="0.2">
      <c r="Y31540" s="97"/>
    </row>
    <row r="31541" spans="25:25" x14ac:dyDescent="0.2">
      <c r="Y31541" s="97"/>
    </row>
    <row r="31542" spans="25:25" x14ac:dyDescent="0.2">
      <c r="Y31542" s="97"/>
    </row>
    <row r="31543" spans="25:25" x14ac:dyDescent="0.2">
      <c r="Y31543" s="97"/>
    </row>
    <row r="31544" spans="25:25" x14ac:dyDescent="0.2">
      <c r="Y31544" s="97"/>
    </row>
    <row r="31545" spans="25:25" x14ac:dyDescent="0.2">
      <c r="Y31545" s="97"/>
    </row>
    <row r="31546" spans="25:25" x14ac:dyDescent="0.2">
      <c r="Y31546" s="97"/>
    </row>
    <row r="31547" spans="25:25" x14ac:dyDescent="0.2">
      <c r="Y31547" s="97"/>
    </row>
    <row r="31548" spans="25:25" x14ac:dyDescent="0.2">
      <c r="Y31548" s="97"/>
    </row>
    <row r="31549" spans="25:25" x14ac:dyDescent="0.2">
      <c r="Y31549" s="97"/>
    </row>
    <row r="31550" spans="25:25" x14ac:dyDescent="0.2">
      <c r="Y31550" s="97"/>
    </row>
    <row r="31551" spans="25:25" x14ac:dyDescent="0.2">
      <c r="Y31551" s="97"/>
    </row>
    <row r="31552" spans="25:25" x14ac:dyDescent="0.2">
      <c r="Y31552" s="97"/>
    </row>
    <row r="31553" spans="25:25" x14ac:dyDescent="0.2">
      <c r="Y31553" s="97"/>
    </row>
    <row r="31554" spans="25:25" x14ac:dyDescent="0.2">
      <c r="Y31554" s="97"/>
    </row>
    <row r="31555" spans="25:25" x14ac:dyDescent="0.2">
      <c r="Y31555" s="97"/>
    </row>
    <row r="31556" spans="25:25" x14ac:dyDescent="0.2">
      <c r="Y31556" s="97"/>
    </row>
    <row r="31557" spans="25:25" x14ac:dyDescent="0.2">
      <c r="Y31557" s="97"/>
    </row>
    <row r="31558" spans="25:25" x14ac:dyDescent="0.2">
      <c r="Y31558" s="97"/>
    </row>
    <row r="31559" spans="25:25" x14ac:dyDescent="0.2">
      <c r="Y31559" s="97"/>
    </row>
    <row r="31560" spans="25:25" x14ac:dyDescent="0.2">
      <c r="Y31560" s="97"/>
    </row>
    <row r="31561" spans="25:25" x14ac:dyDescent="0.2">
      <c r="Y31561" s="97"/>
    </row>
    <row r="31562" spans="25:25" x14ac:dyDescent="0.2">
      <c r="Y31562" s="97"/>
    </row>
    <row r="31563" spans="25:25" x14ac:dyDescent="0.2">
      <c r="Y31563" s="97"/>
    </row>
    <row r="31564" spans="25:25" x14ac:dyDescent="0.2">
      <c r="Y31564" s="97"/>
    </row>
    <row r="31565" spans="25:25" x14ac:dyDescent="0.2">
      <c r="Y31565" s="97"/>
    </row>
    <row r="31566" spans="25:25" x14ac:dyDescent="0.2">
      <c r="Y31566" s="97"/>
    </row>
    <row r="31567" spans="25:25" x14ac:dyDescent="0.2">
      <c r="Y31567" s="97"/>
    </row>
    <row r="31568" spans="25:25" x14ac:dyDescent="0.2">
      <c r="Y31568" s="97"/>
    </row>
    <row r="31569" spans="25:25" x14ac:dyDescent="0.2">
      <c r="Y31569" s="97"/>
    </row>
    <row r="31570" spans="25:25" x14ac:dyDescent="0.2">
      <c r="Y31570" s="97"/>
    </row>
    <row r="31571" spans="25:25" x14ac:dyDescent="0.2">
      <c r="Y31571" s="97"/>
    </row>
    <row r="31572" spans="25:25" x14ac:dyDescent="0.2">
      <c r="Y31572" s="97"/>
    </row>
    <row r="31573" spans="25:25" x14ac:dyDescent="0.2">
      <c r="Y31573" s="97"/>
    </row>
    <row r="31574" spans="25:25" x14ac:dyDescent="0.2">
      <c r="Y31574" s="97"/>
    </row>
    <row r="31575" spans="25:25" x14ac:dyDescent="0.2">
      <c r="Y31575" s="97"/>
    </row>
    <row r="31576" spans="25:25" x14ac:dyDescent="0.2">
      <c r="Y31576" s="97"/>
    </row>
    <row r="31577" spans="25:25" x14ac:dyDescent="0.2">
      <c r="Y31577" s="97"/>
    </row>
    <row r="31578" spans="25:25" x14ac:dyDescent="0.2">
      <c r="Y31578" s="97"/>
    </row>
    <row r="31579" spans="25:25" x14ac:dyDescent="0.2">
      <c r="Y31579" s="97"/>
    </row>
    <row r="31580" spans="25:25" x14ac:dyDescent="0.2">
      <c r="Y31580" s="97"/>
    </row>
    <row r="31581" spans="25:25" x14ac:dyDescent="0.2">
      <c r="Y31581" s="97"/>
    </row>
    <row r="31582" spans="25:25" x14ac:dyDescent="0.2">
      <c r="Y31582" s="97"/>
    </row>
    <row r="31583" spans="25:25" x14ac:dyDescent="0.2">
      <c r="Y31583" s="97"/>
    </row>
    <row r="31584" spans="25:25" x14ac:dyDescent="0.2">
      <c r="Y31584" s="97"/>
    </row>
    <row r="31585" spans="25:25" x14ac:dyDescent="0.2">
      <c r="Y31585" s="97"/>
    </row>
    <row r="31586" spans="25:25" x14ac:dyDescent="0.2">
      <c r="Y31586" s="97"/>
    </row>
    <row r="31587" spans="25:25" x14ac:dyDescent="0.2">
      <c r="Y31587" s="97"/>
    </row>
    <row r="31588" spans="25:25" x14ac:dyDescent="0.2">
      <c r="Y31588" s="97"/>
    </row>
    <row r="31589" spans="25:25" x14ac:dyDescent="0.2">
      <c r="Y31589" s="97"/>
    </row>
    <row r="31590" spans="25:25" x14ac:dyDescent="0.2">
      <c r="Y31590" s="97"/>
    </row>
    <row r="31591" spans="25:25" x14ac:dyDescent="0.2">
      <c r="Y31591" s="97"/>
    </row>
    <row r="31592" spans="25:25" x14ac:dyDescent="0.2">
      <c r="Y31592" s="97"/>
    </row>
    <row r="31593" spans="25:25" x14ac:dyDescent="0.2">
      <c r="Y31593" s="97"/>
    </row>
    <row r="31594" spans="25:25" x14ac:dyDescent="0.2">
      <c r="Y31594" s="97"/>
    </row>
    <row r="31595" spans="25:25" x14ac:dyDescent="0.2">
      <c r="Y31595" s="97"/>
    </row>
    <row r="31596" spans="25:25" x14ac:dyDescent="0.2">
      <c r="Y31596" s="97"/>
    </row>
    <row r="31597" spans="25:25" x14ac:dyDescent="0.2">
      <c r="Y31597" s="97"/>
    </row>
    <row r="31598" spans="25:25" x14ac:dyDescent="0.2">
      <c r="Y31598" s="97"/>
    </row>
    <row r="31599" spans="25:25" x14ac:dyDescent="0.2">
      <c r="Y31599" s="97"/>
    </row>
    <row r="31600" spans="25:25" x14ac:dyDescent="0.2">
      <c r="Y31600" s="97"/>
    </row>
    <row r="31601" spans="25:25" x14ac:dyDescent="0.2">
      <c r="Y31601" s="97"/>
    </row>
    <row r="31602" spans="25:25" x14ac:dyDescent="0.2">
      <c r="Y31602" s="97"/>
    </row>
    <row r="31603" spans="25:25" x14ac:dyDescent="0.2">
      <c r="Y31603" s="97"/>
    </row>
    <row r="31604" spans="25:25" x14ac:dyDescent="0.2">
      <c r="Y31604" s="97"/>
    </row>
    <row r="31605" spans="25:25" x14ac:dyDescent="0.2">
      <c r="Y31605" s="97"/>
    </row>
    <row r="31606" spans="25:25" x14ac:dyDescent="0.2">
      <c r="Y31606" s="97"/>
    </row>
    <row r="31607" spans="25:25" x14ac:dyDescent="0.2">
      <c r="Y31607" s="97"/>
    </row>
    <row r="31608" spans="25:25" x14ac:dyDescent="0.2">
      <c r="Y31608" s="97"/>
    </row>
    <row r="31609" spans="25:25" x14ac:dyDescent="0.2">
      <c r="Y31609" s="97"/>
    </row>
    <row r="31610" spans="25:25" x14ac:dyDescent="0.2">
      <c r="Y31610" s="97"/>
    </row>
    <row r="31611" spans="25:25" x14ac:dyDescent="0.2">
      <c r="Y31611" s="97"/>
    </row>
    <row r="31612" spans="25:25" x14ac:dyDescent="0.2">
      <c r="Y31612" s="97"/>
    </row>
    <row r="31613" spans="25:25" x14ac:dyDescent="0.2">
      <c r="Y31613" s="97"/>
    </row>
    <row r="31614" spans="25:25" x14ac:dyDescent="0.2">
      <c r="Y31614" s="97"/>
    </row>
    <row r="31615" spans="25:25" x14ac:dyDescent="0.2">
      <c r="Y31615" s="97"/>
    </row>
    <row r="31616" spans="25:25" x14ac:dyDescent="0.2">
      <c r="Y31616" s="97"/>
    </row>
    <row r="31617" spans="25:25" x14ac:dyDescent="0.2">
      <c r="Y31617" s="97"/>
    </row>
    <row r="31618" spans="25:25" x14ac:dyDescent="0.2">
      <c r="Y31618" s="97"/>
    </row>
    <row r="31619" spans="25:25" x14ac:dyDescent="0.2">
      <c r="Y31619" s="97"/>
    </row>
    <row r="31620" spans="25:25" x14ac:dyDescent="0.2">
      <c r="Y31620" s="97"/>
    </row>
    <row r="31621" spans="25:25" x14ac:dyDescent="0.2">
      <c r="Y31621" s="97"/>
    </row>
    <row r="31622" spans="25:25" x14ac:dyDescent="0.2">
      <c r="Y31622" s="97"/>
    </row>
    <row r="31623" spans="25:25" x14ac:dyDescent="0.2">
      <c r="Y31623" s="97"/>
    </row>
    <row r="31624" spans="25:25" x14ac:dyDescent="0.2">
      <c r="Y31624" s="97"/>
    </row>
    <row r="31625" spans="25:25" x14ac:dyDescent="0.2">
      <c r="Y31625" s="97"/>
    </row>
    <row r="31626" spans="25:25" x14ac:dyDescent="0.2">
      <c r="Y31626" s="97"/>
    </row>
    <row r="31627" spans="25:25" x14ac:dyDescent="0.2">
      <c r="Y31627" s="97"/>
    </row>
    <row r="31628" spans="25:25" x14ac:dyDescent="0.2">
      <c r="Y31628" s="97"/>
    </row>
    <row r="31629" spans="25:25" x14ac:dyDescent="0.2">
      <c r="Y31629" s="97"/>
    </row>
    <row r="31630" spans="25:25" x14ac:dyDescent="0.2">
      <c r="Y31630" s="97"/>
    </row>
    <row r="31631" spans="25:25" x14ac:dyDescent="0.2">
      <c r="Y31631" s="97"/>
    </row>
    <row r="31632" spans="25:25" x14ac:dyDescent="0.2">
      <c r="Y31632" s="97"/>
    </row>
    <row r="31633" spans="25:25" x14ac:dyDescent="0.2">
      <c r="Y31633" s="97"/>
    </row>
    <row r="31634" spans="25:25" x14ac:dyDescent="0.2">
      <c r="Y31634" s="97"/>
    </row>
    <row r="31635" spans="25:25" x14ac:dyDescent="0.2">
      <c r="Y31635" s="97"/>
    </row>
    <row r="31636" spans="25:25" x14ac:dyDescent="0.2">
      <c r="Y31636" s="97"/>
    </row>
    <row r="31637" spans="25:25" x14ac:dyDescent="0.2">
      <c r="Y31637" s="97"/>
    </row>
    <row r="31638" spans="25:25" x14ac:dyDescent="0.2">
      <c r="Y31638" s="97"/>
    </row>
    <row r="31639" spans="25:25" x14ac:dyDescent="0.2">
      <c r="Y31639" s="97"/>
    </row>
    <row r="31640" spans="25:25" x14ac:dyDescent="0.2">
      <c r="Y31640" s="97"/>
    </row>
    <row r="31641" spans="25:25" x14ac:dyDescent="0.2">
      <c r="Y31641" s="97"/>
    </row>
    <row r="31642" spans="25:25" x14ac:dyDescent="0.2">
      <c r="Y31642" s="97"/>
    </row>
    <row r="31643" spans="25:25" x14ac:dyDescent="0.2">
      <c r="Y31643" s="97"/>
    </row>
    <row r="31644" spans="25:25" x14ac:dyDescent="0.2">
      <c r="Y31644" s="97"/>
    </row>
    <row r="31645" spans="25:25" x14ac:dyDescent="0.2">
      <c r="Y31645" s="97"/>
    </row>
    <row r="31646" spans="25:25" x14ac:dyDescent="0.2">
      <c r="Y31646" s="97"/>
    </row>
    <row r="31647" spans="25:25" x14ac:dyDescent="0.2">
      <c r="Y31647" s="97"/>
    </row>
    <row r="31648" spans="25:25" x14ac:dyDescent="0.2">
      <c r="Y31648" s="97"/>
    </row>
    <row r="31649" spans="25:25" x14ac:dyDescent="0.2">
      <c r="Y31649" s="97"/>
    </row>
    <row r="31650" spans="25:25" x14ac:dyDescent="0.2">
      <c r="Y31650" s="97"/>
    </row>
    <row r="31651" spans="25:25" x14ac:dyDescent="0.2">
      <c r="Y31651" s="97"/>
    </row>
    <row r="31652" spans="25:25" x14ac:dyDescent="0.2">
      <c r="Y31652" s="97"/>
    </row>
    <row r="31653" spans="25:25" x14ac:dyDescent="0.2">
      <c r="Y31653" s="97"/>
    </row>
    <row r="31654" spans="25:25" x14ac:dyDescent="0.2">
      <c r="Y31654" s="97"/>
    </row>
    <row r="31655" spans="25:25" x14ac:dyDescent="0.2">
      <c r="Y31655" s="97"/>
    </row>
    <row r="31656" spans="25:25" x14ac:dyDescent="0.2">
      <c r="Y31656" s="97"/>
    </row>
    <row r="31657" spans="25:25" x14ac:dyDescent="0.2">
      <c r="Y31657" s="97"/>
    </row>
    <row r="31658" spans="25:25" x14ac:dyDescent="0.2">
      <c r="Y31658" s="97"/>
    </row>
    <row r="31659" spans="25:25" x14ac:dyDescent="0.2">
      <c r="Y31659" s="97"/>
    </row>
    <row r="31660" spans="25:25" x14ac:dyDescent="0.2">
      <c r="Y31660" s="97"/>
    </row>
    <row r="31661" spans="25:25" x14ac:dyDescent="0.2">
      <c r="Y31661" s="97"/>
    </row>
    <row r="31662" spans="25:25" x14ac:dyDescent="0.2">
      <c r="Y31662" s="97"/>
    </row>
    <row r="31663" spans="25:25" x14ac:dyDescent="0.2">
      <c r="Y31663" s="97"/>
    </row>
    <row r="31664" spans="25:25" x14ac:dyDescent="0.2">
      <c r="Y31664" s="97"/>
    </row>
    <row r="31665" spans="25:25" x14ac:dyDescent="0.2">
      <c r="Y31665" s="97"/>
    </row>
    <row r="31666" spans="25:25" x14ac:dyDescent="0.2">
      <c r="Y31666" s="97"/>
    </row>
    <row r="31667" spans="25:25" x14ac:dyDescent="0.2">
      <c r="Y31667" s="97"/>
    </row>
    <row r="31668" spans="25:25" x14ac:dyDescent="0.2">
      <c r="Y31668" s="97"/>
    </row>
    <row r="31669" spans="25:25" x14ac:dyDescent="0.2">
      <c r="Y31669" s="97"/>
    </row>
    <row r="31670" spans="25:25" x14ac:dyDescent="0.2">
      <c r="Y31670" s="97"/>
    </row>
    <row r="31671" spans="25:25" x14ac:dyDescent="0.2">
      <c r="Y31671" s="97"/>
    </row>
    <row r="31672" spans="25:25" x14ac:dyDescent="0.2">
      <c r="Y31672" s="97"/>
    </row>
    <row r="31673" spans="25:25" x14ac:dyDescent="0.2">
      <c r="Y31673" s="97"/>
    </row>
    <row r="31674" spans="25:25" x14ac:dyDescent="0.2">
      <c r="Y31674" s="97"/>
    </row>
    <row r="31675" spans="25:25" x14ac:dyDescent="0.2">
      <c r="Y31675" s="97"/>
    </row>
    <row r="31676" spans="25:25" x14ac:dyDescent="0.2">
      <c r="Y31676" s="97"/>
    </row>
    <row r="31677" spans="25:25" x14ac:dyDescent="0.2">
      <c r="Y31677" s="97"/>
    </row>
    <row r="31678" spans="25:25" x14ac:dyDescent="0.2">
      <c r="Y31678" s="97"/>
    </row>
    <row r="31679" spans="25:25" x14ac:dyDescent="0.2">
      <c r="Y31679" s="97"/>
    </row>
    <row r="31680" spans="25:25" x14ac:dyDescent="0.2">
      <c r="Y31680" s="97"/>
    </row>
    <row r="31681" spans="25:25" x14ac:dyDescent="0.2">
      <c r="Y31681" s="97"/>
    </row>
    <row r="31682" spans="25:25" x14ac:dyDescent="0.2">
      <c r="Y31682" s="97"/>
    </row>
    <row r="31683" spans="25:25" x14ac:dyDescent="0.2">
      <c r="Y31683" s="97"/>
    </row>
    <row r="31684" spans="25:25" x14ac:dyDescent="0.2">
      <c r="Y31684" s="97"/>
    </row>
    <row r="31685" spans="25:25" x14ac:dyDescent="0.2">
      <c r="Y31685" s="97"/>
    </row>
    <row r="31686" spans="25:25" x14ac:dyDescent="0.2">
      <c r="Y31686" s="97"/>
    </row>
    <row r="31687" spans="25:25" x14ac:dyDescent="0.2">
      <c r="Y31687" s="97"/>
    </row>
    <row r="31688" spans="25:25" x14ac:dyDescent="0.2">
      <c r="Y31688" s="97"/>
    </row>
    <row r="31689" spans="25:25" x14ac:dyDescent="0.2">
      <c r="Y31689" s="97"/>
    </row>
    <row r="31690" spans="25:25" x14ac:dyDescent="0.2">
      <c r="Y31690" s="97"/>
    </row>
    <row r="31691" spans="25:25" x14ac:dyDescent="0.2">
      <c r="Y31691" s="97"/>
    </row>
    <row r="31692" spans="25:25" x14ac:dyDescent="0.2">
      <c r="Y31692" s="97"/>
    </row>
    <row r="31693" spans="25:25" x14ac:dyDescent="0.2">
      <c r="Y31693" s="97"/>
    </row>
    <row r="31694" spans="25:25" x14ac:dyDescent="0.2">
      <c r="Y31694" s="97"/>
    </row>
    <row r="31695" spans="25:25" x14ac:dyDescent="0.2">
      <c r="Y31695" s="97"/>
    </row>
    <row r="31696" spans="25:25" x14ac:dyDescent="0.2">
      <c r="Y31696" s="97"/>
    </row>
    <row r="31697" spans="25:25" x14ac:dyDescent="0.2">
      <c r="Y31697" s="97"/>
    </row>
    <row r="31698" spans="25:25" x14ac:dyDescent="0.2">
      <c r="Y31698" s="97"/>
    </row>
    <row r="31699" spans="25:25" x14ac:dyDescent="0.2">
      <c r="Y31699" s="97"/>
    </row>
    <row r="31700" spans="25:25" x14ac:dyDescent="0.2">
      <c r="Y31700" s="97"/>
    </row>
    <row r="31701" spans="25:25" x14ac:dyDescent="0.2">
      <c r="Y31701" s="97"/>
    </row>
    <row r="31702" spans="25:25" x14ac:dyDescent="0.2">
      <c r="Y31702" s="97"/>
    </row>
    <row r="31703" spans="25:25" x14ac:dyDescent="0.2">
      <c r="Y31703" s="97"/>
    </row>
    <row r="31704" spans="25:25" x14ac:dyDescent="0.2">
      <c r="Y31704" s="97"/>
    </row>
    <row r="31705" spans="25:25" x14ac:dyDescent="0.2">
      <c r="Y31705" s="97"/>
    </row>
    <row r="31706" spans="25:25" x14ac:dyDescent="0.2">
      <c r="Y31706" s="97"/>
    </row>
    <row r="31707" spans="25:25" x14ac:dyDescent="0.2">
      <c r="Y31707" s="97"/>
    </row>
    <row r="31708" spans="25:25" x14ac:dyDescent="0.2">
      <c r="Y31708" s="97"/>
    </row>
    <row r="31709" spans="25:25" x14ac:dyDescent="0.2">
      <c r="Y31709" s="97"/>
    </row>
    <row r="31710" spans="25:25" x14ac:dyDescent="0.2">
      <c r="Y31710" s="97"/>
    </row>
    <row r="31711" spans="25:25" x14ac:dyDescent="0.2">
      <c r="Y31711" s="97"/>
    </row>
    <row r="31712" spans="25:25" x14ac:dyDescent="0.2">
      <c r="Y31712" s="97"/>
    </row>
    <row r="31713" spans="25:25" x14ac:dyDescent="0.2">
      <c r="Y31713" s="97"/>
    </row>
    <row r="31714" spans="25:25" x14ac:dyDescent="0.2">
      <c r="Y31714" s="97"/>
    </row>
    <row r="31715" spans="25:25" x14ac:dyDescent="0.2">
      <c r="Y31715" s="97"/>
    </row>
    <row r="31716" spans="25:25" x14ac:dyDescent="0.2">
      <c r="Y31716" s="97"/>
    </row>
    <row r="31717" spans="25:25" x14ac:dyDescent="0.2">
      <c r="Y31717" s="97"/>
    </row>
    <row r="31718" spans="25:25" x14ac:dyDescent="0.2">
      <c r="Y31718" s="97"/>
    </row>
    <row r="31719" spans="25:25" x14ac:dyDescent="0.2">
      <c r="Y31719" s="97"/>
    </row>
    <row r="31720" spans="25:25" x14ac:dyDescent="0.2">
      <c r="Y31720" s="97"/>
    </row>
    <row r="31721" spans="25:25" x14ac:dyDescent="0.2">
      <c r="Y31721" s="97"/>
    </row>
    <row r="31722" spans="25:25" x14ac:dyDescent="0.2">
      <c r="Y31722" s="97"/>
    </row>
    <row r="31723" spans="25:25" x14ac:dyDescent="0.2">
      <c r="Y31723" s="97"/>
    </row>
    <row r="31724" spans="25:25" x14ac:dyDescent="0.2">
      <c r="Y31724" s="97"/>
    </row>
    <row r="31725" spans="25:25" x14ac:dyDescent="0.2">
      <c r="Y31725" s="97"/>
    </row>
    <row r="31726" spans="25:25" x14ac:dyDescent="0.2">
      <c r="Y31726" s="97"/>
    </row>
    <row r="31727" spans="25:25" x14ac:dyDescent="0.2">
      <c r="Y31727" s="97"/>
    </row>
    <row r="31728" spans="25:25" x14ac:dyDescent="0.2">
      <c r="Y31728" s="97"/>
    </row>
    <row r="31729" spans="25:25" x14ac:dyDescent="0.2">
      <c r="Y31729" s="97"/>
    </row>
    <row r="31730" spans="25:25" x14ac:dyDescent="0.2">
      <c r="Y31730" s="97"/>
    </row>
    <row r="31731" spans="25:25" x14ac:dyDescent="0.2">
      <c r="Y31731" s="97"/>
    </row>
    <row r="31732" spans="25:25" x14ac:dyDescent="0.2">
      <c r="Y31732" s="97"/>
    </row>
    <row r="31733" spans="25:25" x14ac:dyDescent="0.2">
      <c r="Y31733" s="97"/>
    </row>
    <row r="31734" spans="25:25" x14ac:dyDescent="0.2">
      <c r="Y31734" s="97"/>
    </row>
    <row r="31735" spans="25:25" x14ac:dyDescent="0.2">
      <c r="Y31735" s="97"/>
    </row>
    <row r="31736" spans="25:25" x14ac:dyDescent="0.2">
      <c r="Y31736" s="97"/>
    </row>
    <row r="31737" spans="25:25" x14ac:dyDescent="0.2">
      <c r="Y31737" s="97"/>
    </row>
    <row r="31738" spans="25:25" x14ac:dyDescent="0.2">
      <c r="Y31738" s="97"/>
    </row>
    <row r="31739" spans="25:25" x14ac:dyDescent="0.2">
      <c r="Y31739" s="97"/>
    </row>
    <row r="31740" spans="25:25" x14ac:dyDescent="0.2">
      <c r="Y31740" s="97"/>
    </row>
    <row r="31741" spans="25:25" x14ac:dyDescent="0.2">
      <c r="Y31741" s="97"/>
    </row>
    <row r="31742" spans="25:25" x14ac:dyDescent="0.2">
      <c r="Y31742" s="97"/>
    </row>
    <row r="31743" spans="25:25" x14ac:dyDescent="0.2">
      <c r="Y31743" s="97"/>
    </row>
    <row r="31744" spans="25:25" x14ac:dyDescent="0.2">
      <c r="Y31744" s="97"/>
    </row>
    <row r="31745" spans="25:25" x14ac:dyDescent="0.2">
      <c r="Y31745" s="97"/>
    </row>
    <row r="31746" spans="25:25" x14ac:dyDescent="0.2">
      <c r="Y31746" s="97"/>
    </row>
    <row r="31747" spans="25:25" x14ac:dyDescent="0.2">
      <c r="Y31747" s="97"/>
    </row>
    <row r="31748" spans="25:25" x14ac:dyDescent="0.2">
      <c r="Y31748" s="97"/>
    </row>
    <row r="31749" spans="25:25" x14ac:dyDescent="0.2">
      <c r="Y31749" s="97"/>
    </row>
    <row r="31750" spans="25:25" x14ac:dyDescent="0.2">
      <c r="Y31750" s="97"/>
    </row>
    <row r="31751" spans="25:25" x14ac:dyDescent="0.2">
      <c r="Y31751" s="97"/>
    </row>
    <row r="31752" spans="25:25" x14ac:dyDescent="0.2">
      <c r="Y31752" s="97"/>
    </row>
    <row r="31753" spans="25:25" x14ac:dyDescent="0.2">
      <c r="Y31753" s="97"/>
    </row>
    <row r="31754" spans="25:25" x14ac:dyDescent="0.2">
      <c r="Y31754" s="97"/>
    </row>
    <row r="31755" spans="25:25" x14ac:dyDescent="0.2">
      <c r="Y31755" s="97"/>
    </row>
    <row r="31756" spans="25:25" x14ac:dyDescent="0.2">
      <c r="Y31756" s="97"/>
    </row>
    <row r="31757" spans="25:25" x14ac:dyDescent="0.2">
      <c r="Y31757" s="97"/>
    </row>
    <row r="31758" spans="25:25" x14ac:dyDescent="0.2">
      <c r="Y31758" s="97"/>
    </row>
    <row r="31759" spans="25:25" x14ac:dyDescent="0.2">
      <c r="Y31759" s="97"/>
    </row>
    <row r="31760" spans="25:25" x14ac:dyDescent="0.2">
      <c r="Y31760" s="97"/>
    </row>
    <row r="31761" spans="25:25" x14ac:dyDescent="0.2">
      <c r="Y31761" s="97"/>
    </row>
    <row r="31762" spans="25:25" x14ac:dyDescent="0.2">
      <c r="Y31762" s="97"/>
    </row>
    <row r="31763" spans="25:25" x14ac:dyDescent="0.2">
      <c r="Y31763" s="97"/>
    </row>
    <row r="31764" spans="25:25" x14ac:dyDescent="0.2">
      <c r="Y31764" s="97"/>
    </row>
    <row r="31765" spans="25:25" x14ac:dyDescent="0.2">
      <c r="Y31765" s="97"/>
    </row>
    <row r="31766" spans="25:25" x14ac:dyDescent="0.2">
      <c r="Y31766" s="97"/>
    </row>
    <row r="31767" spans="25:25" x14ac:dyDescent="0.2">
      <c r="Y31767" s="97"/>
    </row>
    <row r="31768" spans="25:25" x14ac:dyDescent="0.2">
      <c r="Y31768" s="97"/>
    </row>
    <row r="31769" spans="25:25" x14ac:dyDescent="0.2">
      <c r="Y31769" s="97"/>
    </row>
    <row r="31770" spans="25:25" x14ac:dyDescent="0.2">
      <c r="Y31770" s="97"/>
    </row>
    <row r="31771" spans="25:25" x14ac:dyDescent="0.2">
      <c r="Y31771" s="97"/>
    </row>
    <row r="31772" spans="25:25" x14ac:dyDescent="0.2">
      <c r="Y31772" s="97"/>
    </row>
    <row r="31773" spans="25:25" x14ac:dyDescent="0.2">
      <c r="Y31773" s="97"/>
    </row>
    <row r="31774" spans="25:25" x14ac:dyDescent="0.2">
      <c r="Y31774" s="97"/>
    </row>
    <row r="31775" spans="25:25" x14ac:dyDescent="0.2">
      <c r="Y31775" s="97"/>
    </row>
    <row r="31776" spans="25:25" x14ac:dyDescent="0.2">
      <c r="Y31776" s="97"/>
    </row>
    <row r="31777" spans="25:25" x14ac:dyDescent="0.2">
      <c r="Y31777" s="97"/>
    </row>
    <row r="31778" spans="25:25" x14ac:dyDescent="0.2">
      <c r="Y31778" s="97"/>
    </row>
    <row r="31779" spans="25:25" x14ac:dyDescent="0.2">
      <c r="Y31779" s="97"/>
    </row>
    <row r="31780" spans="25:25" x14ac:dyDescent="0.2">
      <c r="Y31780" s="97"/>
    </row>
    <row r="31781" spans="25:25" x14ac:dyDescent="0.2">
      <c r="Y31781" s="97"/>
    </row>
    <row r="31782" spans="25:25" x14ac:dyDescent="0.2">
      <c r="Y31782" s="97"/>
    </row>
    <row r="31783" spans="25:25" x14ac:dyDescent="0.2">
      <c r="Y31783" s="97"/>
    </row>
    <row r="31784" spans="25:25" x14ac:dyDescent="0.2">
      <c r="Y31784" s="97"/>
    </row>
    <row r="31785" spans="25:25" x14ac:dyDescent="0.2">
      <c r="Y31785" s="97"/>
    </row>
    <row r="31786" spans="25:25" x14ac:dyDescent="0.2">
      <c r="Y31786" s="97"/>
    </row>
    <row r="31787" spans="25:25" x14ac:dyDescent="0.2">
      <c r="Y31787" s="97"/>
    </row>
    <row r="31788" spans="25:25" x14ac:dyDescent="0.2">
      <c r="Y31788" s="97"/>
    </row>
    <row r="31789" spans="25:25" x14ac:dyDescent="0.2">
      <c r="Y31789" s="97"/>
    </row>
    <row r="31790" spans="25:25" x14ac:dyDescent="0.2">
      <c r="Y31790" s="97"/>
    </row>
    <row r="31791" spans="25:25" x14ac:dyDescent="0.2">
      <c r="Y31791" s="97"/>
    </row>
    <row r="31792" spans="25:25" x14ac:dyDescent="0.2">
      <c r="Y31792" s="97"/>
    </row>
    <row r="31793" spans="25:25" x14ac:dyDescent="0.2">
      <c r="Y31793" s="97"/>
    </row>
    <row r="31794" spans="25:25" x14ac:dyDescent="0.2">
      <c r="Y31794" s="97"/>
    </row>
    <row r="31795" spans="25:25" x14ac:dyDescent="0.2">
      <c r="Y31795" s="97"/>
    </row>
    <row r="31796" spans="25:25" x14ac:dyDescent="0.2">
      <c r="Y31796" s="97"/>
    </row>
    <row r="31797" spans="25:25" x14ac:dyDescent="0.2">
      <c r="Y31797" s="97"/>
    </row>
    <row r="31798" spans="25:25" x14ac:dyDescent="0.2">
      <c r="Y31798" s="97"/>
    </row>
    <row r="31799" spans="25:25" x14ac:dyDescent="0.2">
      <c r="Y31799" s="97"/>
    </row>
    <row r="31800" spans="25:25" x14ac:dyDescent="0.2">
      <c r="Y31800" s="97"/>
    </row>
    <row r="31801" spans="25:25" x14ac:dyDescent="0.2">
      <c r="Y31801" s="97"/>
    </row>
    <row r="31802" spans="25:25" x14ac:dyDescent="0.2">
      <c r="Y31802" s="97"/>
    </row>
    <row r="31803" spans="25:25" x14ac:dyDescent="0.2">
      <c r="Y31803" s="97"/>
    </row>
    <row r="31804" spans="25:25" x14ac:dyDescent="0.2">
      <c r="Y31804" s="97"/>
    </row>
    <row r="31805" spans="25:25" x14ac:dyDescent="0.2">
      <c r="Y31805" s="97"/>
    </row>
    <row r="31806" spans="25:25" x14ac:dyDescent="0.2">
      <c r="Y31806" s="97"/>
    </row>
    <row r="31807" spans="25:25" x14ac:dyDescent="0.2">
      <c r="Y31807" s="97"/>
    </row>
    <row r="31808" spans="25:25" x14ac:dyDescent="0.2">
      <c r="Y31808" s="97"/>
    </row>
    <row r="31809" spans="25:25" x14ac:dyDescent="0.2">
      <c r="Y31809" s="97"/>
    </row>
    <row r="31810" spans="25:25" x14ac:dyDescent="0.2">
      <c r="Y31810" s="97"/>
    </row>
    <row r="31811" spans="25:25" x14ac:dyDescent="0.2">
      <c r="Y31811" s="97"/>
    </row>
    <row r="31812" spans="25:25" x14ac:dyDescent="0.2">
      <c r="Y31812" s="97"/>
    </row>
    <row r="31813" spans="25:25" x14ac:dyDescent="0.2">
      <c r="Y31813" s="97"/>
    </row>
    <row r="31814" spans="25:25" x14ac:dyDescent="0.2">
      <c r="Y31814" s="97"/>
    </row>
    <row r="31815" spans="25:25" x14ac:dyDescent="0.2">
      <c r="Y31815" s="97"/>
    </row>
    <row r="31816" spans="25:25" x14ac:dyDescent="0.2">
      <c r="Y31816" s="97"/>
    </row>
    <row r="31817" spans="25:25" x14ac:dyDescent="0.2">
      <c r="Y31817" s="97"/>
    </row>
    <row r="31818" spans="25:25" x14ac:dyDescent="0.2">
      <c r="Y31818" s="97"/>
    </row>
    <row r="31819" spans="25:25" x14ac:dyDescent="0.2">
      <c r="Y31819" s="97"/>
    </row>
    <row r="31820" spans="25:25" x14ac:dyDescent="0.2">
      <c r="Y31820" s="97"/>
    </row>
    <row r="31821" spans="25:25" x14ac:dyDescent="0.2">
      <c r="Y31821" s="97"/>
    </row>
    <row r="31822" spans="25:25" x14ac:dyDescent="0.2">
      <c r="Y31822" s="97"/>
    </row>
    <row r="31823" spans="25:25" x14ac:dyDescent="0.2">
      <c r="Y31823" s="97"/>
    </row>
    <row r="31824" spans="25:25" x14ac:dyDescent="0.2">
      <c r="Y31824" s="97"/>
    </row>
    <row r="31825" spans="25:25" x14ac:dyDescent="0.2">
      <c r="Y31825" s="97"/>
    </row>
    <row r="31826" spans="25:25" x14ac:dyDescent="0.2">
      <c r="Y31826" s="97"/>
    </row>
    <row r="31827" spans="25:25" x14ac:dyDescent="0.2">
      <c r="Y31827" s="97"/>
    </row>
    <row r="31828" spans="25:25" x14ac:dyDescent="0.2">
      <c r="Y31828" s="97"/>
    </row>
    <row r="31829" spans="25:25" x14ac:dyDescent="0.2">
      <c r="Y31829" s="97"/>
    </row>
    <row r="31830" spans="25:25" x14ac:dyDescent="0.2">
      <c r="Y31830" s="97"/>
    </row>
    <row r="31831" spans="25:25" x14ac:dyDescent="0.2">
      <c r="Y31831" s="97"/>
    </row>
    <row r="31832" spans="25:25" x14ac:dyDescent="0.2">
      <c r="Y31832" s="97"/>
    </row>
    <row r="31833" spans="25:25" x14ac:dyDescent="0.2">
      <c r="Y31833" s="97"/>
    </row>
    <row r="31834" spans="25:25" x14ac:dyDescent="0.2">
      <c r="Y31834" s="97"/>
    </row>
    <row r="31835" spans="25:25" x14ac:dyDescent="0.2">
      <c r="Y31835" s="97"/>
    </row>
    <row r="31836" spans="25:25" x14ac:dyDescent="0.2">
      <c r="Y31836" s="97"/>
    </row>
    <row r="31837" spans="25:25" x14ac:dyDescent="0.2">
      <c r="Y31837" s="97"/>
    </row>
    <row r="31838" spans="25:25" x14ac:dyDescent="0.2">
      <c r="Y31838" s="97"/>
    </row>
    <row r="31839" spans="25:25" x14ac:dyDescent="0.2">
      <c r="Y31839" s="97"/>
    </row>
    <row r="31840" spans="25:25" x14ac:dyDescent="0.2">
      <c r="Y31840" s="97"/>
    </row>
    <row r="31841" spans="25:25" x14ac:dyDescent="0.2">
      <c r="Y31841" s="97"/>
    </row>
    <row r="31842" spans="25:25" x14ac:dyDescent="0.2">
      <c r="Y31842" s="97"/>
    </row>
    <row r="31843" spans="25:25" x14ac:dyDescent="0.2">
      <c r="Y31843" s="97"/>
    </row>
    <row r="31844" spans="25:25" x14ac:dyDescent="0.2">
      <c r="Y31844" s="97"/>
    </row>
    <row r="31845" spans="25:25" x14ac:dyDescent="0.2">
      <c r="Y31845" s="97"/>
    </row>
    <row r="31846" spans="25:25" x14ac:dyDescent="0.2">
      <c r="Y31846" s="97"/>
    </row>
    <row r="31847" spans="25:25" x14ac:dyDescent="0.2">
      <c r="Y31847" s="97"/>
    </row>
    <row r="31848" spans="25:25" x14ac:dyDescent="0.2">
      <c r="Y31848" s="97"/>
    </row>
    <row r="31849" spans="25:25" x14ac:dyDescent="0.2">
      <c r="Y31849" s="97"/>
    </row>
    <row r="31850" spans="25:25" x14ac:dyDescent="0.2">
      <c r="Y31850" s="97"/>
    </row>
    <row r="31851" spans="25:25" x14ac:dyDescent="0.2">
      <c r="Y31851" s="97"/>
    </row>
    <row r="31852" spans="25:25" x14ac:dyDescent="0.2">
      <c r="Y31852" s="97"/>
    </row>
    <row r="31853" spans="25:25" x14ac:dyDescent="0.2">
      <c r="Y31853" s="97"/>
    </row>
    <row r="31854" spans="25:25" x14ac:dyDescent="0.2">
      <c r="Y31854" s="97"/>
    </row>
    <row r="31855" spans="25:25" x14ac:dyDescent="0.2">
      <c r="Y31855" s="97"/>
    </row>
    <row r="31856" spans="25:25" x14ac:dyDescent="0.2">
      <c r="Y31856" s="97"/>
    </row>
    <row r="31857" spans="25:25" x14ac:dyDescent="0.2">
      <c r="Y31857" s="97"/>
    </row>
    <row r="31858" spans="25:25" x14ac:dyDescent="0.2">
      <c r="Y31858" s="97"/>
    </row>
    <row r="31859" spans="25:25" x14ac:dyDescent="0.2">
      <c r="Y31859" s="97"/>
    </row>
    <row r="31860" spans="25:25" x14ac:dyDescent="0.2">
      <c r="Y31860" s="97"/>
    </row>
    <row r="31861" spans="25:25" x14ac:dyDescent="0.2">
      <c r="Y31861" s="97"/>
    </row>
    <row r="31862" spans="25:25" x14ac:dyDescent="0.2">
      <c r="Y31862" s="97"/>
    </row>
    <row r="31863" spans="25:25" x14ac:dyDescent="0.2">
      <c r="Y31863" s="97"/>
    </row>
    <row r="31864" spans="25:25" x14ac:dyDescent="0.2">
      <c r="Y31864" s="97"/>
    </row>
    <row r="31865" spans="25:25" x14ac:dyDescent="0.2">
      <c r="Y31865" s="97"/>
    </row>
    <row r="31866" spans="25:25" x14ac:dyDescent="0.2">
      <c r="Y31866" s="97"/>
    </row>
    <row r="31867" spans="25:25" x14ac:dyDescent="0.2">
      <c r="Y31867" s="97"/>
    </row>
    <row r="31868" spans="25:25" x14ac:dyDescent="0.2">
      <c r="Y31868" s="97"/>
    </row>
    <row r="31869" spans="25:25" x14ac:dyDescent="0.2">
      <c r="Y31869" s="97"/>
    </row>
    <row r="31870" spans="25:25" x14ac:dyDescent="0.2">
      <c r="Y31870" s="97"/>
    </row>
    <row r="31871" spans="25:25" x14ac:dyDescent="0.2">
      <c r="Y31871" s="97"/>
    </row>
    <row r="31872" spans="25:25" x14ac:dyDescent="0.2">
      <c r="Y31872" s="97"/>
    </row>
    <row r="31873" spans="25:25" x14ac:dyDescent="0.2">
      <c r="Y31873" s="97"/>
    </row>
    <row r="31874" spans="25:25" x14ac:dyDescent="0.2">
      <c r="Y31874" s="97"/>
    </row>
    <row r="31875" spans="25:25" x14ac:dyDescent="0.2">
      <c r="Y31875" s="97"/>
    </row>
    <row r="31876" spans="25:25" x14ac:dyDescent="0.2">
      <c r="Y31876" s="97"/>
    </row>
    <row r="31877" spans="25:25" x14ac:dyDescent="0.2">
      <c r="Y31877" s="97"/>
    </row>
    <row r="31878" spans="25:25" x14ac:dyDescent="0.2">
      <c r="Y31878" s="97"/>
    </row>
    <row r="31879" spans="25:25" x14ac:dyDescent="0.2">
      <c r="Y31879" s="97"/>
    </row>
    <row r="31880" spans="25:25" x14ac:dyDescent="0.2">
      <c r="Y31880" s="97"/>
    </row>
    <row r="31881" spans="25:25" x14ac:dyDescent="0.2">
      <c r="Y31881" s="97"/>
    </row>
    <row r="31882" spans="25:25" x14ac:dyDescent="0.2">
      <c r="Y31882" s="97"/>
    </row>
    <row r="31883" spans="25:25" x14ac:dyDescent="0.2">
      <c r="Y31883" s="97"/>
    </row>
    <row r="31884" spans="25:25" x14ac:dyDescent="0.2">
      <c r="Y31884" s="97"/>
    </row>
    <row r="31885" spans="25:25" x14ac:dyDescent="0.2">
      <c r="Y31885" s="97"/>
    </row>
    <row r="31886" spans="25:25" x14ac:dyDescent="0.2">
      <c r="Y31886" s="97"/>
    </row>
    <row r="31887" spans="25:25" x14ac:dyDescent="0.2">
      <c r="Y31887" s="97"/>
    </row>
    <row r="31888" spans="25:25" x14ac:dyDescent="0.2">
      <c r="Y31888" s="97"/>
    </row>
    <row r="31889" spans="25:25" x14ac:dyDescent="0.2">
      <c r="Y31889" s="97"/>
    </row>
    <row r="31890" spans="25:25" x14ac:dyDescent="0.2">
      <c r="Y31890" s="97"/>
    </row>
    <row r="31891" spans="25:25" x14ac:dyDescent="0.2">
      <c r="Y31891" s="97"/>
    </row>
    <row r="31892" spans="25:25" x14ac:dyDescent="0.2">
      <c r="Y31892" s="97"/>
    </row>
    <row r="31893" spans="25:25" x14ac:dyDescent="0.2">
      <c r="Y31893" s="97"/>
    </row>
    <row r="31894" spans="25:25" x14ac:dyDescent="0.2">
      <c r="Y31894" s="97"/>
    </row>
    <row r="31895" spans="25:25" x14ac:dyDescent="0.2">
      <c r="Y31895" s="97"/>
    </row>
    <row r="31896" spans="25:25" x14ac:dyDescent="0.2">
      <c r="Y31896" s="97"/>
    </row>
    <row r="31897" spans="25:25" x14ac:dyDescent="0.2">
      <c r="Y31897" s="97"/>
    </row>
    <row r="31898" spans="25:25" x14ac:dyDescent="0.2">
      <c r="Y31898" s="97"/>
    </row>
    <row r="31899" spans="25:25" x14ac:dyDescent="0.2">
      <c r="Y31899" s="97"/>
    </row>
    <row r="31900" spans="25:25" x14ac:dyDescent="0.2">
      <c r="Y31900" s="97"/>
    </row>
    <row r="31901" spans="25:25" x14ac:dyDescent="0.2">
      <c r="Y31901" s="97"/>
    </row>
    <row r="31902" spans="25:25" x14ac:dyDescent="0.2">
      <c r="Y31902" s="97"/>
    </row>
    <row r="31903" spans="25:25" x14ac:dyDescent="0.2">
      <c r="Y31903" s="97"/>
    </row>
    <row r="31904" spans="25:25" x14ac:dyDescent="0.2">
      <c r="Y31904" s="97"/>
    </row>
    <row r="31905" spans="25:25" x14ac:dyDescent="0.2">
      <c r="Y31905" s="97"/>
    </row>
    <row r="31906" spans="25:25" x14ac:dyDescent="0.2">
      <c r="Y31906" s="97"/>
    </row>
    <row r="31907" spans="25:25" x14ac:dyDescent="0.2">
      <c r="Y31907" s="97"/>
    </row>
    <row r="31908" spans="25:25" x14ac:dyDescent="0.2">
      <c r="Y31908" s="97"/>
    </row>
    <row r="31909" spans="25:25" x14ac:dyDescent="0.2">
      <c r="Y31909" s="97"/>
    </row>
    <row r="31910" spans="25:25" x14ac:dyDescent="0.2">
      <c r="Y31910" s="97"/>
    </row>
    <row r="31911" spans="25:25" x14ac:dyDescent="0.2">
      <c r="Y31911" s="97"/>
    </row>
    <row r="31912" spans="25:25" x14ac:dyDescent="0.2">
      <c r="Y31912" s="97"/>
    </row>
    <row r="31913" spans="25:25" x14ac:dyDescent="0.2">
      <c r="Y31913" s="97"/>
    </row>
    <row r="31914" spans="25:25" x14ac:dyDescent="0.2">
      <c r="Y31914" s="97"/>
    </row>
    <row r="31915" spans="25:25" x14ac:dyDescent="0.2">
      <c r="Y31915" s="97"/>
    </row>
    <row r="31916" spans="25:25" x14ac:dyDescent="0.2">
      <c r="Y31916" s="97"/>
    </row>
    <row r="31917" spans="25:25" x14ac:dyDescent="0.2">
      <c r="Y31917" s="97"/>
    </row>
    <row r="31918" spans="25:25" x14ac:dyDescent="0.2">
      <c r="Y31918" s="97"/>
    </row>
    <row r="31919" spans="25:25" x14ac:dyDescent="0.2">
      <c r="Y31919" s="97"/>
    </row>
    <row r="31920" spans="25:25" x14ac:dyDescent="0.2">
      <c r="Y31920" s="97"/>
    </row>
    <row r="31921" spans="25:25" x14ac:dyDescent="0.2">
      <c r="Y31921" s="97"/>
    </row>
    <row r="31922" spans="25:25" x14ac:dyDescent="0.2">
      <c r="Y31922" s="97"/>
    </row>
    <row r="31923" spans="25:25" x14ac:dyDescent="0.2">
      <c r="Y31923" s="97"/>
    </row>
    <row r="31924" spans="25:25" x14ac:dyDescent="0.2">
      <c r="Y31924" s="97"/>
    </row>
    <row r="31925" spans="25:25" x14ac:dyDescent="0.2">
      <c r="Y31925" s="97"/>
    </row>
    <row r="31926" spans="25:25" x14ac:dyDescent="0.2">
      <c r="Y31926" s="97"/>
    </row>
    <row r="31927" spans="25:25" x14ac:dyDescent="0.2">
      <c r="Y31927" s="97"/>
    </row>
    <row r="31928" spans="25:25" x14ac:dyDescent="0.2">
      <c r="Y31928" s="97"/>
    </row>
    <row r="31929" spans="25:25" x14ac:dyDescent="0.2">
      <c r="Y31929" s="97"/>
    </row>
    <row r="31930" spans="25:25" x14ac:dyDescent="0.2">
      <c r="Y31930" s="97"/>
    </row>
    <row r="31931" spans="25:25" x14ac:dyDescent="0.2">
      <c r="Y31931" s="97"/>
    </row>
    <row r="31932" spans="25:25" x14ac:dyDescent="0.2">
      <c r="Y31932" s="97"/>
    </row>
    <row r="31933" spans="25:25" x14ac:dyDescent="0.2">
      <c r="Y31933" s="97"/>
    </row>
    <row r="31934" spans="25:25" x14ac:dyDescent="0.2">
      <c r="Y31934" s="97"/>
    </row>
    <row r="31935" spans="25:25" x14ac:dyDescent="0.2">
      <c r="Y31935" s="97"/>
    </row>
    <row r="31936" spans="25:25" x14ac:dyDescent="0.2">
      <c r="Y31936" s="97"/>
    </row>
    <row r="31937" spans="25:25" x14ac:dyDescent="0.2">
      <c r="Y31937" s="97"/>
    </row>
    <row r="31938" spans="25:25" x14ac:dyDescent="0.2">
      <c r="Y31938" s="97"/>
    </row>
    <row r="31939" spans="25:25" x14ac:dyDescent="0.2">
      <c r="Y31939" s="97"/>
    </row>
    <row r="31940" spans="25:25" x14ac:dyDescent="0.2">
      <c r="Y31940" s="97"/>
    </row>
    <row r="31941" spans="25:25" x14ac:dyDescent="0.2">
      <c r="Y31941" s="97"/>
    </row>
    <row r="31942" spans="25:25" x14ac:dyDescent="0.2">
      <c r="Y31942" s="97"/>
    </row>
    <row r="31943" spans="25:25" x14ac:dyDescent="0.2">
      <c r="Y31943" s="97"/>
    </row>
    <row r="31944" spans="25:25" x14ac:dyDescent="0.2">
      <c r="Y31944" s="97"/>
    </row>
    <row r="31945" spans="25:25" x14ac:dyDescent="0.2">
      <c r="Y31945" s="97"/>
    </row>
    <row r="31946" spans="25:25" x14ac:dyDescent="0.2">
      <c r="Y31946" s="97"/>
    </row>
    <row r="31947" spans="25:25" x14ac:dyDescent="0.2">
      <c r="Y31947" s="97"/>
    </row>
    <row r="31948" spans="25:25" x14ac:dyDescent="0.2">
      <c r="Y31948" s="97"/>
    </row>
    <row r="31949" spans="25:25" x14ac:dyDescent="0.2">
      <c r="Y31949" s="97"/>
    </row>
    <row r="31950" spans="25:25" x14ac:dyDescent="0.2">
      <c r="Y31950" s="97"/>
    </row>
    <row r="31951" spans="25:25" x14ac:dyDescent="0.2">
      <c r="Y31951" s="97"/>
    </row>
    <row r="31952" spans="25:25" x14ac:dyDescent="0.2">
      <c r="Y31952" s="97"/>
    </row>
    <row r="31953" spans="25:25" x14ac:dyDescent="0.2">
      <c r="Y31953" s="97"/>
    </row>
    <row r="31954" spans="25:25" x14ac:dyDescent="0.2">
      <c r="Y31954" s="97"/>
    </row>
    <row r="31955" spans="25:25" x14ac:dyDescent="0.2">
      <c r="Y31955" s="97"/>
    </row>
    <row r="31956" spans="25:25" x14ac:dyDescent="0.2">
      <c r="Y31956" s="97"/>
    </row>
    <row r="31957" spans="25:25" x14ac:dyDescent="0.2">
      <c r="Y31957" s="97"/>
    </row>
    <row r="31958" spans="25:25" x14ac:dyDescent="0.2">
      <c r="Y31958" s="97"/>
    </row>
    <row r="31959" spans="25:25" x14ac:dyDescent="0.2">
      <c r="Y31959" s="97"/>
    </row>
    <row r="31960" spans="25:25" x14ac:dyDescent="0.2">
      <c r="Y31960" s="97"/>
    </row>
    <row r="31961" spans="25:25" x14ac:dyDescent="0.2">
      <c r="Y31961" s="97"/>
    </row>
    <row r="31962" spans="25:25" x14ac:dyDescent="0.2">
      <c r="Y31962" s="97"/>
    </row>
    <row r="31963" spans="25:25" x14ac:dyDescent="0.2">
      <c r="Y31963" s="97"/>
    </row>
    <row r="31964" spans="25:25" x14ac:dyDescent="0.2">
      <c r="Y31964" s="97"/>
    </row>
    <row r="31965" spans="25:25" x14ac:dyDescent="0.2">
      <c r="Y31965" s="97"/>
    </row>
    <row r="31966" spans="25:25" x14ac:dyDescent="0.2">
      <c r="Y31966" s="97"/>
    </row>
    <row r="31967" spans="25:25" x14ac:dyDescent="0.2">
      <c r="Y31967" s="97"/>
    </row>
    <row r="31968" spans="25:25" x14ac:dyDescent="0.2">
      <c r="Y31968" s="97"/>
    </row>
    <row r="31969" spans="25:25" x14ac:dyDescent="0.2">
      <c r="Y31969" s="97"/>
    </row>
    <row r="31970" spans="25:25" x14ac:dyDescent="0.2">
      <c r="Y31970" s="97"/>
    </row>
    <row r="31971" spans="25:25" x14ac:dyDescent="0.2">
      <c r="Y31971" s="97"/>
    </row>
    <row r="31972" spans="25:25" x14ac:dyDescent="0.2">
      <c r="Y31972" s="97"/>
    </row>
    <row r="31973" spans="25:25" x14ac:dyDescent="0.2">
      <c r="Y31973" s="97"/>
    </row>
    <row r="31974" spans="25:25" x14ac:dyDescent="0.2">
      <c r="Y31974" s="97"/>
    </row>
    <row r="31975" spans="25:25" x14ac:dyDescent="0.2">
      <c r="Y31975" s="97"/>
    </row>
    <row r="31976" spans="25:25" x14ac:dyDescent="0.2">
      <c r="Y31976" s="97"/>
    </row>
    <row r="31977" spans="25:25" x14ac:dyDescent="0.2">
      <c r="Y31977" s="97"/>
    </row>
    <row r="31978" spans="25:25" x14ac:dyDescent="0.2">
      <c r="Y31978" s="97"/>
    </row>
    <row r="31979" spans="25:25" x14ac:dyDescent="0.2">
      <c r="Y31979" s="97"/>
    </row>
    <row r="31980" spans="25:25" x14ac:dyDescent="0.2">
      <c r="Y31980" s="97"/>
    </row>
    <row r="31981" spans="25:25" x14ac:dyDescent="0.2">
      <c r="Y31981" s="97"/>
    </row>
    <row r="31982" spans="25:25" x14ac:dyDescent="0.2">
      <c r="Y31982" s="97"/>
    </row>
    <row r="31983" spans="25:25" x14ac:dyDescent="0.2">
      <c r="Y31983" s="97"/>
    </row>
    <row r="31984" spans="25:25" x14ac:dyDescent="0.2">
      <c r="Y31984" s="97"/>
    </row>
    <row r="31985" spans="25:25" x14ac:dyDescent="0.2">
      <c r="Y31985" s="97"/>
    </row>
    <row r="31986" spans="25:25" x14ac:dyDescent="0.2">
      <c r="Y31986" s="97"/>
    </row>
    <row r="31987" spans="25:25" x14ac:dyDescent="0.2">
      <c r="Y31987" s="97"/>
    </row>
    <row r="31988" spans="25:25" x14ac:dyDescent="0.2">
      <c r="Y31988" s="97"/>
    </row>
    <row r="31989" spans="25:25" x14ac:dyDescent="0.2">
      <c r="Y31989" s="97"/>
    </row>
    <row r="31990" spans="25:25" x14ac:dyDescent="0.2">
      <c r="Y31990" s="97"/>
    </row>
    <row r="31991" spans="25:25" x14ac:dyDescent="0.2">
      <c r="Y31991" s="97"/>
    </row>
    <row r="31992" spans="25:25" x14ac:dyDescent="0.2">
      <c r="Y31992" s="97"/>
    </row>
    <row r="31993" spans="25:25" x14ac:dyDescent="0.2">
      <c r="Y31993" s="97"/>
    </row>
    <row r="31994" spans="25:25" x14ac:dyDescent="0.2">
      <c r="Y31994" s="97"/>
    </row>
    <row r="31995" spans="25:25" x14ac:dyDescent="0.2">
      <c r="Y31995" s="97"/>
    </row>
    <row r="31996" spans="25:25" x14ac:dyDescent="0.2">
      <c r="Y31996" s="97"/>
    </row>
    <row r="31997" spans="25:25" x14ac:dyDescent="0.2">
      <c r="Y31997" s="97"/>
    </row>
    <row r="31998" spans="25:25" x14ac:dyDescent="0.2">
      <c r="Y31998" s="97"/>
    </row>
    <row r="31999" spans="25:25" x14ac:dyDescent="0.2">
      <c r="Y31999" s="97"/>
    </row>
    <row r="32000" spans="25:25" x14ac:dyDescent="0.2">
      <c r="Y32000" s="97"/>
    </row>
    <row r="32001" spans="25:25" x14ac:dyDescent="0.2">
      <c r="Y32001" s="97"/>
    </row>
    <row r="32002" spans="25:25" x14ac:dyDescent="0.2">
      <c r="Y32002" s="97"/>
    </row>
    <row r="32003" spans="25:25" x14ac:dyDescent="0.2">
      <c r="Y32003" s="97"/>
    </row>
    <row r="32004" spans="25:25" x14ac:dyDescent="0.2">
      <c r="Y32004" s="97"/>
    </row>
    <row r="32005" spans="25:25" x14ac:dyDescent="0.2">
      <c r="Y32005" s="97"/>
    </row>
    <row r="32006" spans="25:25" x14ac:dyDescent="0.2">
      <c r="Y32006" s="97"/>
    </row>
    <row r="32007" spans="25:25" x14ac:dyDescent="0.2">
      <c r="Y32007" s="97"/>
    </row>
    <row r="32008" spans="25:25" x14ac:dyDescent="0.2">
      <c r="Y32008" s="97"/>
    </row>
    <row r="32009" spans="25:25" x14ac:dyDescent="0.2">
      <c r="Y32009" s="97"/>
    </row>
    <row r="32010" spans="25:25" x14ac:dyDescent="0.2">
      <c r="Y32010" s="97"/>
    </row>
    <row r="32011" spans="25:25" x14ac:dyDescent="0.2">
      <c r="Y32011" s="97"/>
    </row>
    <row r="32012" spans="25:25" x14ac:dyDescent="0.2">
      <c r="Y32012" s="97"/>
    </row>
    <row r="32013" spans="25:25" x14ac:dyDescent="0.2">
      <c r="Y32013" s="97"/>
    </row>
    <row r="32014" spans="25:25" x14ac:dyDescent="0.2">
      <c r="Y32014" s="97"/>
    </row>
    <row r="32015" spans="25:25" x14ac:dyDescent="0.2">
      <c r="Y32015" s="97"/>
    </row>
    <row r="32016" spans="25:25" x14ac:dyDescent="0.2">
      <c r="Y32016" s="97"/>
    </row>
    <row r="32017" spans="25:25" x14ac:dyDescent="0.2">
      <c r="Y32017" s="97"/>
    </row>
    <row r="32018" spans="25:25" x14ac:dyDescent="0.2">
      <c r="Y32018" s="97"/>
    </row>
    <row r="32019" spans="25:25" x14ac:dyDescent="0.2">
      <c r="Y32019" s="97"/>
    </row>
    <row r="32020" spans="25:25" x14ac:dyDescent="0.2">
      <c r="Y32020" s="97"/>
    </row>
    <row r="32021" spans="25:25" x14ac:dyDescent="0.2">
      <c r="Y32021" s="97"/>
    </row>
    <row r="32022" spans="25:25" x14ac:dyDescent="0.2">
      <c r="Y32022" s="97"/>
    </row>
    <row r="32023" spans="25:25" x14ac:dyDescent="0.2">
      <c r="Y32023" s="97"/>
    </row>
    <row r="32024" spans="25:25" x14ac:dyDescent="0.2">
      <c r="Y32024" s="97"/>
    </row>
    <row r="32025" spans="25:25" x14ac:dyDescent="0.2">
      <c r="Y32025" s="97"/>
    </row>
    <row r="32026" spans="25:25" x14ac:dyDescent="0.2">
      <c r="Y32026" s="97"/>
    </row>
    <row r="32027" spans="25:25" x14ac:dyDescent="0.2">
      <c r="Y32027" s="97"/>
    </row>
    <row r="32028" spans="25:25" x14ac:dyDescent="0.2">
      <c r="Y32028" s="97"/>
    </row>
    <row r="32029" spans="25:25" x14ac:dyDescent="0.2">
      <c r="Y32029" s="97"/>
    </row>
    <row r="32030" spans="25:25" x14ac:dyDescent="0.2">
      <c r="Y32030" s="97"/>
    </row>
    <row r="32031" spans="25:25" x14ac:dyDescent="0.2">
      <c r="Y32031" s="97"/>
    </row>
    <row r="32032" spans="25:25" x14ac:dyDescent="0.2">
      <c r="Y32032" s="97"/>
    </row>
    <row r="32033" spans="25:25" x14ac:dyDescent="0.2">
      <c r="Y32033" s="97"/>
    </row>
    <row r="32034" spans="25:25" x14ac:dyDescent="0.2">
      <c r="Y32034" s="97"/>
    </row>
    <row r="32035" spans="25:25" x14ac:dyDescent="0.2">
      <c r="Y32035" s="97"/>
    </row>
    <row r="32036" spans="25:25" x14ac:dyDescent="0.2">
      <c r="Y32036" s="97"/>
    </row>
    <row r="32037" spans="25:25" x14ac:dyDescent="0.2">
      <c r="Y32037" s="97"/>
    </row>
    <row r="32038" spans="25:25" x14ac:dyDescent="0.2">
      <c r="Y32038" s="97"/>
    </row>
    <row r="32039" spans="25:25" x14ac:dyDescent="0.2">
      <c r="Y32039" s="97"/>
    </row>
    <row r="32040" spans="25:25" x14ac:dyDescent="0.2">
      <c r="Y32040" s="97"/>
    </row>
    <row r="32041" spans="25:25" x14ac:dyDescent="0.2">
      <c r="Y32041" s="97"/>
    </row>
    <row r="32042" spans="25:25" x14ac:dyDescent="0.2">
      <c r="Y32042" s="97"/>
    </row>
    <row r="32043" spans="25:25" x14ac:dyDescent="0.2">
      <c r="Y32043" s="97"/>
    </row>
    <row r="32044" spans="25:25" x14ac:dyDescent="0.2">
      <c r="Y32044" s="97"/>
    </row>
    <row r="32045" spans="25:25" x14ac:dyDescent="0.2">
      <c r="Y32045" s="97"/>
    </row>
    <row r="32046" spans="25:25" x14ac:dyDescent="0.2">
      <c r="Y32046" s="97"/>
    </row>
    <row r="32047" spans="25:25" x14ac:dyDescent="0.2">
      <c r="Y32047" s="97"/>
    </row>
    <row r="32048" spans="25:25" x14ac:dyDescent="0.2">
      <c r="Y32048" s="97"/>
    </row>
    <row r="32049" spans="25:25" x14ac:dyDescent="0.2">
      <c r="Y32049" s="97"/>
    </row>
    <row r="32050" spans="25:25" x14ac:dyDescent="0.2">
      <c r="Y32050" s="97"/>
    </row>
    <row r="32051" spans="25:25" x14ac:dyDescent="0.2">
      <c r="Y32051" s="97"/>
    </row>
    <row r="32052" spans="25:25" x14ac:dyDescent="0.2">
      <c r="Y32052" s="97"/>
    </row>
    <row r="32053" spans="25:25" x14ac:dyDescent="0.2">
      <c r="Y32053" s="97"/>
    </row>
    <row r="32054" spans="25:25" x14ac:dyDescent="0.2">
      <c r="Y32054" s="97"/>
    </row>
    <row r="32055" spans="25:25" x14ac:dyDescent="0.2">
      <c r="Y32055" s="97"/>
    </row>
    <row r="32056" spans="25:25" x14ac:dyDescent="0.2">
      <c r="Y32056" s="97"/>
    </row>
    <row r="32057" spans="25:25" x14ac:dyDescent="0.2">
      <c r="Y32057" s="97"/>
    </row>
    <row r="32058" spans="25:25" x14ac:dyDescent="0.2">
      <c r="Y32058" s="97"/>
    </row>
    <row r="32059" spans="25:25" x14ac:dyDescent="0.2">
      <c r="Y32059" s="97"/>
    </row>
    <row r="32060" spans="25:25" x14ac:dyDescent="0.2">
      <c r="Y32060" s="97"/>
    </row>
    <row r="32061" spans="25:25" x14ac:dyDescent="0.2">
      <c r="Y32061" s="97"/>
    </row>
    <row r="32062" spans="25:25" x14ac:dyDescent="0.2">
      <c r="Y32062" s="97"/>
    </row>
    <row r="32063" spans="25:25" x14ac:dyDescent="0.2">
      <c r="Y32063" s="97"/>
    </row>
    <row r="32064" spans="25:25" x14ac:dyDescent="0.2">
      <c r="Y32064" s="97"/>
    </row>
    <row r="32065" spans="25:25" x14ac:dyDescent="0.2">
      <c r="Y32065" s="97"/>
    </row>
    <row r="32066" spans="25:25" x14ac:dyDescent="0.2">
      <c r="Y32066" s="97"/>
    </row>
    <row r="32067" spans="25:25" x14ac:dyDescent="0.2">
      <c r="Y32067" s="97"/>
    </row>
    <row r="32068" spans="25:25" x14ac:dyDescent="0.2">
      <c r="Y32068" s="97"/>
    </row>
    <row r="32069" spans="25:25" x14ac:dyDescent="0.2">
      <c r="Y32069" s="97"/>
    </row>
    <row r="32070" spans="25:25" x14ac:dyDescent="0.2">
      <c r="Y32070" s="97"/>
    </row>
    <row r="32071" spans="25:25" x14ac:dyDescent="0.2">
      <c r="Y32071" s="97"/>
    </row>
    <row r="32072" spans="25:25" x14ac:dyDescent="0.2">
      <c r="Y32072" s="97"/>
    </row>
    <row r="32073" spans="25:25" x14ac:dyDescent="0.2">
      <c r="Y32073" s="97"/>
    </row>
    <row r="32074" spans="25:25" x14ac:dyDescent="0.2">
      <c r="Y32074" s="97"/>
    </row>
    <row r="32075" spans="25:25" x14ac:dyDescent="0.2">
      <c r="Y32075" s="97"/>
    </row>
    <row r="32076" spans="25:25" x14ac:dyDescent="0.2">
      <c r="Y32076" s="97"/>
    </row>
    <row r="32077" spans="25:25" x14ac:dyDescent="0.2">
      <c r="Y32077" s="97"/>
    </row>
    <row r="32078" spans="25:25" x14ac:dyDescent="0.2">
      <c r="Y32078" s="97"/>
    </row>
    <row r="32079" spans="25:25" x14ac:dyDescent="0.2">
      <c r="Y32079" s="97"/>
    </row>
    <row r="32080" spans="25:25" x14ac:dyDescent="0.2">
      <c r="Y32080" s="97"/>
    </row>
    <row r="32081" spans="25:25" x14ac:dyDescent="0.2">
      <c r="Y32081" s="97"/>
    </row>
    <row r="32082" spans="25:25" x14ac:dyDescent="0.2">
      <c r="Y32082" s="97"/>
    </row>
    <row r="32083" spans="25:25" x14ac:dyDescent="0.2">
      <c r="Y32083" s="97"/>
    </row>
    <row r="32084" spans="25:25" x14ac:dyDescent="0.2">
      <c r="Y32084" s="97"/>
    </row>
    <row r="32085" spans="25:25" x14ac:dyDescent="0.2">
      <c r="Y32085" s="97"/>
    </row>
    <row r="32086" spans="25:25" x14ac:dyDescent="0.2">
      <c r="Y32086" s="97"/>
    </row>
    <row r="32087" spans="25:25" x14ac:dyDescent="0.2">
      <c r="Y32087" s="97"/>
    </row>
    <row r="32088" spans="25:25" x14ac:dyDescent="0.2">
      <c r="Y32088" s="97"/>
    </row>
    <row r="32089" spans="25:25" x14ac:dyDescent="0.2">
      <c r="Y32089" s="97"/>
    </row>
    <row r="32090" spans="25:25" x14ac:dyDescent="0.2">
      <c r="Y32090" s="97"/>
    </row>
    <row r="32091" spans="25:25" x14ac:dyDescent="0.2">
      <c r="Y32091" s="97"/>
    </row>
    <row r="32092" spans="25:25" x14ac:dyDescent="0.2">
      <c r="Y32092" s="97"/>
    </row>
    <row r="32093" spans="25:25" x14ac:dyDescent="0.2">
      <c r="Y32093" s="97"/>
    </row>
    <row r="32094" spans="25:25" x14ac:dyDescent="0.2">
      <c r="Y32094" s="97"/>
    </row>
    <row r="32095" spans="25:25" x14ac:dyDescent="0.2">
      <c r="Y32095" s="97"/>
    </row>
    <row r="32096" spans="25:25" x14ac:dyDescent="0.2">
      <c r="Y32096" s="97"/>
    </row>
    <row r="32097" spans="25:25" x14ac:dyDescent="0.2">
      <c r="Y32097" s="97"/>
    </row>
    <row r="32098" spans="25:25" x14ac:dyDescent="0.2">
      <c r="Y32098" s="97"/>
    </row>
    <row r="32099" spans="25:25" x14ac:dyDescent="0.2">
      <c r="Y32099" s="97"/>
    </row>
    <row r="32100" spans="25:25" x14ac:dyDescent="0.2">
      <c r="Y32100" s="97"/>
    </row>
    <row r="32101" spans="25:25" x14ac:dyDescent="0.2">
      <c r="Y32101" s="97"/>
    </row>
    <row r="32102" spans="25:25" x14ac:dyDescent="0.2">
      <c r="Y32102" s="97"/>
    </row>
    <row r="32103" spans="25:25" x14ac:dyDescent="0.2">
      <c r="Y32103" s="97"/>
    </row>
    <row r="32104" spans="25:25" x14ac:dyDescent="0.2">
      <c r="Y32104" s="97"/>
    </row>
    <row r="32105" spans="25:25" x14ac:dyDescent="0.2">
      <c r="Y32105" s="97"/>
    </row>
    <row r="32106" spans="25:25" x14ac:dyDescent="0.2">
      <c r="Y32106" s="97"/>
    </row>
    <row r="32107" spans="25:25" x14ac:dyDescent="0.2">
      <c r="Y32107" s="97"/>
    </row>
    <row r="32108" spans="25:25" x14ac:dyDescent="0.2">
      <c r="Y32108" s="97"/>
    </row>
    <row r="32109" spans="25:25" x14ac:dyDescent="0.2">
      <c r="Y32109" s="97"/>
    </row>
    <row r="32110" spans="25:25" x14ac:dyDescent="0.2">
      <c r="Y32110" s="97"/>
    </row>
    <row r="32111" spans="25:25" x14ac:dyDescent="0.2">
      <c r="Y32111" s="97"/>
    </row>
    <row r="32112" spans="25:25" x14ac:dyDescent="0.2">
      <c r="Y32112" s="97"/>
    </row>
    <row r="32113" spans="25:25" x14ac:dyDescent="0.2">
      <c r="Y32113" s="97"/>
    </row>
    <row r="32114" spans="25:25" x14ac:dyDescent="0.2">
      <c r="Y32114" s="97"/>
    </row>
    <row r="32115" spans="25:25" x14ac:dyDescent="0.2">
      <c r="Y32115" s="97"/>
    </row>
    <row r="32116" spans="25:25" x14ac:dyDescent="0.2">
      <c r="Y32116" s="97"/>
    </row>
    <row r="32117" spans="25:25" x14ac:dyDescent="0.2">
      <c r="Y32117" s="97"/>
    </row>
    <row r="32118" spans="25:25" x14ac:dyDescent="0.2">
      <c r="Y32118" s="97"/>
    </row>
    <row r="32119" spans="25:25" x14ac:dyDescent="0.2">
      <c r="Y32119" s="97"/>
    </row>
    <row r="32120" spans="25:25" x14ac:dyDescent="0.2">
      <c r="Y32120" s="97"/>
    </row>
    <row r="32121" spans="25:25" x14ac:dyDescent="0.2">
      <c r="Y32121" s="97"/>
    </row>
    <row r="32122" spans="25:25" x14ac:dyDescent="0.2">
      <c r="Y32122" s="97"/>
    </row>
    <row r="32123" spans="25:25" x14ac:dyDescent="0.2">
      <c r="Y32123" s="97"/>
    </row>
    <row r="32124" spans="25:25" x14ac:dyDescent="0.2">
      <c r="Y32124" s="97"/>
    </row>
    <row r="32125" spans="25:25" x14ac:dyDescent="0.2">
      <c r="Y32125" s="97"/>
    </row>
    <row r="32126" spans="25:25" x14ac:dyDescent="0.2">
      <c r="Y32126" s="97"/>
    </row>
    <row r="32127" spans="25:25" x14ac:dyDescent="0.2">
      <c r="Y32127" s="97"/>
    </row>
    <row r="32128" spans="25:25" x14ac:dyDescent="0.2">
      <c r="Y32128" s="97"/>
    </row>
    <row r="32129" spans="25:25" x14ac:dyDescent="0.2">
      <c r="Y32129" s="97"/>
    </row>
    <row r="32130" spans="25:25" x14ac:dyDescent="0.2">
      <c r="Y32130" s="97"/>
    </row>
    <row r="32131" spans="25:25" x14ac:dyDescent="0.2">
      <c r="Y32131" s="97"/>
    </row>
    <row r="32132" spans="25:25" x14ac:dyDescent="0.2">
      <c r="Y32132" s="97"/>
    </row>
    <row r="32133" spans="25:25" x14ac:dyDescent="0.2">
      <c r="Y32133" s="97"/>
    </row>
    <row r="32134" spans="25:25" x14ac:dyDescent="0.2">
      <c r="Y32134" s="97"/>
    </row>
    <row r="32135" spans="25:25" x14ac:dyDescent="0.2">
      <c r="Y32135" s="97"/>
    </row>
    <row r="32136" spans="25:25" x14ac:dyDescent="0.2">
      <c r="Y32136" s="97"/>
    </row>
    <row r="32137" spans="25:25" x14ac:dyDescent="0.2">
      <c r="Y32137" s="97"/>
    </row>
    <row r="32138" spans="25:25" x14ac:dyDescent="0.2">
      <c r="Y32138" s="97"/>
    </row>
    <row r="32139" spans="25:25" x14ac:dyDescent="0.2">
      <c r="Y32139" s="97"/>
    </row>
    <row r="32140" spans="25:25" x14ac:dyDescent="0.2">
      <c r="Y32140" s="97"/>
    </row>
    <row r="32141" spans="25:25" x14ac:dyDescent="0.2">
      <c r="Y32141" s="97"/>
    </row>
    <row r="32142" spans="25:25" x14ac:dyDescent="0.2">
      <c r="Y32142" s="97"/>
    </row>
    <row r="32143" spans="25:25" x14ac:dyDescent="0.2">
      <c r="Y32143" s="97"/>
    </row>
    <row r="32144" spans="25:25" x14ac:dyDescent="0.2">
      <c r="Y32144" s="97"/>
    </row>
    <row r="32145" spans="25:25" x14ac:dyDescent="0.2">
      <c r="Y32145" s="97"/>
    </row>
    <row r="32146" spans="25:25" x14ac:dyDescent="0.2">
      <c r="Y32146" s="97"/>
    </row>
    <row r="32147" spans="25:25" x14ac:dyDescent="0.2">
      <c r="Y32147" s="97"/>
    </row>
    <row r="32148" spans="25:25" x14ac:dyDescent="0.2">
      <c r="Y32148" s="97"/>
    </row>
    <row r="32149" spans="25:25" x14ac:dyDescent="0.2">
      <c r="Y32149" s="97"/>
    </row>
    <row r="32150" spans="25:25" x14ac:dyDescent="0.2">
      <c r="Y32150" s="97"/>
    </row>
    <row r="32151" spans="25:25" x14ac:dyDescent="0.2">
      <c r="Y32151" s="97"/>
    </row>
    <row r="32152" spans="25:25" x14ac:dyDescent="0.2">
      <c r="Y32152" s="97"/>
    </row>
    <row r="32153" spans="25:25" x14ac:dyDescent="0.2">
      <c r="Y32153" s="97"/>
    </row>
    <row r="32154" spans="25:25" x14ac:dyDescent="0.2">
      <c r="Y32154" s="97"/>
    </row>
    <row r="32155" spans="25:25" x14ac:dyDescent="0.2">
      <c r="Y32155" s="97"/>
    </row>
    <row r="32156" spans="25:25" x14ac:dyDescent="0.2">
      <c r="Y32156" s="97"/>
    </row>
    <row r="32157" spans="25:25" x14ac:dyDescent="0.2">
      <c r="Y32157" s="97"/>
    </row>
    <row r="32158" spans="25:25" x14ac:dyDescent="0.2">
      <c r="Y32158" s="97"/>
    </row>
    <row r="32159" spans="25:25" x14ac:dyDescent="0.2">
      <c r="Y32159" s="97"/>
    </row>
    <row r="32160" spans="25:25" x14ac:dyDescent="0.2">
      <c r="Y32160" s="97"/>
    </row>
    <row r="32161" spans="25:25" x14ac:dyDescent="0.2">
      <c r="Y32161" s="97"/>
    </row>
    <row r="32162" spans="25:25" x14ac:dyDescent="0.2">
      <c r="Y32162" s="97"/>
    </row>
    <row r="32163" spans="25:25" x14ac:dyDescent="0.2">
      <c r="Y32163" s="97"/>
    </row>
    <row r="32164" spans="25:25" x14ac:dyDescent="0.2">
      <c r="Y32164" s="97"/>
    </row>
    <row r="32165" spans="25:25" x14ac:dyDescent="0.2">
      <c r="Y32165" s="97"/>
    </row>
    <row r="32166" spans="25:25" x14ac:dyDescent="0.2">
      <c r="Y32166" s="97"/>
    </row>
    <row r="32167" spans="25:25" x14ac:dyDescent="0.2">
      <c r="Y32167" s="97"/>
    </row>
    <row r="32168" spans="25:25" x14ac:dyDescent="0.2">
      <c r="Y32168" s="97"/>
    </row>
    <row r="32169" spans="25:25" x14ac:dyDescent="0.2">
      <c r="Y32169" s="97"/>
    </row>
    <row r="32170" spans="25:25" x14ac:dyDescent="0.2">
      <c r="Y32170" s="97"/>
    </row>
    <row r="32171" spans="25:25" x14ac:dyDescent="0.2">
      <c r="Y32171" s="97"/>
    </row>
    <row r="32172" spans="25:25" x14ac:dyDescent="0.2">
      <c r="Y32172" s="97"/>
    </row>
    <row r="32173" spans="25:25" x14ac:dyDescent="0.2">
      <c r="Y32173" s="97"/>
    </row>
    <row r="32174" spans="25:25" x14ac:dyDescent="0.2">
      <c r="Y32174" s="97"/>
    </row>
    <row r="32175" spans="25:25" x14ac:dyDescent="0.2">
      <c r="Y32175" s="97"/>
    </row>
    <row r="32176" spans="25:25" x14ac:dyDescent="0.2">
      <c r="Y32176" s="97"/>
    </row>
    <row r="32177" spans="25:25" x14ac:dyDescent="0.2">
      <c r="Y32177" s="97"/>
    </row>
    <row r="32178" spans="25:25" x14ac:dyDescent="0.2">
      <c r="Y32178" s="97"/>
    </row>
    <row r="32179" spans="25:25" x14ac:dyDescent="0.2">
      <c r="Y32179" s="97"/>
    </row>
    <row r="32180" spans="25:25" x14ac:dyDescent="0.2">
      <c r="Y32180" s="97"/>
    </row>
    <row r="32181" spans="25:25" x14ac:dyDescent="0.2">
      <c r="Y32181" s="97"/>
    </row>
    <row r="32182" spans="25:25" x14ac:dyDescent="0.2">
      <c r="Y32182" s="97"/>
    </row>
    <row r="32183" spans="25:25" x14ac:dyDescent="0.2">
      <c r="Y32183" s="97"/>
    </row>
    <row r="32184" spans="25:25" x14ac:dyDescent="0.2">
      <c r="Y32184" s="97"/>
    </row>
    <row r="32185" spans="25:25" x14ac:dyDescent="0.2">
      <c r="Y32185" s="97"/>
    </row>
    <row r="32186" spans="25:25" x14ac:dyDescent="0.2">
      <c r="Y32186" s="97"/>
    </row>
    <row r="32187" spans="25:25" x14ac:dyDescent="0.2">
      <c r="Y32187" s="97"/>
    </row>
    <row r="32188" spans="25:25" x14ac:dyDescent="0.2">
      <c r="Y32188" s="97"/>
    </row>
    <row r="32189" spans="25:25" x14ac:dyDescent="0.2">
      <c r="Y32189" s="97"/>
    </row>
    <row r="32190" spans="25:25" x14ac:dyDescent="0.2">
      <c r="Y32190" s="97"/>
    </row>
    <row r="32191" spans="25:25" x14ac:dyDescent="0.2">
      <c r="Y32191" s="97"/>
    </row>
    <row r="32192" spans="25:25" x14ac:dyDescent="0.2">
      <c r="Y32192" s="97"/>
    </row>
    <row r="32193" spans="25:25" x14ac:dyDescent="0.2">
      <c r="Y32193" s="97"/>
    </row>
    <row r="32194" spans="25:25" x14ac:dyDescent="0.2">
      <c r="Y32194" s="97"/>
    </row>
    <row r="32195" spans="25:25" x14ac:dyDescent="0.2">
      <c r="Y32195" s="97"/>
    </row>
    <row r="32196" spans="25:25" x14ac:dyDescent="0.2">
      <c r="Y32196" s="97"/>
    </row>
    <row r="32197" spans="25:25" x14ac:dyDescent="0.2">
      <c r="Y32197" s="97"/>
    </row>
    <row r="32198" spans="25:25" x14ac:dyDescent="0.2">
      <c r="Y32198" s="97"/>
    </row>
    <row r="32199" spans="25:25" x14ac:dyDescent="0.2">
      <c r="Y32199" s="97"/>
    </row>
    <row r="32200" spans="25:25" x14ac:dyDescent="0.2">
      <c r="Y32200" s="97"/>
    </row>
    <row r="32201" spans="25:25" x14ac:dyDescent="0.2">
      <c r="Y32201" s="97"/>
    </row>
    <row r="32202" spans="25:25" x14ac:dyDescent="0.2">
      <c r="Y32202" s="97"/>
    </row>
    <row r="32203" spans="25:25" x14ac:dyDescent="0.2">
      <c r="Y32203" s="97"/>
    </row>
    <row r="32204" spans="25:25" x14ac:dyDescent="0.2">
      <c r="Y32204" s="97"/>
    </row>
    <row r="32205" spans="25:25" x14ac:dyDescent="0.2">
      <c r="Y32205" s="97"/>
    </row>
    <row r="32206" spans="25:25" x14ac:dyDescent="0.2">
      <c r="Y32206" s="97"/>
    </row>
    <row r="32207" spans="25:25" x14ac:dyDescent="0.2">
      <c r="Y32207" s="97"/>
    </row>
    <row r="32208" spans="25:25" x14ac:dyDescent="0.2">
      <c r="Y32208" s="97"/>
    </row>
    <row r="32209" spans="25:25" x14ac:dyDescent="0.2">
      <c r="Y32209" s="97"/>
    </row>
    <row r="32210" spans="25:25" x14ac:dyDescent="0.2">
      <c r="Y32210" s="97"/>
    </row>
    <row r="32211" spans="25:25" x14ac:dyDescent="0.2">
      <c r="Y32211" s="97"/>
    </row>
    <row r="32212" spans="25:25" x14ac:dyDescent="0.2">
      <c r="Y32212" s="97"/>
    </row>
    <row r="32213" spans="25:25" x14ac:dyDescent="0.2">
      <c r="Y32213" s="97"/>
    </row>
    <row r="32214" spans="25:25" x14ac:dyDescent="0.2">
      <c r="Y32214" s="97"/>
    </row>
    <row r="32215" spans="25:25" x14ac:dyDescent="0.2">
      <c r="Y32215" s="97"/>
    </row>
    <row r="32216" spans="25:25" x14ac:dyDescent="0.2">
      <c r="Y32216" s="97"/>
    </row>
    <row r="32217" spans="25:25" x14ac:dyDescent="0.2">
      <c r="Y32217" s="97"/>
    </row>
    <row r="32218" spans="25:25" x14ac:dyDescent="0.2">
      <c r="Y32218" s="97"/>
    </row>
    <row r="32219" spans="25:25" x14ac:dyDescent="0.2">
      <c r="Y32219" s="97"/>
    </row>
    <row r="32220" spans="25:25" x14ac:dyDescent="0.2">
      <c r="Y32220" s="97"/>
    </row>
    <row r="32221" spans="25:25" x14ac:dyDescent="0.2">
      <c r="Y32221" s="97"/>
    </row>
    <row r="32222" spans="25:25" x14ac:dyDescent="0.2">
      <c r="Y32222" s="97"/>
    </row>
    <row r="32223" spans="25:25" x14ac:dyDescent="0.2">
      <c r="Y32223" s="97"/>
    </row>
    <row r="32224" spans="25:25" x14ac:dyDescent="0.2">
      <c r="Y32224" s="97"/>
    </row>
    <row r="32225" spans="25:25" x14ac:dyDescent="0.2">
      <c r="Y32225" s="97"/>
    </row>
    <row r="32226" spans="25:25" x14ac:dyDescent="0.2">
      <c r="Y32226" s="97"/>
    </row>
    <row r="32227" spans="25:25" x14ac:dyDescent="0.2">
      <c r="Y32227" s="97"/>
    </row>
    <row r="32228" spans="25:25" x14ac:dyDescent="0.2">
      <c r="Y32228" s="97"/>
    </row>
    <row r="32229" spans="25:25" x14ac:dyDescent="0.2">
      <c r="Y32229" s="97"/>
    </row>
    <row r="32230" spans="25:25" x14ac:dyDescent="0.2">
      <c r="Y32230" s="97"/>
    </row>
    <row r="32231" spans="25:25" x14ac:dyDescent="0.2">
      <c r="Y32231" s="97"/>
    </row>
    <row r="32232" spans="25:25" x14ac:dyDescent="0.2">
      <c r="Y32232" s="97"/>
    </row>
    <row r="32233" spans="25:25" x14ac:dyDescent="0.2">
      <c r="Y32233" s="97"/>
    </row>
    <row r="32234" spans="25:25" x14ac:dyDescent="0.2">
      <c r="Y32234" s="97"/>
    </row>
    <row r="32235" spans="25:25" x14ac:dyDescent="0.2">
      <c r="Y32235" s="97"/>
    </row>
    <row r="32236" spans="25:25" x14ac:dyDescent="0.2">
      <c r="Y32236" s="97"/>
    </row>
    <row r="32237" spans="25:25" x14ac:dyDescent="0.2">
      <c r="Y32237" s="97"/>
    </row>
    <row r="32238" spans="25:25" x14ac:dyDescent="0.2">
      <c r="Y32238" s="97"/>
    </row>
    <row r="32239" spans="25:25" x14ac:dyDescent="0.2">
      <c r="Y32239" s="97"/>
    </row>
    <row r="32240" spans="25:25" x14ac:dyDescent="0.2">
      <c r="Y32240" s="97"/>
    </row>
    <row r="32241" spans="25:25" x14ac:dyDescent="0.2">
      <c r="Y32241" s="97"/>
    </row>
    <row r="32242" spans="25:25" x14ac:dyDescent="0.2">
      <c r="Y32242" s="97"/>
    </row>
    <row r="32243" spans="25:25" x14ac:dyDescent="0.2">
      <c r="Y32243" s="97"/>
    </row>
    <row r="32244" spans="25:25" x14ac:dyDescent="0.2">
      <c r="Y32244" s="97"/>
    </row>
    <row r="32245" spans="25:25" x14ac:dyDescent="0.2">
      <c r="Y32245" s="97"/>
    </row>
    <row r="32246" spans="25:25" x14ac:dyDescent="0.2">
      <c r="Y32246" s="97"/>
    </row>
    <row r="32247" spans="25:25" x14ac:dyDescent="0.2">
      <c r="Y32247" s="97"/>
    </row>
    <row r="32248" spans="25:25" x14ac:dyDescent="0.2">
      <c r="Y32248" s="97"/>
    </row>
    <row r="32249" spans="25:25" x14ac:dyDescent="0.2">
      <c r="Y32249" s="97"/>
    </row>
    <row r="32250" spans="25:25" x14ac:dyDescent="0.2">
      <c r="Y32250" s="97"/>
    </row>
    <row r="32251" spans="25:25" x14ac:dyDescent="0.2">
      <c r="Y32251" s="97"/>
    </row>
    <row r="32252" spans="25:25" x14ac:dyDescent="0.2">
      <c r="Y32252" s="97"/>
    </row>
    <row r="32253" spans="25:25" x14ac:dyDescent="0.2">
      <c r="Y32253" s="97"/>
    </row>
    <row r="32254" spans="25:25" x14ac:dyDescent="0.2">
      <c r="Y32254" s="97"/>
    </row>
    <row r="32255" spans="25:25" x14ac:dyDescent="0.2">
      <c r="Y32255" s="97"/>
    </row>
    <row r="32256" spans="25:25" x14ac:dyDescent="0.2">
      <c r="Y32256" s="97"/>
    </row>
    <row r="32257" spans="25:25" x14ac:dyDescent="0.2">
      <c r="Y32257" s="97"/>
    </row>
    <row r="32258" spans="25:25" x14ac:dyDescent="0.2">
      <c r="Y32258" s="97"/>
    </row>
    <row r="32259" spans="25:25" x14ac:dyDescent="0.2">
      <c r="Y32259" s="97"/>
    </row>
    <row r="32260" spans="25:25" x14ac:dyDescent="0.2">
      <c r="Y32260" s="97"/>
    </row>
    <row r="32261" spans="25:25" x14ac:dyDescent="0.2">
      <c r="Y32261" s="97"/>
    </row>
    <row r="32262" spans="25:25" x14ac:dyDescent="0.2">
      <c r="Y32262" s="97"/>
    </row>
    <row r="32263" spans="25:25" x14ac:dyDescent="0.2">
      <c r="Y32263" s="97"/>
    </row>
    <row r="32264" spans="25:25" x14ac:dyDescent="0.2">
      <c r="Y32264" s="97"/>
    </row>
    <row r="32265" spans="25:25" x14ac:dyDescent="0.2">
      <c r="Y32265" s="97"/>
    </row>
    <row r="32266" spans="25:25" x14ac:dyDescent="0.2">
      <c r="Y32266" s="97"/>
    </row>
    <row r="32267" spans="25:25" x14ac:dyDescent="0.2">
      <c r="Y32267" s="97"/>
    </row>
    <row r="32268" spans="25:25" x14ac:dyDescent="0.2">
      <c r="Y32268" s="97"/>
    </row>
    <row r="32269" spans="25:25" x14ac:dyDescent="0.2">
      <c r="Y32269" s="97"/>
    </row>
    <row r="32270" spans="25:25" x14ac:dyDescent="0.2">
      <c r="Y32270" s="97"/>
    </row>
    <row r="32271" spans="25:25" x14ac:dyDescent="0.2">
      <c r="Y32271" s="97"/>
    </row>
    <row r="32272" spans="25:25" x14ac:dyDescent="0.2">
      <c r="Y32272" s="97"/>
    </row>
    <row r="32273" spans="25:25" x14ac:dyDescent="0.2">
      <c r="Y32273" s="97"/>
    </row>
    <row r="32274" spans="25:25" x14ac:dyDescent="0.2">
      <c r="Y32274" s="97"/>
    </row>
    <row r="32275" spans="25:25" x14ac:dyDescent="0.2">
      <c r="Y32275" s="97"/>
    </row>
    <row r="32276" spans="25:25" x14ac:dyDescent="0.2">
      <c r="Y32276" s="97"/>
    </row>
    <row r="32277" spans="25:25" x14ac:dyDescent="0.2">
      <c r="Y32277" s="97"/>
    </row>
    <row r="32278" spans="25:25" x14ac:dyDescent="0.2">
      <c r="Y32278" s="97"/>
    </row>
    <row r="32279" spans="25:25" x14ac:dyDescent="0.2">
      <c r="Y32279" s="97"/>
    </row>
    <row r="32280" spans="25:25" x14ac:dyDescent="0.2">
      <c r="Y32280" s="97"/>
    </row>
    <row r="32281" spans="25:25" x14ac:dyDescent="0.2">
      <c r="Y32281" s="97"/>
    </row>
    <row r="32282" spans="25:25" x14ac:dyDescent="0.2">
      <c r="Y32282" s="97"/>
    </row>
    <row r="32283" spans="25:25" x14ac:dyDescent="0.2">
      <c r="Y32283" s="97"/>
    </row>
    <row r="32284" spans="25:25" x14ac:dyDescent="0.2">
      <c r="Y32284" s="97"/>
    </row>
    <row r="32285" spans="25:25" x14ac:dyDescent="0.2">
      <c r="Y32285" s="97"/>
    </row>
    <row r="32286" spans="25:25" x14ac:dyDescent="0.2">
      <c r="Y32286" s="97"/>
    </row>
    <row r="32287" spans="25:25" x14ac:dyDescent="0.2">
      <c r="Y32287" s="97"/>
    </row>
    <row r="32288" spans="25:25" x14ac:dyDescent="0.2">
      <c r="Y32288" s="97"/>
    </row>
    <row r="32289" spans="25:25" x14ac:dyDescent="0.2">
      <c r="Y32289" s="97"/>
    </row>
    <row r="32290" spans="25:25" x14ac:dyDescent="0.2">
      <c r="Y32290" s="97"/>
    </row>
    <row r="32291" spans="25:25" x14ac:dyDescent="0.2">
      <c r="Y32291" s="97"/>
    </row>
    <row r="32292" spans="25:25" x14ac:dyDescent="0.2">
      <c r="Y32292" s="97"/>
    </row>
    <row r="32293" spans="25:25" x14ac:dyDescent="0.2">
      <c r="Y32293" s="97"/>
    </row>
    <row r="32294" spans="25:25" x14ac:dyDescent="0.2">
      <c r="Y32294" s="97"/>
    </row>
    <row r="32295" spans="25:25" x14ac:dyDescent="0.2">
      <c r="Y32295" s="97"/>
    </row>
    <row r="32296" spans="25:25" x14ac:dyDescent="0.2">
      <c r="Y32296" s="97"/>
    </row>
    <row r="32297" spans="25:25" x14ac:dyDescent="0.2">
      <c r="Y32297" s="97"/>
    </row>
    <row r="32298" spans="25:25" x14ac:dyDescent="0.2">
      <c r="Y32298" s="97"/>
    </row>
    <row r="32299" spans="25:25" x14ac:dyDescent="0.2">
      <c r="Y32299" s="97"/>
    </row>
    <row r="32300" spans="25:25" x14ac:dyDescent="0.2">
      <c r="Y32300" s="97"/>
    </row>
    <row r="32301" spans="25:25" x14ac:dyDescent="0.2">
      <c r="Y32301" s="97"/>
    </row>
    <row r="32302" spans="25:25" x14ac:dyDescent="0.2">
      <c r="Y32302" s="97"/>
    </row>
    <row r="32303" spans="25:25" x14ac:dyDescent="0.2">
      <c r="Y32303" s="97"/>
    </row>
    <row r="32304" spans="25:25" x14ac:dyDescent="0.2">
      <c r="Y32304" s="97"/>
    </row>
    <row r="32305" spans="25:25" x14ac:dyDescent="0.2">
      <c r="Y32305" s="97"/>
    </row>
    <row r="32306" spans="25:25" x14ac:dyDescent="0.2">
      <c r="Y32306" s="97"/>
    </row>
    <row r="32307" spans="25:25" x14ac:dyDescent="0.2">
      <c r="Y32307" s="97"/>
    </row>
    <row r="32308" spans="25:25" x14ac:dyDescent="0.2">
      <c r="Y32308" s="97"/>
    </row>
    <row r="32309" spans="25:25" x14ac:dyDescent="0.2">
      <c r="Y32309" s="97"/>
    </row>
    <row r="32310" spans="25:25" x14ac:dyDescent="0.2">
      <c r="Y32310" s="97"/>
    </row>
    <row r="32311" spans="25:25" x14ac:dyDescent="0.2">
      <c r="Y32311" s="97"/>
    </row>
    <row r="32312" spans="25:25" x14ac:dyDescent="0.2">
      <c r="Y32312" s="97"/>
    </row>
    <row r="32313" spans="25:25" x14ac:dyDescent="0.2">
      <c r="Y32313" s="97"/>
    </row>
    <row r="32314" spans="25:25" x14ac:dyDescent="0.2">
      <c r="Y32314" s="97"/>
    </row>
    <row r="32315" spans="25:25" x14ac:dyDescent="0.2">
      <c r="Y32315" s="97"/>
    </row>
    <row r="32316" spans="25:25" x14ac:dyDescent="0.2">
      <c r="Y32316" s="97"/>
    </row>
    <row r="32317" spans="25:25" x14ac:dyDescent="0.2">
      <c r="Y32317" s="97"/>
    </row>
    <row r="32318" spans="25:25" x14ac:dyDescent="0.2">
      <c r="Y32318" s="97"/>
    </row>
    <row r="32319" spans="25:25" x14ac:dyDescent="0.2">
      <c r="Y32319" s="97"/>
    </row>
    <row r="32320" spans="25:25" x14ac:dyDescent="0.2">
      <c r="Y32320" s="97"/>
    </row>
    <row r="32321" spans="25:25" x14ac:dyDescent="0.2">
      <c r="Y32321" s="97"/>
    </row>
    <row r="32322" spans="25:25" x14ac:dyDescent="0.2">
      <c r="Y32322" s="97"/>
    </row>
    <row r="32323" spans="25:25" x14ac:dyDescent="0.2">
      <c r="Y32323" s="97"/>
    </row>
    <row r="32324" spans="25:25" x14ac:dyDescent="0.2">
      <c r="Y32324" s="97"/>
    </row>
    <row r="32325" spans="25:25" x14ac:dyDescent="0.2">
      <c r="Y32325" s="97"/>
    </row>
    <row r="32326" spans="25:25" x14ac:dyDescent="0.2">
      <c r="Y32326" s="97"/>
    </row>
    <row r="32327" spans="25:25" x14ac:dyDescent="0.2">
      <c r="Y32327" s="97"/>
    </row>
    <row r="32328" spans="25:25" x14ac:dyDescent="0.2">
      <c r="Y32328" s="97"/>
    </row>
    <row r="32329" spans="25:25" x14ac:dyDescent="0.2">
      <c r="Y32329" s="97"/>
    </row>
    <row r="32330" spans="25:25" x14ac:dyDescent="0.2">
      <c r="Y32330" s="97"/>
    </row>
    <row r="32331" spans="25:25" x14ac:dyDescent="0.2">
      <c r="Y32331" s="97"/>
    </row>
    <row r="32332" spans="25:25" x14ac:dyDescent="0.2">
      <c r="Y32332" s="97"/>
    </row>
    <row r="32333" spans="25:25" x14ac:dyDescent="0.2">
      <c r="Y32333" s="97"/>
    </row>
    <row r="32334" spans="25:25" x14ac:dyDescent="0.2">
      <c r="Y32334" s="97"/>
    </row>
    <row r="32335" spans="25:25" x14ac:dyDescent="0.2">
      <c r="Y32335" s="97"/>
    </row>
    <row r="32336" spans="25:25" x14ac:dyDescent="0.2">
      <c r="Y32336" s="97"/>
    </row>
    <row r="32337" spans="25:25" x14ac:dyDescent="0.2">
      <c r="Y32337" s="97"/>
    </row>
    <row r="32338" spans="25:25" x14ac:dyDescent="0.2">
      <c r="Y32338" s="97"/>
    </row>
    <row r="32339" spans="25:25" x14ac:dyDescent="0.2">
      <c r="Y32339" s="97"/>
    </row>
    <row r="32340" spans="25:25" x14ac:dyDescent="0.2">
      <c r="Y32340" s="97"/>
    </row>
    <row r="32341" spans="25:25" x14ac:dyDescent="0.2">
      <c r="Y32341" s="97"/>
    </row>
    <row r="32342" spans="25:25" x14ac:dyDescent="0.2">
      <c r="Y32342" s="97"/>
    </row>
    <row r="32343" spans="25:25" x14ac:dyDescent="0.2">
      <c r="Y32343" s="97"/>
    </row>
    <row r="32344" spans="25:25" x14ac:dyDescent="0.2">
      <c r="Y32344" s="97"/>
    </row>
    <row r="32345" spans="25:25" x14ac:dyDescent="0.2">
      <c r="Y32345" s="97"/>
    </row>
    <row r="32346" spans="25:25" x14ac:dyDescent="0.2">
      <c r="Y32346" s="97"/>
    </row>
    <row r="32347" spans="25:25" x14ac:dyDescent="0.2">
      <c r="Y32347" s="97"/>
    </row>
    <row r="32348" spans="25:25" x14ac:dyDescent="0.2">
      <c r="Y32348" s="97"/>
    </row>
    <row r="32349" spans="25:25" x14ac:dyDescent="0.2">
      <c r="Y32349" s="97"/>
    </row>
    <row r="32350" spans="25:25" x14ac:dyDescent="0.2">
      <c r="Y32350" s="97"/>
    </row>
    <row r="32351" spans="25:25" x14ac:dyDescent="0.2">
      <c r="Y32351" s="97"/>
    </row>
    <row r="32352" spans="25:25" x14ac:dyDescent="0.2">
      <c r="Y32352" s="97"/>
    </row>
    <row r="32353" spans="25:25" x14ac:dyDescent="0.2">
      <c r="Y32353" s="97"/>
    </row>
    <row r="32354" spans="25:25" x14ac:dyDescent="0.2">
      <c r="Y32354" s="97"/>
    </row>
    <row r="32355" spans="25:25" x14ac:dyDescent="0.2">
      <c r="Y32355" s="97"/>
    </row>
    <row r="32356" spans="25:25" x14ac:dyDescent="0.2">
      <c r="Y32356" s="97"/>
    </row>
    <row r="32357" spans="25:25" x14ac:dyDescent="0.2">
      <c r="Y32357" s="97"/>
    </row>
    <row r="32358" spans="25:25" x14ac:dyDescent="0.2">
      <c r="Y32358" s="97"/>
    </row>
    <row r="32359" spans="25:25" x14ac:dyDescent="0.2">
      <c r="Y32359" s="97"/>
    </row>
    <row r="32360" spans="25:25" x14ac:dyDescent="0.2">
      <c r="Y32360" s="97"/>
    </row>
    <row r="32361" spans="25:25" x14ac:dyDescent="0.2">
      <c r="Y32361" s="97"/>
    </row>
    <row r="32362" spans="25:25" x14ac:dyDescent="0.2">
      <c r="Y32362" s="97"/>
    </row>
    <row r="32363" spans="25:25" x14ac:dyDescent="0.2">
      <c r="Y32363" s="97"/>
    </row>
    <row r="32364" spans="25:25" x14ac:dyDescent="0.2">
      <c r="Y32364" s="97"/>
    </row>
    <row r="32365" spans="25:25" x14ac:dyDescent="0.2">
      <c r="Y32365" s="97"/>
    </row>
    <row r="32366" spans="25:25" x14ac:dyDescent="0.2">
      <c r="Y32366" s="97"/>
    </row>
    <row r="32367" spans="25:25" x14ac:dyDescent="0.2">
      <c r="Y32367" s="97"/>
    </row>
    <row r="32368" spans="25:25" x14ac:dyDescent="0.2">
      <c r="Y32368" s="97"/>
    </row>
    <row r="32369" spans="25:25" x14ac:dyDescent="0.2">
      <c r="Y32369" s="97"/>
    </row>
    <row r="32370" spans="25:25" x14ac:dyDescent="0.2">
      <c r="Y32370" s="97"/>
    </row>
    <row r="32371" spans="25:25" x14ac:dyDescent="0.2">
      <c r="Y32371" s="97"/>
    </row>
    <row r="32372" spans="25:25" x14ac:dyDescent="0.2">
      <c r="Y32372" s="97"/>
    </row>
    <row r="32373" spans="25:25" x14ac:dyDescent="0.2">
      <c r="Y32373" s="97"/>
    </row>
    <row r="32374" spans="25:25" x14ac:dyDescent="0.2">
      <c r="Y32374" s="97"/>
    </row>
    <row r="32375" spans="25:25" x14ac:dyDescent="0.2">
      <c r="Y32375" s="97"/>
    </row>
    <row r="32376" spans="25:25" x14ac:dyDescent="0.2">
      <c r="Y32376" s="97"/>
    </row>
    <row r="32377" spans="25:25" x14ac:dyDescent="0.2">
      <c r="Y32377" s="97"/>
    </row>
    <row r="32378" spans="25:25" x14ac:dyDescent="0.2">
      <c r="Y32378" s="97"/>
    </row>
    <row r="32379" spans="25:25" x14ac:dyDescent="0.2">
      <c r="Y32379" s="97"/>
    </row>
    <row r="32380" spans="25:25" x14ac:dyDescent="0.2">
      <c r="Y32380" s="97"/>
    </row>
    <row r="32381" spans="25:25" x14ac:dyDescent="0.2">
      <c r="Y32381" s="97"/>
    </row>
    <row r="32382" spans="25:25" x14ac:dyDescent="0.2">
      <c r="Y32382" s="97"/>
    </row>
    <row r="32383" spans="25:25" x14ac:dyDescent="0.2">
      <c r="Y32383" s="97"/>
    </row>
    <row r="32384" spans="25:25" x14ac:dyDescent="0.2">
      <c r="Y32384" s="97"/>
    </row>
    <row r="32385" spans="25:25" x14ac:dyDescent="0.2">
      <c r="Y32385" s="97"/>
    </row>
    <row r="32386" spans="25:25" x14ac:dyDescent="0.2">
      <c r="Y32386" s="97"/>
    </row>
    <row r="32387" spans="25:25" x14ac:dyDescent="0.2">
      <c r="Y32387" s="97"/>
    </row>
    <row r="32388" spans="25:25" x14ac:dyDescent="0.2">
      <c r="Y32388" s="97"/>
    </row>
    <row r="32389" spans="25:25" x14ac:dyDescent="0.2">
      <c r="Y32389" s="97"/>
    </row>
    <row r="32390" spans="25:25" x14ac:dyDescent="0.2">
      <c r="Y32390" s="97"/>
    </row>
    <row r="32391" spans="25:25" x14ac:dyDescent="0.2">
      <c r="Y32391" s="97"/>
    </row>
    <row r="32392" spans="25:25" x14ac:dyDescent="0.2">
      <c r="Y32392" s="97"/>
    </row>
    <row r="32393" spans="25:25" x14ac:dyDescent="0.2">
      <c r="Y32393" s="97"/>
    </row>
    <row r="32394" spans="25:25" x14ac:dyDescent="0.2">
      <c r="Y32394" s="97"/>
    </row>
    <row r="32395" spans="25:25" x14ac:dyDescent="0.2">
      <c r="Y32395" s="97"/>
    </row>
    <row r="32396" spans="25:25" x14ac:dyDescent="0.2">
      <c r="Y32396" s="97"/>
    </row>
    <row r="32397" spans="25:25" x14ac:dyDescent="0.2">
      <c r="Y32397" s="97"/>
    </row>
    <row r="32398" spans="25:25" x14ac:dyDescent="0.2">
      <c r="Y32398" s="97"/>
    </row>
    <row r="32399" spans="25:25" x14ac:dyDescent="0.2">
      <c r="Y32399" s="97"/>
    </row>
    <row r="32400" spans="25:25" x14ac:dyDescent="0.2">
      <c r="Y32400" s="97"/>
    </row>
    <row r="32401" spans="25:25" x14ac:dyDescent="0.2">
      <c r="Y32401" s="97"/>
    </row>
    <row r="32402" spans="25:25" x14ac:dyDescent="0.2">
      <c r="Y32402" s="97"/>
    </row>
    <row r="32403" spans="25:25" x14ac:dyDescent="0.2">
      <c r="Y32403" s="97"/>
    </row>
    <row r="32404" spans="25:25" x14ac:dyDescent="0.2">
      <c r="Y32404" s="97"/>
    </row>
    <row r="32405" spans="25:25" x14ac:dyDescent="0.2">
      <c r="Y32405" s="97"/>
    </row>
    <row r="32406" spans="25:25" x14ac:dyDescent="0.2">
      <c r="Y32406" s="97"/>
    </row>
    <row r="32407" spans="25:25" x14ac:dyDescent="0.2">
      <c r="Y32407" s="97"/>
    </row>
    <row r="32408" spans="25:25" x14ac:dyDescent="0.2">
      <c r="Y32408" s="97"/>
    </row>
    <row r="32409" spans="25:25" x14ac:dyDescent="0.2">
      <c r="Y32409" s="97"/>
    </row>
    <row r="32410" spans="25:25" x14ac:dyDescent="0.2">
      <c r="Y32410" s="97"/>
    </row>
    <row r="32411" spans="25:25" x14ac:dyDescent="0.2">
      <c r="Y32411" s="97"/>
    </row>
    <row r="32412" spans="25:25" x14ac:dyDescent="0.2">
      <c r="Y32412" s="97"/>
    </row>
    <row r="32413" spans="25:25" x14ac:dyDescent="0.2">
      <c r="Y32413" s="97"/>
    </row>
    <row r="32414" spans="25:25" x14ac:dyDescent="0.2">
      <c r="Y32414" s="97"/>
    </row>
    <row r="32415" spans="25:25" x14ac:dyDescent="0.2">
      <c r="Y32415" s="97"/>
    </row>
    <row r="32416" spans="25:25" x14ac:dyDescent="0.2">
      <c r="Y32416" s="97"/>
    </row>
    <row r="32417" spans="25:25" x14ac:dyDescent="0.2">
      <c r="Y32417" s="97"/>
    </row>
    <row r="32418" spans="25:25" x14ac:dyDescent="0.2">
      <c r="Y32418" s="97"/>
    </row>
    <row r="32419" spans="25:25" x14ac:dyDescent="0.2">
      <c r="Y32419" s="97"/>
    </row>
    <row r="32420" spans="25:25" x14ac:dyDescent="0.2">
      <c r="Y32420" s="97"/>
    </row>
    <row r="32421" spans="25:25" x14ac:dyDescent="0.2">
      <c r="Y32421" s="97"/>
    </row>
    <row r="32422" spans="25:25" x14ac:dyDescent="0.2">
      <c r="Y32422" s="97"/>
    </row>
    <row r="32423" spans="25:25" x14ac:dyDescent="0.2">
      <c r="Y32423" s="97"/>
    </row>
    <row r="32424" spans="25:25" x14ac:dyDescent="0.2">
      <c r="Y32424" s="97"/>
    </row>
    <row r="32425" spans="25:25" x14ac:dyDescent="0.2">
      <c r="Y32425" s="97"/>
    </row>
    <row r="32426" spans="25:25" x14ac:dyDescent="0.2">
      <c r="Y32426" s="97"/>
    </row>
    <row r="32427" spans="25:25" x14ac:dyDescent="0.2">
      <c r="Y32427" s="97"/>
    </row>
    <row r="32428" spans="25:25" x14ac:dyDescent="0.2">
      <c r="Y32428" s="97"/>
    </row>
    <row r="32429" spans="25:25" x14ac:dyDescent="0.2">
      <c r="Y32429" s="97"/>
    </row>
    <row r="32430" spans="25:25" x14ac:dyDescent="0.2">
      <c r="Y32430" s="97"/>
    </row>
    <row r="32431" spans="25:25" x14ac:dyDescent="0.2">
      <c r="Y32431" s="97"/>
    </row>
    <row r="32432" spans="25:25" x14ac:dyDescent="0.2">
      <c r="Y32432" s="97"/>
    </row>
    <row r="32433" spans="25:25" x14ac:dyDescent="0.2">
      <c r="Y32433" s="97"/>
    </row>
    <row r="32434" spans="25:25" x14ac:dyDescent="0.2">
      <c r="Y32434" s="97"/>
    </row>
    <row r="32435" spans="25:25" x14ac:dyDescent="0.2">
      <c r="Y32435" s="97"/>
    </row>
    <row r="32436" spans="25:25" x14ac:dyDescent="0.2">
      <c r="Y32436" s="97"/>
    </row>
    <row r="32437" spans="25:25" x14ac:dyDescent="0.2">
      <c r="Y32437" s="97"/>
    </row>
    <row r="32438" spans="25:25" x14ac:dyDescent="0.2">
      <c r="Y32438" s="97"/>
    </row>
    <row r="32439" spans="25:25" x14ac:dyDescent="0.2">
      <c r="Y32439" s="97"/>
    </row>
    <row r="32440" spans="25:25" x14ac:dyDescent="0.2">
      <c r="Y32440" s="97"/>
    </row>
    <row r="32441" spans="25:25" x14ac:dyDescent="0.2">
      <c r="Y32441" s="97"/>
    </row>
    <row r="32442" spans="25:25" x14ac:dyDescent="0.2">
      <c r="Y32442" s="97"/>
    </row>
    <row r="32443" spans="25:25" x14ac:dyDescent="0.2">
      <c r="Y32443" s="97"/>
    </row>
    <row r="32444" spans="25:25" x14ac:dyDescent="0.2">
      <c r="Y32444" s="97"/>
    </row>
    <row r="32445" spans="25:25" x14ac:dyDescent="0.2">
      <c r="Y32445" s="97"/>
    </row>
    <row r="32446" spans="25:25" x14ac:dyDescent="0.2">
      <c r="Y32446" s="97"/>
    </row>
    <row r="32447" spans="25:25" x14ac:dyDescent="0.2">
      <c r="Y32447" s="97"/>
    </row>
    <row r="32448" spans="25:25" x14ac:dyDescent="0.2">
      <c r="Y32448" s="97"/>
    </row>
    <row r="32449" spans="25:25" x14ac:dyDescent="0.2">
      <c r="Y32449" s="97"/>
    </row>
    <row r="32450" spans="25:25" x14ac:dyDescent="0.2">
      <c r="Y32450" s="97"/>
    </row>
    <row r="32451" spans="25:25" x14ac:dyDescent="0.2">
      <c r="Y32451" s="97"/>
    </row>
    <row r="32452" spans="25:25" x14ac:dyDescent="0.2">
      <c r="Y32452" s="97"/>
    </row>
    <row r="32453" spans="25:25" x14ac:dyDescent="0.2">
      <c r="Y32453" s="97"/>
    </row>
    <row r="32454" spans="25:25" x14ac:dyDescent="0.2">
      <c r="Y32454" s="97"/>
    </row>
    <row r="32455" spans="25:25" x14ac:dyDescent="0.2">
      <c r="Y32455" s="97"/>
    </row>
    <row r="32456" spans="25:25" x14ac:dyDescent="0.2">
      <c r="Y32456" s="97"/>
    </row>
    <row r="32457" spans="25:25" x14ac:dyDescent="0.2">
      <c r="Y32457" s="97"/>
    </row>
    <row r="32458" spans="25:25" x14ac:dyDescent="0.2">
      <c r="Y32458" s="97"/>
    </row>
    <row r="32459" spans="25:25" x14ac:dyDescent="0.2">
      <c r="Y32459" s="97"/>
    </row>
    <row r="32460" spans="25:25" x14ac:dyDescent="0.2">
      <c r="Y32460" s="97"/>
    </row>
    <row r="32461" spans="25:25" x14ac:dyDescent="0.2">
      <c r="Y32461" s="97"/>
    </row>
    <row r="32462" spans="25:25" x14ac:dyDescent="0.2">
      <c r="Y32462" s="97"/>
    </row>
    <row r="32463" spans="25:25" x14ac:dyDescent="0.2">
      <c r="Y32463" s="97"/>
    </row>
    <row r="32464" spans="25:25" x14ac:dyDescent="0.2">
      <c r="Y32464" s="97"/>
    </row>
    <row r="32465" spans="25:25" x14ac:dyDescent="0.2">
      <c r="Y32465" s="97"/>
    </row>
    <row r="32466" spans="25:25" x14ac:dyDescent="0.2">
      <c r="Y32466" s="97"/>
    </row>
    <row r="32467" spans="25:25" x14ac:dyDescent="0.2">
      <c r="Y32467" s="97"/>
    </row>
    <row r="32468" spans="25:25" x14ac:dyDescent="0.2">
      <c r="Y32468" s="97"/>
    </row>
    <row r="32469" spans="25:25" x14ac:dyDescent="0.2">
      <c r="Y32469" s="97"/>
    </row>
    <row r="32470" spans="25:25" x14ac:dyDescent="0.2">
      <c r="Y32470" s="97"/>
    </row>
    <row r="32471" spans="25:25" x14ac:dyDescent="0.2">
      <c r="Y32471" s="97"/>
    </row>
    <row r="32472" spans="25:25" x14ac:dyDescent="0.2">
      <c r="Y32472" s="97"/>
    </row>
    <row r="32473" spans="25:25" x14ac:dyDescent="0.2">
      <c r="Y32473" s="97"/>
    </row>
    <row r="32474" spans="25:25" x14ac:dyDescent="0.2">
      <c r="Y32474" s="97"/>
    </row>
    <row r="32475" spans="25:25" x14ac:dyDescent="0.2">
      <c r="Y32475" s="97"/>
    </row>
    <row r="32476" spans="25:25" x14ac:dyDescent="0.2">
      <c r="Y32476" s="97"/>
    </row>
    <row r="32477" spans="25:25" x14ac:dyDescent="0.2">
      <c r="Y32477" s="97"/>
    </row>
    <row r="32478" spans="25:25" x14ac:dyDescent="0.2">
      <c r="Y32478" s="97"/>
    </row>
    <row r="32479" spans="25:25" x14ac:dyDescent="0.2">
      <c r="Y32479" s="97"/>
    </row>
    <row r="32480" spans="25:25" x14ac:dyDescent="0.2">
      <c r="Y32480" s="97"/>
    </row>
    <row r="32481" spans="25:25" x14ac:dyDescent="0.2">
      <c r="Y32481" s="97"/>
    </row>
    <row r="32482" spans="25:25" x14ac:dyDescent="0.2">
      <c r="Y32482" s="97"/>
    </row>
    <row r="32483" spans="25:25" x14ac:dyDescent="0.2">
      <c r="Y32483" s="97"/>
    </row>
    <row r="32484" spans="25:25" x14ac:dyDescent="0.2">
      <c r="Y32484" s="97"/>
    </row>
    <row r="32485" spans="25:25" x14ac:dyDescent="0.2">
      <c r="Y32485" s="97"/>
    </row>
    <row r="32486" spans="25:25" x14ac:dyDescent="0.2">
      <c r="Y32486" s="97"/>
    </row>
    <row r="32487" spans="25:25" x14ac:dyDescent="0.2">
      <c r="Y32487" s="97"/>
    </row>
    <row r="32488" spans="25:25" x14ac:dyDescent="0.2">
      <c r="Y32488" s="97"/>
    </row>
    <row r="32489" spans="25:25" x14ac:dyDescent="0.2">
      <c r="Y32489" s="97"/>
    </row>
    <row r="32490" spans="25:25" x14ac:dyDescent="0.2">
      <c r="Y32490" s="97"/>
    </row>
    <row r="32491" spans="25:25" x14ac:dyDescent="0.2">
      <c r="Y32491" s="97"/>
    </row>
    <row r="32492" spans="25:25" x14ac:dyDescent="0.2">
      <c r="Y32492" s="97"/>
    </row>
    <row r="32493" spans="25:25" x14ac:dyDescent="0.2">
      <c r="Y32493" s="97"/>
    </row>
    <row r="32494" spans="25:25" x14ac:dyDescent="0.2">
      <c r="Y32494" s="97"/>
    </row>
    <row r="32495" spans="25:25" x14ac:dyDescent="0.2">
      <c r="Y32495" s="97"/>
    </row>
    <row r="32496" spans="25:25" x14ac:dyDescent="0.2">
      <c r="Y32496" s="97"/>
    </row>
    <row r="32497" spans="25:25" x14ac:dyDescent="0.2">
      <c r="Y32497" s="97"/>
    </row>
    <row r="32498" spans="25:25" x14ac:dyDescent="0.2">
      <c r="Y32498" s="97"/>
    </row>
    <row r="32499" spans="25:25" x14ac:dyDescent="0.2">
      <c r="Y32499" s="97"/>
    </row>
    <row r="32500" spans="25:25" x14ac:dyDescent="0.2">
      <c r="Y32500" s="97"/>
    </row>
    <row r="32501" spans="25:25" x14ac:dyDescent="0.2">
      <c r="Y32501" s="97"/>
    </row>
    <row r="32502" spans="25:25" x14ac:dyDescent="0.2">
      <c r="Y32502" s="97"/>
    </row>
    <row r="32503" spans="25:25" x14ac:dyDescent="0.2">
      <c r="Y32503" s="97"/>
    </row>
    <row r="32504" spans="25:25" x14ac:dyDescent="0.2">
      <c r="Y32504" s="97"/>
    </row>
    <row r="32505" spans="25:25" x14ac:dyDescent="0.2">
      <c r="Y32505" s="97"/>
    </row>
    <row r="32506" spans="25:25" x14ac:dyDescent="0.2">
      <c r="Y32506" s="97"/>
    </row>
    <row r="32507" spans="25:25" x14ac:dyDescent="0.2">
      <c r="Y32507" s="97"/>
    </row>
    <row r="32508" spans="25:25" x14ac:dyDescent="0.2">
      <c r="Y32508" s="97"/>
    </row>
    <row r="32509" spans="25:25" x14ac:dyDescent="0.2">
      <c r="Y32509" s="97"/>
    </row>
    <row r="32510" spans="25:25" x14ac:dyDescent="0.2">
      <c r="Y32510" s="97"/>
    </row>
    <row r="32511" spans="25:25" x14ac:dyDescent="0.2">
      <c r="Y32511" s="97"/>
    </row>
    <row r="32512" spans="25:25" x14ac:dyDescent="0.2">
      <c r="Y32512" s="97"/>
    </row>
    <row r="32513" spans="25:25" x14ac:dyDescent="0.2">
      <c r="Y32513" s="97"/>
    </row>
    <row r="32514" spans="25:25" x14ac:dyDescent="0.2">
      <c r="Y32514" s="97"/>
    </row>
    <row r="32515" spans="25:25" x14ac:dyDescent="0.2">
      <c r="Y32515" s="97"/>
    </row>
    <row r="32516" spans="25:25" x14ac:dyDescent="0.2">
      <c r="Y32516" s="97"/>
    </row>
    <row r="32517" spans="25:25" x14ac:dyDescent="0.2">
      <c r="Y32517" s="97"/>
    </row>
    <row r="32518" spans="25:25" x14ac:dyDescent="0.2">
      <c r="Y32518" s="97"/>
    </row>
    <row r="32519" spans="25:25" x14ac:dyDescent="0.2">
      <c r="Y32519" s="97"/>
    </row>
    <row r="32520" spans="25:25" x14ac:dyDescent="0.2">
      <c r="Y32520" s="97"/>
    </row>
    <row r="32521" spans="25:25" x14ac:dyDescent="0.2">
      <c r="Y32521" s="97"/>
    </row>
    <row r="32522" spans="25:25" x14ac:dyDescent="0.2">
      <c r="Y32522" s="97"/>
    </row>
    <row r="32523" spans="25:25" x14ac:dyDescent="0.2">
      <c r="Y32523" s="97"/>
    </row>
    <row r="32524" spans="25:25" x14ac:dyDescent="0.2">
      <c r="Y32524" s="97"/>
    </row>
    <row r="32525" spans="25:25" x14ac:dyDescent="0.2">
      <c r="Y32525" s="97"/>
    </row>
    <row r="32526" spans="25:25" x14ac:dyDescent="0.2">
      <c r="Y32526" s="97"/>
    </row>
    <row r="32527" spans="25:25" x14ac:dyDescent="0.2">
      <c r="Y32527" s="97"/>
    </row>
    <row r="32528" spans="25:25" x14ac:dyDescent="0.2">
      <c r="Y32528" s="97"/>
    </row>
    <row r="32529" spans="25:25" x14ac:dyDescent="0.2">
      <c r="Y32529" s="97"/>
    </row>
    <row r="32530" spans="25:25" x14ac:dyDescent="0.2">
      <c r="Y32530" s="97"/>
    </row>
    <row r="32531" spans="25:25" x14ac:dyDescent="0.2">
      <c r="Y32531" s="97"/>
    </row>
    <row r="32532" spans="25:25" x14ac:dyDescent="0.2">
      <c r="Y32532" s="97"/>
    </row>
    <row r="32533" spans="25:25" x14ac:dyDescent="0.2">
      <c r="Y32533" s="97"/>
    </row>
    <row r="32534" spans="25:25" x14ac:dyDescent="0.2">
      <c r="Y32534" s="97"/>
    </row>
    <row r="32535" spans="25:25" x14ac:dyDescent="0.2">
      <c r="Y32535" s="97"/>
    </row>
    <row r="32536" spans="25:25" x14ac:dyDescent="0.2">
      <c r="Y32536" s="97"/>
    </row>
    <row r="32537" spans="25:25" x14ac:dyDescent="0.2">
      <c r="Y32537" s="97"/>
    </row>
    <row r="32538" spans="25:25" x14ac:dyDescent="0.2">
      <c r="Y32538" s="97"/>
    </row>
    <row r="32539" spans="25:25" x14ac:dyDescent="0.2">
      <c r="Y32539" s="97"/>
    </row>
    <row r="32540" spans="25:25" x14ac:dyDescent="0.2">
      <c r="Y32540" s="97"/>
    </row>
    <row r="32541" spans="25:25" x14ac:dyDescent="0.2">
      <c r="Y32541" s="97"/>
    </row>
    <row r="32542" spans="25:25" x14ac:dyDescent="0.2">
      <c r="Y32542" s="97"/>
    </row>
    <row r="32543" spans="25:25" x14ac:dyDescent="0.2">
      <c r="Y32543" s="97"/>
    </row>
    <row r="32544" spans="25:25" x14ac:dyDescent="0.2">
      <c r="Y32544" s="97"/>
    </row>
    <row r="32545" spans="25:25" x14ac:dyDescent="0.2">
      <c r="Y32545" s="97"/>
    </row>
    <row r="32546" spans="25:25" x14ac:dyDescent="0.2">
      <c r="Y32546" s="97"/>
    </row>
    <row r="32547" spans="25:25" x14ac:dyDescent="0.2">
      <c r="Y32547" s="97"/>
    </row>
    <row r="32548" spans="25:25" x14ac:dyDescent="0.2">
      <c r="Y32548" s="97"/>
    </row>
    <row r="32549" spans="25:25" x14ac:dyDescent="0.2">
      <c r="Y32549" s="97"/>
    </row>
    <row r="32550" spans="25:25" x14ac:dyDescent="0.2">
      <c r="Y32550" s="97"/>
    </row>
    <row r="32551" spans="25:25" x14ac:dyDescent="0.2">
      <c r="Y32551" s="97"/>
    </row>
    <row r="32552" spans="25:25" x14ac:dyDescent="0.2">
      <c r="Y32552" s="97"/>
    </row>
    <row r="32553" spans="25:25" x14ac:dyDescent="0.2">
      <c r="Y32553" s="97"/>
    </row>
    <row r="32554" spans="25:25" x14ac:dyDescent="0.2">
      <c r="Y32554" s="97"/>
    </row>
    <row r="32555" spans="25:25" x14ac:dyDescent="0.2">
      <c r="Y32555" s="97"/>
    </row>
    <row r="32556" spans="25:25" x14ac:dyDescent="0.2">
      <c r="Y32556" s="97"/>
    </row>
    <row r="32557" spans="25:25" x14ac:dyDescent="0.2">
      <c r="Y32557" s="97"/>
    </row>
    <row r="32558" spans="25:25" x14ac:dyDescent="0.2">
      <c r="Y32558" s="97"/>
    </row>
    <row r="32559" spans="25:25" x14ac:dyDescent="0.2">
      <c r="Y32559" s="97"/>
    </row>
    <row r="32560" spans="25:25" x14ac:dyDescent="0.2">
      <c r="Y32560" s="97"/>
    </row>
    <row r="32561" spans="25:25" x14ac:dyDescent="0.2">
      <c r="Y32561" s="97"/>
    </row>
    <row r="32562" spans="25:25" x14ac:dyDescent="0.2">
      <c r="Y32562" s="97"/>
    </row>
    <row r="32563" spans="25:25" x14ac:dyDescent="0.2">
      <c r="Y32563" s="97"/>
    </row>
    <row r="32564" spans="25:25" x14ac:dyDescent="0.2">
      <c r="Y32564" s="97"/>
    </row>
    <row r="32565" spans="25:25" x14ac:dyDescent="0.2">
      <c r="Y32565" s="97"/>
    </row>
    <row r="32566" spans="25:25" x14ac:dyDescent="0.2">
      <c r="Y32566" s="97"/>
    </row>
    <row r="32567" spans="25:25" x14ac:dyDescent="0.2">
      <c r="Y32567" s="97"/>
    </row>
    <row r="32568" spans="25:25" x14ac:dyDescent="0.2">
      <c r="Y32568" s="97"/>
    </row>
    <row r="32569" spans="25:25" x14ac:dyDescent="0.2">
      <c r="Y32569" s="97"/>
    </row>
    <row r="32570" spans="25:25" x14ac:dyDescent="0.2">
      <c r="Y32570" s="97"/>
    </row>
    <row r="32571" spans="25:25" x14ac:dyDescent="0.2">
      <c r="Y32571" s="97"/>
    </row>
    <row r="32572" spans="25:25" x14ac:dyDescent="0.2">
      <c r="Y32572" s="97"/>
    </row>
    <row r="32573" spans="25:25" x14ac:dyDescent="0.2">
      <c r="Y32573" s="97"/>
    </row>
    <row r="32574" spans="25:25" x14ac:dyDescent="0.2">
      <c r="Y32574" s="97"/>
    </row>
    <row r="32575" spans="25:25" x14ac:dyDescent="0.2">
      <c r="Y32575" s="97"/>
    </row>
    <row r="32576" spans="25:25" x14ac:dyDescent="0.2">
      <c r="Y32576" s="97"/>
    </row>
    <row r="32577" spans="25:25" x14ac:dyDescent="0.2">
      <c r="Y32577" s="97"/>
    </row>
    <row r="32578" spans="25:25" x14ac:dyDescent="0.2">
      <c r="Y32578" s="97"/>
    </row>
    <row r="32579" spans="25:25" x14ac:dyDescent="0.2">
      <c r="Y32579" s="97"/>
    </row>
    <row r="32580" spans="25:25" x14ac:dyDescent="0.2">
      <c r="Y32580" s="97"/>
    </row>
    <row r="32581" spans="25:25" x14ac:dyDescent="0.2">
      <c r="Y32581" s="97"/>
    </row>
    <row r="32582" spans="25:25" x14ac:dyDescent="0.2">
      <c r="Y32582" s="97"/>
    </row>
    <row r="32583" spans="25:25" x14ac:dyDescent="0.2">
      <c r="Y32583" s="97"/>
    </row>
    <row r="32584" spans="25:25" x14ac:dyDescent="0.2">
      <c r="Y32584" s="97"/>
    </row>
    <row r="32585" spans="25:25" x14ac:dyDescent="0.2">
      <c r="Y32585" s="97"/>
    </row>
    <row r="32586" spans="25:25" x14ac:dyDescent="0.2">
      <c r="Y32586" s="97"/>
    </row>
    <row r="32587" spans="25:25" x14ac:dyDescent="0.2">
      <c r="Y32587" s="97"/>
    </row>
    <row r="32588" spans="25:25" x14ac:dyDescent="0.2">
      <c r="Y32588" s="97"/>
    </row>
    <row r="32589" spans="25:25" x14ac:dyDescent="0.2">
      <c r="Y32589" s="97"/>
    </row>
    <row r="32590" spans="25:25" x14ac:dyDescent="0.2">
      <c r="Y32590" s="97"/>
    </row>
    <row r="32591" spans="25:25" x14ac:dyDescent="0.2">
      <c r="Y32591" s="97"/>
    </row>
    <row r="32592" spans="25:25" x14ac:dyDescent="0.2">
      <c r="Y32592" s="97"/>
    </row>
    <row r="32593" spans="25:25" x14ac:dyDescent="0.2">
      <c r="Y32593" s="97"/>
    </row>
    <row r="32594" spans="25:25" x14ac:dyDescent="0.2">
      <c r="Y32594" s="97"/>
    </row>
    <row r="32595" spans="25:25" x14ac:dyDescent="0.2">
      <c r="Y32595" s="97"/>
    </row>
    <row r="32596" spans="25:25" x14ac:dyDescent="0.2">
      <c r="Y32596" s="97"/>
    </row>
    <row r="32597" spans="25:25" x14ac:dyDescent="0.2">
      <c r="Y32597" s="97"/>
    </row>
    <row r="32598" spans="25:25" x14ac:dyDescent="0.2">
      <c r="Y32598" s="97"/>
    </row>
    <row r="32599" spans="25:25" x14ac:dyDescent="0.2">
      <c r="Y32599" s="97"/>
    </row>
    <row r="32600" spans="25:25" x14ac:dyDescent="0.2">
      <c r="Y32600" s="97"/>
    </row>
    <row r="32601" spans="25:25" x14ac:dyDescent="0.2">
      <c r="Y32601" s="97"/>
    </row>
    <row r="32602" spans="25:25" x14ac:dyDescent="0.2">
      <c r="Y32602" s="97"/>
    </row>
    <row r="32603" spans="25:25" x14ac:dyDescent="0.2">
      <c r="Y32603" s="97"/>
    </row>
    <row r="32604" spans="25:25" x14ac:dyDescent="0.2">
      <c r="Y32604" s="97"/>
    </row>
    <row r="32605" spans="25:25" x14ac:dyDescent="0.2">
      <c r="Y32605" s="97"/>
    </row>
    <row r="32606" spans="25:25" x14ac:dyDescent="0.2">
      <c r="Y32606" s="97"/>
    </row>
    <row r="32607" spans="25:25" x14ac:dyDescent="0.2">
      <c r="Y32607" s="97"/>
    </row>
    <row r="32608" spans="25:25" x14ac:dyDescent="0.2">
      <c r="Y32608" s="97"/>
    </row>
    <row r="32609" spans="25:25" x14ac:dyDescent="0.2">
      <c r="Y32609" s="97"/>
    </row>
    <row r="32610" spans="25:25" x14ac:dyDescent="0.2">
      <c r="Y32610" s="97"/>
    </row>
    <row r="32611" spans="25:25" x14ac:dyDescent="0.2">
      <c r="Y32611" s="97"/>
    </row>
    <row r="32612" spans="25:25" x14ac:dyDescent="0.2">
      <c r="Y32612" s="97"/>
    </row>
    <row r="32613" spans="25:25" x14ac:dyDescent="0.2">
      <c r="Y32613" s="97"/>
    </row>
    <row r="32614" spans="25:25" x14ac:dyDescent="0.2">
      <c r="Y32614" s="97"/>
    </row>
    <row r="32615" spans="25:25" x14ac:dyDescent="0.2">
      <c r="Y32615" s="97"/>
    </row>
    <row r="32616" spans="25:25" x14ac:dyDescent="0.2">
      <c r="Y32616" s="97"/>
    </row>
    <row r="32617" spans="25:25" x14ac:dyDescent="0.2">
      <c r="Y32617" s="97"/>
    </row>
    <row r="32618" spans="25:25" x14ac:dyDescent="0.2">
      <c r="Y32618" s="97"/>
    </row>
    <row r="32619" spans="25:25" x14ac:dyDescent="0.2">
      <c r="Y32619" s="97"/>
    </row>
    <row r="32620" spans="25:25" x14ac:dyDescent="0.2">
      <c r="Y32620" s="97"/>
    </row>
    <row r="32621" spans="25:25" x14ac:dyDescent="0.2">
      <c r="Y32621" s="97"/>
    </row>
    <row r="32622" spans="25:25" x14ac:dyDescent="0.2">
      <c r="Y32622" s="97"/>
    </row>
    <row r="32623" spans="25:25" x14ac:dyDescent="0.2">
      <c r="Y32623" s="97"/>
    </row>
    <row r="32624" spans="25:25" x14ac:dyDescent="0.2">
      <c r="Y32624" s="97"/>
    </row>
    <row r="32625" spans="25:25" x14ac:dyDescent="0.2">
      <c r="Y32625" s="97"/>
    </row>
    <row r="32626" spans="25:25" x14ac:dyDescent="0.2">
      <c r="Y32626" s="97"/>
    </row>
    <row r="32627" spans="25:25" x14ac:dyDescent="0.2">
      <c r="Y32627" s="97"/>
    </row>
    <row r="32628" spans="25:25" x14ac:dyDescent="0.2">
      <c r="Y32628" s="97"/>
    </row>
    <row r="32629" spans="25:25" x14ac:dyDescent="0.2">
      <c r="Y32629" s="97"/>
    </row>
    <row r="32630" spans="25:25" x14ac:dyDescent="0.2">
      <c r="Y32630" s="97"/>
    </row>
    <row r="32631" spans="25:25" x14ac:dyDescent="0.2">
      <c r="Y32631" s="97"/>
    </row>
    <row r="32632" spans="25:25" x14ac:dyDescent="0.2">
      <c r="Y32632" s="97"/>
    </row>
    <row r="32633" spans="25:25" x14ac:dyDescent="0.2">
      <c r="Y32633" s="97"/>
    </row>
    <row r="32634" spans="25:25" x14ac:dyDescent="0.2">
      <c r="Y32634" s="97"/>
    </row>
    <row r="32635" spans="25:25" x14ac:dyDescent="0.2">
      <c r="Y32635" s="97"/>
    </row>
    <row r="32636" spans="25:25" x14ac:dyDescent="0.2">
      <c r="Y32636" s="97"/>
    </row>
    <row r="32637" spans="25:25" x14ac:dyDescent="0.2">
      <c r="Y32637" s="97"/>
    </row>
    <row r="32638" spans="25:25" x14ac:dyDescent="0.2">
      <c r="Y32638" s="97"/>
    </row>
    <row r="32639" spans="25:25" x14ac:dyDescent="0.2">
      <c r="Y32639" s="97"/>
    </row>
    <row r="32640" spans="25:25" x14ac:dyDescent="0.2">
      <c r="Y32640" s="97"/>
    </row>
    <row r="32641" spans="25:25" x14ac:dyDescent="0.2">
      <c r="Y32641" s="97"/>
    </row>
    <row r="32642" spans="25:25" x14ac:dyDescent="0.2">
      <c r="Y32642" s="97"/>
    </row>
    <row r="32643" spans="25:25" x14ac:dyDescent="0.2">
      <c r="Y32643" s="97"/>
    </row>
    <row r="32644" spans="25:25" x14ac:dyDescent="0.2">
      <c r="Y32644" s="97"/>
    </row>
    <row r="32645" spans="25:25" x14ac:dyDescent="0.2">
      <c r="Y32645" s="97"/>
    </row>
    <row r="32646" spans="25:25" x14ac:dyDescent="0.2">
      <c r="Y32646" s="97"/>
    </row>
    <row r="32647" spans="25:25" x14ac:dyDescent="0.2">
      <c r="Y32647" s="97"/>
    </row>
    <row r="32648" spans="25:25" x14ac:dyDescent="0.2">
      <c r="Y32648" s="97"/>
    </row>
    <row r="32649" spans="25:25" x14ac:dyDescent="0.2">
      <c r="Y32649" s="97"/>
    </row>
    <row r="32650" spans="25:25" x14ac:dyDescent="0.2">
      <c r="Y32650" s="97"/>
    </row>
    <row r="32651" spans="25:25" x14ac:dyDescent="0.2">
      <c r="Y32651" s="97"/>
    </row>
    <row r="32652" spans="25:25" x14ac:dyDescent="0.2">
      <c r="Y32652" s="97"/>
    </row>
    <row r="32653" spans="25:25" x14ac:dyDescent="0.2">
      <c r="Y32653" s="97"/>
    </row>
    <row r="32654" spans="25:25" x14ac:dyDescent="0.2">
      <c r="Y32654" s="97"/>
    </row>
    <row r="32655" spans="25:25" x14ac:dyDescent="0.2">
      <c r="Y32655" s="97"/>
    </row>
    <row r="32656" spans="25:25" x14ac:dyDescent="0.2">
      <c r="Y32656" s="97"/>
    </row>
    <row r="32657" spans="25:25" x14ac:dyDescent="0.2">
      <c r="Y32657" s="97"/>
    </row>
    <row r="32658" spans="25:25" x14ac:dyDescent="0.2">
      <c r="Y32658" s="97"/>
    </row>
    <row r="32659" spans="25:25" x14ac:dyDescent="0.2">
      <c r="Y32659" s="97"/>
    </row>
    <row r="32660" spans="25:25" x14ac:dyDescent="0.2">
      <c r="Y32660" s="97"/>
    </row>
    <row r="32661" spans="25:25" x14ac:dyDescent="0.2">
      <c r="Y32661" s="97"/>
    </row>
    <row r="32662" spans="25:25" x14ac:dyDescent="0.2">
      <c r="Y32662" s="97"/>
    </row>
    <row r="32663" spans="25:25" x14ac:dyDescent="0.2">
      <c r="Y32663" s="97"/>
    </row>
    <row r="32664" spans="25:25" x14ac:dyDescent="0.2">
      <c r="Y32664" s="97"/>
    </row>
    <row r="32665" spans="25:25" x14ac:dyDescent="0.2">
      <c r="Y32665" s="97"/>
    </row>
    <row r="32666" spans="25:25" x14ac:dyDescent="0.2">
      <c r="Y32666" s="97"/>
    </row>
    <row r="32667" spans="25:25" x14ac:dyDescent="0.2">
      <c r="Y32667" s="97"/>
    </row>
    <row r="32668" spans="25:25" x14ac:dyDescent="0.2">
      <c r="Y32668" s="97"/>
    </row>
    <row r="32669" spans="25:25" x14ac:dyDescent="0.2">
      <c r="Y32669" s="97"/>
    </row>
    <row r="32670" spans="25:25" x14ac:dyDescent="0.2">
      <c r="Y32670" s="97"/>
    </row>
    <row r="32671" spans="25:25" x14ac:dyDescent="0.2">
      <c r="Y32671" s="97"/>
    </row>
    <row r="32672" spans="25:25" x14ac:dyDescent="0.2">
      <c r="Y32672" s="97"/>
    </row>
    <row r="32673" spans="25:25" x14ac:dyDescent="0.2">
      <c r="Y32673" s="97"/>
    </row>
    <row r="32674" spans="25:25" x14ac:dyDescent="0.2">
      <c r="Y32674" s="97"/>
    </row>
    <row r="32675" spans="25:25" x14ac:dyDescent="0.2">
      <c r="Y32675" s="97"/>
    </row>
    <row r="32676" spans="25:25" x14ac:dyDescent="0.2">
      <c r="Y32676" s="97"/>
    </row>
    <row r="32677" spans="25:25" x14ac:dyDescent="0.2">
      <c r="Y32677" s="97"/>
    </row>
    <row r="32678" spans="25:25" x14ac:dyDescent="0.2">
      <c r="Y32678" s="97"/>
    </row>
    <row r="32679" spans="25:25" x14ac:dyDescent="0.2">
      <c r="Y32679" s="97"/>
    </row>
    <row r="32680" spans="25:25" x14ac:dyDescent="0.2">
      <c r="Y32680" s="97"/>
    </row>
    <row r="32681" spans="25:25" x14ac:dyDescent="0.2">
      <c r="Y32681" s="97"/>
    </row>
    <row r="32682" spans="25:25" x14ac:dyDescent="0.2">
      <c r="Y32682" s="97"/>
    </row>
    <row r="32683" spans="25:25" x14ac:dyDescent="0.2">
      <c r="Y32683" s="97"/>
    </row>
    <row r="32684" spans="25:25" x14ac:dyDescent="0.2">
      <c r="Y32684" s="97"/>
    </row>
    <row r="32685" spans="25:25" x14ac:dyDescent="0.2">
      <c r="Y32685" s="97"/>
    </row>
    <row r="32686" spans="25:25" x14ac:dyDescent="0.2">
      <c r="Y32686" s="97"/>
    </row>
    <row r="32687" spans="25:25" x14ac:dyDescent="0.2">
      <c r="Y32687" s="97"/>
    </row>
    <row r="32688" spans="25:25" x14ac:dyDescent="0.2">
      <c r="Y32688" s="97"/>
    </row>
    <row r="32689" spans="25:25" x14ac:dyDescent="0.2">
      <c r="Y32689" s="97"/>
    </row>
    <row r="32690" spans="25:25" x14ac:dyDescent="0.2">
      <c r="Y32690" s="97"/>
    </row>
    <row r="32691" spans="25:25" x14ac:dyDescent="0.2">
      <c r="Y32691" s="97"/>
    </row>
    <row r="32692" spans="25:25" x14ac:dyDescent="0.2">
      <c r="Y32692" s="97"/>
    </row>
    <row r="32693" spans="25:25" x14ac:dyDescent="0.2">
      <c r="Y32693" s="97"/>
    </row>
    <row r="32694" spans="25:25" x14ac:dyDescent="0.2">
      <c r="Y32694" s="97"/>
    </row>
    <row r="32695" spans="25:25" x14ac:dyDescent="0.2">
      <c r="Y32695" s="97"/>
    </row>
    <row r="32696" spans="25:25" x14ac:dyDescent="0.2">
      <c r="Y32696" s="97"/>
    </row>
    <row r="32697" spans="25:25" x14ac:dyDescent="0.2">
      <c r="Y32697" s="97"/>
    </row>
    <row r="32698" spans="25:25" x14ac:dyDescent="0.2">
      <c r="Y32698" s="97"/>
    </row>
    <row r="32699" spans="25:25" x14ac:dyDescent="0.2">
      <c r="Y32699" s="97"/>
    </row>
    <row r="32700" spans="25:25" x14ac:dyDescent="0.2">
      <c r="Y32700" s="97"/>
    </row>
    <row r="32701" spans="25:25" x14ac:dyDescent="0.2">
      <c r="Y32701" s="97"/>
    </row>
    <row r="32702" spans="25:25" x14ac:dyDescent="0.2">
      <c r="Y32702" s="97"/>
    </row>
    <row r="32703" spans="25:25" x14ac:dyDescent="0.2">
      <c r="Y32703" s="97"/>
    </row>
    <row r="32704" spans="25:25" x14ac:dyDescent="0.2">
      <c r="Y32704" s="97"/>
    </row>
    <row r="32705" spans="25:25" x14ac:dyDescent="0.2">
      <c r="Y32705" s="97"/>
    </row>
    <row r="32706" spans="25:25" x14ac:dyDescent="0.2">
      <c r="Y32706" s="97"/>
    </row>
    <row r="32707" spans="25:25" x14ac:dyDescent="0.2">
      <c r="Y32707" s="97"/>
    </row>
    <row r="32708" spans="25:25" x14ac:dyDescent="0.2">
      <c r="Y32708" s="97"/>
    </row>
    <row r="32709" spans="25:25" x14ac:dyDescent="0.2">
      <c r="Y32709" s="97"/>
    </row>
    <row r="32710" spans="25:25" x14ac:dyDescent="0.2">
      <c r="Y32710" s="97"/>
    </row>
    <row r="32711" spans="25:25" x14ac:dyDescent="0.2">
      <c r="Y32711" s="97"/>
    </row>
    <row r="32712" spans="25:25" x14ac:dyDescent="0.2">
      <c r="Y32712" s="97"/>
    </row>
    <row r="32713" spans="25:25" x14ac:dyDescent="0.2">
      <c r="Y32713" s="97"/>
    </row>
    <row r="32714" spans="25:25" x14ac:dyDescent="0.2">
      <c r="Y32714" s="97"/>
    </row>
    <row r="32715" spans="25:25" x14ac:dyDescent="0.2">
      <c r="Y32715" s="97"/>
    </row>
    <row r="32716" spans="25:25" x14ac:dyDescent="0.2">
      <c r="Y32716" s="97"/>
    </row>
    <row r="32717" spans="25:25" x14ac:dyDescent="0.2">
      <c r="Y32717" s="97"/>
    </row>
    <row r="32718" spans="25:25" x14ac:dyDescent="0.2">
      <c r="Y32718" s="97"/>
    </row>
    <row r="32719" spans="25:25" x14ac:dyDescent="0.2">
      <c r="Y32719" s="97"/>
    </row>
    <row r="32720" spans="25:25" x14ac:dyDescent="0.2">
      <c r="Y32720" s="97"/>
    </row>
    <row r="32721" spans="25:25" x14ac:dyDescent="0.2">
      <c r="Y32721" s="97"/>
    </row>
    <row r="32722" spans="25:25" x14ac:dyDescent="0.2">
      <c r="Y32722" s="97"/>
    </row>
    <row r="32723" spans="25:25" x14ac:dyDescent="0.2">
      <c r="Y32723" s="97"/>
    </row>
    <row r="32724" spans="25:25" x14ac:dyDescent="0.2">
      <c r="Y32724" s="97"/>
    </row>
    <row r="32725" spans="25:25" x14ac:dyDescent="0.2">
      <c r="Y32725" s="97"/>
    </row>
    <row r="32726" spans="25:25" x14ac:dyDescent="0.2">
      <c r="Y32726" s="97"/>
    </row>
    <row r="32727" spans="25:25" x14ac:dyDescent="0.2">
      <c r="Y32727" s="97"/>
    </row>
    <row r="32728" spans="25:25" x14ac:dyDescent="0.2">
      <c r="Y32728" s="97"/>
    </row>
    <row r="32729" spans="25:25" x14ac:dyDescent="0.2">
      <c r="Y32729" s="97"/>
    </row>
    <row r="32730" spans="25:25" x14ac:dyDescent="0.2">
      <c r="Y32730" s="97"/>
    </row>
    <row r="32731" spans="25:25" x14ac:dyDescent="0.2">
      <c r="Y32731" s="97"/>
    </row>
    <row r="32732" spans="25:25" x14ac:dyDescent="0.2">
      <c r="Y32732" s="97"/>
    </row>
    <row r="32733" spans="25:25" x14ac:dyDescent="0.2">
      <c r="Y32733" s="97"/>
    </row>
    <row r="32734" spans="25:25" x14ac:dyDescent="0.2">
      <c r="Y32734" s="97"/>
    </row>
    <row r="32735" spans="25:25" x14ac:dyDescent="0.2">
      <c r="Y32735" s="97"/>
    </row>
    <row r="32736" spans="25:25" x14ac:dyDescent="0.2">
      <c r="Y32736" s="97"/>
    </row>
    <row r="32737" spans="25:25" x14ac:dyDescent="0.2">
      <c r="Y32737" s="97"/>
    </row>
    <row r="32738" spans="25:25" x14ac:dyDescent="0.2">
      <c r="Y32738" s="97"/>
    </row>
    <row r="32739" spans="25:25" x14ac:dyDescent="0.2">
      <c r="Y32739" s="97"/>
    </row>
    <row r="32740" spans="25:25" x14ac:dyDescent="0.2">
      <c r="Y32740" s="97"/>
    </row>
    <row r="32741" spans="25:25" x14ac:dyDescent="0.2">
      <c r="Y32741" s="97"/>
    </row>
    <row r="32742" spans="25:25" x14ac:dyDescent="0.2">
      <c r="Y32742" s="97"/>
    </row>
    <row r="32743" spans="25:25" x14ac:dyDescent="0.2">
      <c r="Y32743" s="97"/>
    </row>
    <row r="32744" spans="25:25" x14ac:dyDescent="0.2">
      <c r="Y32744" s="97"/>
    </row>
    <row r="32745" spans="25:25" x14ac:dyDescent="0.2">
      <c r="Y32745" s="97"/>
    </row>
    <row r="32746" spans="25:25" x14ac:dyDescent="0.2">
      <c r="Y32746" s="97"/>
    </row>
    <row r="32747" spans="25:25" x14ac:dyDescent="0.2">
      <c r="Y32747" s="97"/>
    </row>
    <row r="32748" spans="25:25" x14ac:dyDescent="0.2">
      <c r="Y32748" s="97"/>
    </row>
    <row r="32749" spans="25:25" x14ac:dyDescent="0.2">
      <c r="Y32749" s="97"/>
    </row>
    <row r="32750" spans="25:25" x14ac:dyDescent="0.2">
      <c r="Y32750" s="97"/>
    </row>
    <row r="32751" spans="25:25" x14ac:dyDescent="0.2">
      <c r="Y32751" s="97"/>
    </row>
    <row r="32752" spans="25:25" x14ac:dyDescent="0.2">
      <c r="Y32752" s="97"/>
    </row>
    <row r="32753" spans="25:25" x14ac:dyDescent="0.2">
      <c r="Y32753" s="97"/>
    </row>
    <row r="32754" spans="25:25" x14ac:dyDescent="0.2">
      <c r="Y32754" s="97"/>
    </row>
    <row r="32755" spans="25:25" x14ac:dyDescent="0.2">
      <c r="Y32755" s="97"/>
    </row>
    <row r="32756" spans="25:25" x14ac:dyDescent="0.2">
      <c r="Y32756" s="97"/>
    </row>
    <row r="32757" spans="25:25" x14ac:dyDescent="0.2">
      <c r="Y32757" s="97"/>
    </row>
    <row r="32758" spans="25:25" x14ac:dyDescent="0.2">
      <c r="Y32758" s="97"/>
    </row>
    <row r="32759" spans="25:25" x14ac:dyDescent="0.2">
      <c r="Y32759" s="97"/>
    </row>
    <row r="32760" spans="25:25" x14ac:dyDescent="0.2">
      <c r="Y32760" s="97"/>
    </row>
    <row r="32761" spans="25:25" x14ac:dyDescent="0.2">
      <c r="Y32761" s="97"/>
    </row>
    <row r="32762" spans="25:25" x14ac:dyDescent="0.2">
      <c r="Y32762" s="97"/>
    </row>
    <row r="32763" spans="25:25" x14ac:dyDescent="0.2">
      <c r="Y32763" s="97"/>
    </row>
    <row r="32764" spans="25:25" x14ac:dyDescent="0.2">
      <c r="Y32764" s="97"/>
    </row>
    <row r="32765" spans="25:25" x14ac:dyDescent="0.2">
      <c r="Y32765" s="97"/>
    </row>
    <row r="32766" spans="25:25" x14ac:dyDescent="0.2">
      <c r="Y32766" s="97"/>
    </row>
    <row r="32767" spans="25:25" x14ac:dyDescent="0.2">
      <c r="Y32767" s="97"/>
    </row>
    <row r="32768" spans="25:25" x14ac:dyDescent="0.2">
      <c r="Y32768" s="97"/>
    </row>
    <row r="32769" spans="25:25" x14ac:dyDescent="0.2">
      <c r="Y32769" s="97"/>
    </row>
    <row r="32770" spans="25:25" x14ac:dyDescent="0.2">
      <c r="Y32770" s="97"/>
    </row>
    <row r="32771" spans="25:25" x14ac:dyDescent="0.2">
      <c r="Y32771" s="97"/>
    </row>
    <row r="32772" spans="25:25" x14ac:dyDescent="0.2">
      <c r="Y32772" s="97"/>
    </row>
    <row r="32773" spans="25:25" x14ac:dyDescent="0.2">
      <c r="Y32773" s="97"/>
    </row>
    <row r="32774" spans="25:25" x14ac:dyDescent="0.2">
      <c r="Y32774" s="97"/>
    </row>
    <row r="32775" spans="25:25" x14ac:dyDescent="0.2">
      <c r="Y32775" s="97"/>
    </row>
    <row r="32776" spans="25:25" x14ac:dyDescent="0.2">
      <c r="Y32776" s="97"/>
    </row>
    <row r="32777" spans="25:25" x14ac:dyDescent="0.2">
      <c r="Y32777" s="97"/>
    </row>
    <row r="32778" spans="25:25" x14ac:dyDescent="0.2">
      <c r="Y32778" s="97"/>
    </row>
    <row r="32779" spans="25:25" x14ac:dyDescent="0.2">
      <c r="Y32779" s="97"/>
    </row>
    <row r="32780" spans="25:25" x14ac:dyDescent="0.2">
      <c r="Y32780" s="97"/>
    </row>
    <row r="32781" spans="25:25" x14ac:dyDescent="0.2">
      <c r="Y32781" s="97"/>
    </row>
    <row r="32782" spans="25:25" x14ac:dyDescent="0.2">
      <c r="Y32782" s="97"/>
    </row>
    <row r="32783" spans="25:25" x14ac:dyDescent="0.2">
      <c r="Y32783" s="97"/>
    </row>
    <row r="32784" spans="25:25" x14ac:dyDescent="0.2">
      <c r="Y32784" s="97"/>
    </row>
    <row r="32785" spans="25:25" x14ac:dyDescent="0.2">
      <c r="Y32785" s="97"/>
    </row>
    <row r="32786" spans="25:25" x14ac:dyDescent="0.2">
      <c r="Y32786" s="97"/>
    </row>
    <row r="32787" spans="25:25" x14ac:dyDescent="0.2">
      <c r="Y32787" s="97"/>
    </row>
    <row r="32788" spans="25:25" x14ac:dyDescent="0.2">
      <c r="Y32788" s="97"/>
    </row>
    <row r="32789" spans="25:25" x14ac:dyDescent="0.2">
      <c r="Y32789" s="97"/>
    </row>
    <row r="32790" spans="25:25" x14ac:dyDescent="0.2">
      <c r="Y32790" s="97"/>
    </row>
    <row r="32791" spans="25:25" x14ac:dyDescent="0.2">
      <c r="Y32791" s="97"/>
    </row>
    <row r="32792" spans="25:25" x14ac:dyDescent="0.2">
      <c r="Y32792" s="97"/>
    </row>
    <row r="32793" spans="25:25" x14ac:dyDescent="0.2">
      <c r="Y32793" s="97"/>
    </row>
    <row r="32794" spans="25:25" x14ac:dyDescent="0.2">
      <c r="Y32794" s="97"/>
    </row>
    <row r="32795" spans="25:25" x14ac:dyDescent="0.2">
      <c r="Y32795" s="97"/>
    </row>
    <row r="32796" spans="25:25" x14ac:dyDescent="0.2">
      <c r="Y32796" s="97"/>
    </row>
    <row r="32797" spans="25:25" x14ac:dyDescent="0.2">
      <c r="Y32797" s="97"/>
    </row>
    <row r="32798" spans="25:25" x14ac:dyDescent="0.2">
      <c r="Y32798" s="97"/>
    </row>
    <row r="32799" spans="25:25" x14ac:dyDescent="0.2">
      <c r="Y32799" s="97"/>
    </row>
    <row r="32800" spans="25:25" x14ac:dyDescent="0.2">
      <c r="Y32800" s="97"/>
    </row>
    <row r="32801" spans="25:25" x14ac:dyDescent="0.2">
      <c r="Y32801" s="97"/>
    </row>
    <row r="32802" spans="25:25" x14ac:dyDescent="0.2">
      <c r="Y32802" s="97"/>
    </row>
    <row r="32803" spans="25:25" x14ac:dyDescent="0.2">
      <c r="Y32803" s="97"/>
    </row>
    <row r="32804" spans="25:25" x14ac:dyDescent="0.2">
      <c r="Y32804" s="97"/>
    </row>
    <row r="32805" spans="25:25" x14ac:dyDescent="0.2">
      <c r="Y32805" s="97"/>
    </row>
    <row r="32806" spans="25:25" x14ac:dyDescent="0.2">
      <c r="Y32806" s="97"/>
    </row>
    <row r="32807" spans="25:25" x14ac:dyDescent="0.2">
      <c r="Y32807" s="97"/>
    </row>
    <row r="32808" spans="25:25" x14ac:dyDescent="0.2">
      <c r="Y32808" s="97"/>
    </row>
    <row r="32809" spans="25:25" x14ac:dyDescent="0.2">
      <c r="Y32809" s="97"/>
    </row>
    <row r="32810" spans="25:25" x14ac:dyDescent="0.2">
      <c r="Y32810" s="97"/>
    </row>
    <row r="32811" spans="25:25" x14ac:dyDescent="0.2">
      <c r="Y32811" s="97"/>
    </row>
    <row r="32812" spans="25:25" x14ac:dyDescent="0.2">
      <c r="Y32812" s="97"/>
    </row>
    <row r="32813" spans="25:25" x14ac:dyDescent="0.2">
      <c r="Y32813" s="97"/>
    </row>
    <row r="32814" spans="25:25" x14ac:dyDescent="0.2">
      <c r="Y32814" s="97"/>
    </row>
    <row r="32815" spans="25:25" x14ac:dyDescent="0.2">
      <c r="Y32815" s="97"/>
    </row>
    <row r="32816" spans="25:25" x14ac:dyDescent="0.2">
      <c r="Y32816" s="97"/>
    </row>
    <row r="32817" spans="25:25" x14ac:dyDescent="0.2">
      <c r="Y32817" s="97"/>
    </row>
    <row r="32818" spans="25:25" x14ac:dyDescent="0.2">
      <c r="Y32818" s="97"/>
    </row>
    <row r="32819" spans="25:25" x14ac:dyDescent="0.2">
      <c r="Y32819" s="97"/>
    </row>
    <row r="32820" spans="25:25" x14ac:dyDescent="0.2">
      <c r="Y32820" s="97"/>
    </row>
    <row r="32821" spans="25:25" x14ac:dyDescent="0.2">
      <c r="Y32821" s="97"/>
    </row>
    <row r="32822" spans="25:25" x14ac:dyDescent="0.2">
      <c r="Y32822" s="97"/>
    </row>
    <row r="32823" spans="25:25" x14ac:dyDescent="0.2">
      <c r="Y32823" s="97"/>
    </row>
    <row r="32824" spans="25:25" x14ac:dyDescent="0.2">
      <c r="Y32824" s="97"/>
    </row>
    <row r="32825" spans="25:25" x14ac:dyDescent="0.2">
      <c r="Y32825" s="97"/>
    </row>
    <row r="32826" spans="25:25" x14ac:dyDescent="0.2">
      <c r="Y32826" s="97"/>
    </row>
    <row r="32827" spans="25:25" x14ac:dyDescent="0.2">
      <c r="Y32827" s="97"/>
    </row>
    <row r="32828" spans="25:25" x14ac:dyDescent="0.2">
      <c r="Y32828" s="97"/>
    </row>
    <row r="32829" spans="25:25" x14ac:dyDescent="0.2">
      <c r="Y32829" s="97"/>
    </row>
    <row r="32830" spans="25:25" x14ac:dyDescent="0.2">
      <c r="Y32830" s="97"/>
    </row>
    <row r="32831" spans="25:25" x14ac:dyDescent="0.2">
      <c r="Y32831" s="97"/>
    </row>
    <row r="32832" spans="25:25" x14ac:dyDescent="0.2">
      <c r="Y32832" s="97"/>
    </row>
    <row r="32833" spans="25:25" x14ac:dyDescent="0.2">
      <c r="Y32833" s="97"/>
    </row>
    <row r="32834" spans="25:25" x14ac:dyDescent="0.2">
      <c r="Y32834" s="97"/>
    </row>
    <row r="32835" spans="25:25" x14ac:dyDescent="0.2">
      <c r="Y32835" s="97"/>
    </row>
    <row r="32836" spans="25:25" x14ac:dyDescent="0.2">
      <c r="Y32836" s="97"/>
    </row>
    <row r="32837" spans="25:25" x14ac:dyDescent="0.2">
      <c r="Y32837" s="97"/>
    </row>
    <row r="32838" spans="25:25" x14ac:dyDescent="0.2">
      <c r="Y32838" s="97"/>
    </row>
    <row r="32839" spans="25:25" x14ac:dyDescent="0.2">
      <c r="Y32839" s="97"/>
    </row>
    <row r="32840" spans="25:25" x14ac:dyDescent="0.2">
      <c r="Y32840" s="97"/>
    </row>
    <row r="32841" spans="25:25" x14ac:dyDescent="0.2">
      <c r="Y32841" s="97"/>
    </row>
    <row r="32842" spans="25:25" x14ac:dyDescent="0.2">
      <c r="Y32842" s="97"/>
    </row>
    <row r="32843" spans="25:25" x14ac:dyDescent="0.2">
      <c r="Y32843" s="97"/>
    </row>
    <row r="32844" spans="25:25" x14ac:dyDescent="0.2">
      <c r="Y32844" s="97"/>
    </row>
    <row r="32845" spans="25:25" x14ac:dyDescent="0.2">
      <c r="Y32845" s="97"/>
    </row>
    <row r="32846" spans="25:25" x14ac:dyDescent="0.2">
      <c r="Y32846" s="97"/>
    </row>
    <row r="32847" spans="25:25" x14ac:dyDescent="0.2">
      <c r="Y32847" s="97"/>
    </row>
    <row r="32848" spans="25:25" x14ac:dyDescent="0.2">
      <c r="Y32848" s="97"/>
    </row>
    <row r="32849" spans="25:25" x14ac:dyDescent="0.2">
      <c r="Y32849" s="97"/>
    </row>
    <row r="32850" spans="25:25" x14ac:dyDescent="0.2">
      <c r="Y32850" s="97"/>
    </row>
    <row r="32851" spans="25:25" x14ac:dyDescent="0.2">
      <c r="Y32851" s="97"/>
    </row>
    <row r="32852" spans="25:25" x14ac:dyDescent="0.2">
      <c r="Y32852" s="97"/>
    </row>
    <row r="32853" spans="25:25" x14ac:dyDescent="0.2">
      <c r="Y32853" s="97"/>
    </row>
    <row r="32854" spans="25:25" x14ac:dyDescent="0.2">
      <c r="Y32854" s="97"/>
    </row>
    <row r="32855" spans="25:25" x14ac:dyDescent="0.2">
      <c r="Y32855" s="97"/>
    </row>
    <row r="32856" spans="25:25" x14ac:dyDescent="0.2">
      <c r="Y32856" s="97"/>
    </row>
    <row r="32857" spans="25:25" x14ac:dyDescent="0.2">
      <c r="Y32857" s="97"/>
    </row>
    <row r="32858" spans="25:25" x14ac:dyDescent="0.2">
      <c r="Y32858" s="97"/>
    </row>
    <row r="32859" spans="25:25" x14ac:dyDescent="0.2">
      <c r="Y32859" s="97"/>
    </row>
    <row r="32860" spans="25:25" x14ac:dyDescent="0.2">
      <c r="Y32860" s="97"/>
    </row>
    <row r="32861" spans="25:25" x14ac:dyDescent="0.2">
      <c r="Y32861" s="97"/>
    </row>
    <row r="32862" spans="25:25" x14ac:dyDescent="0.2">
      <c r="Y32862" s="97"/>
    </row>
    <row r="32863" spans="25:25" x14ac:dyDescent="0.2">
      <c r="Y32863" s="97"/>
    </row>
    <row r="32864" spans="25:25" x14ac:dyDescent="0.2">
      <c r="Y32864" s="97"/>
    </row>
    <row r="32865" spans="25:25" x14ac:dyDescent="0.2">
      <c r="Y32865" s="97"/>
    </row>
    <row r="32866" spans="25:25" x14ac:dyDescent="0.2">
      <c r="Y32866" s="97"/>
    </row>
    <row r="32867" spans="25:25" x14ac:dyDescent="0.2">
      <c r="Y32867" s="97"/>
    </row>
    <row r="32868" spans="25:25" x14ac:dyDescent="0.2">
      <c r="Y32868" s="97"/>
    </row>
    <row r="32869" spans="25:25" x14ac:dyDescent="0.2">
      <c r="Y32869" s="97"/>
    </row>
    <row r="32870" spans="25:25" x14ac:dyDescent="0.2">
      <c r="Y32870" s="97"/>
    </row>
    <row r="32871" spans="25:25" x14ac:dyDescent="0.2">
      <c r="Y32871" s="97"/>
    </row>
    <row r="32872" spans="25:25" x14ac:dyDescent="0.2">
      <c r="Y32872" s="97"/>
    </row>
    <row r="32873" spans="25:25" x14ac:dyDescent="0.2">
      <c r="Y32873" s="97"/>
    </row>
    <row r="32874" spans="25:25" x14ac:dyDescent="0.2">
      <c r="Y32874" s="97"/>
    </row>
    <row r="32875" spans="25:25" x14ac:dyDescent="0.2">
      <c r="Y32875" s="97"/>
    </row>
    <row r="32876" spans="25:25" x14ac:dyDescent="0.2">
      <c r="Y32876" s="97"/>
    </row>
    <row r="32877" spans="25:25" x14ac:dyDescent="0.2">
      <c r="Y32877" s="97"/>
    </row>
    <row r="32878" spans="25:25" x14ac:dyDescent="0.2">
      <c r="Y32878" s="97"/>
    </row>
    <row r="32879" spans="25:25" x14ac:dyDescent="0.2">
      <c r="Y32879" s="97"/>
    </row>
    <row r="32880" spans="25:25" x14ac:dyDescent="0.2">
      <c r="Y32880" s="97"/>
    </row>
    <row r="32881" spans="25:25" x14ac:dyDescent="0.2">
      <c r="Y32881" s="97"/>
    </row>
    <row r="32882" spans="25:25" x14ac:dyDescent="0.2">
      <c r="Y32882" s="97"/>
    </row>
    <row r="32883" spans="25:25" x14ac:dyDescent="0.2">
      <c r="Y32883" s="97"/>
    </row>
    <row r="32884" spans="25:25" x14ac:dyDescent="0.2">
      <c r="Y32884" s="97"/>
    </row>
    <row r="32885" spans="25:25" x14ac:dyDescent="0.2">
      <c r="Y32885" s="97"/>
    </row>
    <row r="32886" spans="25:25" x14ac:dyDescent="0.2">
      <c r="Y32886" s="97"/>
    </row>
    <row r="32887" spans="25:25" x14ac:dyDescent="0.2">
      <c r="Y32887" s="97"/>
    </row>
    <row r="32888" spans="25:25" x14ac:dyDescent="0.2">
      <c r="Y32888" s="97"/>
    </row>
    <row r="32889" spans="25:25" x14ac:dyDescent="0.2">
      <c r="Y32889" s="97"/>
    </row>
    <row r="32890" spans="25:25" x14ac:dyDescent="0.2">
      <c r="Y32890" s="97"/>
    </row>
    <row r="32891" spans="25:25" x14ac:dyDescent="0.2">
      <c r="Y32891" s="97"/>
    </row>
    <row r="32892" spans="25:25" x14ac:dyDescent="0.2">
      <c r="Y32892" s="97"/>
    </row>
    <row r="32893" spans="25:25" x14ac:dyDescent="0.2">
      <c r="Y32893" s="97"/>
    </row>
    <row r="32894" spans="25:25" x14ac:dyDescent="0.2">
      <c r="Y32894" s="97"/>
    </row>
    <row r="32895" spans="25:25" x14ac:dyDescent="0.2">
      <c r="Y32895" s="97"/>
    </row>
    <row r="32896" spans="25:25" x14ac:dyDescent="0.2">
      <c r="Y32896" s="97"/>
    </row>
    <row r="32897" spans="25:25" x14ac:dyDescent="0.2">
      <c r="Y32897" s="97"/>
    </row>
    <row r="32898" spans="25:25" x14ac:dyDescent="0.2">
      <c r="Y32898" s="97"/>
    </row>
    <row r="32899" spans="25:25" x14ac:dyDescent="0.2">
      <c r="Y32899" s="97"/>
    </row>
    <row r="32900" spans="25:25" x14ac:dyDescent="0.2">
      <c r="Y32900" s="97"/>
    </row>
    <row r="32901" spans="25:25" x14ac:dyDescent="0.2">
      <c r="Y32901" s="97"/>
    </row>
    <row r="32902" spans="25:25" x14ac:dyDescent="0.2">
      <c r="Y32902" s="97"/>
    </row>
    <row r="32903" spans="25:25" x14ac:dyDescent="0.2">
      <c r="Y32903" s="97"/>
    </row>
    <row r="32904" spans="25:25" x14ac:dyDescent="0.2">
      <c r="Y32904" s="97"/>
    </row>
    <row r="32905" spans="25:25" x14ac:dyDescent="0.2">
      <c r="Y32905" s="97"/>
    </row>
    <row r="32906" spans="25:25" x14ac:dyDescent="0.2">
      <c r="Y32906" s="97"/>
    </row>
    <row r="32907" spans="25:25" x14ac:dyDescent="0.2">
      <c r="Y32907" s="97"/>
    </row>
    <row r="32908" spans="25:25" x14ac:dyDescent="0.2">
      <c r="Y32908" s="97"/>
    </row>
    <row r="32909" spans="25:25" x14ac:dyDescent="0.2">
      <c r="Y32909" s="97"/>
    </row>
    <row r="32910" spans="25:25" x14ac:dyDescent="0.2">
      <c r="Y32910" s="97"/>
    </row>
    <row r="32911" spans="25:25" x14ac:dyDescent="0.2">
      <c r="Y32911" s="97"/>
    </row>
    <row r="32912" spans="25:25" x14ac:dyDescent="0.2">
      <c r="Y32912" s="97"/>
    </row>
    <row r="32913" spans="25:25" x14ac:dyDescent="0.2">
      <c r="Y32913" s="97"/>
    </row>
    <row r="32914" spans="25:25" x14ac:dyDescent="0.2">
      <c r="Y32914" s="97"/>
    </row>
    <row r="32915" spans="25:25" x14ac:dyDescent="0.2">
      <c r="Y32915" s="97"/>
    </row>
    <row r="32916" spans="25:25" x14ac:dyDescent="0.2">
      <c r="Y32916" s="97"/>
    </row>
    <row r="32917" spans="25:25" x14ac:dyDescent="0.2">
      <c r="Y32917" s="97"/>
    </row>
    <row r="32918" spans="25:25" x14ac:dyDescent="0.2">
      <c r="Y32918" s="97"/>
    </row>
    <row r="32919" spans="25:25" x14ac:dyDescent="0.2">
      <c r="Y32919" s="97"/>
    </row>
    <row r="32920" spans="25:25" x14ac:dyDescent="0.2">
      <c r="Y32920" s="97"/>
    </row>
    <row r="32921" spans="25:25" x14ac:dyDescent="0.2">
      <c r="Y32921" s="97"/>
    </row>
    <row r="32922" spans="25:25" x14ac:dyDescent="0.2">
      <c r="Y32922" s="97"/>
    </row>
    <row r="32923" spans="25:25" x14ac:dyDescent="0.2">
      <c r="Y32923" s="97"/>
    </row>
    <row r="32924" spans="25:25" x14ac:dyDescent="0.2">
      <c r="Y32924" s="97"/>
    </row>
    <row r="32925" spans="25:25" x14ac:dyDescent="0.2">
      <c r="Y32925" s="97"/>
    </row>
    <row r="32926" spans="25:25" x14ac:dyDescent="0.2">
      <c r="Y32926" s="97"/>
    </row>
    <row r="32927" spans="25:25" x14ac:dyDescent="0.2">
      <c r="Y32927" s="97"/>
    </row>
    <row r="32928" spans="25:25" x14ac:dyDescent="0.2">
      <c r="Y32928" s="97"/>
    </row>
    <row r="32929" spans="25:25" x14ac:dyDescent="0.2">
      <c r="Y32929" s="97"/>
    </row>
    <row r="32930" spans="25:25" x14ac:dyDescent="0.2">
      <c r="Y32930" s="97"/>
    </row>
    <row r="32931" spans="25:25" x14ac:dyDescent="0.2">
      <c r="Y32931" s="97"/>
    </row>
    <row r="32932" spans="25:25" x14ac:dyDescent="0.2">
      <c r="Y32932" s="97"/>
    </row>
    <row r="32933" spans="25:25" x14ac:dyDescent="0.2">
      <c r="Y32933" s="97"/>
    </row>
    <row r="32934" spans="25:25" x14ac:dyDescent="0.2">
      <c r="Y32934" s="97"/>
    </row>
    <row r="32935" spans="25:25" x14ac:dyDescent="0.2">
      <c r="Y32935" s="97"/>
    </row>
    <row r="32936" spans="25:25" x14ac:dyDescent="0.2">
      <c r="Y32936" s="97"/>
    </row>
    <row r="32937" spans="25:25" x14ac:dyDescent="0.2">
      <c r="Y32937" s="97"/>
    </row>
    <row r="32938" spans="25:25" x14ac:dyDescent="0.2">
      <c r="Y32938" s="97"/>
    </row>
    <row r="32939" spans="25:25" x14ac:dyDescent="0.2">
      <c r="Y32939" s="97"/>
    </row>
    <row r="32940" spans="25:25" x14ac:dyDescent="0.2">
      <c r="Y32940" s="97"/>
    </row>
    <row r="32941" spans="25:25" x14ac:dyDescent="0.2">
      <c r="Y32941" s="97"/>
    </row>
    <row r="32942" spans="25:25" x14ac:dyDescent="0.2">
      <c r="Y32942" s="97"/>
    </row>
    <row r="32943" spans="25:25" x14ac:dyDescent="0.2">
      <c r="Y32943" s="97"/>
    </row>
    <row r="32944" spans="25:25" x14ac:dyDescent="0.2">
      <c r="Y32944" s="97"/>
    </row>
    <row r="32945" spans="25:25" x14ac:dyDescent="0.2">
      <c r="Y32945" s="97"/>
    </row>
    <row r="32946" spans="25:25" x14ac:dyDescent="0.2">
      <c r="Y32946" s="97"/>
    </row>
    <row r="32947" spans="25:25" x14ac:dyDescent="0.2">
      <c r="Y32947" s="97"/>
    </row>
    <row r="32948" spans="25:25" x14ac:dyDescent="0.2">
      <c r="Y32948" s="97"/>
    </row>
    <row r="32949" spans="25:25" x14ac:dyDescent="0.2">
      <c r="Y32949" s="97"/>
    </row>
    <row r="32950" spans="25:25" x14ac:dyDescent="0.2">
      <c r="Y32950" s="97"/>
    </row>
    <row r="32951" spans="25:25" x14ac:dyDescent="0.2">
      <c r="Y32951" s="97"/>
    </row>
    <row r="32952" spans="25:25" x14ac:dyDescent="0.2">
      <c r="Y32952" s="97"/>
    </row>
    <row r="32953" spans="25:25" x14ac:dyDescent="0.2">
      <c r="Y32953" s="97"/>
    </row>
    <row r="32954" spans="25:25" x14ac:dyDescent="0.2">
      <c r="Y32954" s="97"/>
    </row>
    <row r="32955" spans="25:25" x14ac:dyDescent="0.2">
      <c r="Y32955" s="97"/>
    </row>
    <row r="32956" spans="25:25" x14ac:dyDescent="0.2">
      <c r="Y32956" s="97"/>
    </row>
    <row r="32957" spans="25:25" x14ac:dyDescent="0.2">
      <c r="Y32957" s="97"/>
    </row>
    <row r="32958" spans="25:25" x14ac:dyDescent="0.2">
      <c r="Y32958" s="97"/>
    </row>
    <row r="32959" spans="25:25" x14ac:dyDescent="0.2">
      <c r="Y32959" s="97"/>
    </row>
    <row r="32960" spans="25:25" x14ac:dyDescent="0.2">
      <c r="Y32960" s="97"/>
    </row>
    <row r="32961" spans="25:25" x14ac:dyDescent="0.2">
      <c r="Y32961" s="97"/>
    </row>
    <row r="32962" spans="25:25" x14ac:dyDescent="0.2">
      <c r="Y32962" s="97"/>
    </row>
    <row r="32963" spans="25:25" x14ac:dyDescent="0.2">
      <c r="Y32963" s="97"/>
    </row>
    <row r="32964" spans="25:25" x14ac:dyDescent="0.2">
      <c r="Y32964" s="97"/>
    </row>
    <row r="32965" spans="25:25" x14ac:dyDescent="0.2">
      <c r="Y32965" s="97"/>
    </row>
    <row r="32966" spans="25:25" x14ac:dyDescent="0.2">
      <c r="Y32966" s="97"/>
    </row>
    <row r="32967" spans="25:25" x14ac:dyDescent="0.2">
      <c r="Y32967" s="97"/>
    </row>
    <row r="32968" spans="25:25" x14ac:dyDescent="0.2">
      <c r="Y32968" s="97"/>
    </row>
    <row r="32969" spans="25:25" x14ac:dyDescent="0.2">
      <c r="Y32969" s="97"/>
    </row>
    <row r="32970" spans="25:25" x14ac:dyDescent="0.2">
      <c r="Y32970" s="97"/>
    </row>
    <row r="32971" spans="25:25" x14ac:dyDescent="0.2">
      <c r="Y32971" s="97"/>
    </row>
    <row r="32972" spans="25:25" x14ac:dyDescent="0.2">
      <c r="Y32972" s="97"/>
    </row>
    <row r="32973" spans="25:25" x14ac:dyDescent="0.2">
      <c r="Y32973" s="97"/>
    </row>
    <row r="32974" spans="25:25" x14ac:dyDescent="0.2">
      <c r="Y32974" s="97"/>
    </row>
    <row r="32975" spans="25:25" x14ac:dyDescent="0.2">
      <c r="Y32975" s="97"/>
    </row>
    <row r="32976" spans="25:25" x14ac:dyDescent="0.2">
      <c r="Y32976" s="97"/>
    </row>
    <row r="32977" spans="25:25" x14ac:dyDescent="0.2">
      <c r="Y32977" s="97"/>
    </row>
    <row r="32978" spans="25:25" x14ac:dyDescent="0.2">
      <c r="Y32978" s="97"/>
    </row>
    <row r="32979" spans="25:25" x14ac:dyDescent="0.2">
      <c r="Y32979" s="97"/>
    </row>
    <row r="32980" spans="25:25" x14ac:dyDescent="0.2">
      <c r="Y32980" s="97"/>
    </row>
    <row r="32981" spans="25:25" x14ac:dyDescent="0.2">
      <c r="Y32981" s="97"/>
    </row>
    <row r="32982" spans="25:25" x14ac:dyDescent="0.2">
      <c r="Y32982" s="97"/>
    </row>
    <row r="32983" spans="25:25" x14ac:dyDescent="0.2">
      <c r="Y32983" s="97"/>
    </row>
    <row r="32984" spans="25:25" x14ac:dyDescent="0.2">
      <c r="Y32984" s="97"/>
    </row>
    <row r="32985" spans="25:25" x14ac:dyDescent="0.2">
      <c r="Y32985" s="97"/>
    </row>
    <row r="32986" spans="25:25" x14ac:dyDescent="0.2">
      <c r="Y32986" s="97"/>
    </row>
    <row r="32987" spans="25:25" x14ac:dyDescent="0.2">
      <c r="Y32987" s="97"/>
    </row>
    <row r="32988" spans="25:25" x14ac:dyDescent="0.2">
      <c r="Y32988" s="97"/>
    </row>
    <row r="32989" spans="25:25" x14ac:dyDescent="0.2">
      <c r="Y32989" s="97"/>
    </row>
    <row r="32990" spans="25:25" x14ac:dyDescent="0.2">
      <c r="Y32990" s="97"/>
    </row>
    <row r="32991" spans="25:25" x14ac:dyDescent="0.2">
      <c r="Y32991" s="97"/>
    </row>
    <row r="32992" spans="25:25" x14ac:dyDescent="0.2">
      <c r="Y32992" s="97"/>
    </row>
    <row r="32993" spans="25:25" x14ac:dyDescent="0.2">
      <c r="Y32993" s="97"/>
    </row>
    <row r="32994" spans="25:25" x14ac:dyDescent="0.2">
      <c r="Y32994" s="97"/>
    </row>
    <row r="32995" spans="25:25" x14ac:dyDescent="0.2">
      <c r="Y32995" s="97"/>
    </row>
    <row r="32996" spans="25:25" x14ac:dyDescent="0.2">
      <c r="Y32996" s="97"/>
    </row>
    <row r="32997" spans="25:25" x14ac:dyDescent="0.2">
      <c r="Y32997" s="97"/>
    </row>
    <row r="32998" spans="25:25" x14ac:dyDescent="0.2">
      <c r="Y32998" s="97"/>
    </row>
    <row r="32999" spans="25:25" x14ac:dyDescent="0.2">
      <c r="Y32999" s="97"/>
    </row>
    <row r="33000" spans="25:25" x14ac:dyDescent="0.2">
      <c r="Y33000" s="97"/>
    </row>
    <row r="33001" spans="25:25" x14ac:dyDescent="0.2">
      <c r="Y33001" s="97"/>
    </row>
    <row r="33002" spans="25:25" x14ac:dyDescent="0.2">
      <c r="Y33002" s="97"/>
    </row>
    <row r="33003" spans="25:25" x14ac:dyDescent="0.2">
      <c r="Y33003" s="97"/>
    </row>
    <row r="33004" spans="25:25" x14ac:dyDescent="0.2">
      <c r="Y33004" s="97"/>
    </row>
    <row r="33005" spans="25:25" x14ac:dyDescent="0.2">
      <c r="Y33005" s="97"/>
    </row>
    <row r="33006" spans="25:25" x14ac:dyDescent="0.2">
      <c r="Y33006" s="97"/>
    </row>
    <row r="33007" spans="25:25" x14ac:dyDescent="0.2">
      <c r="Y33007" s="97"/>
    </row>
    <row r="33008" spans="25:25" x14ac:dyDescent="0.2">
      <c r="Y33008" s="97"/>
    </row>
    <row r="33009" spans="25:25" x14ac:dyDescent="0.2">
      <c r="Y33009" s="97"/>
    </row>
    <row r="33010" spans="25:25" x14ac:dyDescent="0.2">
      <c r="Y33010" s="97"/>
    </row>
    <row r="33011" spans="25:25" x14ac:dyDescent="0.2">
      <c r="Y33011" s="97"/>
    </row>
    <row r="33012" spans="25:25" x14ac:dyDescent="0.2">
      <c r="Y33012" s="97"/>
    </row>
    <row r="33013" spans="25:25" x14ac:dyDescent="0.2">
      <c r="Y33013" s="97"/>
    </row>
    <row r="33014" spans="25:25" x14ac:dyDescent="0.2">
      <c r="Y33014" s="97"/>
    </row>
    <row r="33015" spans="25:25" x14ac:dyDescent="0.2">
      <c r="Y33015" s="97"/>
    </row>
    <row r="33016" spans="25:25" x14ac:dyDescent="0.2">
      <c r="Y33016" s="97"/>
    </row>
    <row r="33017" spans="25:25" x14ac:dyDescent="0.2">
      <c r="Y33017" s="97"/>
    </row>
    <row r="33018" spans="25:25" x14ac:dyDescent="0.2">
      <c r="Y33018" s="97"/>
    </row>
    <row r="33019" spans="25:25" x14ac:dyDescent="0.2">
      <c r="Y33019" s="97"/>
    </row>
    <row r="33020" spans="25:25" x14ac:dyDescent="0.2">
      <c r="Y33020" s="97"/>
    </row>
    <row r="33021" spans="25:25" x14ac:dyDescent="0.2">
      <c r="Y33021" s="97"/>
    </row>
    <row r="33022" spans="25:25" x14ac:dyDescent="0.2">
      <c r="Y33022" s="97"/>
    </row>
    <row r="33023" spans="25:25" x14ac:dyDescent="0.2">
      <c r="Y33023" s="97"/>
    </row>
    <row r="33024" spans="25:25" x14ac:dyDescent="0.2">
      <c r="Y33024" s="97"/>
    </row>
    <row r="33025" spans="25:25" x14ac:dyDescent="0.2">
      <c r="Y33025" s="97"/>
    </row>
    <row r="33026" spans="25:25" x14ac:dyDescent="0.2">
      <c r="Y33026" s="97"/>
    </row>
    <row r="33027" spans="25:25" x14ac:dyDescent="0.2">
      <c r="Y33027" s="97"/>
    </row>
    <row r="33028" spans="25:25" x14ac:dyDescent="0.2">
      <c r="Y33028" s="97"/>
    </row>
    <row r="33029" spans="25:25" x14ac:dyDescent="0.2">
      <c r="Y33029" s="97"/>
    </row>
    <row r="33030" spans="25:25" x14ac:dyDescent="0.2">
      <c r="Y33030" s="97"/>
    </row>
    <row r="33031" spans="25:25" x14ac:dyDescent="0.2">
      <c r="Y33031" s="97"/>
    </row>
    <row r="33032" spans="25:25" x14ac:dyDescent="0.2">
      <c r="Y33032" s="97"/>
    </row>
    <row r="33033" spans="25:25" x14ac:dyDescent="0.2">
      <c r="Y33033" s="97"/>
    </row>
    <row r="33034" spans="25:25" x14ac:dyDescent="0.2">
      <c r="Y33034" s="97"/>
    </row>
    <row r="33035" spans="25:25" x14ac:dyDescent="0.2">
      <c r="Y33035" s="97"/>
    </row>
    <row r="33036" spans="25:25" x14ac:dyDescent="0.2">
      <c r="Y33036" s="97"/>
    </row>
    <row r="33037" spans="25:25" x14ac:dyDescent="0.2">
      <c r="Y33037" s="97"/>
    </row>
    <row r="33038" spans="25:25" x14ac:dyDescent="0.2">
      <c r="Y33038" s="97"/>
    </row>
    <row r="33039" spans="25:25" x14ac:dyDescent="0.2">
      <c r="Y33039" s="97"/>
    </row>
    <row r="33040" spans="25:25" x14ac:dyDescent="0.2">
      <c r="Y33040" s="97"/>
    </row>
    <row r="33041" spans="25:25" x14ac:dyDescent="0.2">
      <c r="Y33041" s="97"/>
    </row>
    <row r="33042" spans="25:25" x14ac:dyDescent="0.2">
      <c r="Y33042" s="97"/>
    </row>
    <row r="33043" spans="25:25" x14ac:dyDescent="0.2">
      <c r="Y33043" s="97"/>
    </row>
    <row r="33044" spans="25:25" x14ac:dyDescent="0.2">
      <c r="Y33044" s="97"/>
    </row>
    <row r="33045" spans="25:25" x14ac:dyDescent="0.2">
      <c r="Y33045" s="97"/>
    </row>
    <row r="33046" spans="25:25" x14ac:dyDescent="0.2">
      <c r="Y33046" s="97"/>
    </row>
    <row r="33047" spans="25:25" x14ac:dyDescent="0.2">
      <c r="Y33047" s="97"/>
    </row>
    <row r="33048" spans="25:25" x14ac:dyDescent="0.2">
      <c r="Y33048" s="97"/>
    </row>
    <row r="33049" spans="25:25" x14ac:dyDescent="0.2">
      <c r="Y33049" s="97"/>
    </row>
    <row r="33050" spans="25:25" x14ac:dyDescent="0.2">
      <c r="Y33050" s="97"/>
    </row>
    <row r="33051" spans="25:25" x14ac:dyDescent="0.2">
      <c r="Y33051" s="97"/>
    </row>
    <row r="33052" spans="25:25" x14ac:dyDescent="0.2">
      <c r="Y33052" s="97"/>
    </row>
    <row r="33053" spans="25:25" x14ac:dyDescent="0.2">
      <c r="Y33053" s="97"/>
    </row>
    <row r="33054" spans="25:25" x14ac:dyDescent="0.2">
      <c r="Y33054" s="97"/>
    </row>
    <row r="33055" spans="25:25" x14ac:dyDescent="0.2">
      <c r="Y33055" s="97"/>
    </row>
    <row r="33056" spans="25:25" x14ac:dyDescent="0.2">
      <c r="Y33056" s="97"/>
    </row>
    <row r="33057" spans="25:25" x14ac:dyDescent="0.2">
      <c r="Y33057" s="97"/>
    </row>
    <row r="33058" spans="25:25" x14ac:dyDescent="0.2">
      <c r="Y33058" s="97"/>
    </row>
    <row r="33059" spans="25:25" x14ac:dyDescent="0.2">
      <c r="Y33059" s="97"/>
    </row>
    <row r="33060" spans="25:25" x14ac:dyDescent="0.2">
      <c r="Y33060" s="97"/>
    </row>
    <row r="33061" spans="25:25" x14ac:dyDescent="0.2">
      <c r="Y33061" s="97"/>
    </row>
    <row r="33062" spans="25:25" x14ac:dyDescent="0.2">
      <c r="Y33062" s="97"/>
    </row>
    <row r="33063" spans="25:25" x14ac:dyDescent="0.2">
      <c r="Y33063" s="97"/>
    </row>
    <row r="33064" spans="25:25" x14ac:dyDescent="0.2">
      <c r="Y33064" s="97"/>
    </row>
    <row r="33065" spans="25:25" x14ac:dyDescent="0.2">
      <c r="Y33065" s="97"/>
    </row>
    <row r="33066" spans="25:25" x14ac:dyDescent="0.2">
      <c r="Y33066" s="97"/>
    </row>
    <row r="33067" spans="25:25" x14ac:dyDescent="0.2">
      <c r="Y33067" s="97"/>
    </row>
    <row r="33068" spans="25:25" x14ac:dyDescent="0.2">
      <c r="Y33068" s="97"/>
    </row>
    <row r="33069" spans="25:25" x14ac:dyDescent="0.2">
      <c r="Y33069" s="97"/>
    </row>
    <row r="33070" spans="25:25" x14ac:dyDescent="0.2">
      <c r="Y33070" s="97"/>
    </row>
    <row r="33071" spans="25:25" x14ac:dyDescent="0.2">
      <c r="Y33071" s="97"/>
    </row>
    <row r="33072" spans="25:25" x14ac:dyDescent="0.2">
      <c r="Y33072" s="97"/>
    </row>
    <row r="33073" spans="25:25" x14ac:dyDescent="0.2">
      <c r="Y33073" s="97"/>
    </row>
    <row r="33074" spans="25:25" x14ac:dyDescent="0.2">
      <c r="Y33074" s="97"/>
    </row>
    <row r="33075" spans="25:25" x14ac:dyDescent="0.2">
      <c r="Y33075" s="97"/>
    </row>
    <row r="33076" spans="25:25" x14ac:dyDescent="0.2">
      <c r="Y33076" s="97"/>
    </row>
    <row r="33077" spans="25:25" x14ac:dyDescent="0.2">
      <c r="Y33077" s="97"/>
    </row>
    <row r="33078" spans="25:25" x14ac:dyDescent="0.2">
      <c r="Y33078" s="97"/>
    </row>
    <row r="33079" spans="25:25" x14ac:dyDescent="0.2">
      <c r="Y33079" s="97"/>
    </row>
    <row r="33080" spans="25:25" x14ac:dyDescent="0.2">
      <c r="Y33080" s="97"/>
    </row>
    <row r="33081" spans="25:25" x14ac:dyDescent="0.2">
      <c r="Y33081" s="97"/>
    </row>
    <row r="33082" spans="25:25" x14ac:dyDescent="0.2">
      <c r="Y33082" s="97"/>
    </row>
    <row r="33083" spans="25:25" x14ac:dyDescent="0.2">
      <c r="Y33083" s="97"/>
    </row>
    <row r="33084" spans="25:25" x14ac:dyDescent="0.2">
      <c r="Y33084" s="97"/>
    </row>
    <row r="33085" spans="25:25" x14ac:dyDescent="0.2">
      <c r="Y33085" s="97"/>
    </row>
    <row r="33086" spans="25:25" x14ac:dyDescent="0.2">
      <c r="Y33086" s="97"/>
    </row>
    <row r="33087" spans="25:25" x14ac:dyDescent="0.2">
      <c r="Y33087" s="97"/>
    </row>
    <row r="33088" spans="25:25" x14ac:dyDescent="0.2">
      <c r="Y33088" s="97"/>
    </row>
    <row r="33089" spans="25:25" x14ac:dyDescent="0.2">
      <c r="Y33089" s="97"/>
    </row>
    <row r="33090" spans="25:25" x14ac:dyDescent="0.2">
      <c r="Y33090" s="97"/>
    </row>
    <row r="33091" spans="25:25" x14ac:dyDescent="0.2">
      <c r="Y33091" s="97"/>
    </row>
    <row r="33092" spans="25:25" x14ac:dyDescent="0.2">
      <c r="Y33092" s="97"/>
    </row>
    <row r="33093" spans="25:25" x14ac:dyDescent="0.2">
      <c r="Y33093" s="97"/>
    </row>
    <row r="33094" spans="25:25" x14ac:dyDescent="0.2">
      <c r="Y33094" s="97"/>
    </row>
    <row r="33095" spans="25:25" x14ac:dyDescent="0.2">
      <c r="Y33095" s="97"/>
    </row>
    <row r="33096" spans="25:25" x14ac:dyDescent="0.2">
      <c r="Y33096" s="97"/>
    </row>
    <row r="33097" spans="25:25" x14ac:dyDescent="0.2">
      <c r="Y33097" s="97"/>
    </row>
    <row r="33098" spans="25:25" x14ac:dyDescent="0.2">
      <c r="Y33098" s="97"/>
    </row>
    <row r="33099" spans="25:25" x14ac:dyDescent="0.2">
      <c r="Y33099" s="97"/>
    </row>
    <row r="33100" spans="25:25" x14ac:dyDescent="0.2">
      <c r="Y33100" s="97"/>
    </row>
    <row r="33101" spans="25:25" x14ac:dyDescent="0.2">
      <c r="Y33101" s="97"/>
    </row>
    <row r="33102" spans="25:25" x14ac:dyDescent="0.2">
      <c r="Y33102" s="97"/>
    </row>
    <row r="33103" spans="25:25" x14ac:dyDescent="0.2">
      <c r="Y33103" s="97"/>
    </row>
    <row r="33104" spans="25:25" x14ac:dyDescent="0.2">
      <c r="Y33104" s="97"/>
    </row>
    <row r="33105" spans="25:25" x14ac:dyDescent="0.2">
      <c r="Y33105" s="97"/>
    </row>
    <row r="33106" spans="25:25" x14ac:dyDescent="0.2">
      <c r="Y33106" s="97"/>
    </row>
    <row r="33107" spans="25:25" x14ac:dyDescent="0.2">
      <c r="Y33107" s="97"/>
    </row>
    <row r="33108" spans="25:25" x14ac:dyDescent="0.2">
      <c r="Y33108" s="97"/>
    </row>
    <row r="33109" spans="25:25" x14ac:dyDescent="0.2">
      <c r="Y33109" s="97"/>
    </row>
    <row r="33110" spans="25:25" x14ac:dyDescent="0.2">
      <c r="Y33110" s="97"/>
    </row>
    <row r="33111" spans="25:25" x14ac:dyDescent="0.2">
      <c r="Y33111" s="97"/>
    </row>
    <row r="33112" spans="25:25" x14ac:dyDescent="0.2">
      <c r="Y33112" s="97"/>
    </row>
    <row r="33113" spans="25:25" x14ac:dyDescent="0.2">
      <c r="Y33113" s="97"/>
    </row>
    <row r="33114" spans="25:25" x14ac:dyDescent="0.2">
      <c r="Y33114" s="97"/>
    </row>
    <row r="33115" spans="25:25" x14ac:dyDescent="0.2">
      <c r="Y33115" s="97"/>
    </row>
    <row r="33116" spans="25:25" x14ac:dyDescent="0.2">
      <c r="Y33116" s="97"/>
    </row>
    <row r="33117" spans="25:25" x14ac:dyDescent="0.2">
      <c r="Y33117" s="97"/>
    </row>
    <row r="33118" spans="25:25" x14ac:dyDescent="0.2">
      <c r="Y33118" s="97"/>
    </row>
    <row r="33119" spans="25:25" x14ac:dyDescent="0.2">
      <c r="Y33119" s="97"/>
    </row>
    <row r="33120" spans="25:25" x14ac:dyDescent="0.2">
      <c r="Y33120" s="97"/>
    </row>
    <row r="33121" spans="25:25" x14ac:dyDescent="0.2">
      <c r="Y33121" s="97"/>
    </row>
    <row r="33122" spans="25:25" x14ac:dyDescent="0.2">
      <c r="Y33122" s="97"/>
    </row>
    <row r="33123" spans="25:25" x14ac:dyDescent="0.2">
      <c r="Y33123" s="97"/>
    </row>
    <row r="33124" spans="25:25" x14ac:dyDescent="0.2">
      <c r="Y33124" s="97"/>
    </row>
    <row r="33125" spans="25:25" x14ac:dyDescent="0.2">
      <c r="Y33125" s="97"/>
    </row>
    <row r="33126" spans="25:25" x14ac:dyDescent="0.2">
      <c r="Y33126" s="97"/>
    </row>
    <row r="33127" spans="25:25" x14ac:dyDescent="0.2">
      <c r="Y33127" s="97"/>
    </row>
    <row r="33128" spans="25:25" x14ac:dyDescent="0.2">
      <c r="Y33128" s="97"/>
    </row>
    <row r="33129" spans="25:25" x14ac:dyDescent="0.2">
      <c r="Y33129" s="97"/>
    </row>
    <row r="33130" spans="25:25" x14ac:dyDescent="0.2">
      <c r="Y33130" s="97"/>
    </row>
    <row r="33131" spans="25:25" x14ac:dyDescent="0.2">
      <c r="Y33131" s="97"/>
    </row>
    <row r="33132" spans="25:25" x14ac:dyDescent="0.2">
      <c r="Y33132" s="97"/>
    </row>
    <row r="33133" spans="25:25" x14ac:dyDescent="0.2">
      <c r="Y33133" s="97"/>
    </row>
    <row r="33134" spans="25:25" x14ac:dyDescent="0.2">
      <c r="Y33134" s="97"/>
    </row>
    <row r="33135" spans="25:25" x14ac:dyDescent="0.2">
      <c r="Y33135" s="97"/>
    </row>
    <row r="33136" spans="25:25" x14ac:dyDescent="0.2">
      <c r="Y33136" s="97"/>
    </row>
    <row r="33137" spans="25:25" x14ac:dyDescent="0.2">
      <c r="Y33137" s="97"/>
    </row>
    <row r="33138" spans="25:25" x14ac:dyDescent="0.2">
      <c r="Y33138" s="97"/>
    </row>
    <row r="33139" spans="25:25" x14ac:dyDescent="0.2">
      <c r="Y33139" s="97"/>
    </row>
    <row r="33140" spans="25:25" x14ac:dyDescent="0.2">
      <c r="Y33140" s="97"/>
    </row>
    <row r="33141" spans="25:25" x14ac:dyDescent="0.2">
      <c r="Y33141" s="97"/>
    </row>
    <row r="33142" spans="25:25" x14ac:dyDescent="0.2">
      <c r="Y33142" s="97"/>
    </row>
    <row r="33143" spans="25:25" x14ac:dyDescent="0.2">
      <c r="Y33143" s="97"/>
    </row>
    <row r="33144" spans="25:25" x14ac:dyDescent="0.2">
      <c r="Y33144" s="97"/>
    </row>
    <row r="33145" spans="25:25" x14ac:dyDescent="0.2">
      <c r="Y33145" s="97"/>
    </row>
    <row r="33146" spans="25:25" x14ac:dyDescent="0.2">
      <c r="Y33146" s="97"/>
    </row>
    <row r="33147" spans="25:25" x14ac:dyDescent="0.2">
      <c r="Y33147" s="97"/>
    </row>
    <row r="33148" spans="25:25" x14ac:dyDescent="0.2">
      <c r="Y33148" s="97"/>
    </row>
    <row r="33149" spans="25:25" x14ac:dyDescent="0.2">
      <c r="Y33149" s="97"/>
    </row>
    <row r="33150" spans="25:25" x14ac:dyDescent="0.2">
      <c r="Y33150" s="97"/>
    </row>
    <row r="33151" spans="25:25" x14ac:dyDescent="0.2">
      <c r="Y33151" s="97"/>
    </row>
    <row r="33152" spans="25:25" x14ac:dyDescent="0.2">
      <c r="Y33152" s="97"/>
    </row>
    <row r="33153" spans="25:25" x14ac:dyDescent="0.2">
      <c r="Y33153" s="97"/>
    </row>
    <row r="33154" spans="25:25" x14ac:dyDescent="0.2">
      <c r="Y33154" s="97"/>
    </row>
    <row r="33155" spans="25:25" x14ac:dyDescent="0.2">
      <c r="Y33155" s="97"/>
    </row>
    <row r="33156" spans="25:25" x14ac:dyDescent="0.2">
      <c r="Y33156" s="97"/>
    </row>
    <row r="33157" spans="25:25" x14ac:dyDescent="0.2">
      <c r="Y33157" s="97"/>
    </row>
    <row r="33158" spans="25:25" x14ac:dyDescent="0.2">
      <c r="Y33158" s="97"/>
    </row>
    <row r="33159" spans="25:25" x14ac:dyDescent="0.2">
      <c r="Y33159" s="97"/>
    </row>
    <row r="33160" spans="25:25" x14ac:dyDescent="0.2">
      <c r="Y33160" s="97"/>
    </row>
    <row r="33161" spans="25:25" x14ac:dyDescent="0.2">
      <c r="Y33161" s="97"/>
    </row>
    <row r="33162" spans="25:25" x14ac:dyDescent="0.2">
      <c r="Y33162" s="97"/>
    </row>
    <row r="33163" spans="25:25" x14ac:dyDescent="0.2">
      <c r="Y33163" s="97"/>
    </row>
    <row r="33164" spans="25:25" x14ac:dyDescent="0.2">
      <c r="Y33164" s="97"/>
    </row>
    <row r="33165" spans="25:25" x14ac:dyDescent="0.2">
      <c r="Y33165" s="97"/>
    </row>
    <row r="33166" spans="25:25" x14ac:dyDescent="0.2">
      <c r="Y33166" s="97"/>
    </row>
    <row r="33167" spans="25:25" x14ac:dyDescent="0.2">
      <c r="Y33167" s="97"/>
    </row>
    <row r="33168" spans="25:25" x14ac:dyDescent="0.2">
      <c r="Y33168" s="97"/>
    </row>
    <row r="33169" spans="25:25" x14ac:dyDescent="0.2">
      <c r="Y33169" s="97"/>
    </row>
    <row r="33170" spans="25:25" x14ac:dyDescent="0.2">
      <c r="Y33170" s="97"/>
    </row>
    <row r="33171" spans="25:25" x14ac:dyDescent="0.2">
      <c r="Y33171" s="97"/>
    </row>
    <row r="33172" spans="25:25" x14ac:dyDescent="0.2">
      <c r="Y33172" s="97"/>
    </row>
    <row r="33173" spans="25:25" x14ac:dyDescent="0.2">
      <c r="Y33173" s="97"/>
    </row>
    <row r="33174" spans="25:25" x14ac:dyDescent="0.2">
      <c r="Y33174" s="97"/>
    </row>
    <row r="33175" spans="25:25" x14ac:dyDescent="0.2">
      <c r="Y33175" s="97"/>
    </row>
    <row r="33176" spans="25:25" x14ac:dyDescent="0.2">
      <c r="Y33176" s="97"/>
    </row>
    <row r="33177" spans="25:25" x14ac:dyDescent="0.2">
      <c r="Y33177" s="97"/>
    </row>
    <row r="33178" spans="25:25" x14ac:dyDescent="0.2">
      <c r="Y33178" s="97"/>
    </row>
    <row r="33179" spans="25:25" x14ac:dyDescent="0.2">
      <c r="Y33179" s="97"/>
    </row>
    <row r="33180" spans="25:25" x14ac:dyDescent="0.2">
      <c r="Y33180" s="97"/>
    </row>
    <row r="33181" spans="25:25" x14ac:dyDescent="0.2">
      <c r="Y33181" s="97"/>
    </row>
    <row r="33182" spans="25:25" x14ac:dyDescent="0.2">
      <c r="Y33182" s="97"/>
    </row>
    <row r="33183" spans="25:25" x14ac:dyDescent="0.2">
      <c r="Y33183" s="97"/>
    </row>
    <row r="33184" spans="25:25" x14ac:dyDescent="0.2">
      <c r="Y33184" s="97"/>
    </row>
    <row r="33185" spans="25:25" x14ac:dyDescent="0.2">
      <c r="Y33185" s="97"/>
    </row>
    <row r="33186" spans="25:25" x14ac:dyDescent="0.2">
      <c r="Y33186" s="97"/>
    </row>
    <row r="33187" spans="25:25" x14ac:dyDescent="0.2">
      <c r="Y33187" s="97"/>
    </row>
    <row r="33188" spans="25:25" x14ac:dyDescent="0.2">
      <c r="Y33188" s="97"/>
    </row>
    <row r="33189" spans="25:25" x14ac:dyDescent="0.2">
      <c r="Y33189" s="97"/>
    </row>
    <row r="33190" spans="25:25" x14ac:dyDescent="0.2">
      <c r="Y33190" s="97"/>
    </row>
    <row r="33191" spans="25:25" x14ac:dyDescent="0.2">
      <c r="Y33191" s="97"/>
    </row>
    <row r="33192" spans="25:25" x14ac:dyDescent="0.2">
      <c r="Y33192" s="97"/>
    </row>
    <row r="33193" spans="25:25" x14ac:dyDescent="0.2">
      <c r="Y33193" s="97"/>
    </row>
    <row r="33194" spans="25:25" x14ac:dyDescent="0.2">
      <c r="Y33194" s="97"/>
    </row>
    <row r="33195" spans="25:25" x14ac:dyDescent="0.2">
      <c r="Y33195" s="97"/>
    </row>
    <row r="33196" spans="25:25" x14ac:dyDescent="0.2">
      <c r="Y33196" s="97"/>
    </row>
    <row r="33197" spans="25:25" x14ac:dyDescent="0.2">
      <c r="Y33197" s="97"/>
    </row>
    <row r="33198" spans="25:25" x14ac:dyDescent="0.2">
      <c r="Y33198" s="97"/>
    </row>
    <row r="33199" spans="25:25" x14ac:dyDescent="0.2">
      <c r="Y33199" s="97"/>
    </row>
    <row r="33200" spans="25:25" x14ac:dyDescent="0.2">
      <c r="Y33200" s="97"/>
    </row>
    <row r="33201" spans="25:25" x14ac:dyDescent="0.2">
      <c r="Y33201" s="97"/>
    </row>
    <row r="33202" spans="25:25" x14ac:dyDescent="0.2">
      <c r="Y33202" s="97"/>
    </row>
    <row r="33203" spans="25:25" x14ac:dyDescent="0.2">
      <c r="Y33203" s="97"/>
    </row>
    <row r="33204" spans="25:25" x14ac:dyDescent="0.2">
      <c r="Y33204" s="97"/>
    </row>
    <row r="33205" spans="25:25" x14ac:dyDescent="0.2">
      <c r="Y33205" s="97"/>
    </row>
    <row r="33206" spans="25:25" x14ac:dyDescent="0.2">
      <c r="Y33206" s="97"/>
    </row>
    <row r="33207" spans="25:25" x14ac:dyDescent="0.2">
      <c r="Y33207" s="97"/>
    </row>
    <row r="33208" spans="25:25" x14ac:dyDescent="0.2">
      <c r="Y33208" s="97"/>
    </row>
    <row r="33209" spans="25:25" x14ac:dyDescent="0.2">
      <c r="Y33209" s="97"/>
    </row>
    <row r="33210" spans="25:25" x14ac:dyDescent="0.2">
      <c r="Y33210" s="97"/>
    </row>
    <row r="33211" spans="25:25" x14ac:dyDescent="0.2">
      <c r="Y33211" s="97"/>
    </row>
    <row r="33212" spans="25:25" x14ac:dyDescent="0.2">
      <c r="Y33212" s="97"/>
    </row>
    <row r="33213" spans="25:25" x14ac:dyDescent="0.2">
      <c r="Y33213" s="97"/>
    </row>
    <row r="33214" spans="25:25" x14ac:dyDescent="0.2">
      <c r="Y33214" s="97"/>
    </row>
    <row r="33215" spans="25:25" x14ac:dyDescent="0.2">
      <c r="Y33215" s="97"/>
    </row>
    <row r="33216" spans="25:25" x14ac:dyDescent="0.2">
      <c r="Y33216" s="97"/>
    </row>
    <row r="33217" spans="25:25" x14ac:dyDescent="0.2">
      <c r="Y33217" s="97"/>
    </row>
    <row r="33218" spans="25:25" x14ac:dyDescent="0.2">
      <c r="Y33218" s="97"/>
    </row>
    <row r="33219" spans="25:25" x14ac:dyDescent="0.2">
      <c r="Y33219" s="97"/>
    </row>
    <row r="33220" spans="25:25" x14ac:dyDescent="0.2">
      <c r="Y33220" s="97"/>
    </row>
    <row r="33221" spans="25:25" x14ac:dyDescent="0.2">
      <c r="Y33221" s="97"/>
    </row>
    <row r="33222" spans="25:25" x14ac:dyDescent="0.2">
      <c r="Y33222" s="97"/>
    </row>
    <row r="33223" spans="25:25" x14ac:dyDescent="0.2">
      <c r="Y33223" s="97"/>
    </row>
    <row r="33224" spans="25:25" x14ac:dyDescent="0.2">
      <c r="Y33224" s="97"/>
    </row>
    <row r="33225" spans="25:25" x14ac:dyDescent="0.2">
      <c r="Y33225" s="97"/>
    </row>
    <row r="33226" spans="25:25" x14ac:dyDescent="0.2">
      <c r="Y33226" s="97"/>
    </row>
    <row r="33227" spans="25:25" x14ac:dyDescent="0.2">
      <c r="Y33227" s="97"/>
    </row>
    <row r="33228" spans="25:25" x14ac:dyDescent="0.2">
      <c r="Y33228" s="97"/>
    </row>
    <row r="33229" spans="25:25" x14ac:dyDescent="0.2">
      <c r="Y33229" s="97"/>
    </row>
    <row r="33230" spans="25:25" x14ac:dyDescent="0.2">
      <c r="Y33230" s="97"/>
    </row>
    <row r="33231" spans="25:25" x14ac:dyDescent="0.2">
      <c r="Y33231" s="97"/>
    </row>
    <row r="33232" spans="25:25" x14ac:dyDescent="0.2">
      <c r="Y33232" s="97"/>
    </row>
    <row r="33233" spans="25:25" x14ac:dyDescent="0.2">
      <c r="Y33233" s="97"/>
    </row>
    <row r="33234" spans="25:25" x14ac:dyDescent="0.2">
      <c r="Y33234" s="97"/>
    </row>
    <row r="33235" spans="25:25" x14ac:dyDescent="0.2">
      <c r="Y33235" s="97"/>
    </row>
    <row r="33236" spans="25:25" x14ac:dyDescent="0.2">
      <c r="Y33236" s="97"/>
    </row>
    <row r="33237" spans="25:25" x14ac:dyDescent="0.2">
      <c r="Y33237" s="97"/>
    </row>
    <row r="33238" spans="25:25" x14ac:dyDescent="0.2">
      <c r="Y33238" s="97"/>
    </row>
    <row r="33239" spans="25:25" x14ac:dyDescent="0.2">
      <c r="Y33239" s="97"/>
    </row>
    <row r="33240" spans="25:25" x14ac:dyDescent="0.2">
      <c r="Y33240" s="97"/>
    </row>
    <row r="33241" spans="25:25" x14ac:dyDescent="0.2">
      <c r="Y33241" s="97"/>
    </row>
    <row r="33242" spans="25:25" x14ac:dyDescent="0.2">
      <c r="Y33242" s="97"/>
    </row>
    <row r="33243" spans="25:25" x14ac:dyDescent="0.2">
      <c r="Y33243" s="97"/>
    </row>
    <row r="33244" spans="25:25" x14ac:dyDescent="0.2">
      <c r="Y33244" s="97"/>
    </row>
    <row r="33245" spans="25:25" x14ac:dyDescent="0.2">
      <c r="Y33245" s="97"/>
    </row>
    <row r="33246" spans="25:25" x14ac:dyDescent="0.2">
      <c r="Y33246" s="97"/>
    </row>
    <row r="33247" spans="25:25" x14ac:dyDescent="0.2">
      <c r="Y33247" s="97"/>
    </row>
    <row r="33248" spans="25:25" x14ac:dyDescent="0.2">
      <c r="Y33248" s="97"/>
    </row>
    <row r="33249" spans="25:25" x14ac:dyDescent="0.2">
      <c r="Y33249" s="97"/>
    </row>
    <row r="33250" spans="25:25" x14ac:dyDescent="0.2">
      <c r="Y33250" s="97"/>
    </row>
    <row r="33251" spans="25:25" x14ac:dyDescent="0.2">
      <c r="Y33251" s="97"/>
    </row>
    <row r="33252" spans="25:25" x14ac:dyDescent="0.2">
      <c r="Y33252" s="97"/>
    </row>
    <row r="33253" spans="25:25" x14ac:dyDescent="0.2">
      <c r="Y33253" s="97"/>
    </row>
    <row r="33254" spans="25:25" x14ac:dyDescent="0.2">
      <c r="Y33254" s="97"/>
    </row>
    <row r="33255" spans="25:25" x14ac:dyDescent="0.2">
      <c r="Y33255" s="97"/>
    </row>
    <row r="33256" spans="25:25" x14ac:dyDescent="0.2">
      <c r="Y33256" s="97"/>
    </row>
    <row r="33257" spans="25:25" x14ac:dyDescent="0.2">
      <c r="Y33257" s="97"/>
    </row>
    <row r="33258" spans="25:25" x14ac:dyDescent="0.2">
      <c r="Y33258" s="97"/>
    </row>
    <row r="33259" spans="25:25" x14ac:dyDescent="0.2">
      <c r="Y33259" s="97"/>
    </row>
    <row r="33260" spans="25:25" x14ac:dyDescent="0.2">
      <c r="Y33260" s="97"/>
    </row>
    <row r="33261" spans="25:25" x14ac:dyDescent="0.2">
      <c r="Y33261" s="97"/>
    </row>
    <row r="33262" spans="25:25" x14ac:dyDescent="0.2">
      <c r="Y33262" s="97"/>
    </row>
    <row r="33263" spans="25:25" x14ac:dyDescent="0.2">
      <c r="Y33263" s="97"/>
    </row>
    <row r="33264" spans="25:25" x14ac:dyDescent="0.2">
      <c r="Y33264" s="97"/>
    </row>
    <row r="33265" spans="25:25" x14ac:dyDescent="0.2">
      <c r="Y33265" s="97"/>
    </row>
    <row r="33266" spans="25:25" x14ac:dyDescent="0.2">
      <c r="Y33266" s="97"/>
    </row>
    <row r="33267" spans="25:25" x14ac:dyDescent="0.2">
      <c r="Y33267" s="97"/>
    </row>
    <row r="33268" spans="25:25" x14ac:dyDescent="0.2">
      <c r="Y33268" s="97"/>
    </row>
    <row r="33269" spans="25:25" x14ac:dyDescent="0.2">
      <c r="Y33269" s="97"/>
    </row>
    <row r="33270" spans="25:25" x14ac:dyDescent="0.2">
      <c r="Y33270" s="97"/>
    </row>
    <row r="33271" spans="25:25" x14ac:dyDescent="0.2">
      <c r="Y33271" s="97"/>
    </row>
    <row r="33272" spans="25:25" x14ac:dyDescent="0.2">
      <c r="Y33272" s="97"/>
    </row>
    <row r="33273" spans="25:25" x14ac:dyDescent="0.2">
      <c r="Y33273" s="97"/>
    </row>
    <row r="33274" spans="25:25" x14ac:dyDescent="0.2">
      <c r="Y33274" s="97"/>
    </row>
    <row r="33275" spans="25:25" x14ac:dyDescent="0.2">
      <c r="Y33275" s="97"/>
    </row>
    <row r="33276" spans="25:25" x14ac:dyDescent="0.2">
      <c r="Y33276" s="97"/>
    </row>
    <row r="33277" spans="25:25" x14ac:dyDescent="0.2">
      <c r="Y33277" s="97"/>
    </row>
    <row r="33278" spans="25:25" x14ac:dyDescent="0.2">
      <c r="Y33278" s="97"/>
    </row>
    <row r="33279" spans="25:25" x14ac:dyDescent="0.2">
      <c r="Y33279" s="97"/>
    </row>
    <row r="33280" spans="25:25" x14ac:dyDescent="0.2">
      <c r="Y33280" s="97"/>
    </row>
    <row r="33281" spans="25:25" x14ac:dyDescent="0.2">
      <c r="Y33281" s="97"/>
    </row>
    <row r="33282" spans="25:25" x14ac:dyDescent="0.2">
      <c r="Y33282" s="97"/>
    </row>
    <row r="33283" spans="25:25" x14ac:dyDescent="0.2">
      <c r="Y33283" s="97"/>
    </row>
    <row r="33284" spans="25:25" x14ac:dyDescent="0.2">
      <c r="Y33284" s="97"/>
    </row>
    <row r="33285" spans="25:25" x14ac:dyDescent="0.2">
      <c r="Y33285" s="97"/>
    </row>
    <row r="33286" spans="25:25" x14ac:dyDescent="0.2">
      <c r="Y33286" s="97"/>
    </row>
    <row r="33287" spans="25:25" x14ac:dyDescent="0.2">
      <c r="Y33287" s="97"/>
    </row>
    <row r="33288" spans="25:25" x14ac:dyDescent="0.2">
      <c r="Y33288" s="97"/>
    </row>
    <row r="33289" spans="25:25" x14ac:dyDescent="0.2">
      <c r="Y33289" s="97"/>
    </row>
    <row r="33290" spans="25:25" x14ac:dyDescent="0.2">
      <c r="Y33290" s="97"/>
    </row>
    <row r="33291" spans="25:25" x14ac:dyDescent="0.2">
      <c r="Y33291" s="97"/>
    </row>
    <row r="33292" spans="25:25" x14ac:dyDescent="0.2">
      <c r="Y33292" s="97"/>
    </row>
    <row r="33293" spans="25:25" x14ac:dyDescent="0.2">
      <c r="Y33293" s="97"/>
    </row>
    <row r="33294" spans="25:25" x14ac:dyDescent="0.2">
      <c r="Y33294" s="97"/>
    </row>
    <row r="33295" spans="25:25" x14ac:dyDescent="0.2">
      <c r="Y33295" s="97"/>
    </row>
    <row r="33296" spans="25:25" x14ac:dyDescent="0.2">
      <c r="Y33296" s="97"/>
    </row>
    <row r="33297" spans="25:25" x14ac:dyDescent="0.2">
      <c r="Y33297" s="97"/>
    </row>
    <row r="33298" spans="25:25" x14ac:dyDescent="0.2">
      <c r="Y33298" s="97"/>
    </row>
    <row r="33299" spans="25:25" x14ac:dyDescent="0.2">
      <c r="Y33299" s="97"/>
    </row>
    <row r="33300" spans="25:25" x14ac:dyDescent="0.2">
      <c r="Y33300" s="97"/>
    </row>
    <row r="33301" spans="25:25" x14ac:dyDescent="0.2">
      <c r="Y33301" s="97"/>
    </row>
    <row r="33302" spans="25:25" x14ac:dyDescent="0.2">
      <c r="Y33302" s="97"/>
    </row>
    <row r="33303" spans="25:25" x14ac:dyDescent="0.2">
      <c r="Y33303" s="97"/>
    </row>
    <row r="33304" spans="25:25" x14ac:dyDescent="0.2">
      <c r="Y33304" s="97"/>
    </row>
    <row r="33305" spans="25:25" x14ac:dyDescent="0.2">
      <c r="Y33305" s="97"/>
    </row>
    <row r="33306" spans="25:25" x14ac:dyDescent="0.2">
      <c r="Y33306" s="97"/>
    </row>
    <row r="33307" spans="25:25" x14ac:dyDescent="0.2">
      <c r="Y33307" s="97"/>
    </row>
    <row r="33308" spans="25:25" x14ac:dyDescent="0.2">
      <c r="Y33308" s="97"/>
    </row>
    <row r="33309" spans="25:25" x14ac:dyDescent="0.2">
      <c r="Y33309" s="97"/>
    </row>
    <row r="33310" spans="25:25" x14ac:dyDescent="0.2">
      <c r="Y33310" s="97"/>
    </row>
    <row r="33311" spans="25:25" x14ac:dyDescent="0.2">
      <c r="Y33311" s="97"/>
    </row>
    <row r="33312" spans="25:25" x14ac:dyDescent="0.2">
      <c r="Y33312" s="97"/>
    </row>
    <row r="33313" spans="25:25" x14ac:dyDescent="0.2">
      <c r="Y33313" s="97"/>
    </row>
    <row r="33314" spans="25:25" x14ac:dyDescent="0.2">
      <c r="Y33314" s="97"/>
    </row>
    <row r="33315" spans="25:25" x14ac:dyDescent="0.2">
      <c r="Y33315" s="97"/>
    </row>
    <row r="33316" spans="25:25" x14ac:dyDescent="0.2">
      <c r="Y33316" s="97"/>
    </row>
    <row r="33317" spans="25:25" x14ac:dyDescent="0.2">
      <c r="Y33317" s="97"/>
    </row>
    <row r="33318" spans="25:25" x14ac:dyDescent="0.2">
      <c r="Y33318" s="97"/>
    </row>
    <row r="33319" spans="25:25" x14ac:dyDescent="0.2">
      <c r="Y33319" s="97"/>
    </row>
    <row r="33320" spans="25:25" x14ac:dyDescent="0.2">
      <c r="Y33320" s="97"/>
    </row>
    <row r="33321" spans="25:25" x14ac:dyDescent="0.2">
      <c r="Y33321" s="97"/>
    </row>
    <row r="33322" spans="25:25" x14ac:dyDescent="0.2">
      <c r="Y33322" s="97"/>
    </row>
    <row r="33323" spans="25:25" x14ac:dyDescent="0.2">
      <c r="Y33323" s="97"/>
    </row>
    <row r="33324" spans="25:25" x14ac:dyDescent="0.2">
      <c r="Y33324" s="97"/>
    </row>
    <row r="33325" spans="25:25" x14ac:dyDescent="0.2">
      <c r="Y33325" s="97"/>
    </row>
    <row r="33326" spans="25:25" x14ac:dyDescent="0.2">
      <c r="Y33326" s="97"/>
    </row>
    <row r="33327" spans="25:25" x14ac:dyDescent="0.2">
      <c r="Y33327" s="97"/>
    </row>
    <row r="33328" spans="25:25" x14ac:dyDescent="0.2">
      <c r="Y33328" s="97"/>
    </row>
    <row r="33329" spans="25:25" x14ac:dyDescent="0.2">
      <c r="Y33329" s="97"/>
    </row>
    <row r="33330" spans="25:25" x14ac:dyDescent="0.2">
      <c r="Y33330" s="97"/>
    </row>
    <row r="33331" spans="25:25" x14ac:dyDescent="0.2">
      <c r="Y33331" s="97"/>
    </row>
    <row r="33332" spans="25:25" x14ac:dyDescent="0.2">
      <c r="Y33332" s="97"/>
    </row>
    <row r="33333" spans="25:25" x14ac:dyDescent="0.2">
      <c r="Y33333" s="97"/>
    </row>
    <row r="33334" spans="25:25" x14ac:dyDescent="0.2">
      <c r="Y33334" s="97"/>
    </row>
    <row r="33335" spans="25:25" x14ac:dyDescent="0.2">
      <c r="Y33335" s="97"/>
    </row>
    <row r="33336" spans="25:25" x14ac:dyDescent="0.2">
      <c r="Y33336" s="97"/>
    </row>
    <row r="33337" spans="25:25" x14ac:dyDescent="0.2">
      <c r="Y33337" s="97"/>
    </row>
    <row r="33338" spans="25:25" x14ac:dyDescent="0.2">
      <c r="Y33338" s="97"/>
    </row>
    <row r="33339" spans="25:25" x14ac:dyDescent="0.2">
      <c r="Y33339" s="97"/>
    </row>
    <row r="33340" spans="25:25" x14ac:dyDescent="0.2">
      <c r="Y33340" s="97"/>
    </row>
    <row r="33341" spans="25:25" x14ac:dyDescent="0.2">
      <c r="Y33341" s="97"/>
    </row>
    <row r="33342" spans="25:25" x14ac:dyDescent="0.2">
      <c r="Y33342" s="97"/>
    </row>
    <row r="33343" spans="25:25" x14ac:dyDescent="0.2">
      <c r="Y33343" s="97"/>
    </row>
    <row r="33344" spans="25:25" x14ac:dyDescent="0.2">
      <c r="Y33344" s="97"/>
    </row>
    <row r="33345" spans="25:25" x14ac:dyDescent="0.2">
      <c r="Y33345" s="97"/>
    </row>
    <row r="33346" spans="25:25" x14ac:dyDescent="0.2">
      <c r="Y33346" s="97"/>
    </row>
    <row r="33347" spans="25:25" x14ac:dyDescent="0.2">
      <c r="Y33347" s="97"/>
    </row>
    <row r="33348" spans="25:25" x14ac:dyDescent="0.2">
      <c r="Y33348" s="97"/>
    </row>
    <row r="33349" spans="25:25" x14ac:dyDescent="0.2">
      <c r="Y33349" s="97"/>
    </row>
    <row r="33350" spans="25:25" x14ac:dyDescent="0.2">
      <c r="Y33350" s="97"/>
    </row>
    <row r="33351" spans="25:25" x14ac:dyDescent="0.2">
      <c r="Y33351" s="97"/>
    </row>
    <row r="33352" spans="25:25" x14ac:dyDescent="0.2">
      <c r="Y33352" s="97"/>
    </row>
    <row r="33353" spans="25:25" x14ac:dyDescent="0.2">
      <c r="Y33353" s="97"/>
    </row>
    <row r="33354" spans="25:25" x14ac:dyDescent="0.2">
      <c r="Y33354" s="97"/>
    </row>
    <row r="33355" spans="25:25" x14ac:dyDescent="0.2">
      <c r="Y33355" s="97"/>
    </row>
    <row r="33356" spans="25:25" x14ac:dyDescent="0.2">
      <c r="Y33356" s="97"/>
    </row>
    <row r="33357" spans="25:25" x14ac:dyDescent="0.2">
      <c r="Y33357" s="97"/>
    </row>
    <row r="33358" spans="25:25" x14ac:dyDescent="0.2">
      <c r="Y33358" s="97"/>
    </row>
    <row r="33359" spans="25:25" x14ac:dyDescent="0.2">
      <c r="Y33359" s="97"/>
    </row>
    <row r="33360" spans="25:25" x14ac:dyDescent="0.2">
      <c r="Y33360" s="97"/>
    </row>
    <row r="33361" spans="25:25" x14ac:dyDescent="0.2">
      <c r="Y33361" s="97"/>
    </row>
    <row r="33362" spans="25:25" x14ac:dyDescent="0.2">
      <c r="Y33362" s="97"/>
    </row>
    <row r="33363" spans="25:25" x14ac:dyDescent="0.2">
      <c r="Y33363" s="97"/>
    </row>
    <row r="33364" spans="25:25" x14ac:dyDescent="0.2">
      <c r="Y33364" s="97"/>
    </row>
    <row r="33365" spans="25:25" x14ac:dyDescent="0.2">
      <c r="Y33365" s="97"/>
    </row>
    <row r="33366" spans="25:25" x14ac:dyDescent="0.2">
      <c r="Y33366" s="97"/>
    </row>
    <row r="33367" spans="25:25" x14ac:dyDescent="0.2">
      <c r="Y33367" s="97"/>
    </row>
    <row r="33368" spans="25:25" x14ac:dyDescent="0.2">
      <c r="Y33368" s="97"/>
    </row>
    <row r="33369" spans="25:25" x14ac:dyDescent="0.2">
      <c r="Y33369" s="97"/>
    </row>
    <row r="33370" spans="25:25" x14ac:dyDescent="0.2">
      <c r="Y33370" s="97"/>
    </row>
    <row r="33371" spans="25:25" x14ac:dyDescent="0.2">
      <c r="Y33371" s="97"/>
    </row>
    <row r="33372" spans="25:25" x14ac:dyDescent="0.2">
      <c r="Y33372" s="97"/>
    </row>
    <row r="33373" spans="25:25" x14ac:dyDescent="0.2">
      <c r="Y33373" s="97"/>
    </row>
    <row r="33374" spans="25:25" x14ac:dyDescent="0.2">
      <c r="Y33374" s="97"/>
    </row>
    <row r="33375" spans="25:25" x14ac:dyDescent="0.2">
      <c r="Y33375" s="97"/>
    </row>
    <row r="33376" spans="25:25" x14ac:dyDescent="0.2">
      <c r="Y33376" s="97"/>
    </row>
    <row r="33377" spans="25:25" x14ac:dyDescent="0.2">
      <c r="Y33377" s="97"/>
    </row>
    <row r="33378" spans="25:25" x14ac:dyDescent="0.2">
      <c r="Y33378" s="97"/>
    </row>
    <row r="33379" spans="25:25" x14ac:dyDescent="0.2">
      <c r="Y33379" s="97"/>
    </row>
    <row r="33380" spans="25:25" x14ac:dyDescent="0.2">
      <c r="Y33380" s="97"/>
    </row>
    <row r="33381" spans="25:25" x14ac:dyDescent="0.2">
      <c r="Y33381" s="97"/>
    </row>
    <row r="33382" spans="25:25" x14ac:dyDescent="0.2">
      <c r="Y33382" s="97"/>
    </row>
    <row r="33383" spans="25:25" x14ac:dyDescent="0.2">
      <c r="Y33383" s="97"/>
    </row>
    <row r="33384" spans="25:25" x14ac:dyDescent="0.2">
      <c r="Y33384" s="97"/>
    </row>
    <row r="33385" spans="25:25" x14ac:dyDescent="0.2">
      <c r="Y33385" s="97"/>
    </row>
    <row r="33386" spans="25:25" x14ac:dyDescent="0.2">
      <c r="Y33386" s="97"/>
    </row>
    <row r="33387" spans="25:25" x14ac:dyDescent="0.2">
      <c r="Y33387" s="97"/>
    </row>
    <row r="33388" spans="25:25" x14ac:dyDescent="0.2">
      <c r="Y33388" s="97"/>
    </row>
    <row r="33389" spans="25:25" x14ac:dyDescent="0.2">
      <c r="Y33389" s="97"/>
    </row>
    <row r="33390" spans="25:25" x14ac:dyDescent="0.2">
      <c r="Y33390" s="97"/>
    </row>
    <row r="33391" spans="25:25" x14ac:dyDescent="0.2">
      <c r="Y33391" s="97"/>
    </row>
    <row r="33392" spans="25:25" x14ac:dyDescent="0.2">
      <c r="Y33392" s="97"/>
    </row>
    <row r="33393" spans="25:25" x14ac:dyDescent="0.2">
      <c r="Y33393" s="97"/>
    </row>
    <row r="33394" spans="25:25" x14ac:dyDescent="0.2">
      <c r="Y33394" s="97"/>
    </row>
    <row r="33395" spans="25:25" x14ac:dyDescent="0.2">
      <c r="Y33395" s="97"/>
    </row>
    <row r="33396" spans="25:25" x14ac:dyDescent="0.2">
      <c r="Y33396" s="97"/>
    </row>
    <row r="33397" spans="25:25" x14ac:dyDescent="0.2">
      <c r="Y33397" s="97"/>
    </row>
    <row r="33398" spans="25:25" x14ac:dyDescent="0.2">
      <c r="Y33398" s="97"/>
    </row>
    <row r="33399" spans="25:25" x14ac:dyDescent="0.2">
      <c r="Y33399" s="97"/>
    </row>
    <row r="33400" spans="25:25" x14ac:dyDescent="0.2">
      <c r="Y33400" s="97"/>
    </row>
    <row r="33401" spans="25:25" x14ac:dyDescent="0.2">
      <c r="Y33401" s="97"/>
    </row>
    <row r="33402" spans="25:25" x14ac:dyDescent="0.2">
      <c r="Y33402" s="97"/>
    </row>
    <row r="33403" spans="25:25" x14ac:dyDescent="0.2">
      <c r="Y33403" s="97"/>
    </row>
    <row r="33404" spans="25:25" x14ac:dyDescent="0.2">
      <c r="Y33404" s="97"/>
    </row>
    <row r="33405" spans="25:25" x14ac:dyDescent="0.2">
      <c r="Y33405" s="97"/>
    </row>
    <row r="33406" spans="25:25" x14ac:dyDescent="0.2">
      <c r="Y33406" s="97"/>
    </row>
    <row r="33407" spans="25:25" x14ac:dyDescent="0.2">
      <c r="Y33407" s="97"/>
    </row>
    <row r="33408" spans="25:25" x14ac:dyDescent="0.2">
      <c r="Y33408" s="97"/>
    </row>
    <row r="33409" spans="25:25" x14ac:dyDescent="0.2">
      <c r="Y33409" s="97"/>
    </row>
    <row r="33410" spans="25:25" x14ac:dyDescent="0.2">
      <c r="Y33410" s="97"/>
    </row>
    <row r="33411" spans="25:25" x14ac:dyDescent="0.2">
      <c r="Y33411" s="97"/>
    </row>
    <row r="33412" spans="25:25" x14ac:dyDescent="0.2">
      <c r="Y33412" s="97"/>
    </row>
    <row r="33413" spans="25:25" x14ac:dyDescent="0.2">
      <c r="Y33413" s="97"/>
    </row>
    <row r="33414" spans="25:25" x14ac:dyDescent="0.2">
      <c r="Y33414" s="97"/>
    </row>
    <row r="33415" spans="25:25" x14ac:dyDescent="0.2">
      <c r="Y33415" s="97"/>
    </row>
    <row r="33416" spans="25:25" x14ac:dyDescent="0.2">
      <c r="Y33416" s="97"/>
    </row>
    <row r="33417" spans="25:25" x14ac:dyDescent="0.2">
      <c r="Y33417" s="97"/>
    </row>
    <row r="33418" spans="25:25" x14ac:dyDescent="0.2">
      <c r="Y33418" s="97"/>
    </row>
    <row r="33419" spans="25:25" x14ac:dyDescent="0.2">
      <c r="Y33419" s="97"/>
    </row>
    <row r="33420" spans="25:25" x14ac:dyDescent="0.2">
      <c r="Y33420" s="97"/>
    </row>
    <row r="33421" spans="25:25" x14ac:dyDescent="0.2">
      <c r="Y33421" s="97"/>
    </row>
    <row r="33422" spans="25:25" x14ac:dyDescent="0.2">
      <c r="Y33422" s="97"/>
    </row>
    <row r="33423" spans="25:25" x14ac:dyDescent="0.2">
      <c r="Y33423" s="97"/>
    </row>
    <row r="33424" spans="25:25" x14ac:dyDescent="0.2">
      <c r="Y33424" s="97"/>
    </row>
    <row r="33425" spans="25:25" x14ac:dyDescent="0.2">
      <c r="Y33425" s="97"/>
    </row>
    <row r="33426" spans="25:25" x14ac:dyDescent="0.2">
      <c r="Y33426" s="97"/>
    </row>
    <row r="33427" spans="25:25" x14ac:dyDescent="0.2">
      <c r="Y33427" s="97"/>
    </row>
    <row r="33428" spans="25:25" x14ac:dyDescent="0.2">
      <c r="Y33428" s="97"/>
    </row>
    <row r="33429" spans="25:25" x14ac:dyDescent="0.2">
      <c r="Y33429" s="97"/>
    </row>
    <row r="33430" spans="25:25" x14ac:dyDescent="0.2">
      <c r="Y33430" s="97"/>
    </row>
    <row r="33431" spans="25:25" x14ac:dyDescent="0.2">
      <c r="Y33431" s="97"/>
    </row>
    <row r="33432" spans="25:25" x14ac:dyDescent="0.2">
      <c r="Y33432" s="97"/>
    </row>
    <row r="33433" spans="25:25" x14ac:dyDescent="0.2">
      <c r="Y33433" s="97"/>
    </row>
    <row r="33434" spans="25:25" x14ac:dyDescent="0.2">
      <c r="Y33434" s="97"/>
    </row>
    <row r="33435" spans="25:25" x14ac:dyDescent="0.2">
      <c r="Y33435" s="97"/>
    </row>
    <row r="33436" spans="25:25" x14ac:dyDescent="0.2">
      <c r="Y33436" s="97"/>
    </row>
    <row r="33437" spans="25:25" x14ac:dyDescent="0.2">
      <c r="Y33437" s="97"/>
    </row>
    <row r="33438" spans="25:25" x14ac:dyDescent="0.2">
      <c r="Y33438" s="97"/>
    </row>
    <row r="33439" spans="25:25" x14ac:dyDescent="0.2">
      <c r="Y33439" s="97"/>
    </row>
    <row r="33440" spans="25:25" x14ac:dyDescent="0.2">
      <c r="Y33440" s="97"/>
    </row>
    <row r="33441" spans="25:25" x14ac:dyDescent="0.2">
      <c r="Y33441" s="97"/>
    </row>
    <row r="33442" spans="25:25" x14ac:dyDescent="0.2">
      <c r="Y33442" s="97"/>
    </row>
    <row r="33443" spans="25:25" x14ac:dyDescent="0.2">
      <c r="Y33443" s="97"/>
    </row>
    <row r="33444" spans="25:25" x14ac:dyDescent="0.2">
      <c r="Y33444" s="97"/>
    </row>
    <row r="33445" spans="25:25" x14ac:dyDescent="0.2">
      <c r="Y33445" s="97"/>
    </row>
    <row r="33446" spans="25:25" x14ac:dyDescent="0.2">
      <c r="Y33446" s="97"/>
    </row>
    <row r="33447" spans="25:25" x14ac:dyDescent="0.2">
      <c r="Y33447" s="97"/>
    </row>
    <row r="33448" spans="25:25" x14ac:dyDescent="0.2">
      <c r="Y33448" s="97"/>
    </row>
    <row r="33449" spans="25:25" x14ac:dyDescent="0.2">
      <c r="Y33449" s="97"/>
    </row>
    <row r="33450" spans="25:25" x14ac:dyDescent="0.2">
      <c r="Y33450" s="97"/>
    </row>
    <row r="33451" spans="25:25" x14ac:dyDescent="0.2">
      <c r="Y33451" s="97"/>
    </row>
    <row r="33452" spans="25:25" x14ac:dyDescent="0.2">
      <c r="Y33452" s="97"/>
    </row>
    <row r="33453" spans="25:25" x14ac:dyDescent="0.2">
      <c r="Y33453" s="97"/>
    </row>
    <row r="33454" spans="25:25" x14ac:dyDescent="0.2">
      <c r="Y33454" s="97"/>
    </row>
    <row r="33455" spans="25:25" x14ac:dyDescent="0.2">
      <c r="Y33455" s="97"/>
    </row>
    <row r="33456" spans="25:25" x14ac:dyDescent="0.2">
      <c r="Y33456" s="97"/>
    </row>
    <row r="33457" spans="25:25" x14ac:dyDescent="0.2">
      <c r="Y33457" s="97"/>
    </row>
    <row r="33458" spans="25:25" x14ac:dyDescent="0.2">
      <c r="Y33458" s="97"/>
    </row>
    <row r="33459" spans="25:25" x14ac:dyDescent="0.2">
      <c r="Y33459" s="97"/>
    </row>
    <row r="33460" spans="25:25" x14ac:dyDescent="0.2">
      <c r="Y33460" s="97"/>
    </row>
    <row r="33461" spans="25:25" x14ac:dyDescent="0.2">
      <c r="Y33461" s="97"/>
    </row>
    <row r="33462" spans="25:25" x14ac:dyDescent="0.2">
      <c r="Y33462" s="97"/>
    </row>
    <row r="33463" spans="25:25" x14ac:dyDescent="0.2">
      <c r="Y33463" s="97"/>
    </row>
    <row r="33464" spans="25:25" x14ac:dyDescent="0.2">
      <c r="Y33464" s="97"/>
    </row>
    <row r="33465" spans="25:25" x14ac:dyDescent="0.2">
      <c r="Y33465" s="97"/>
    </row>
    <row r="33466" spans="25:25" x14ac:dyDescent="0.2">
      <c r="Y33466" s="97"/>
    </row>
    <row r="33467" spans="25:25" x14ac:dyDescent="0.2">
      <c r="Y33467" s="97"/>
    </row>
    <row r="33468" spans="25:25" x14ac:dyDescent="0.2">
      <c r="Y33468" s="97"/>
    </row>
    <row r="33469" spans="25:25" x14ac:dyDescent="0.2">
      <c r="Y33469" s="97"/>
    </row>
    <row r="33470" spans="25:25" x14ac:dyDescent="0.2">
      <c r="Y33470" s="97"/>
    </row>
    <row r="33471" spans="25:25" x14ac:dyDescent="0.2">
      <c r="Y33471" s="97"/>
    </row>
    <row r="33472" spans="25:25" x14ac:dyDescent="0.2">
      <c r="Y33472" s="97"/>
    </row>
    <row r="33473" spans="25:25" x14ac:dyDescent="0.2">
      <c r="Y33473" s="97"/>
    </row>
    <row r="33474" spans="25:25" x14ac:dyDescent="0.2">
      <c r="Y33474" s="97"/>
    </row>
    <row r="33475" spans="25:25" x14ac:dyDescent="0.2">
      <c r="Y33475" s="97"/>
    </row>
    <row r="33476" spans="25:25" x14ac:dyDescent="0.2">
      <c r="Y33476" s="97"/>
    </row>
    <row r="33477" spans="25:25" x14ac:dyDescent="0.2">
      <c r="Y33477" s="97"/>
    </row>
    <row r="33478" spans="25:25" x14ac:dyDescent="0.2">
      <c r="Y33478" s="97"/>
    </row>
    <row r="33479" spans="25:25" x14ac:dyDescent="0.2">
      <c r="Y33479" s="97"/>
    </row>
    <row r="33480" spans="25:25" x14ac:dyDescent="0.2">
      <c r="Y33480" s="97"/>
    </row>
    <row r="33481" spans="25:25" x14ac:dyDescent="0.2">
      <c r="Y33481" s="97"/>
    </row>
    <row r="33482" spans="25:25" x14ac:dyDescent="0.2">
      <c r="Y33482" s="97"/>
    </row>
    <row r="33483" spans="25:25" x14ac:dyDescent="0.2">
      <c r="Y33483" s="97"/>
    </row>
    <row r="33484" spans="25:25" x14ac:dyDescent="0.2">
      <c r="Y33484" s="97"/>
    </row>
    <row r="33485" spans="25:25" x14ac:dyDescent="0.2">
      <c r="Y33485" s="97"/>
    </row>
    <row r="33486" spans="25:25" x14ac:dyDescent="0.2">
      <c r="Y33486" s="97"/>
    </row>
    <row r="33487" spans="25:25" x14ac:dyDescent="0.2">
      <c r="Y33487" s="97"/>
    </row>
    <row r="33488" spans="25:25" x14ac:dyDescent="0.2">
      <c r="Y33488" s="97"/>
    </row>
    <row r="33489" spans="25:25" x14ac:dyDescent="0.2">
      <c r="Y33489" s="97"/>
    </row>
    <row r="33490" spans="25:25" x14ac:dyDescent="0.2">
      <c r="Y33490" s="97"/>
    </row>
    <row r="33491" spans="25:25" x14ac:dyDescent="0.2">
      <c r="Y33491" s="97"/>
    </row>
    <row r="33492" spans="25:25" x14ac:dyDescent="0.2">
      <c r="Y33492" s="97"/>
    </row>
    <row r="33493" spans="25:25" x14ac:dyDescent="0.2">
      <c r="Y33493" s="97"/>
    </row>
    <row r="33494" spans="25:25" x14ac:dyDescent="0.2">
      <c r="Y33494" s="97"/>
    </row>
    <row r="33495" spans="25:25" x14ac:dyDescent="0.2">
      <c r="Y33495" s="97"/>
    </row>
    <row r="33496" spans="25:25" x14ac:dyDescent="0.2">
      <c r="Y33496" s="97"/>
    </row>
    <row r="33497" spans="25:25" x14ac:dyDescent="0.2">
      <c r="Y33497" s="97"/>
    </row>
    <row r="33498" spans="25:25" x14ac:dyDescent="0.2">
      <c r="Y33498" s="97"/>
    </row>
    <row r="33499" spans="25:25" x14ac:dyDescent="0.2">
      <c r="Y33499" s="97"/>
    </row>
    <row r="33500" spans="25:25" x14ac:dyDescent="0.2">
      <c r="Y33500" s="97"/>
    </row>
    <row r="33501" spans="25:25" x14ac:dyDescent="0.2">
      <c r="Y33501" s="97"/>
    </row>
    <row r="33502" spans="25:25" x14ac:dyDescent="0.2">
      <c r="Y33502" s="97"/>
    </row>
    <row r="33503" spans="25:25" x14ac:dyDescent="0.2">
      <c r="Y33503" s="97"/>
    </row>
    <row r="33504" spans="25:25" x14ac:dyDescent="0.2">
      <c r="Y33504" s="97"/>
    </row>
    <row r="33505" spans="25:25" x14ac:dyDescent="0.2">
      <c r="Y33505" s="97"/>
    </row>
    <row r="33506" spans="25:25" x14ac:dyDescent="0.2">
      <c r="Y33506" s="97"/>
    </row>
    <row r="33507" spans="25:25" x14ac:dyDescent="0.2">
      <c r="Y33507" s="97"/>
    </row>
    <row r="33508" spans="25:25" x14ac:dyDescent="0.2">
      <c r="Y33508" s="97"/>
    </row>
    <row r="33509" spans="25:25" x14ac:dyDescent="0.2">
      <c r="Y33509" s="97"/>
    </row>
    <row r="33510" spans="25:25" x14ac:dyDescent="0.2">
      <c r="Y33510" s="97"/>
    </row>
    <row r="33511" spans="25:25" x14ac:dyDescent="0.2">
      <c r="Y33511" s="97"/>
    </row>
    <row r="33512" spans="25:25" x14ac:dyDescent="0.2">
      <c r="Y33512" s="97"/>
    </row>
    <row r="33513" spans="25:25" x14ac:dyDescent="0.2">
      <c r="Y33513" s="97"/>
    </row>
    <row r="33514" spans="25:25" x14ac:dyDescent="0.2">
      <c r="Y33514" s="97"/>
    </row>
    <row r="33515" spans="25:25" x14ac:dyDescent="0.2">
      <c r="Y33515" s="97"/>
    </row>
    <row r="33516" spans="25:25" x14ac:dyDescent="0.2">
      <c r="Y33516" s="97"/>
    </row>
    <row r="33517" spans="25:25" x14ac:dyDescent="0.2">
      <c r="Y33517" s="97"/>
    </row>
    <row r="33518" spans="25:25" x14ac:dyDescent="0.2">
      <c r="Y33518" s="97"/>
    </row>
    <row r="33519" spans="25:25" x14ac:dyDescent="0.2">
      <c r="Y33519" s="97"/>
    </row>
    <row r="33520" spans="25:25" x14ac:dyDescent="0.2">
      <c r="Y33520" s="97"/>
    </row>
    <row r="33521" spans="25:25" x14ac:dyDescent="0.2">
      <c r="Y33521" s="97"/>
    </row>
    <row r="33522" spans="25:25" x14ac:dyDescent="0.2">
      <c r="Y33522" s="97"/>
    </row>
    <row r="33523" spans="25:25" x14ac:dyDescent="0.2">
      <c r="Y33523" s="97"/>
    </row>
    <row r="33524" spans="25:25" x14ac:dyDescent="0.2">
      <c r="Y33524" s="97"/>
    </row>
    <row r="33525" spans="25:25" x14ac:dyDescent="0.2">
      <c r="Y33525" s="97"/>
    </row>
    <row r="33526" spans="25:25" x14ac:dyDescent="0.2">
      <c r="Y33526" s="97"/>
    </row>
    <row r="33527" spans="25:25" x14ac:dyDescent="0.2">
      <c r="Y33527" s="97"/>
    </row>
    <row r="33528" spans="25:25" x14ac:dyDescent="0.2">
      <c r="Y33528" s="97"/>
    </row>
    <row r="33529" spans="25:25" x14ac:dyDescent="0.2">
      <c r="Y33529" s="97"/>
    </row>
    <row r="33530" spans="25:25" x14ac:dyDescent="0.2">
      <c r="Y33530" s="97"/>
    </row>
    <row r="33531" spans="25:25" x14ac:dyDescent="0.2">
      <c r="Y33531" s="97"/>
    </row>
    <row r="33532" spans="25:25" x14ac:dyDescent="0.2">
      <c r="Y33532" s="97"/>
    </row>
    <row r="33533" spans="25:25" x14ac:dyDescent="0.2">
      <c r="Y33533" s="97"/>
    </row>
    <row r="33534" spans="25:25" x14ac:dyDescent="0.2">
      <c r="Y33534" s="97"/>
    </row>
    <row r="33535" spans="25:25" x14ac:dyDescent="0.2">
      <c r="Y33535" s="97"/>
    </row>
    <row r="33536" spans="25:25" x14ac:dyDescent="0.2">
      <c r="Y33536" s="97"/>
    </row>
    <row r="33537" spans="25:25" x14ac:dyDescent="0.2">
      <c r="Y33537" s="97"/>
    </row>
    <row r="33538" spans="25:25" x14ac:dyDescent="0.2">
      <c r="Y33538" s="97"/>
    </row>
    <row r="33539" spans="25:25" x14ac:dyDescent="0.2">
      <c r="Y33539" s="97"/>
    </row>
    <row r="33540" spans="25:25" x14ac:dyDescent="0.2">
      <c r="Y33540" s="97"/>
    </row>
    <row r="33541" spans="25:25" x14ac:dyDescent="0.2">
      <c r="Y33541" s="97"/>
    </row>
    <row r="33542" spans="25:25" x14ac:dyDescent="0.2">
      <c r="Y33542" s="97"/>
    </row>
    <row r="33543" spans="25:25" x14ac:dyDescent="0.2">
      <c r="Y33543" s="97"/>
    </row>
    <row r="33544" spans="25:25" x14ac:dyDescent="0.2">
      <c r="Y33544" s="97"/>
    </row>
    <row r="33545" spans="25:25" x14ac:dyDescent="0.2">
      <c r="Y33545" s="97"/>
    </row>
    <row r="33546" spans="25:25" x14ac:dyDescent="0.2">
      <c r="Y33546" s="97"/>
    </row>
    <row r="33547" spans="25:25" x14ac:dyDescent="0.2">
      <c r="Y33547" s="97"/>
    </row>
    <row r="33548" spans="25:25" x14ac:dyDescent="0.2">
      <c r="Y33548" s="97"/>
    </row>
    <row r="33549" spans="25:25" x14ac:dyDescent="0.2">
      <c r="Y33549" s="97"/>
    </row>
    <row r="33550" spans="25:25" x14ac:dyDescent="0.2">
      <c r="Y33550" s="97"/>
    </row>
    <row r="33551" spans="25:25" x14ac:dyDescent="0.2">
      <c r="Y33551" s="97"/>
    </row>
    <row r="33552" spans="25:25" x14ac:dyDescent="0.2">
      <c r="Y33552" s="97"/>
    </row>
    <row r="33553" spans="25:25" x14ac:dyDescent="0.2">
      <c r="Y33553" s="97"/>
    </row>
    <row r="33554" spans="25:25" x14ac:dyDescent="0.2">
      <c r="Y33554" s="97"/>
    </row>
    <row r="33555" spans="25:25" x14ac:dyDescent="0.2">
      <c r="Y33555" s="97"/>
    </row>
    <row r="33556" spans="25:25" x14ac:dyDescent="0.2">
      <c r="Y33556" s="97"/>
    </row>
    <row r="33557" spans="25:25" x14ac:dyDescent="0.2">
      <c r="Y33557" s="97"/>
    </row>
    <row r="33558" spans="25:25" x14ac:dyDescent="0.2">
      <c r="Y33558" s="97"/>
    </row>
    <row r="33559" spans="25:25" x14ac:dyDescent="0.2">
      <c r="Y33559" s="97"/>
    </row>
    <row r="33560" spans="25:25" x14ac:dyDescent="0.2">
      <c r="Y33560" s="97"/>
    </row>
    <row r="33561" spans="25:25" x14ac:dyDescent="0.2">
      <c r="Y33561" s="97"/>
    </row>
    <row r="33562" spans="25:25" x14ac:dyDescent="0.2">
      <c r="Y33562" s="97"/>
    </row>
    <row r="33563" spans="25:25" x14ac:dyDescent="0.2">
      <c r="Y33563" s="97"/>
    </row>
    <row r="33564" spans="25:25" x14ac:dyDescent="0.2">
      <c r="Y33564" s="97"/>
    </row>
    <row r="33565" spans="25:25" x14ac:dyDescent="0.2">
      <c r="Y33565" s="97"/>
    </row>
    <row r="33566" spans="25:25" x14ac:dyDescent="0.2">
      <c r="Y33566" s="97"/>
    </row>
    <row r="33567" spans="25:25" x14ac:dyDescent="0.2">
      <c r="Y33567" s="97"/>
    </row>
    <row r="33568" spans="25:25" x14ac:dyDescent="0.2">
      <c r="Y33568" s="97"/>
    </row>
    <row r="33569" spans="25:25" x14ac:dyDescent="0.2">
      <c r="Y33569" s="97"/>
    </row>
    <row r="33570" spans="25:25" x14ac:dyDescent="0.2">
      <c r="Y33570" s="97"/>
    </row>
    <row r="33571" spans="25:25" x14ac:dyDescent="0.2">
      <c r="Y33571" s="97"/>
    </row>
    <row r="33572" spans="25:25" x14ac:dyDescent="0.2">
      <c r="Y33572" s="97"/>
    </row>
    <row r="33573" spans="25:25" x14ac:dyDescent="0.2">
      <c r="Y33573" s="97"/>
    </row>
    <row r="33574" spans="25:25" x14ac:dyDescent="0.2">
      <c r="Y33574" s="97"/>
    </row>
    <row r="33575" spans="25:25" x14ac:dyDescent="0.2">
      <c r="Y33575" s="97"/>
    </row>
    <row r="33576" spans="25:25" x14ac:dyDescent="0.2">
      <c r="Y33576" s="97"/>
    </row>
    <row r="33577" spans="25:25" x14ac:dyDescent="0.2">
      <c r="Y33577" s="97"/>
    </row>
    <row r="33578" spans="25:25" x14ac:dyDescent="0.2">
      <c r="Y33578" s="97"/>
    </row>
    <row r="33579" spans="25:25" x14ac:dyDescent="0.2">
      <c r="Y33579" s="97"/>
    </row>
    <row r="33580" spans="25:25" x14ac:dyDescent="0.2">
      <c r="Y33580" s="97"/>
    </row>
    <row r="33581" spans="25:25" x14ac:dyDescent="0.2">
      <c r="Y33581" s="97"/>
    </row>
    <row r="33582" spans="25:25" x14ac:dyDescent="0.2">
      <c r="Y33582" s="97"/>
    </row>
    <row r="33583" spans="25:25" x14ac:dyDescent="0.2">
      <c r="Y33583" s="97"/>
    </row>
    <row r="33584" spans="25:25" x14ac:dyDescent="0.2">
      <c r="Y33584" s="97"/>
    </row>
    <row r="33585" spans="25:25" x14ac:dyDescent="0.2">
      <c r="Y33585" s="97"/>
    </row>
    <row r="33586" spans="25:25" x14ac:dyDescent="0.2">
      <c r="Y33586" s="97"/>
    </row>
    <row r="33587" spans="25:25" x14ac:dyDescent="0.2">
      <c r="Y33587" s="97"/>
    </row>
    <row r="33588" spans="25:25" x14ac:dyDescent="0.2">
      <c r="Y33588" s="97"/>
    </row>
    <row r="33589" spans="25:25" x14ac:dyDescent="0.2">
      <c r="Y33589" s="97"/>
    </row>
    <row r="33590" spans="25:25" x14ac:dyDescent="0.2">
      <c r="Y33590" s="97"/>
    </row>
    <row r="33591" spans="25:25" x14ac:dyDescent="0.2">
      <c r="Y33591" s="97"/>
    </row>
    <row r="33592" spans="25:25" x14ac:dyDescent="0.2">
      <c r="Y33592" s="97"/>
    </row>
    <row r="33593" spans="25:25" x14ac:dyDescent="0.2">
      <c r="Y33593" s="97"/>
    </row>
    <row r="33594" spans="25:25" x14ac:dyDescent="0.2">
      <c r="Y33594" s="97"/>
    </row>
    <row r="33595" spans="25:25" x14ac:dyDescent="0.2">
      <c r="Y33595" s="97"/>
    </row>
    <row r="33596" spans="25:25" x14ac:dyDescent="0.2">
      <c r="Y33596" s="97"/>
    </row>
    <row r="33597" spans="25:25" x14ac:dyDescent="0.2">
      <c r="Y33597" s="97"/>
    </row>
    <row r="33598" spans="25:25" x14ac:dyDescent="0.2">
      <c r="Y33598" s="97"/>
    </row>
    <row r="33599" spans="25:25" x14ac:dyDescent="0.2">
      <c r="Y33599" s="97"/>
    </row>
    <row r="33600" spans="25:25" x14ac:dyDescent="0.2">
      <c r="Y33600" s="97"/>
    </row>
    <row r="33601" spans="25:25" x14ac:dyDescent="0.2">
      <c r="Y33601" s="97"/>
    </row>
    <row r="33602" spans="25:25" x14ac:dyDescent="0.2">
      <c r="Y33602" s="97"/>
    </row>
    <row r="33603" spans="25:25" x14ac:dyDescent="0.2">
      <c r="Y33603" s="97"/>
    </row>
    <row r="33604" spans="25:25" x14ac:dyDescent="0.2">
      <c r="Y33604" s="97"/>
    </row>
    <row r="33605" spans="25:25" x14ac:dyDescent="0.2">
      <c r="Y33605" s="97"/>
    </row>
    <row r="33606" spans="25:25" x14ac:dyDescent="0.2">
      <c r="Y33606" s="97"/>
    </row>
    <row r="33607" spans="25:25" x14ac:dyDescent="0.2">
      <c r="Y33607" s="97"/>
    </row>
    <row r="33608" spans="25:25" x14ac:dyDescent="0.2">
      <c r="Y33608" s="97"/>
    </row>
    <row r="33609" spans="25:25" x14ac:dyDescent="0.2">
      <c r="Y33609" s="97"/>
    </row>
    <row r="33610" spans="25:25" x14ac:dyDescent="0.2">
      <c r="Y33610" s="97"/>
    </row>
    <row r="33611" spans="25:25" x14ac:dyDescent="0.2">
      <c r="Y33611" s="97"/>
    </row>
    <row r="33612" spans="25:25" x14ac:dyDescent="0.2">
      <c r="Y33612" s="97"/>
    </row>
    <row r="33613" spans="25:25" x14ac:dyDescent="0.2">
      <c r="Y33613" s="97"/>
    </row>
    <row r="33614" spans="25:25" x14ac:dyDescent="0.2">
      <c r="Y33614" s="97"/>
    </row>
    <row r="33615" spans="25:25" x14ac:dyDescent="0.2">
      <c r="Y33615" s="97"/>
    </row>
    <row r="33616" spans="25:25" x14ac:dyDescent="0.2">
      <c r="Y33616" s="97"/>
    </row>
    <row r="33617" spans="25:25" x14ac:dyDescent="0.2">
      <c r="Y33617" s="97"/>
    </row>
    <row r="33618" spans="25:25" x14ac:dyDescent="0.2">
      <c r="Y33618" s="97"/>
    </row>
    <row r="33619" spans="25:25" x14ac:dyDescent="0.2">
      <c r="Y33619" s="97"/>
    </row>
    <row r="33620" spans="25:25" x14ac:dyDescent="0.2">
      <c r="Y33620" s="97"/>
    </row>
    <row r="33621" spans="25:25" x14ac:dyDescent="0.2">
      <c r="Y33621" s="97"/>
    </row>
    <row r="33622" spans="25:25" x14ac:dyDescent="0.2">
      <c r="Y33622" s="97"/>
    </row>
    <row r="33623" spans="25:25" x14ac:dyDescent="0.2">
      <c r="Y33623" s="97"/>
    </row>
    <row r="33624" spans="25:25" x14ac:dyDescent="0.2">
      <c r="Y33624" s="97"/>
    </row>
    <row r="33625" spans="25:25" x14ac:dyDescent="0.2">
      <c r="Y33625" s="97"/>
    </row>
    <row r="33626" spans="25:25" x14ac:dyDescent="0.2">
      <c r="Y33626" s="97"/>
    </row>
    <row r="33627" spans="25:25" x14ac:dyDescent="0.2">
      <c r="Y33627" s="97"/>
    </row>
    <row r="33628" spans="25:25" x14ac:dyDescent="0.2">
      <c r="Y33628" s="97"/>
    </row>
    <row r="33629" spans="25:25" x14ac:dyDescent="0.2">
      <c r="Y33629" s="97"/>
    </row>
    <row r="33630" spans="25:25" x14ac:dyDescent="0.2">
      <c r="Y33630" s="97"/>
    </row>
    <row r="33631" spans="25:25" x14ac:dyDescent="0.2">
      <c r="Y33631" s="97"/>
    </row>
    <row r="33632" spans="25:25" x14ac:dyDescent="0.2">
      <c r="Y33632" s="97"/>
    </row>
    <row r="33633" spans="25:25" x14ac:dyDescent="0.2">
      <c r="Y33633" s="97"/>
    </row>
    <row r="33634" spans="25:25" x14ac:dyDescent="0.2">
      <c r="Y33634" s="97"/>
    </row>
    <row r="33635" spans="25:25" x14ac:dyDescent="0.2">
      <c r="Y33635" s="97"/>
    </row>
    <row r="33636" spans="25:25" x14ac:dyDescent="0.2">
      <c r="Y33636" s="97"/>
    </row>
    <row r="33637" spans="25:25" x14ac:dyDescent="0.2">
      <c r="Y33637" s="97"/>
    </row>
    <row r="33638" spans="25:25" x14ac:dyDescent="0.2">
      <c r="Y33638" s="97"/>
    </row>
    <row r="33639" spans="25:25" x14ac:dyDescent="0.2">
      <c r="Y33639" s="97"/>
    </row>
    <row r="33640" spans="25:25" x14ac:dyDescent="0.2">
      <c r="Y33640" s="97"/>
    </row>
    <row r="33641" spans="25:25" x14ac:dyDescent="0.2">
      <c r="Y33641" s="97"/>
    </row>
    <row r="33642" spans="25:25" x14ac:dyDescent="0.2">
      <c r="Y33642" s="97"/>
    </row>
    <row r="33643" spans="25:25" x14ac:dyDescent="0.2">
      <c r="Y33643" s="97"/>
    </row>
    <row r="33644" spans="25:25" x14ac:dyDescent="0.2">
      <c r="Y33644" s="97"/>
    </row>
    <row r="33645" spans="25:25" x14ac:dyDescent="0.2">
      <c r="Y33645" s="97"/>
    </row>
    <row r="33646" spans="25:25" x14ac:dyDescent="0.2">
      <c r="Y33646" s="97"/>
    </row>
    <row r="33647" spans="25:25" x14ac:dyDescent="0.2">
      <c r="Y33647" s="97"/>
    </row>
    <row r="33648" spans="25:25" x14ac:dyDescent="0.2">
      <c r="Y33648" s="97"/>
    </row>
    <row r="33649" spans="25:25" x14ac:dyDescent="0.2">
      <c r="Y33649" s="97"/>
    </row>
    <row r="33650" spans="25:25" x14ac:dyDescent="0.2">
      <c r="Y33650" s="97"/>
    </row>
    <row r="33651" spans="25:25" x14ac:dyDescent="0.2">
      <c r="Y33651" s="97"/>
    </row>
    <row r="33652" spans="25:25" x14ac:dyDescent="0.2">
      <c r="Y33652" s="97"/>
    </row>
    <row r="33653" spans="25:25" x14ac:dyDescent="0.2">
      <c r="Y33653" s="97"/>
    </row>
    <row r="33654" spans="25:25" x14ac:dyDescent="0.2">
      <c r="Y33654" s="97"/>
    </row>
    <row r="33655" spans="25:25" x14ac:dyDescent="0.2">
      <c r="Y33655" s="97"/>
    </row>
    <row r="33656" spans="25:25" x14ac:dyDescent="0.2">
      <c r="Y33656" s="97"/>
    </row>
    <row r="33657" spans="25:25" x14ac:dyDescent="0.2">
      <c r="Y33657" s="97"/>
    </row>
    <row r="33658" spans="25:25" x14ac:dyDescent="0.2">
      <c r="Y33658" s="97"/>
    </row>
    <row r="33659" spans="25:25" x14ac:dyDescent="0.2">
      <c r="Y33659" s="97"/>
    </row>
    <row r="33660" spans="25:25" x14ac:dyDescent="0.2">
      <c r="Y33660" s="97"/>
    </row>
    <row r="33661" spans="25:25" x14ac:dyDescent="0.2">
      <c r="Y33661" s="97"/>
    </row>
    <row r="33662" spans="25:25" x14ac:dyDescent="0.2">
      <c r="Y33662" s="97"/>
    </row>
    <row r="33663" spans="25:25" x14ac:dyDescent="0.2">
      <c r="Y33663" s="97"/>
    </row>
    <row r="33664" spans="25:25" x14ac:dyDescent="0.2">
      <c r="Y33664" s="97"/>
    </row>
    <row r="33665" spans="25:25" x14ac:dyDescent="0.2">
      <c r="Y33665" s="97"/>
    </row>
    <row r="33666" spans="25:25" x14ac:dyDescent="0.2">
      <c r="Y33666" s="97"/>
    </row>
    <row r="33667" spans="25:25" x14ac:dyDescent="0.2">
      <c r="Y33667" s="97"/>
    </row>
    <row r="33668" spans="25:25" x14ac:dyDescent="0.2">
      <c r="Y33668" s="97"/>
    </row>
    <row r="33669" spans="25:25" x14ac:dyDescent="0.2">
      <c r="Y33669" s="97"/>
    </row>
    <row r="33670" spans="25:25" x14ac:dyDescent="0.2">
      <c r="Y33670" s="97"/>
    </row>
    <row r="33671" spans="25:25" x14ac:dyDescent="0.2">
      <c r="Y33671" s="97"/>
    </row>
    <row r="33672" spans="25:25" x14ac:dyDescent="0.2">
      <c r="Y33672" s="97"/>
    </row>
    <row r="33673" spans="25:25" x14ac:dyDescent="0.2">
      <c r="Y33673" s="97"/>
    </row>
    <row r="33674" spans="25:25" x14ac:dyDescent="0.2">
      <c r="Y33674" s="97"/>
    </row>
    <row r="33675" spans="25:25" x14ac:dyDescent="0.2">
      <c r="Y33675" s="97"/>
    </row>
    <row r="33676" spans="25:25" x14ac:dyDescent="0.2">
      <c r="Y33676" s="97"/>
    </row>
    <row r="33677" spans="25:25" x14ac:dyDescent="0.2">
      <c r="Y33677" s="97"/>
    </row>
    <row r="33678" spans="25:25" x14ac:dyDescent="0.2">
      <c r="Y33678" s="97"/>
    </row>
    <row r="33679" spans="25:25" x14ac:dyDescent="0.2">
      <c r="Y33679" s="97"/>
    </row>
    <row r="33680" spans="25:25" x14ac:dyDescent="0.2">
      <c r="Y33680" s="97"/>
    </row>
    <row r="33681" spans="25:25" x14ac:dyDescent="0.2">
      <c r="Y33681" s="97"/>
    </row>
    <row r="33682" spans="25:25" x14ac:dyDescent="0.2">
      <c r="Y33682" s="97"/>
    </row>
    <row r="33683" spans="25:25" x14ac:dyDescent="0.2">
      <c r="Y33683" s="97"/>
    </row>
    <row r="33684" spans="25:25" x14ac:dyDescent="0.2">
      <c r="Y33684" s="97"/>
    </row>
    <row r="33685" spans="25:25" x14ac:dyDescent="0.2">
      <c r="Y33685" s="97"/>
    </row>
    <row r="33686" spans="25:25" x14ac:dyDescent="0.2">
      <c r="Y33686" s="97"/>
    </row>
    <row r="33687" spans="25:25" x14ac:dyDescent="0.2">
      <c r="Y33687" s="97"/>
    </row>
    <row r="33688" spans="25:25" x14ac:dyDescent="0.2">
      <c r="Y33688" s="97"/>
    </row>
    <row r="33689" spans="25:25" x14ac:dyDescent="0.2">
      <c r="Y33689" s="97"/>
    </row>
    <row r="33690" spans="25:25" x14ac:dyDescent="0.2">
      <c r="Y33690" s="97"/>
    </row>
    <row r="33691" spans="25:25" x14ac:dyDescent="0.2">
      <c r="Y33691" s="97"/>
    </row>
    <row r="33692" spans="25:25" x14ac:dyDescent="0.2">
      <c r="Y33692" s="97"/>
    </row>
    <row r="33693" spans="25:25" x14ac:dyDescent="0.2">
      <c r="Y33693" s="97"/>
    </row>
    <row r="33694" spans="25:25" x14ac:dyDescent="0.2">
      <c r="Y33694" s="97"/>
    </row>
    <row r="33695" spans="25:25" x14ac:dyDescent="0.2">
      <c r="Y33695" s="97"/>
    </row>
    <row r="33696" spans="25:25" x14ac:dyDescent="0.2">
      <c r="Y33696" s="97"/>
    </row>
    <row r="33697" spans="25:25" x14ac:dyDescent="0.2">
      <c r="Y33697" s="97"/>
    </row>
    <row r="33698" spans="25:25" x14ac:dyDescent="0.2">
      <c r="Y33698" s="97"/>
    </row>
    <row r="33699" spans="25:25" x14ac:dyDescent="0.2">
      <c r="Y33699" s="97"/>
    </row>
    <row r="33700" spans="25:25" x14ac:dyDescent="0.2">
      <c r="Y33700" s="97"/>
    </row>
    <row r="33701" spans="25:25" x14ac:dyDescent="0.2">
      <c r="Y33701" s="97"/>
    </row>
    <row r="33702" spans="25:25" x14ac:dyDescent="0.2">
      <c r="Y33702" s="97"/>
    </row>
    <row r="33703" spans="25:25" x14ac:dyDescent="0.2">
      <c r="Y33703" s="97"/>
    </row>
    <row r="33704" spans="25:25" x14ac:dyDescent="0.2">
      <c r="Y33704" s="97"/>
    </row>
    <row r="33705" spans="25:25" x14ac:dyDescent="0.2">
      <c r="Y33705" s="97"/>
    </row>
    <row r="33706" spans="25:25" x14ac:dyDescent="0.2">
      <c r="Y33706" s="97"/>
    </row>
    <row r="33707" spans="25:25" x14ac:dyDescent="0.2">
      <c r="Y33707" s="97"/>
    </row>
    <row r="33708" spans="25:25" x14ac:dyDescent="0.2">
      <c r="Y33708" s="97"/>
    </row>
    <row r="33709" spans="25:25" x14ac:dyDescent="0.2">
      <c r="Y33709" s="97"/>
    </row>
    <row r="33710" spans="25:25" x14ac:dyDescent="0.2">
      <c r="Y33710" s="97"/>
    </row>
    <row r="33711" spans="25:25" x14ac:dyDescent="0.2">
      <c r="Y33711" s="97"/>
    </row>
    <row r="33712" spans="25:25" x14ac:dyDescent="0.2">
      <c r="Y33712" s="97"/>
    </row>
    <row r="33713" spans="25:25" x14ac:dyDescent="0.2">
      <c r="Y33713" s="97"/>
    </row>
    <row r="33714" spans="25:25" x14ac:dyDescent="0.2">
      <c r="Y33714" s="97"/>
    </row>
    <row r="33715" spans="25:25" x14ac:dyDescent="0.2">
      <c r="Y33715" s="97"/>
    </row>
    <row r="33716" spans="25:25" x14ac:dyDescent="0.2">
      <c r="Y33716" s="97"/>
    </row>
    <row r="33717" spans="25:25" x14ac:dyDescent="0.2">
      <c r="Y33717" s="97"/>
    </row>
    <row r="33718" spans="25:25" x14ac:dyDescent="0.2">
      <c r="Y33718" s="97"/>
    </row>
    <row r="33719" spans="25:25" x14ac:dyDescent="0.2">
      <c r="Y33719" s="97"/>
    </row>
    <row r="33720" spans="25:25" x14ac:dyDescent="0.2">
      <c r="Y33720" s="97"/>
    </row>
    <row r="33721" spans="25:25" x14ac:dyDescent="0.2">
      <c r="Y33721" s="97"/>
    </row>
    <row r="33722" spans="25:25" x14ac:dyDescent="0.2">
      <c r="Y33722" s="97"/>
    </row>
    <row r="33723" spans="25:25" x14ac:dyDescent="0.2">
      <c r="Y33723" s="97"/>
    </row>
    <row r="33724" spans="25:25" x14ac:dyDescent="0.2">
      <c r="Y33724" s="97"/>
    </row>
    <row r="33725" spans="25:25" x14ac:dyDescent="0.2">
      <c r="Y33725" s="97"/>
    </row>
    <row r="33726" spans="25:25" x14ac:dyDescent="0.2">
      <c r="Y33726" s="97"/>
    </row>
    <row r="33727" spans="25:25" x14ac:dyDescent="0.2">
      <c r="Y33727" s="97"/>
    </row>
    <row r="33728" spans="25:25" x14ac:dyDescent="0.2">
      <c r="Y33728" s="97"/>
    </row>
    <row r="33729" spans="25:25" x14ac:dyDescent="0.2">
      <c r="Y33729" s="97"/>
    </row>
    <row r="33730" spans="25:25" x14ac:dyDescent="0.2">
      <c r="Y33730" s="97"/>
    </row>
    <row r="33731" spans="25:25" x14ac:dyDescent="0.2">
      <c r="Y33731" s="97"/>
    </row>
    <row r="33732" spans="25:25" x14ac:dyDescent="0.2">
      <c r="Y33732" s="97"/>
    </row>
    <row r="33733" spans="25:25" x14ac:dyDescent="0.2">
      <c r="Y33733" s="97"/>
    </row>
    <row r="33734" spans="25:25" x14ac:dyDescent="0.2">
      <c r="Y33734" s="97"/>
    </row>
    <row r="33735" spans="25:25" x14ac:dyDescent="0.2">
      <c r="Y33735" s="97"/>
    </row>
    <row r="33736" spans="25:25" x14ac:dyDescent="0.2">
      <c r="Y33736" s="97"/>
    </row>
    <row r="33737" spans="25:25" x14ac:dyDescent="0.2">
      <c r="Y33737" s="97"/>
    </row>
    <row r="33738" spans="25:25" x14ac:dyDescent="0.2">
      <c r="Y33738" s="97"/>
    </row>
    <row r="33739" spans="25:25" x14ac:dyDescent="0.2">
      <c r="Y33739" s="97"/>
    </row>
    <row r="33740" spans="25:25" x14ac:dyDescent="0.2">
      <c r="Y33740" s="97"/>
    </row>
    <row r="33741" spans="25:25" x14ac:dyDescent="0.2">
      <c r="Y33741" s="97"/>
    </row>
    <row r="33742" spans="25:25" x14ac:dyDescent="0.2">
      <c r="Y33742" s="97"/>
    </row>
    <row r="33743" spans="25:25" x14ac:dyDescent="0.2">
      <c r="Y33743" s="97"/>
    </row>
    <row r="33744" spans="25:25" x14ac:dyDescent="0.2">
      <c r="Y33744" s="97"/>
    </row>
    <row r="33745" spans="25:25" x14ac:dyDescent="0.2">
      <c r="Y33745" s="97"/>
    </row>
    <row r="33746" spans="25:25" x14ac:dyDescent="0.2">
      <c r="Y33746" s="97"/>
    </row>
    <row r="33747" spans="25:25" x14ac:dyDescent="0.2">
      <c r="Y33747" s="97"/>
    </row>
    <row r="33748" spans="25:25" x14ac:dyDescent="0.2">
      <c r="Y33748" s="97"/>
    </row>
    <row r="33749" spans="25:25" x14ac:dyDescent="0.2">
      <c r="Y33749" s="97"/>
    </row>
    <row r="33750" spans="25:25" x14ac:dyDescent="0.2">
      <c r="Y33750" s="97"/>
    </row>
    <row r="33751" spans="25:25" x14ac:dyDescent="0.2">
      <c r="Y33751" s="97"/>
    </row>
    <row r="33752" spans="25:25" x14ac:dyDescent="0.2">
      <c r="Y33752" s="97"/>
    </row>
    <row r="33753" spans="25:25" x14ac:dyDescent="0.2">
      <c r="Y33753" s="97"/>
    </row>
    <row r="33754" spans="25:25" x14ac:dyDescent="0.2">
      <c r="Y33754" s="97"/>
    </row>
    <row r="33755" spans="25:25" x14ac:dyDescent="0.2">
      <c r="Y33755" s="97"/>
    </row>
    <row r="33756" spans="25:25" x14ac:dyDescent="0.2">
      <c r="Y33756" s="97"/>
    </row>
    <row r="33757" spans="25:25" x14ac:dyDescent="0.2">
      <c r="Y33757" s="97"/>
    </row>
    <row r="33758" spans="25:25" x14ac:dyDescent="0.2">
      <c r="Y33758" s="97"/>
    </row>
    <row r="33759" spans="25:25" x14ac:dyDescent="0.2">
      <c r="Y33759" s="97"/>
    </row>
    <row r="33760" spans="25:25" x14ac:dyDescent="0.2">
      <c r="Y33760" s="97"/>
    </row>
    <row r="33761" spans="25:25" x14ac:dyDescent="0.2">
      <c r="Y33761" s="97"/>
    </row>
    <row r="33762" spans="25:25" x14ac:dyDescent="0.2">
      <c r="Y33762" s="97"/>
    </row>
    <row r="33763" spans="25:25" x14ac:dyDescent="0.2">
      <c r="Y33763" s="97"/>
    </row>
    <row r="33764" spans="25:25" x14ac:dyDescent="0.2">
      <c r="Y33764" s="97"/>
    </row>
    <row r="33765" spans="25:25" x14ac:dyDescent="0.2">
      <c r="Y33765" s="97"/>
    </row>
    <row r="33766" spans="25:25" x14ac:dyDescent="0.2">
      <c r="Y33766" s="97"/>
    </row>
    <row r="33767" spans="25:25" x14ac:dyDescent="0.2">
      <c r="Y33767" s="97"/>
    </row>
    <row r="33768" spans="25:25" x14ac:dyDescent="0.2">
      <c r="Y33768" s="97"/>
    </row>
    <row r="33769" spans="25:25" x14ac:dyDescent="0.2">
      <c r="Y33769" s="97"/>
    </row>
    <row r="33770" spans="25:25" x14ac:dyDescent="0.2">
      <c r="Y33770" s="97"/>
    </row>
    <row r="33771" spans="25:25" x14ac:dyDescent="0.2">
      <c r="Y33771" s="97"/>
    </row>
    <row r="33772" spans="25:25" x14ac:dyDescent="0.2">
      <c r="Y33772" s="97"/>
    </row>
    <row r="33773" spans="25:25" x14ac:dyDescent="0.2">
      <c r="Y33773" s="97"/>
    </row>
    <row r="33774" spans="25:25" x14ac:dyDescent="0.2">
      <c r="Y33774" s="97"/>
    </row>
    <row r="33775" spans="25:25" x14ac:dyDescent="0.2">
      <c r="Y33775" s="97"/>
    </row>
    <row r="33776" spans="25:25" x14ac:dyDescent="0.2">
      <c r="Y33776" s="97"/>
    </row>
    <row r="33777" spans="25:25" x14ac:dyDescent="0.2">
      <c r="Y33777" s="97"/>
    </row>
    <row r="33778" spans="25:25" x14ac:dyDescent="0.2">
      <c r="Y33778" s="97"/>
    </row>
    <row r="33779" spans="25:25" x14ac:dyDescent="0.2">
      <c r="Y33779" s="97"/>
    </row>
    <row r="33780" spans="25:25" x14ac:dyDescent="0.2">
      <c r="Y33780" s="97"/>
    </row>
    <row r="33781" spans="25:25" x14ac:dyDescent="0.2">
      <c r="Y33781" s="97"/>
    </row>
    <row r="33782" spans="25:25" x14ac:dyDescent="0.2">
      <c r="Y33782" s="97"/>
    </row>
    <row r="33783" spans="25:25" x14ac:dyDescent="0.2">
      <c r="Y33783" s="97"/>
    </row>
    <row r="33784" spans="25:25" x14ac:dyDescent="0.2">
      <c r="Y33784" s="97"/>
    </row>
    <row r="33785" spans="25:25" x14ac:dyDescent="0.2">
      <c r="Y33785" s="97"/>
    </row>
    <row r="33786" spans="25:25" x14ac:dyDescent="0.2">
      <c r="Y33786" s="97"/>
    </row>
    <row r="33787" spans="25:25" x14ac:dyDescent="0.2">
      <c r="Y33787" s="97"/>
    </row>
    <row r="33788" spans="25:25" x14ac:dyDescent="0.2">
      <c r="Y33788" s="97"/>
    </row>
    <row r="33789" spans="25:25" x14ac:dyDescent="0.2">
      <c r="Y33789" s="97"/>
    </row>
    <row r="33790" spans="25:25" x14ac:dyDescent="0.2">
      <c r="Y33790" s="97"/>
    </row>
    <row r="33791" spans="25:25" x14ac:dyDescent="0.2">
      <c r="Y33791" s="97"/>
    </row>
    <row r="33792" spans="25:25" x14ac:dyDescent="0.2">
      <c r="Y33792" s="97"/>
    </row>
    <row r="33793" spans="25:25" x14ac:dyDescent="0.2">
      <c r="Y33793" s="97"/>
    </row>
    <row r="33794" spans="25:25" x14ac:dyDescent="0.2">
      <c r="Y33794" s="97"/>
    </row>
    <row r="33795" spans="25:25" x14ac:dyDescent="0.2">
      <c r="Y33795" s="97"/>
    </row>
    <row r="33796" spans="25:25" x14ac:dyDescent="0.2">
      <c r="Y33796" s="97"/>
    </row>
    <row r="33797" spans="25:25" x14ac:dyDescent="0.2">
      <c r="Y33797" s="97"/>
    </row>
    <row r="33798" spans="25:25" x14ac:dyDescent="0.2">
      <c r="Y33798" s="97"/>
    </row>
    <row r="33799" spans="25:25" x14ac:dyDescent="0.2">
      <c r="Y33799" s="97"/>
    </row>
    <row r="33800" spans="25:25" x14ac:dyDescent="0.2">
      <c r="Y33800" s="97"/>
    </row>
    <row r="33801" spans="25:25" x14ac:dyDescent="0.2">
      <c r="Y33801" s="97"/>
    </row>
    <row r="33802" spans="25:25" x14ac:dyDescent="0.2">
      <c r="Y33802" s="97"/>
    </row>
    <row r="33803" spans="25:25" x14ac:dyDescent="0.2">
      <c r="Y33803" s="97"/>
    </row>
    <row r="33804" spans="25:25" x14ac:dyDescent="0.2">
      <c r="Y33804" s="97"/>
    </row>
    <row r="33805" spans="25:25" x14ac:dyDescent="0.2">
      <c r="Y33805" s="97"/>
    </row>
    <row r="33806" spans="25:25" x14ac:dyDescent="0.2">
      <c r="Y33806" s="97"/>
    </row>
    <row r="33807" spans="25:25" x14ac:dyDescent="0.2">
      <c r="Y33807" s="97"/>
    </row>
    <row r="33808" spans="25:25" x14ac:dyDescent="0.2">
      <c r="Y33808" s="97"/>
    </row>
    <row r="33809" spans="25:25" x14ac:dyDescent="0.2">
      <c r="Y33809" s="97"/>
    </row>
    <row r="33810" spans="25:25" x14ac:dyDescent="0.2">
      <c r="Y33810" s="97"/>
    </row>
    <row r="33811" spans="25:25" x14ac:dyDescent="0.2">
      <c r="Y33811" s="97"/>
    </row>
    <row r="33812" spans="25:25" x14ac:dyDescent="0.2">
      <c r="Y33812" s="97"/>
    </row>
    <row r="33813" spans="25:25" x14ac:dyDescent="0.2">
      <c r="Y33813" s="97"/>
    </row>
    <row r="33814" spans="25:25" x14ac:dyDescent="0.2">
      <c r="Y33814" s="97"/>
    </row>
    <row r="33815" spans="25:25" x14ac:dyDescent="0.2">
      <c r="Y33815" s="97"/>
    </row>
    <row r="33816" spans="25:25" x14ac:dyDescent="0.2">
      <c r="Y33816" s="97"/>
    </row>
    <row r="33817" spans="25:25" x14ac:dyDescent="0.2">
      <c r="Y33817" s="97"/>
    </row>
    <row r="33818" spans="25:25" x14ac:dyDescent="0.2">
      <c r="Y33818" s="97"/>
    </row>
    <row r="33819" spans="25:25" x14ac:dyDescent="0.2">
      <c r="Y33819" s="97"/>
    </row>
    <row r="33820" spans="25:25" x14ac:dyDescent="0.2">
      <c r="Y33820" s="97"/>
    </row>
    <row r="33821" spans="25:25" x14ac:dyDescent="0.2">
      <c r="Y33821" s="97"/>
    </row>
    <row r="33822" spans="25:25" x14ac:dyDescent="0.2">
      <c r="Y33822" s="97"/>
    </row>
    <row r="33823" spans="25:25" x14ac:dyDescent="0.2">
      <c r="Y33823" s="97"/>
    </row>
    <row r="33824" spans="25:25" x14ac:dyDescent="0.2">
      <c r="Y33824" s="97"/>
    </row>
    <row r="33825" spans="25:25" x14ac:dyDescent="0.2">
      <c r="Y33825" s="97"/>
    </row>
    <row r="33826" spans="25:25" x14ac:dyDescent="0.2">
      <c r="Y33826" s="97"/>
    </row>
    <row r="33827" spans="25:25" x14ac:dyDescent="0.2">
      <c r="Y33827" s="97"/>
    </row>
    <row r="33828" spans="25:25" x14ac:dyDescent="0.2">
      <c r="Y33828" s="97"/>
    </row>
    <row r="33829" spans="25:25" x14ac:dyDescent="0.2">
      <c r="Y33829" s="97"/>
    </row>
    <row r="33830" spans="25:25" x14ac:dyDescent="0.2">
      <c r="Y33830" s="97"/>
    </row>
    <row r="33831" spans="25:25" x14ac:dyDescent="0.2">
      <c r="Y33831" s="97"/>
    </row>
    <row r="33832" spans="25:25" x14ac:dyDescent="0.2">
      <c r="Y33832" s="97"/>
    </row>
    <row r="33833" spans="25:25" x14ac:dyDescent="0.2">
      <c r="Y33833" s="97"/>
    </row>
    <row r="33834" spans="25:25" x14ac:dyDescent="0.2">
      <c r="Y33834" s="97"/>
    </row>
    <row r="33835" spans="25:25" x14ac:dyDescent="0.2">
      <c r="Y33835" s="97"/>
    </row>
    <row r="33836" spans="25:25" x14ac:dyDescent="0.2">
      <c r="Y33836" s="97"/>
    </row>
    <row r="33837" spans="25:25" x14ac:dyDescent="0.2">
      <c r="Y33837" s="97"/>
    </row>
    <row r="33838" spans="25:25" x14ac:dyDescent="0.2">
      <c r="Y33838" s="97"/>
    </row>
    <row r="33839" spans="25:25" x14ac:dyDescent="0.2">
      <c r="Y33839" s="97"/>
    </row>
    <row r="33840" spans="25:25" x14ac:dyDescent="0.2">
      <c r="Y33840" s="97"/>
    </row>
    <row r="33841" spans="25:25" x14ac:dyDescent="0.2">
      <c r="Y33841" s="97"/>
    </row>
    <row r="33842" spans="25:25" x14ac:dyDescent="0.2">
      <c r="Y33842" s="97"/>
    </row>
    <row r="33843" spans="25:25" x14ac:dyDescent="0.2">
      <c r="Y33843" s="97"/>
    </row>
    <row r="33844" spans="25:25" x14ac:dyDescent="0.2">
      <c r="Y33844" s="97"/>
    </row>
    <row r="33845" spans="25:25" x14ac:dyDescent="0.2">
      <c r="Y33845" s="97"/>
    </row>
    <row r="33846" spans="25:25" x14ac:dyDescent="0.2">
      <c r="Y33846" s="97"/>
    </row>
    <row r="33847" spans="25:25" x14ac:dyDescent="0.2">
      <c r="Y33847" s="97"/>
    </row>
    <row r="33848" spans="25:25" x14ac:dyDescent="0.2">
      <c r="Y33848" s="97"/>
    </row>
    <row r="33849" spans="25:25" x14ac:dyDescent="0.2">
      <c r="Y33849" s="97"/>
    </row>
    <row r="33850" spans="25:25" x14ac:dyDescent="0.2">
      <c r="Y33850" s="97"/>
    </row>
    <row r="33851" spans="25:25" x14ac:dyDescent="0.2">
      <c r="Y33851" s="97"/>
    </row>
    <row r="33852" spans="25:25" x14ac:dyDescent="0.2">
      <c r="Y33852" s="97"/>
    </row>
    <row r="33853" spans="25:25" x14ac:dyDescent="0.2">
      <c r="Y33853" s="97"/>
    </row>
    <row r="33854" spans="25:25" x14ac:dyDescent="0.2">
      <c r="Y33854" s="97"/>
    </row>
    <row r="33855" spans="25:25" x14ac:dyDescent="0.2">
      <c r="Y33855" s="97"/>
    </row>
    <row r="33856" spans="25:25" x14ac:dyDescent="0.2">
      <c r="Y33856" s="97"/>
    </row>
    <row r="33857" spans="25:25" x14ac:dyDescent="0.2">
      <c r="Y33857" s="97"/>
    </row>
    <row r="33858" spans="25:25" x14ac:dyDescent="0.2">
      <c r="Y33858" s="97"/>
    </row>
    <row r="33859" spans="25:25" x14ac:dyDescent="0.2">
      <c r="Y33859" s="97"/>
    </row>
    <row r="33860" spans="25:25" x14ac:dyDescent="0.2">
      <c r="Y33860" s="97"/>
    </row>
    <row r="33861" spans="25:25" x14ac:dyDescent="0.2">
      <c r="Y33861" s="97"/>
    </row>
    <row r="33862" spans="25:25" x14ac:dyDescent="0.2">
      <c r="Y33862" s="97"/>
    </row>
    <row r="33863" spans="25:25" x14ac:dyDescent="0.2">
      <c r="Y33863" s="97"/>
    </row>
    <row r="33864" spans="25:25" x14ac:dyDescent="0.2">
      <c r="Y33864" s="97"/>
    </row>
    <row r="33865" spans="25:25" x14ac:dyDescent="0.2">
      <c r="Y33865" s="97"/>
    </row>
    <row r="33866" spans="25:25" x14ac:dyDescent="0.2">
      <c r="Y33866" s="97"/>
    </row>
    <row r="33867" spans="25:25" x14ac:dyDescent="0.2">
      <c r="Y33867" s="97"/>
    </row>
    <row r="33868" spans="25:25" x14ac:dyDescent="0.2">
      <c r="Y33868" s="97"/>
    </row>
    <row r="33869" spans="25:25" x14ac:dyDescent="0.2">
      <c r="Y33869" s="97"/>
    </row>
    <row r="33870" spans="25:25" x14ac:dyDescent="0.2">
      <c r="Y33870" s="97"/>
    </row>
    <row r="33871" spans="25:25" x14ac:dyDescent="0.2">
      <c r="Y33871" s="97"/>
    </row>
    <row r="33872" spans="25:25" x14ac:dyDescent="0.2">
      <c r="Y33872" s="97"/>
    </row>
    <row r="33873" spans="25:25" x14ac:dyDescent="0.2">
      <c r="Y33873" s="97"/>
    </row>
    <row r="33874" spans="25:25" x14ac:dyDescent="0.2">
      <c r="Y33874" s="97"/>
    </row>
    <row r="33875" spans="25:25" x14ac:dyDescent="0.2">
      <c r="Y33875" s="97"/>
    </row>
    <row r="33876" spans="25:25" x14ac:dyDescent="0.2">
      <c r="Y33876" s="97"/>
    </row>
    <row r="33877" spans="25:25" x14ac:dyDescent="0.2">
      <c r="Y33877" s="97"/>
    </row>
    <row r="33878" spans="25:25" x14ac:dyDescent="0.2">
      <c r="Y33878" s="97"/>
    </row>
    <row r="33879" spans="25:25" x14ac:dyDescent="0.2">
      <c r="Y33879" s="97"/>
    </row>
    <row r="33880" spans="25:25" x14ac:dyDescent="0.2">
      <c r="Y33880" s="97"/>
    </row>
    <row r="33881" spans="25:25" x14ac:dyDescent="0.2">
      <c r="Y33881" s="97"/>
    </row>
    <row r="33882" spans="25:25" x14ac:dyDescent="0.2">
      <c r="Y33882" s="97"/>
    </row>
    <row r="33883" spans="25:25" x14ac:dyDescent="0.2">
      <c r="Y33883" s="97"/>
    </row>
    <row r="33884" spans="25:25" x14ac:dyDescent="0.2">
      <c r="Y33884" s="97"/>
    </row>
    <row r="33885" spans="25:25" x14ac:dyDescent="0.2">
      <c r="Y33885" s="97"/>
    </row>
    <row r="33886" spans="25:25" x14ac:dyDescent="0.2">
      <c r="Y33886" s="97"/>
    </row>
    <row r="33887" spans="25:25" x14ac:dyDescent="0.2">
      <c r="Y33887" s="97"/>
    </row>
    <row r="33888" spans="25:25" x14ac:dyDescent="0.2">
      <c r="Y33888" s="97"/>
    </row>
    <row r="33889" spans="25:25" x14ac:dyDescent="0.2">
      <c r="Y33889" s="97"/>
    </row>
    <row r="33890" spans="25:25" x14ac:dyDescent="0.2">
      <c r="Y33890" s="97"/>
    </row>
    <row r="33891" spans="25:25" x14ac:dyDescent="0.2">
      <c r="Y33891" s="97"/>
    </row>
    <row r="33892" spans="25:25" x14ac:dyDescent="0.2">
      <c r="Y33892" s="97"/>
    </row>
    <row r="33893" spans="25:25" x14ac:dyDescent="0.2">
      <c r="Y33893" s="97"/>
    </row>
    <row r="33894" spans="25:25" x14ac:dyDescent="0.2">
      <c r="Y33894" s="97"/>
    </row>
    <row r="33895" spans="25:25" x14ac:dyDescent="0.2">
      <c r="Y33895" s="97"/>
    </row>
    <row r="33896" spans="25:25" x14ac:dyDescent="0.2">
      <c r="Y33896" s="97"/>
    </row>
    <row r="33897" spans="25:25" x14ac:dyDescent="0.2">
      <c r="Y33897" s="97"/>
    </row>
    <row r="33898" spans="25:25" x14ac:dyDescent="0.2">
      <c r="Y33898" s="97"/>
    </row>
    <row r="33899" spans="25:25" x14ac:dyDescent="0.2">
      <c r="Y33899" s="97"/>
    </row>
    <row r="33900" spans="25:25" x14ac:dyDescent="0.2">
      <c r="Y33900" s="97"/>
    </row>
    <row r="33901" spans="25:25" x14ac:dyDescent="0.2">
      <c r="Y33901" s="97"/>
    </row>
    <row r="33902" spans="25:25" x14ac:dyDescent="0.2">
      <c r="Y33902" s="97"/>
    </row>
    <row r="33903" spans="25:25" x14ac:dyDescent="0.2">
      <c r="Y33903" s="97"/>
    </row>
    <row r="33904" spans="25:25" x14ac:dyDescent="0.2">
      <c r="Y33904" s="97"/>
    </row>
    <row r="33905" spans="25:25" x14ac:dyDescent="0.2">
      <c r="Y33905" s="97"/>
    </row>
    <row r="33906" spans="25:25" x14ac:dyDescent="0.2">
      <c r="Y33906" s="97"/>
    </row>
    <row r="33907" spans="25:25" x14ac:dyDescent="0.2">
      <c r="Y33907" s="97"/>
    </row>
    <row r="33908" spans="25:25" x14ac:dyDescent="0.2">
      <c r="Y33908" s="97"/>
    </row>
    <row r="33909" spans="25:25" x14ac:dyDescent="0.2">
      <c r="Y33909" s="97"/>
    </row>
    <row r="33910" spans="25:25" x14ac:dyDescent="0.2">
      <c r="Y33910" s="97"/>
    </row>
    <row r="33911" spans="25:25" x14ac:dyDescent="0.2">
      <c r="Y33911" s="97"/>
    </row>
    <row r="33912" spans="25:25" x14ac:dyDescent="0.2">
      <c r="Y33912" s="97"/>
    </row>
    <row r="33913" spans="25:25" x14ac:dyDescent="0.2">
      <c r="Y33913" s="97"/>
    </row>
    <row r="33914" spans="25:25" x14ac:dyDescent="0.2">
      <c r="Y33914" s="97"/>
    </row>
    <row r="33915" spans="25:25" x14ac:dyDescent="0.2">
      <c r="Y33915" s="97"/>
    </row>
    <row r="33916" spans="25:25" x14ac:dyDescent="0.2">
      <c r="Y33916" s="97"/>
    </row>
    <row r="33917" spans="25:25" x14ac:dyDescent="0.2">
      <c r="Y33917" s="97"/>
    </row>
    <row r="33918" spans="25:25" x14ac:dyDescent="0.2">
      <c r="Y33918" s="97"/>
    </row>
    <row r="33919" spans="25:25" x14ac:dyDescent="0.2">
      <c r="Y33919" s="97"/>
    </row>
    <row r="33920" spans="25:25" x14ac:dyDescent="0.2">
      <c r="Y33920" s="97"/>
    </row>
    <row r="33921" spans="25:25" x14ac:dyDescent="0.2">
      <c r="Y33921" s="97"/>
    </row>
    <row r="33922" spans="25:25" x14ac:dyDescent="0.2">
      <c r="Y33922" s="97"/>
    </row>
    <row r="33923" spans="25:25" x14ac:dyDescent="0.2">
      <c r="Y33923" s="97"/>
    </row>
    <row r="33924" spans="25:25" x14ac:dyDescent="0.2">
      <c r="Y33924" s="97"/>
    </row>
    <row r="33925" spans="25:25" x14ac:dyDescent="0.2">
      <c r="Y33925" s="97"/>
    </row>
    <row r="33926" spans="25:25" x14ac:dyDescent="0.2">
      <c r="Y33926" s="97"/>
    </row>
    <row r="33927" spans="25:25" x14ac:dyDescent="0.2">
      <c r="Y33927" s="97"/>
    </row>
    <row r="33928" spans="25:25" x14ac:dyDescent="0.2">
      <c r="Y33928" s="97"/>
    </row>
    <row r="33929" spans="25:25" x14ac:dyDescent="0.2">
      <c r="Y33929" s="97"/>
    </row>
    <row r="33930" spans="25:25" x14ac:dyDescent="0.2">
      <c r="Y33930" s="97"/>
    </row>
    <row r="33931" spans="25:25" x14ac:dyDescent="0.2">
      <c r="Y33931" s="97"/>
    </row>
    <row r="33932" spans="25:25" x14ac:dyDescent="0.2">
      <c r="Y33932" s="97"/>
    </row>
    <row r="33933" spans="25:25" x14ac:dyDescent="0.2">
      <c r="Y33933" s="97"/>
    </row>
    <row r="33934" spans="25:25" x14ac:dyDescent="0.2">
      <c r="Y33934" s="97"/>
    </row>
    <row r="33935" spans="25:25" x14ac:dyDescent="0.2">
      <c r="Y33935" s="97"/>
    </row>
    <row r="33936" spans="25:25" x14ac:dyDescent="0.2">
      <c r="Y33936" s="97"/>
    </row>
    <row r="33937" spans="25:25" x14ac:dyDescent="0.2">
      <c r="Y33937" s="97"/>
    </row>
    <row r="33938" spans="25:25" x14ac:dyDescent="0.2">
      <c r="Y33938" s="97"/>
    </row>
    <row r="33939" spans="25:25" x14ac:dyDescent="0.2">
      <c r="Y33939" s="97"/>
    </row>
    <row r="33940" spans="25:25" x14ac:dyDescent="0.2">
      <c r="Y33940" s="97"/>
    </row>
    <row r="33941" spans="25:25" x14ac:dyDescent="0.2">
      <c r="Y33941" s="97"/>
    </row>
    <row r="33942" spans="25:25" x14ac:dyDescent="0.2">
      <c r="Y33942" s="97"/>
    </row>
    <row r="33943" spans="25:25" x14ac:dyDescent="0.2">
      <c r="Y33943" s="97"/>
    </row>
    <row r="33944" spans="25:25" x14ac:dyDescent="0.2">
      <c r="Y33944" s="97"/>
    </row>
    <row r="33945" spans="25:25" x14ac:dyDescent="0.2">
      <c r="Y33945" s="97"/>
    </row>
    <row r="33946" spans="25:25" x14ac:dyDescent="0.2">
      <c r="Y33946" s="97"/>
    </row>
    <row r="33947" spans="25:25" x14ac:dyDescent="0.2">
      <c r="Y33947" s="97"/>
    </row>
    <row r="33948" spans="25:25" x14ac:dyDescent="0.2">
      <c r="Y33948" s="97"/>
    </row>
    <row r="33949" spans="25:25" x14ac:dyDescent="0.2">
      <c r="Y33949" s="97"/>
    </row>
    <row r="33950" spans="25:25" x14ac:dyDescent="0.2">
      <c r="Y33950" s="97"/>
    </row>
    <row r="33951" spans="25:25" x14ac:dyDescent="0.2">
      <c r="Y33951" s="97"/>
    </row>
    <row r="33952" spans="25:25" x14ac:dyDescent="0.2">
      <c r="Y33952" s="97"/>
    </row>
    <row r="33953" spans="25:25" x14ac:dyDescent="0.2">
      <c r="Y33953" s="97"/>
    </row>
    <row r="33954" spans="25:25" x14ac:dyDescent="0.2">
      <c r="Y33954" s="97"/>
    </row>
    <row r="33955" spans="25:25" x14ac:dyDescent="0.2">
      <c r="Y33955" s="97"/>
    </row>
    <row r="33956" spans="25:25" x14ac:dyDescent="0.2">
      <c r="Y33956" s="97"/>
    </row>
    <row r="33957" spans="25:25" x14ac:dyDescent="0.2">
      <c r="Y33957" s="97"/>
    </row>
    <row r="33958" spans="25:25" x14ac:dyDescent="0.2">
      <c r="Y33958" s="97"/>
    </row>
    <row r="33959" spans="25:25" x14ac:dyDescent="0.2">
      <c r="Y33959" s="97"/>
    </row>
    <row r="33960" spans="25:25" x14ac:dyDescent="0.2">
      <c r="Y33960" s="97"/>
    </row>
    <row r="33961" spans="25:25" x14ac:dyDescent="0.2">
      <c r="Y33961" s="97"/>
    </row>
    <row r="33962" spans="25:25" x14ac:dyDescent="0.2">
      <c r="Y33962" s="97"/>
    </row>
    <row r="33963" spans="25:25" x14ac:dyDescent="0.2">
      <c r="Y33963" s="97"/>
    </row>
    <row r="33964" spans="25:25" x14ac:dyDescent="0.2">
      <c r="Y33964" s="97"/>
    </row>
    <row r="33965" spans="25:25" x14ac:dyDescent="0.2">
      <c r="Y33965" s="97"/>
    </row>
    <row r="33966" spans="25:25" x14ac:dyDescent="0.2">
      <c r="Y33966" s="97"/>
    </row>
    <row r="33967" spans="25:25" x14ac:dyDescent="0.2">
      <c r="Y33967" s="97"/>
    </row>
    <row r="33968" spans="25:25" x14ac:dyDescent="0.2">
      <c r="Y33968" s="97"/>
    </row>
    <row r="33969" spans="25:25" x14ac:dyDescent="0.2">
      <c r="Y33969" s="97"/>
    </row>
    <row r="33970" spans="25:25" x14ac:dyDescent="0.2">
      <c r="Y33970" s="97"/>
    </row>
    <row r="33971" spans="25:25" x14ac:dyDescent="0.2">
      <c r="Y33971" s="97"/>
    </row>
    <row r="33972" spans="25:25" x14ac:dyDescent="0.2">
      <c r="Y33972" s="97"/>
    </row>
    <row r="33973" spans="25:25" x14ac:dyDescent="0.2">
      <c r="Y33973" s="97"/>
    </row>
    <row r="33974" spans="25:25" x14ac:dyDescent="0.2">
      <c r="Y33974" s="97"/>
    </row>
    <row r="33975" spans="25:25" x14ac:dyDescent="0.2">
      <c r="Y33975" s="97"/>
    </row>
    <row r="33976" spans="25:25" x14ac:dyDescent="0.2">
      <c r="Y33976" s="97"/>
    </row>
    <row r="33977" spans="25:25" x14ac:dyDescent="0.2">
      <c r="Y33977" s="97"/>
    </row>
    <row r="33978" spans="25:25" x14ac:dyDescent="0.2">
      <c r="Y33978" s="97"/>
    </row>
    <row r="33979" spans="25:25" x14ac:dyDescent="0.2">
      <c r="Y33979" s="97"/>
    </row>
    <row r="33980" spans="25:25" x14ac:dyDescent="0.2">
      <c r="Y33980" s="97"/>
    </row>
    <row r="33981" spans="25:25" x14ac:dyDescent="0.2">
      <c r="Y33981" s="97"/>
    </row>
    <row r="33982" spans="25:25" x14ac:dyDescent="0.2">
      <c r="Y33982" s="97"/>
    </row>
    <row r="33983" spans="25:25" x14ac:dyDescent="0.2">
      <c r="Y33983" s="97"/>
    </row>
    <row r="33984" spans="25:25" x14ac:dyDescent="0.2">
      <c r="Y33984" s="97"/>
    </row>
    <row r="33985" spans="25:25" x14ac:dyDescent="0.2">
      <c r="Y33985" s="97"/>
    </row>
    <row r="33986" spans="25:25" x14ac:dyDescent="0.2">
      <c r="Y33986" s="97"/>
    </row>
    <row r="33987" spans="25:25" x14ac:dyDescent="0.2">
      <c r="Y33987" s="97"/>
    </row>
    <row r="33988" spans="25:25" x14ac:dyDescent="0.2">
      <c r="Y33988" s="97"/>
    </row>
    <row r="33989" spans="25:25" x14ac:dyDescent="0.2">
      <c r="Y33989" s="97"/>
    </row>
    <row r="33990" spans="25:25" x14ac:dyDescent="0.2">
      <c r="Y33990" s="97"/>
    </row>
    <row r="33991" spans="25:25" x14ac:dyDescent="0.2">
      <c r="Y33991" s="97"/>
    </row>
    <row r="33992" spans="25:25" x14ac:dyDescent="0.2">
      <c r="Y33992" s="97"/>
    </row>
    <row r="33993" spans="25:25" x14ac:dyDescent="0.2">
      <c r="Y33993" s="97"/>
    </row>
    <row r="33994" spans="25:25" x14ac:dyDescent="0.2">
      <c r="Y33994" s="97"/>
    </row>
    <row r="33995" spans="25:25" x14ac:dyDescent="0.2">
      <c r="Y33995" s="97"/>
    </row>
    <row r="33996" spans="25:25" x14ac:dyDescent="0.2">
      <c r="Y33996" s="97"/>
    </row>
    <row r="33997" spans="25:25" x14ac:dyDescent="0.2">
      <c r="Y33997" s="97"/>
    </row>
    <row r="33998" spans="25:25" x14ac:dyDescent="0.2">
      <c r="Y33998" s="97"/>
    </row>
    <row r="33999" spans="25:25" x14ac:dyDescent="0.2">
      <c r="Y33999" s="97"/>
    </row>
    <row r="34000" spans="25:25" x14ac:dyDescent="0.2">
      <c r="Y34000" s="97"/>
    </row>
    <row r="34001" spans="25:25" x14ac:dyDescent="0.2">
      <c r="Y34001" s="97"/>
    </row>
    <row r="34002" spans="25:25" x14ac:dyDescent="0.2">
      <c r="Y34002" s="97"/>
    </row>
    <row r="34003" spans="25:25" x14ac:dyDescent="0.2">
      <c r="Y34003" s="97"/>
    </row>
    <row r="34004" spans="25:25" x14ac:dyDescent="0.2">
      <c r="Y34004" s="97"/>
    </row>
    <row r="34005" spans="25:25" x14ac:dyDescent="0.2">
      <c r="Y34005" s="97"/>
    </row>
    <row r="34006" spans="25:25" x14ac:dyDescent="0.2">
      <c r="Y34006" s="97"/>
    </row>
    <row r="34007" spans="25:25" x14ac:dyDescent="0.2">
      <c r="Y34007" s="97"/>
    </row>
    <row r="34008" spans="25:25" x14ac:dyDescent="0.2">
      <c r="Y34008" s="97"/>
    </row>
    <row r="34009" spans="25:25" x14ac:dyDescent="0.2">
      <c r="Y34009" s="97"/>
    </row>
    <row r="34010" spans="25:25" x14ac:dyDescent="0.2">
      <c r="Y34010" s="97"/>
    </row>
    <row r="34011" spans="25:25" x14ac:dyDescent="0.2">
      <c r="Y34011" s="97"/>
    </row>
    <row r="34012" spans="25:25" x14ac:dyDescent="0.2">
      <c r="Y34012" s="97"/>
    </row>
    <row r="34013" spans="25:25" x14ac:dyDescent="0.2">
      <c r="Y34013" s="97"/>
    </row>
    <row r="34014" spans="25:25" x14ac:dyDescent="0.2">
      <c r="Y34014" s="97"/>
    </row>
    <row r="34015" spans="25:25" x14ac:dyDescent="0.2">
      <c r="Y34015" s="97"/>
    </row>
    <row r="34016" spans="25:25" x14ac:dyDescent="0.2">
      <c r="Y34016" s="97"/>
    </row>
    <row r="34017" spans="25:25" x14ac:dyDescent="0.2">
      <c r="Y34017" s="97"/>
    </row>
    <row r="34018" spans="25:25" x14ac:dyDescent="0.2">
      <c r="Y34018" s="97"/>
    </row>
    <row r="34019" spans="25:25" x14ac:dyDescent="0.2">
      <c r="Y34019" s="97"/>
    </row>
    <row r="34020" spans="25:25" x14ac:dyDescent="0.2">
      <c r="Y34020" s="97"/>
    </row>
    <row r="34021" spans="25:25" x14ac:dyDescent="0.2">
      <c r="Y34021" s="97"/>
    </row>
    <row r="34022" spans="25:25" x14ac:dyDescent="0.2">
      <c r="Y34022" s="97"/>
    </row>
    <row r="34023" spans="25:25" x14ac:dyDescent="0.2">
      <c r="Y34023" s="97"/>
    </row>
    <row r="34024" spans="25:25" x14ac:dyDescent="0.2">
      <c r="Y34024" s="97"/>
    </row>
    <row r="34025" spans="25:25" x14ac:dyDescent="0.2">
      <c r="Y34025" s="97"/>
    </row>
    <row r="34026" spans="25:25" x14ac:dyDescent="0.2">
      <c r="Y34026" s="97"/>
    </row>
    <row r="34027" spans="25:25" x14ac:dyDescent="0.2">
      <c r="Y34027" s="97"/>
    </row>
    <row r="34028" spans="25:25" x14ac:dyDescent="0.2">
      <c r="Y34028" s="97"/>
    </row>
    <row r="34029" spans="25:25" x14ac:dyDescent="0.2">
      <c r="Y34029" s="97"/>
    </row>
    <row r="34030" spans="25:25" x14ac:dyDescent="0.2">
      <c r="Y34030" s="97"/>
    </row>
    <row r="34031" spans="25:25" x14ac:dyDescent="0.2">
      <c r="Y34031" s="97"/>
    </row>
    <row r="34032" spans="25:25" x14ac:dyDescent="0.2">
      <c r="Y34032" s="97"/>
    </row>
    <row r="34033" spans="25:25" x14ac:dyDescent="0.2">
      <c r="Y34033" s="97"/>
    </row>
    <row r="34034" spans="25:25" x14ac:dyDescent="0.2">
      <c r="Y34034" s="97"/>
    </row>
    <row r="34035" spans="25:25" x14ac:dyDescent="0.2">
      <c r="Y34035" s="97"/>
    </row>
    <row r="34036" spans="25:25" x14ac:dyDescent="0.2">
      <c r="Y34036" s="97"/>
    </row>
    <row r="34037" spans="25:25" x14ac:dyDescent="0.2">
      <c r="Y34037" s="97"/>
    </row>
    <row r="34038" spans="25:25" x14ac:dyDescent="0.2">
      <c r="Y34038" s="97"/>
    </row>
    <row r="34039" spans="25:25" x14ac:dyDescent="0.2">
      <c r="Y34039" s="97"/>
    </row>
    <row r="34040" spans="25:25" x14ac:dyDescent="0.2">
      <c r="Y34040" s="97"/>
    </row>
    <row r="34041" spans="25:25" x14ac:dyDescent="0.2">
      <c r="Y34041" s="97"/>
    </row>
    <row r="34042" spans="25:25" x14ac:dyDescent="0.2">
      <c r="Y34042" s="97"/>
    </row>
    <row r="34043" spans="25:25" x14ac:dyDescent="0.2">
      <c r="Y34043" s="97"/>
    </row>
    <row r="34044" spans="25:25" x14ac:dyDescent="0.2">
      <c r="Y34044" s="97"/>
    </row>
    <row r="34045" spans="25:25" x14ac:dyDescent="0.2">
      <c r="Y34045" s="97"/>
    </row>
    <row r="34046" spans="25:25" x14ac:dyDescent="0.2">
      <c r="Y34046" s="97"/>
    </row>
    <row r="34047" spans="25:25" x14ac:dyDescent="0.2">
      <c r="Y34047" s="97"/>
    </row>
    <row r="34048" spans="25:25" x14ac:dyDescent="0.2">
      <c r="Y34048" s="97"/>
    </row>
    <row r="34049" spans="25:25" x14ac:dyDescent="0.2">
      <c r="Y34049" s="97"/>
    </row>
    <row r="34050" spans="25:25" x14ac:dyDescent="0.2">
      <c r="Y34050" s="97"/>
    </row>
    <row r="34051" spans="25:25" x14ac:dyDescent="0.2">
      <c r="Y34051" s="97"/>
    </row>
    <row r="34052" spans="25:25" x14ac:dyDescent="0.2">
      <c r="Y34052" s="97"/>
    </row>
    <row r="34053" spans="25:25" x14ac:dyDescent="0.2">
      <c r="Y34053" s="97"/>
    </row>
    <row r="34054" spans="25:25" x14ac:dyDescent="0.2">
      <c r="Y34054" s="97"/>
    </row>
    <row r="34055" spans="25:25" x14ac:dyDescent="0.2">
      <c r="Y34055" s="97"/>
    </row>
    <row r="34056" spans="25:25" x14ac:dyDescent="0.2">
      <c r="Y34056" s="97"/>
    </row>
    <row r="34057" spans="25:25" x14ac:dyDescent="0.2">
      <c r="Y34057" s="97"/>
    </row>
    <row r="34058" spans="25:25" x14ac:dyDescent="0.2">
      <c r="Y34058" s="97"/>
    </row>
    <row r="34059" spans="25:25" x14ac:dyDescent="0.2">
      <c r="Y34059" s="97"/>
    </row>
    <row r="34060" spans="25:25" x14ac:dyDescent="0.2">
      <c r="Y34060" s="97"/>
    </row>
    <row r="34061" spans="25:25" x14ac:dyDescent="0.2">
      <c r="Y34061" s="97"/>
    </row>
    <row r="34062" spans="25:25" x14ac:dyDescent="0.2">
      <c r="Y34062" s="97"/>
    </row>
    <row r="34063" spans="25:25" x14ac:dyDescent="0.2">
      <c r="Y34063" s="97"/>
    </row>
    <row r="34064" spans="25:25" x14ac:dyDescent="0.2">
      <c r="Y34064" s="97"/>
    </row>
    <row r="34065" spans="25:25" x14ac:dyDescent="0.2">
      <c r="Y34065" s="97"/>
    </row>
    <row r="34066" spans="25:25" x14ac:dyDescent="0.2">
      <c r="Y34066" s="97"/>
    </row>
    <row r="34067" spans="25:25" x14ac:dyDescent="0.2">
      <c r="Y34067" s="97"/>
    </row>
    <row r="34068" spans="25:25" x14ac:dyDescent="0.2">
      <c r="Y34068" s="97"/>
    </row>
    <row r="34069" spans="25:25" x14ac:dyDescent="0.2">
      <c r="Y34069" s="97"/>
    </row>
    <row r="34070" spans="25:25" x14ac:dyDescent="0.2">
      <c r="Y34070" s="97"/>
    </row>
    <row r="34071" spans="25:25" x14ac:dyDescent="0.2">
      <c r="Y34071" s="97"/>
    </row>
    <row r="34072" spans="25:25" x14ac:dyDescent="0.2">
      <c r="Y34072" s="97"/>
    </row>
    <row r="34073" spans="25:25" x14ac:dyDescent="0.2">
      <c r="Y34073" s="97"/>
    </row>
    <row r="34074" spans="25:25" x14ac:dyDescent="0.2">
      <c r="Y34074" s="97"/>
    </row>
    <row r="34075" spans="25:25" x14ac:dyDescent="0.2">
      <c r="Y34075" s="97"/>
    </row>
    <row r="34076" spans="25:25" x14ac:dyDescent="0.2">
      <c r="Y34076" s="97"/>
    </row>
    <row r="34077" spans="25:25" x14ac:dyDescent="0.2">
      <c r="Y34077" s="97"/>
    </row>
    <row r="34078" spans="25:25" x14ac:dyDescent="0.2">
      <c r="Y34078" s="97"/>
    </row>
    <row r="34079" spans="25:25" x14ac:dyDescent="0.2">
      <c r="Y34079" s="97"/>
    </row>
    <row r="34080" spans="25:25" x14ac:dyDescent="0.2">
      <c r="Y34080" s="97"/>
    </row>
    <row r="34081" spans="25:25" x14ac:dyDescent="0.2">
      <c r="Y34081" s="97"/>
    </row>
    <row r="34082" spans="25:25" x14ac:dyDescent="0.2">
      <c r="Y34082" s="97"/>
    </row>
    <row r="34083" spans="25:25" x14ac:dyDescent="0.2">
      <c r="Y34083" s="97"/>
    </row>
    <row r="34084" spans="25:25" x14ac:dyDescent="0.2">
      <c r="Y34084" s="97"/>
    </row>
    <row r="34085" spans="25:25" x14ac:dyDescent="0.2">
      <c r="Y34085" s="97"/>
    </row>
    <row r="34086" spans="25:25" x14ac:dyDescent="0.2">
      <c r="Y34086" s="97"/>
    </row>
    <row r="34087" spans="25:25" x14ac:dyDescent="0.2">
      <c r="Y34087" s="97"/>
    </row>
    <row r="34088" spans="25:25" x14ac:dyDescent="0.2">
      <c r="Y34088" s="97"/>
    </row>
    <row r="34089" spans="25:25" x14ac:dyDescent="0.2">
      <c r="Y34089" s="97"/>
    </row>
    <row r="34090" spans="25:25" x14ac:dyDescent="0.2">
      <c r="Y34090" s="97"/>
    </row>
    <row r="34091" spans="25:25" x14ac:dyDescent="0.2">
      <c r="Y34091" s="97"/>
    </row>
    <row r="34092" spans="25:25" x14ac:dyDescent="0.2">
      <c r="Y34092" s="97"/>
    </row>
    <row r="34093" spans="25:25" x14ac:dyDescent="0.2">
      <c r="Y34093" s="97"/>
    </row>
    <row r="34094" spans="25:25" x14ac:dyDescent="0.2">
      <c r="Y34094" s="97"/>
    </row>
    <row r="34095" spans="25:25" x14ac:dyDescent="0.2">
      <c r="Y34095" s="97"/>
    </row>
    <row r="34096" spans="25:25" x14ac:dyDescent="0.2">
      <c r="Y34096" s="97"/>
    </row>
    <row r="34097" spans="25:25" x14ac:dyDescent="0.2">
      <c r="Y34097" s="97"/>
    </row>
    <row r="34098" spans="25:25" x14ac:dyDescent="0.2">
      <c r="Y34098" s="97"/>
    </row>
    <row r="34099" spans="25:25" x14ac:dyDescent="0.2">
      <c r="Y34099" s="97"/>
    </row>
    <row r="34100" spans="25:25" x14ac:dyDescent="0.2">
      <c r="Y34100" s="97"/>
    </row>
    <row r="34101" spans="25:25" x14ac:dyDescent="0.2">
      <c r="Y34101" s="97"/>
    </row>
    <row r="34102" spans="25:25" x14ac:dyDescent="0.2">
      <c r="Y34102" s="97"/>
    </row>
    <row r="34103" spans="25:25" x14ac:dyDescent="0.2">
      <c r="Y34103" s="97"/>
    </row>
    <row r="34104" spans="25:25" x14ac:dyDescent="0.2">
      <c r="Y34104" s="97"/>
    </row>
    <row r="34105" spans="25:25" x14ac:dyDescent="0.2">
      <c r="Y34105" s="97"/>
    </row>
    <row r="34106" spans="25:25" x14ac:dyDescent="0.2">
      <c r="Y34106" s="97"/>
    </row>
    <row r="34107" spans="25:25" x14ac:dyDescent="0.2">
      <c r="Y34107" s="97"/>
    </row>
    <row r="34108" spans="25:25" x14ac:dyDescent="0.2">
      <c r="Y34108" s="97"/>
    </row>
    <row r="34109" spans="25:25" x14ac:dyDescent="0.2">
      <c r="Y34109" s="97"/>
    </row>
    <row r="34110" spans="25:25" x14ac:dyDescent="0.2">
      <c r="Y34110" s="97"/>
    </row>
    <row r="34111" spans="25:25" x14ac:dyDescent="0.2">
      <c r="Y34111" s="97"/>
    </row>
    <row r="34112" spans="25:25" x14ac:dyDescent="0.2">
      <c r="Y34112" s="97"/>
    </row>
    <row r="34113" spans="25:25" x14ac:dyDescent="0.2">
      <c r="Y34113" s="97"/>
    </row>
    <row r="34114" spans="25:25" x14ac:dyDescent="0.2">
      <c r="Y34114" s="97"/>
    </row>
    <row r="34115" spans="25:25" x14ac:dyDescent="0.2">
      <c r="Y34115" s="97"/>
    </row>
    <row r="34116" spans="25:25" x14ac:dyDescent="0.2">
      <c r="Y34116" s="97"/>
    </row>
    <row r="34117" spans="25:25" x14ac:dyDescent="0.2">
      <c r="Y34117" s="97"/>
    </row>
    <row r="34118" spans="25:25" x14ac:dyDescent="0.2">
      <c r="Y34118" s="97"/>
    </row>
    <row r="34119" spans="25:25" x14ac:dyDescent="0.2">
      <c r="Y34119" s="97"/>
    </row>
    <row r="34120" spans="25:25" x14ac:dyDescent="0.2">
      <c r="Y34120" s="97"/>
    </row>
    <row r="34121" spans="25:25" x14ac:dyDescent="0.2">
      <c r="Y34121" s="97"/>
    </row>
    <row r="34122" spans="25:25" x14ac:dyDescent="0.2">
      <c r="Y34122" s="97"/>
    </row>
    <row r="34123" spans="25:25" x14ac:dyDescent="0.2">
      <c r="Y34123" s="97"/>
    </row>
    <row r="34124" spans="25:25" x14ac:dyDescent="0.2">
      <c r="Y34124" s="97"/>
    </row>
    <row r="34125" spans="25:25" x14ac:dyDescent="0.2">
      <c r="Y34125" s="97"/>
    </row>
    <row r="34126" spans="25:25" x14ac:dyDescent="0.2">
      <c r="Y34126" s="97"/>
    </row>
    <row r="34127" spans="25:25" x14ac:dyDescent="0.2">
      <c r="Y34127" s="97"/>
    </row>
    <row r="34128" spans="25:25" x14ac:dyDescent="0.2">
      <c r="Y34128" s="97"/>
    </row>
    <row r="34129" spans="25:25" x14ac:dyDescent="0.2">
      <c r="Y34129" s="97"/>
    </row>
    <row r="34130" spans="25:25" x14ac:dyDescent="0.2">
      <c r="Y34130" s="97"/>
    </row>
    <row r="34131" spans="25:25" x14ac:dyDescent="0.2">
      <c r="Y34131" s="97"/>
    </row>
    <row r="34132" spans="25:25" x14ac:dyDescent="0.2">
      <c r="Y34132" s="97"/>
    </row>
    <row r="34133" spans="25:25" x14ac:dyDescent="0.2">
      <c r="Y34133" s="97"/>
    </row>
    <row r="34134" spans="25:25" x14ac:dyDescent="0.2">
      <c r="Y34134" s="97"/>
    </row>
    <row r="34135" spans="25:25" x14ac:dyDescent="0.2">
      <c r="Y34135" s="97"/>
    </row>
    <row r="34136" spans="25:25" x14ac:dyDescent="0.2">
      <c r="Y34136" s="97"/>
    </row>
    <row r="34137" spans="25:25" x14ac:dyDescent="0.2">
      <c r="Y34137" s="97"/>
    </row>
    <row r="34138" spans="25:25" x14ac:dyDescent="0.2">
      <c r="Y34138" s="97"/>
    </row>
    <row r="34139" spans="25:25" x14ac:dyDescent="0.2">
      <c r="Y34139" s="97"/>
    </row>
    <row r="34140" spans="25:25" x14ac:dyDescent="0.2">
      <c r="Y34140" s="97"/>
    </row>
    <row r="34141" spans="25:25" x14ac:dyDescent="0.2">
      <c r="Y34141" s="97"/>
    </row>
    <row r="34142" spans="25:25" x14ac:dyDescent="0.2">
      <c r="Y34142" s="97"/>
    </row>
    <row r="34143" spans="25:25" x14ac:dyDescent="0.2">
      <c r="Y34143" s="97"/>
    </row>
    <row r="34144" spans="25:25" x14ac:dyDescent="0.2">
      <c r="Y34144" s="97"/>
    </row>
    <row r="34145" spans="25:25" x14ac:dyDescent="0.2">
      <c r="Y34145" s="97"/>
    </row>
    <row r="34146" spans="25:25" x14ac:dyDescent="0.2">
      <c r="Y34146" s="97"/>
    </row>
    <row r="34147" spans="25:25" x14ac:dyDescent="0.2">
      <c r="Y34147" s="97"/>
    </row>
    <row r="34148" spans="25:25" x14ac:dyDescent="0.2">
      <c r="Y34148" s="97"/>
    </row>
    <row r="34149" spans="25:25" x14ac:dyDescent="0.2">
      <c r="Y34149" s="97"/>
    </row>
    <row r="34150" spans="25:25" x14ac:dyDescent="0.2">
      <c r="Y34150" s="97"/>
    </row>
    <row r="34151" spans="25:25" x14ac:dyDescent="0.2">
      <c r="Y34151" s="97"/>
    </row>
    <row r="34152" spans="25:25" x14ac:dyDescent="0.2">
      <c r="Y34152" s="97"/>
    </row>
    <row r="34153" spans="25:25" x14ac:dyDescent="0.2">
      <c r="Y34153" s="97"/>
    </row>
    <row r="34154" spans="25:25" x14ac:dyDescent="0.2">
      <c r="Y34154" s="97"/>
    </row>
    <row r="34155" spans="25:25" x14ac:dyDescent="0.2">
      <c r="Y34155" s="97"/>
    </row>
    <row r="34156" spans="25:25" x14ac:dyDescent="0.2">
      <c r="Y34156" s="97"/>
    </row>
    <row r="34157" spans="25:25" x14ac:dyDescent="0.2">
      <c r="Y34157" s="97"/>
    </row>
    <row r="34158" spans="25:25" x14ac:dyDescent="0.2">
      <c r="Y34158" s="97"/>
    </row>
    <row r="34159" spans="25:25" x14ac:dyDescent="0.2">
      <c r="Y34159" s="97"/>
    </row>
    <row r="34160" spans="25:25" x14ac:dyDescent="0.2">
      <c r="Y34160" s="97"/>
    </row>
    <row r="34161" spans="25:25" x14ac:dyDescent="0.2">
      <c r="Y34161" s="97"/>
    </row>
    <row r="34162" spans="25:25" x14ac:dyDescent="0.2">
      <c r="Y34162" s="97"/>
    </row>
    <row r="34163" spans="25:25" x14ac:dyDescent="0.2">
      <c r="Y34163" s="97"/>
    </row>
    <row r="34164" spans="25:25" x14ac:dyDescent="0.2">
      <c r="Y34164" s="97"/>
    </row>
    <row r="34165" spans="25:25" x14ac:dyDescent="0.2">
      <c r="Y34165" s="97"/>
    </row>
    <row r="34166" spans="25:25" x14ac:dyDescent="0.2">
      <c r="Y34166" s="97"/>
    </row>
    <row r="34167" spans="25:25" x14ac:dyDescent="0.2">
      <c r="Y34167" s="97"/>
    </row>
    <row r="34168" spans="25:25" x14ac:dyDescent="0.2">
      <c r="Y34168" s="97"/>
    </row>
    <row r="34169" spans="25:25" x14ac:dyDescent="0.2">
      <c r="Y34169" s="97"/>
    </row>
    <row r="34170" spans="25:25" x14ac:dyDescent="0.2">
      <c r="Y34170" s="97"/>
    </row>
    <row r="34171" spans="25:25" x14ac:dyDescent="0.2">
      <c r="Y34171" s="97"/>
    </row>
    <row r="34172" spans="25:25" x14ac:dyDescent="0.2">
      <c r="Y34172" s="97"/>
    </row>
    <row r="34173" spans="25:25" x14ac:dyDescent="0.2">
      <c r="Y34173" s="97"/>
    </row>
    <row r="34174" spans="25:25" x14ac:dyDescent="0.2">
      <c r="Y34174" s="97"/>
    </row>
    <row r="34175" spans="25:25" x14ac:dyDescent="0.2">
      <c r="Y34175" s="97"/>
    </row>
    <row r="34176" spans="25:25" x14ac:dyDescent="0.2">
      <c r="Y34176" s="97"/>
    </row>
    <row r="34177" spans="25:25" x14ac:dyDescent="0.2">
      <c r="Y34177" s="97"/>
    </row>
    <row r="34178" spans="25:25" x14ac:dyDescent="0.2">
      <c r="Y34178" s="97"/>
    </row>
    <row r="34179" spans="25:25" x14ac:dyDescent="0.2">
      <c r="Y34179" s="97"/>
    </row>
    <row r="34180" spans="25:25" x14ac:dyDescent="0.2">
      <c r="Y34180" s="97"/>
    </row>
    <row r="34181" spans="25:25" x14ac:dyDescent="0.2">
      <c r="Y34181" s="97"/>
    </row>
    <row r="34182" spans="25:25" x14ac:dyDescent="0.2">
      <c r="Y34182" s="97"/>
    </row>
    <row r="34183" spans="25:25" x14ac:dyDescent="0.2">
      <c r="Y34183" s="97"/>
    </row>
    <row r="34184" spans="25:25" x14ac:dyDescent="0.2">
      <c r="Y34184" s="97"/>
    </row>
    <row r="34185" spans="25:25" x14ac:dyDescent="0.2">
      <c r="Y34185" s="97"/>
    </row>
    <row r="34186" spans="25:25" x14ac:dyDescent="0.2">
      <c r="Y34186" s="97"/>
    </row>
    <row r="34187" spans="25:25" x14ac:dyDescent="0.2">
      <c r="Y34187" s="97"/>
    </row>
    <row r="34188" spans="25:25" x14ac:dyDescent="0.2">
      <c r="Y34188" s="97"/>
    </row>
    <row r="34189" spans="25:25" x14ac:dyDescent="0.2">
      <c r="Y34189" s="97"/>
    </row>
    <row r="34190" spans="25:25" x14ac:dyDescent="0.2">
      <c r="Y34190" s="97"/>
    </row>
    <row r="34191" spans="25:25" x14ac:dyDescent="0.2">
      <c r="Y34191" s="97"/>
    </row>
    <row r="34192" spans="25:25" x14ac:dyDescent="0.2">
      <c r="Y34192" s="97"/>
    </row>
    <row r="34193" spans="25:25" x14ac:dyDescent="0.2">
      <c r="Y34193" s="97"/>
    </row>
    <row r="34194" spans="25:25" x14ac:dyDescent="0.2">
      <c r="Y34194" s="97"/>
    </row>
    <row r="34195" spans="25:25" x14ac:dyDescent="0.2">
      <c r="Y34195" s="97"/>
    </row>
    <row r="34196" spans="25:25" x14ac:dyDescent="0.2">
      <c r="Y34196" s="97"/>
    </row>
    <row r="34197" spans="25:25" x14ac:dyDescent="0.2">
      <c r="Y34197" s="97"/>
    </row>
    <row r="34198" spans="25:25" x14ac:dyDescent="0.2">
      <c r="Y34198" s="97"/>
    </row>
    <row r="34199" spans="25:25" x14ac:dyDescent="0.2">
      <c r="Y34199" s="97"/>
    </row>
    <row r="34200" spans="25:25" x14ac:dyDescent="0.2">
      <c r="Y34200" s="97"/>
    </row>
    <row r="34201" spans="25:25" x14ac:dyDescent="0.2">
      <c r="Y34201" s="97"/>
    </row>
    <row r="34202" spans="25:25" x14ac:dyDescent="0.2">
      <c r="Y34202" s="97"/>
    </row>
    <row r="34203" spans="25:25" x14ac:dyDescent="0.2">
      <c r="Y34203" s="97"/>
    </row>
    <row r="34204" spans="25:25" x14ac:dyDescent="0.2">
      <c r="Y34204" s="97"/>
    </row>
    <row r="34205" spans="25:25" x14ac:dyDescent="0.2">
      <c r="Y34205" s="97"/>
    </row>
    <row r="34206" spans="25:25" x14ac:dyDescent="0.2">
      <c r="Y34206" s="97"/>
    </row>
    <row r="34207" spans="25:25" x14ac:dyDescent="0.2">
      <c r="Y34207" s="97"/>
    </row>
    <row r="34208" spans="25:25" x14ac:dyDescent="0.2">
      <c r="Y34208" s="97"/>
    </row>
    <row r="34209" spans="25:25" x14ac:dyDescent="0.2">
      <c r="Y34209" s="97"/>
    </row>
    <row r="34210" spans="25:25" x14ac:dyDescent="0.2">
      <c r="Y34210" s="97"/>
    </row>
    <row r="34211" spans="25:25" x14ac:dyDescent="0.2">
      <c r="Y34211" s="97"/>
    </row>
    <row r="34212" spans="25:25" x14ac:dyDescent="0.2">
      <c r="Y34212" s="97"/>
    </row>
    <row r="34213" spans="25:25" x14ac:dyDescent="0.2">
      <c r="Y34213" s="97"/>
    </row>
    <row r="34214" spans="25:25" x14ac:dyDescent="0.2">
      <c r="Y34214" s="97"/>
    </row>
    <row r="34215" spans="25:25" x14ac:dyDescent="0.2">
      <c r="Y34215" s="97"/>
    </row>
    <row r="34216" spans="25:25" x14ac:dyDescent="0.2">
      <c r="Y34216" s="97"/>
    </row>
    <row r="34217" spans="25:25" x14ac:dyDescent="0.2">
      <c r="Y34217" s="97"/>
    </row>
    <row r="34218" spans="25:25" x14ac:dyDescent="0.2">
      <c r="Y34218" s="97"/>
    </row>
    <row r="34219" spans="25:25" x14ac:dyDescent="0.2">
      <c r="Y34219" s="97"/>
    </row>
    <row r="34220" spans="25:25" x14ac:dyDescent="0.2">
      <c r="Y34220" s="97"/>
    </row>
    <row r="34221" spans="25:25" x14ac:dyDescent="0.2">
      <c r="Y34221" s="97"/>
    </row>
    <row r="34222" spans="25:25" x14ac:dyDescent="0.2">
      <c r="Y34222" s="97"/>
    </row>
    <row r="34223" spans="25:25" x14ac:dyDescent="0.2">
      <c r="Y34223" s="97"/>
    </row>
    <row r="34224" spans="25:25" x14ac:dyDescent="0.2">
      <c r="Y34224" s="97"/>
    </row>
    <row r="34225" spans="25:25" x14ac:dyDescent="0.2">
      <c r="Y34225" s="97"/>
    </row>
    <row r="34226" spans="25:25" x14ac:dyDescent="0.2">
      <c r="Y34226" s="97"/>
    </row>
    <row r="34227" spans="25:25" x14ac:dyDescent="0.2">
      <c r="Y34227" s="97"/>
    </row>
    <row r="34228" spans="25:25" x14ac:dyDescent="0.2">
      <c r="Y34228" s="97"/>
    </row>
    <row r="34229" spans="25:25" x14ac:dyDescent="0.2">
      <c r="Y34229" s="97"/>
    </row>
    <row r="34230" spans="25:25" x14ac:dyDescent="0.2">
      <c r="Y34230" s="97"/>
    </row>
    <row r="34231" spans="25:25" x14ac:dyDescent="0.2">
      <c r="Y34231" s="97"/>
    </row>
    <row r="34232" spans="25:25" x14ac:dyDescent="0.2">
      <c r="Y34232" s="97"/>
    </row>
    <row r="34233" spans="25:25" x14ac:dyDescent="0.2">
      <c r="Y34233" s="97"/>
    </row>
    <row r="34234" spans="25:25" x14ac:dyDescent="0.2">
      <c r="Y34234" s="97"/>
    </row>
    <row r="34235" spans="25:25" x14ac:dyDescent="0.2">
      <c r="Y34235" s="97"/>
    </row>
    <row r="34236" spans="25:25" x14ac:dyDescent="0.2">
      <c r="Y34236" s="97"/>
    </row>
    <row r="34237" spans="25:25" x14ac:dyDescent="0.2">
      <c r="Y34237" s="97"/>
    </row>
    <row r="34238" spans="25:25" x14ac:dyDescent="0.2">
      <c r="Y34238" s="97"/>
    </row>
    <row r="34239" spans="25:25" x14ac:dyDescent="0.2">
      <c r="Y34239" s="97"/>
    </row>
    <row r="34240" spans="25:25" x14ac:dyDescent="0.2">
      <c r="Y34240" s="97"/>
    </row>
    <row r="34241" spans="25:25" x14ac:dyDescent="0.2">
      <c r="Y34241" s="97"/>
    </row>
    <row r="34242" spans="25:25" x14ac:dyDescent="0.2">
      <c r="Y34242" s="97"/>
    </row>
    <row r="34243" spans="25:25" x14ac:dyDescent="0.2">
      <c r="Y34243" s="97"/>
    </row>
    <row r="34244" spans="25:25" x14ac:dyDescent="0.2">
      <c r="Y34244" s="97"/>
    </row>
    <row r="34245" spans="25:25" x14ac:dyDescent="0.2">
      <c r="Y34245" s="97"/>
    </row>
    <row r="34246" spans="25:25" x14ac:dyDescent="0.2">
      <c r="Y34246" s="97"/>
    </row>
    <row r="34247" spans="25:25" x14ac:dyDescent="0.2">
      <c r="Y34247" s="97"/>
    </row>
    <row r="34248" spans="25:25" x14ac:dyDescent="0.2">
      <c r="Y34248" s="97"/>
    </row>
    <row r="34249" spans="25:25" x14ac:dyDescent="0.2">
      <c r="Y34249" s="97"/>
    </row>
    <row r="34250" spans="25:25" x14ac:dyDescent="0.2">
      <c r="Y34250" s="97"/>
    </row>
    <row r="34251" spans="25:25" x14ac:dyDescent="0.2">
      <c r="Y34251" s="97"/>
    </row>
    <row r="34252" spans="25:25" x14ac:dyDescent="0.2">
      <c r="Y34252" s="97"/>
    </row>
    <row r="34253" spans="25:25" x14ac:dyDescent="0.2">
      <c r="Y34253" s="97"/>
    </row>
    <row r="34254" spans="25:25" x14ac:dyDescent="0.2">
      <c r="Y34254" s="97"/>
    </row>
    <row r="34255" spans="25:25" x14ac:dyDescent="0.2">
      <c r="Y34255" s="97"/>
    </row>
    <row r="34256" spans="25:25" x14ac:dyDescent="0.2">
      <c r="Y34256" s="97"/>
    </row>
    <row r="34257" spans="25:25" x14ac:dyDescent="0.2">
      <c r="Y34257" s="97"/>
    </row>
    <row r="34258" spans="25:25" x14ac:dyDescent="0.2">
      <c r="Y34258" s="97"/>
    </row>
    <row r="34259" spans="25:25" x14ac:dyDescent="0.2">
      <c r="Y34259" s="97"/>
    </row>
    <row r="34260" spans="25:25" x14ac:dyDescent="0.2">
      <c r="Y34260" s="97"/>
    </row>
    <row r="34261" spans="25:25" x14ac:dyDescent="0.2">
      <c r="Y34261" s="97"/>
    </row>
    <row r="34262" spans="25:25" x14ac:dyDescent="0.2">
      <c r="Y34262" s="97"/>
    </row>
    <row r="34263" spans="25:25" x14ac:dyDescent="0.2">
      <c r="Y34263" s="97"/>
    </row>
    <row r="34264" spans="25:25" x14ac:dyDescent="0.2">
      <c r="Y34264" s="97"/>
    </row>
    <row r="34265" spans="25:25" x14ac:dyDescent="0.2">
      <c r="Y34265" s="97"/>
    </row>
    <row r="34266" spans="25:25" x14ac:dyDescent="0.2">
      <c r="Y34266" s="97"/>
    </row>
    <row r="34267" spans="25:25" x14ac:dyDescent="0.2">
      <c r="Y34267" s="97"/>
    </row>
    <row r="34268" spans="25:25" x14ac:dyDescent="0.2">
      <c r="Y34268" s="97"/>
    </row>
    <row r="34269" spans="25:25" x14ac:dyDescent="0.2">
      <c r="Y34269" s="97"/>
    </row>
    <row r="34270" spans="25:25" x14ac:dyDescent="0.2">
      <c r="Y34270" s="97"/>
    </row>
    <row r="34271" spans="25:25" x14ac:dyDescent="0.2">
      <c r="Y34271" s="97"/>
    </row>
    <row r="34272" spans="25:25" x14ac:dyDescent="0.2">
      <c r="Y34272" s="97"/>
    </row>
    <row r="34273" spans="25:25" x14ac:dyDescent="0.2">
      <c r="Y34273" s="97"/>
    </row>
    <row r="34274" spans="25:25" x14ac:dyDescent="0.2">
      <c r="Y34274" s="97"/>
    </row>
    <row r="34275" spans="25:25" x14ac:dyDescent="0.2">
      <c r="Y34275" s="97"/>
    </row>
    <row r="34276" spans="25:25" x14ac:dyDescent="0.2">
      <c r="Y34276" s="97"/>
    </row>
    <row r="34277" spans="25:25" x14ac:dyDescent="0.2">
      <c r="Y34277" s="97"/>
    </row>
    <row r="34278" spans="25:25" x14ac:dyDescent="0.2">
      <c r="Y34278" s="97"/>
    </row>
    <row r="34279" spans="25:25" x14ac:dyDescent="0.2">
      <c r="Y34279" s="97"/>
    </row>
    <row r="34280" spans="25:25" x14ac:dyDescent="0.2">
      <c r="Y34280" s="97"/>
    </row>
    <row r="34281" spans="25:25" x14ac:dyDescent="0.2">
      <c r="Y34281" s="97"/>
    </row>
    <row r="34282" spans="25:25" x14ac:dyDescent="0.2">
      <c r="Y34282" s="97"/>
    </row>
    <row r="34283" spans="25:25" x14ac:dyDescent="0.2">
      <c r="Y34283" s="97"/>
    </row>
    <row r="34284" spans="25:25" x14ac:dyDescent="0.2">
      <c r="Y34284" s="97"/>
    </row>
    <row r="34285" spans="25:25" x14ac:dyDescent="0.2">
      <c r="Y34285" s="97"/>
    </row>
    <row r="34286" spans="25:25" x14ac:dyDescent="0.2">
      <c r="Y34286" s="97"/>
    </row>
    <row r="34287" spans="25:25" x14ac:dyDescent="0.2">
      <c r="Y34287" s="97"/>
    </row>
    <row r="34288" spans="25:25" x14ac:dyDescent="0.2">
      <c r="Y34288" s="97"/>
    </row>
    <row r="34289" spans="25:25" x14ac:dyDescent="0.2">
      <c r="Y34289" s="97"/>
    </row>
    <row r="34290" spans="25:25" x14ac:dyDescent="0.2">
      <c r="Y34290" s="97"/>
    </row>
    <row r="34291" spans="25:25" x14ac:dyDescent="0.2">
      <c r="Y34291" s="97"/>
    </row>
    <row r="34292" spans="25:25" x14ac:dyDescent="0.2">
      <c r="Y34292" s="97"/>
    </row>
    <row r="34293" spans="25:25" x14ac:dyDescent="0.2">
      <c r="Y34293" s="97"/>
    </row>
    <row r="34294" spans="25:25" x14ac:dyDescent="0.2">
      <c r="Y34294" s="97"/>
    </row>
    <row r="34295" spans="25:25" x14ac:dyDescent="0.2">
      <c r="Y34295" s="97"/>
    </row>
    <row r="34296" spans="25:25" x14ac:dyDescent="0.2">
      <c r="Y34296" s="97"/>
    </row>
    <row r="34297" spans="25:25" x14ac:dyDescent="0.2">
      <c r="Y34297" s="97"/>
    </row>
    <row r="34298" spans="25:25" x14ac:dyDescent="0.2">
      <c r="Y34298" s="97"/>
    </row>
    <row r="34299" spans="25:25" x14ac:dyDescent="0.2">
      <c r="Y34299" s="97"/>
    </row>
    <row r="34300" spans="25:25" x14ac:dyDescent="0.2">
      <c r="Y34300" s="97"/>
    </row>
    <row r="34301" spans="25:25" x14ac:dyDescent="0.2">
      <c r="Y34301" s="97"/>
    </row>
    <row r="34302" spans="25:25" x14ac:dyDescent="0.2">
      <c r="Y34302" s="97"/>
    </row>
    <row r="34303" spans="25:25" x14ac:dyDescent="0.2">
      <c r="Y34303" s="97"/>
    </row>
    <row r="34304" spans="25:25" x14ac:dyDescent="0.2">
      <c r="Y34304" s="97"/>
    </row>
    <row r="34305" spans="25:25" x14ac:dyDescent="0.2">
      <c r="Y34305" s="97"/>
    </row>
    <row r="34306" spans="25:25" x14ac:dyDescent="0.2">
      <c r="Y34306" s="97"/>
    </row>
    <row r="34307" spans="25:25" x14ac:dyDescent="0.2">
      <c r="Y34307" s="97"/>
    </row>
    <row r="34308" spans="25:25" x14ac:dyDescent="0.2">
      <c r="Y34308" s="97"/>
    </row>
    <row r="34309" spans="25:25" x14ac:dyDescent="0.2">
      <c r="Y34309" s="97"/>
    </row>
    <row r="34310" spans="25:25" x14ac:dyDescent="0.2">
      <c r="Y34310" s="97"/>
    </row>
    <row r="34311" spans="25:25" x14ac:dyDescent="0.2">
      <c r="Y34311" s="97"/>
    </row>
    <row r="34312" spans="25:25" x14ac:dyDescent="0.2">
      <c r="Y34312" s="97"/>
    </row>
    <row r="34313" spans="25:25" x14ac:dyDescent="0.2">
      <c r="Y34313" s="97"/>
    </row>
    <row r="34314" spans="25:25" x14ac:dyDescent="0.2">
      <c r="Y34314" s="97"/>
    </row>
    <row r="34315" spans="25:25" x14ac:dyDescent="0.2">
      <c r="Y34315" s="97"/>
    </row>
    <row r="34316" spans="25:25" x14ac:dyDescent="0.2">
      <c r="Y34316" s="97"/>
    </row>
    <row r="34317" spans="25:25" x14ac:dyDescent="0.2">
      <c r="Y34317" s="97"/>
    </row>
    <row r="34318" spans="25:25" x14ac:dyDescent="0.2">
      <c r="Y34318" s="97"/>
    </row>
    <row r="34319" spans="25:25" x14ac:dyDescent="0.2">
      <c r="Y34319" s="97"/>
    </row>
    <row r="34320" spans="25:25" x14ac:dyDescent="0.2">
      <c r="Y34320" s="97"/>
    </row>
    <row r="34321" spans="25:25" x14ac:dyDescent="0.2">
      <c r="Y34321" s="97"/>
    </row>
    <row r="34322" spans="25:25" x14ac:dyDescent="0.2">
      <c r="Y34322" s="97"/>
    </row>
    <row r="34323" spans="25:25" x14ac:dyDescent="0.2">
      <c r="Y34323" s="97"/>
    </row>
    <row r="34324" spans="25:25" x14ac:dyDescent="0.2">
      <c r="Y34324" s="97"/>
    </row>
    <row r="34325" spans="25:25" x14ac:dyDescent="0.2">
      <c r="Y34325" s="97"/>
    </row>
    <row r="34326" spans="25:25" x14ac:dyDescent="0.2">
      <c r="Y34326" s="97"/>
    </row>
    <row r="34327" spans="25:25" x14ac:dyDescent="0.2">
      <c r="Y34327" s="97"/>
    </row>
    <row r="34328" spans="25:25" x14ac:dyDescent="0.2">
      <c r="Y34328" s="97"/>
    </row>
    <row r="34329" spans="25:25" x14ac:dyDescent="0.2">
      <c r="Y34329" s="97"/>
    </row>
    <row r="34330" spans="25:25" x14ac:dyDescent="0.2">
      <c r="Y34330" s="97"/>
    </row>
    <row r="34331" spans="25:25" x14ac:dyDescent="0.2">
      <c r="Y34331" s="97"/>
    </row>
    <row r="34332" spans="25:25" x14ac:dyDescent="0.2">
      <c r="Y34332" s="97"/>
    </row>
    <row r="34333" spans="25:25" x14ac:dyDescent="0.2">
      <c r="Y34333" s="97"/>
    </row>
    <row r="34334" spans="25:25" x14ac:dyDescent="0.2">
      <c r="Y34334" s="97"/>
    </row>
    <row r="34335" spans="25:25" x14ac:dyDescent="0.2">
      <c r="Y34335" s="97"/>
    </row>
    <row r="34336" spans="25:25" x14ac:dyDescent="0.2">
      <c r="Y34336" s="97"/>
    </row>
    <row r="34337" spans="25:25" x14ac:dyDescent="0.2">
      <c r="Y34337" s="97"/>
    </row>
    <row r="34338" spans="25:25" x14ac:dyDescent="0.2">
      <c r="Y34338" s="97"/>
    </row>
    <row r="34339" spans="25:25" x14ac:dyDescent="0.2">
      <c r="Y34339" s="97"/>
    </row>
    <row r="34340" spans="25:25" x14ac:dyDescent="0.2">
      <c r="Y34340" s="97"/>
    </row>
    <row r="34341" spans="25:25" x14ac:dyDescent="0.2">
      <c r="Y34341" s="97"/>
    </row>
    <row r="34342" spans="25:25" x14ac:dyDescent="0.2">
      <c r="Y34342" s="97"/>
    </row>
    <row r="34343" spans="25:25" x14ac:dyDescent="0.2">
      <c r="Y34343" s="97"/>
    </row>
    <row r="34344" spans="25:25" x14ac:dyDescent="0.2">
      <c r="Y34344" s="97"/>
    </row>
    <row r="34345" spans="25:25" x14ac:dyDescent="0.2">
      <c r="Y34345" s="97"/>
    </row>
    <row r="34346" spans="25:25" x14ac:dyDescent="0.2">
      <c r="Y34346" s="97"/>
    </row>
    <row r="34347" spans="25:25" x14ac:dyDescent="0.2">
      <c r="Y34347" s="97"/>
    </row>
    <row r="34348" spans="25:25" x14ac:dyDescent="0.2">
      <c r="Y34348" s="97"/>
    </row>
    <row r="34349" spans="25:25" x14ac:dyDescent="0.2">
      <c r="Y34349" s="97"/>
    </row>
    <row r="34350" spans="25:25" x14ac:dyDescent="0.2">
      <c r="Y34350" s="97"/>
    </row>
    <row r="34351" spans="25:25" x14ac:dyDescent="0.2">
      <c r="Y34351" s="97"/>
    </row>
    <row r="34352" spans="25:25" x14ac:dyDescent="0.2">
      <c r="Y34352" s="97"/>
    </row>
    <row r="34353" spans="25:25" x14ac:dyDescent="0.2">
      <c r="Y34353" s="97"/>
    </row>
    <row r="34354" spans="25:25" x14ac:dyDescent="0.2">
      <c r="Y34354" s="97"/>
    </row>
    <row r="34355" spans="25:25" x14ac:dyDescent="0.2">
      <c r="Y34355" s="97"/>
    </row>
    <row r="34356" spans="25:25" x14ac:dyDescent="0.2">
      <c r="Y34356" s="97"/>
    </row>
    <row r="34357" spans="25:25" x14ac:dyDescent="0.2">
      <c r="Y34357" s="97"/>
    </row>
    <row r="34358" spans="25:25" x14ac:dyDescent="0.2">
      <c r="Y34358" s="97"/>
    </row>
    <row r="34359" spans="25:25" x14ac:dyDescent="0.2">
      <c r="Y34359" s="97"/>
    </row>
    <row r="34360" spans="25:25" x14ac:dyDescent="0.2">
      <c r="Y34360" s="97"/>
    </row>
    <row r="34361" spans="25:25" x14ac:dyDescent="0.2">
      <c r="Y34361" s="97"/>
    </row>
    <row r="34362" spans="25:25" x14ac:dyDescent="0.2">
      <c r="Y34362" s="97"/>
    </row>
    <row r="34363" spans="25:25" x14ac:dyDescent="0.2">
      <c r="Y34363" s="97"/>
    </row>
    <row r="34364" spans="25:25" x14ac:dyDescent="0.2">
      <c r="Y34364" s="97"/>
    </row>
    <row r="34365" spans="25:25" x14ac:dyDescent="0.2">
      <c r="Y34365" s="97"/>
    </row>
    <row r="34366" spans="25:25" x14ac:dyDescent="0.2">
      <c r="Y34366" s="97"/>
    </row>
    <row r="34367" spans="25:25" x14ac:dyDescent="0.2">
      <c r="Y34367" s="97"/>
    </row>
    <row r="34368" spans="25:25" x14ac:dyDescent="0.2">
      <c r="Y34368" s="97"/>
    </row>
    <row r="34369" spans="25:25" x14ac:dyDescent="0.2">
      <c r="Y34369" s="97"/>
    </row>
    <row r="34370" spans="25:25" x14ac:dyDescent="0.2">
      <c r="Y34370" s="97"/>
    </row>
    <row r="34371" spans="25:25" x14ac:dyDescent="0.2">
      <c r="Y34371" s="97"/>
    </row>
    <row r="34372" spans="25:25" x14ac:dyDescent="0.2">
      <c r="Y34372" s="97"/>
    </row>
    <row r="34373" spans="25:25" x14ac:dyDescent="0.2">
      <c r="Y34373" s="97"/>
    </row>
    <row r="34374" spans="25:25" x14ac:dyDescent="0.2">
      <c r="Y34374" s="97"/>
    </row>
    <row r="34375" spans="25:25" x14ac:dyDescent="0.2">
      <c r="Y34375" s="97"/>
    </row>
    <row r="34376" spans="25:25" x14ac:dyDescent="0.2">
      <c r="Y34376" s="97"/>
    </row>
    <row r="34377" spans="25:25" x14ac:dyDescent="0.2">
      <c r="Y34377" s="97"/>
    </row>
    <row r="34378" spans="25:25" x14ac:dyDescent="0.2">
      <c r="Y34378" s="97"/>
    </row>
    <row r="34379" spans="25:25" x14ac:dyDescent="0.2">
      <c r="Y34379" s="97"/>
    </row>
    <row r="34380" spans="25:25" x14ac:dyDescent="0.2">
      <c r="Y34380" s="97"/>
    </row>
    <row r="34381" spans="25:25" x14ac:dyDescent="0.2">
      <c r="Y34381" s="97"/>
    </row>
    <row r="34382" spans="25:25" x14ac:dyDescent="0.2">
      <c r="Y34382" s="97"/>
    </row>
    <row r="34383" spans="25:25" x14ac:dyDescent="0.2">
      <c r="Y34383" s="97"/>
    </row>
    <row r="34384" spans="25:25" x14ac:dyDescent="0.2">
      <c r="Y34384" s="97"/>
    </row>
    <row r="34385" spans="25:25" x14ac:dyDescent="0.2">
      <c r="Y34385" s="97"/>
    </row>
    <row r="34386" spans="25:25" x14ac:dyDescent="0.2">
      <c r="Y34386" s="97"/>
    </row>
    <row r="34387" spans="25:25" x14ac:dyDescent="0.2">
      <c r="Y34387" s="97"/>
    </row>
    <row r="34388" spans="25:25" x14ac:dyDescent="0.2">
      <c r="Y34388" s="97"/>
    </row>
    <row r="34389" spans="25:25" x14ac:dyDescent="0.2">
      <c r="Y34389" s="97"/>
    </row>
    <row r="34390" spans="25:25" x14ac:dyDescent="0.2">
      <c r="Y34390" s="97"/>
    </row>
    <row r="34391" spans="25:25" x14ac:dyDescent="0.2">
      <c r="Y34391" s="97"/>
    </row>
    <row r="34392" spans="25:25" x14ac:dyDescent="0.2">
      <c r="Y34392" s="97"/>
    </row>
    <row r="34393" spans="25:25" x14ac:dyDescent="0.2">
      <c r="Y34393" s="97"/>
    </row>
    <row r="34394" spans="25:25" x14ac:dyDescent="0.2">
      <c r="Y34394" s="97"/>
    </row>
    <row r="34395" spans="25:25" x14ac:dyDescent="0.2">
      <c r="Y34395" s="97"/>
    </row>
    <row r="34396" spans="25:25" x14ac:dyDescent="0.2">
      <c r="Y34396" s="97"/>
    </row>
    <row r="34397" spans="25:25" x14ac:dyDescent="0.2">
      <c r="Y34397" s="97"/>
    </row>
    <row r="34398" spans="25:25" x14ac:dyDescent="0.2">
      <c r="Y34398" s="97"/>
    </row>
    <row r="34399" spans="25:25" x14ac:dyDescent="0.2">
      <c r="Y34399" s="97"/>
    </row>
    <row r="34400" spans="25:25" x14ac:dyDescent="0.2">
      <c r="Y34400" s="97"/>
    </row>
    <row r="34401" spans="25:25" x14ac:dyDescent="0.2">
      <c r="Y34401" s="97"/>
    </row>
    <row r="34402" spans="25:25" x14ac:dyDescent="0.2">
      <c r="Y34402" s="97"/>
    </row>
    <row r="34403" spans="25:25" x14ac:dyDescent="0.2">
      <c r="Y34403" s="97"/>
    </row>
    <row r="34404" spans="25:25" x14ac:dyDescent="0.2">
      <c r="Y34404" s="97"/>
    </row>
    <row r="34405" spans="25:25" x14ac:dyDescent="0.2">
      <c r="Y34405" s="97"/>
    </row>
    <row r="34406" spans="25:25" x14ac:dyDescent="0.2">
      <c r="Y34406" s="97"/>
    </row>
    <row r="34407" spans="25:25" x14ac:dyDescent="0.2">
      <c r="Y34407" s="97"/>
    </row>
    <row r="34408" spans="25:25" x14ac:dyDescent="0.2">
      <c r="Y34408" s="97"/>
    </row>
    <row r="34409" spans="25:25" x14ac:dyDescent="0.2">
      <c r="Y34409" s="97"/>
    </row>
    <row r="34410" spans="25:25" x14ac:dyDescent="0.2">
      <c r="Y34410" s="97"/>
    </row>
    <row r="34411" spans="25:25" x14ac:dyDescent="0.2">
      <c r="Y34411" s="97"/>
    </row>
    <row r="34412" spans="25:25" x14ac:dyDescent="0.2">
      <c r="Y34412" s="97"/>
    </row>
    <row r="34413" spans="25:25" x14ac:dyDescent="0.2">
      <c r="Y34413" s="97"/>
    </row>
    <row r="34414" spans="25:25" x14ac:dyDescent="0.2">
      <c r="Y34414" s="97"/>
    </row>
    <row r="34415" spans="25:25" x14ac:dyDescent="0.2">
      <c r="Y34415" s="97"/>
    </row>
    <row r="34416" spans="25:25" x14ac:dyDescent="0.2">
      <c r="Y34416" s="97"/>
    </row>
    <row r="34417" spans="25:25" x14ac:dyDescent="0.2">
      <c r="Y34417" s="97"/>
    </row>
    <row r="34418" spans="25:25" x14ac:dyDescent="0.2">
      <c r="Y34418" s="97"/>
    </row>
    <row r="34419" spans="25:25" x14ac:dyDescent="0.2">
      <c r="Y34419" s="97"/>
    </row>
    <row r="34420" spans="25:25" x14ac:dyDescent="0.2">
      <c r="Y34420" s="97"/>
    </row>
    <row r="34421" spans="25:25" x14ac:dyDescent="0.2">
      <c r="Y34421" s="97"/>
    </row>
    <row r="34422" spans="25:25" x14ac:dyDescent="0.2">
      <c r="Y34422" s="97"/>
    </row>
    <row r="34423" spans="25:25" x14ac:dyDescent="0.2">
      <c r="Y34423" s="97"/>
    </row>
    <row r="34424" spans="25:25" x14ac:dyDescent="0.2">
      <c r="Y34424" s="97"/>
    </row>
    <row r="34425" spans="25:25" x14ac:dyDescent="0.2">
      <c r="Y34425" s="97"/>
    </row>
    <row r="34426" spans="25:25" x14ac:dyDescent="0.2">
      <c r="Y34426" s="97"/>
    </row>
    <row r="34427" spans="25:25" x14ac:dyDescent="0.2">
      <c r="Y34427" s="97"/>
    </row>
    <row r="34428" spans="25:25" x14ac:dyDescent="0.2">
      <c r="Y34428" s="97"/>
    </row>
    <row r="34429" spans="25:25" x14ac:dyDescent="0.2">
      <c r="Y34429" s="97"/>
    </row>
    <row r="34430" spans="25:25" x14ac:dyDescent="0.2">
      <c r="Y34430" s="97"/>
    </row>
    <row r="34431" spans="25:25" x14ac:dyDescent="0.2">
      <c r="Y34431" s="97"/>
    </row>
    <row r="34432" spans="25:25" x14ac:dyDescent="0.2">
      <c r="Y34432" s="97"/>
    </row>
    <row r="34433" spans="25:25" x14ac:dyDescent="0.2">
      <c r="Y34433" s="97"/>
    </row>
    <row r="34434" spans="25:25" x14ac:dyDescent="0.2">
      <c r="Y34434" s="97"/>
    </row>
    <row r="34435" spans="25:25" x14ac:dyDescent="0.2">
      <c r="Y34435" s="97"/>
    </row>
    <row r="34436" spans="25:25" x14ac:dyDescent="0.2">
      <c r="Y34436" s="97"/>
    </row>
    <row r="34437" spans="25:25" x14ac:dyDescent="0.2">
      <c r="Y34437" s="97"/>
    </row>
    <row r="34438" spans="25:25" x14ac:dyDescent="0.2">
      <c r="Y34438" s="97"/>
    </row>
    <row r="34439" spans="25:25" x14ac:dyDescent="0.2">
      <c r="Y34439" s="97"/>
    </row>
    <row r="34440" spans="25:25" x14ac:dyDescent="0.2">
      <c r="Y34440" s="97"/>
    </row>
    <row r="34441" spans="25:25" x14ac:dyDescent="0.2">
      <c r="Y34441" s="97"/>
    </row>
    <row r="34442" spans="25:25" x14ac:dyDescent="0.2">
      <c r="Y34442" s="97"/>
    </row>
    <row r="34443" spans="25:25" x14ac:dyDescent="0.2">
      <c r="Y34443" s="97"/>
    </row>
    <row r="34444" spans="25:25" x14ac:dyDescent="0.2">
      <c r="Y34444" s="97"/>
    </row>
    <row r="34445" spans="25:25" x14ac:dyDescent="0.2">
      <c r="Y34445" s="97"/>
    </row>
    <row r="34446" spans="25:25" x14ac:dyDescent="0.2">
      <c r="Y34446" s="97"/>
    </row>
    <row r="34447" spans="25:25" x14ac:dyDescent="0.2">
      <c r="Y34447" s="97"/>
    </row>
    <row r="34448" spans="25:25" x14ac:dyDescent="0.2">
      <c r="Y34448" s="97"/>
    </row>
    <row r="34449" spans="25:25" x14ac:dyDescent="0.2">
      <c r="Y34449" s="97"/>
    </row>
    <row r="34450" spans="25:25" x14ac:dyDescent="0.2">
      <c r="Y34450" s="97"/>
    </row>
    <row r="34451" spans="25:25" x14ac:dyDescent="0.2">
      <c r="Y34451" s="97"/>
    </row>
    <row r="34452" spans="25:25" x14ac:dyDescent="0.2">
      <c r="Y34452" s="97"/>
    </row>
    <row r="34453" spans="25:25" x14ac:dyDescent="0.2">
      <c r="Y34453" s="97"/>
    </row>
    <row r="34454" spans="25:25" x14ac:dyDescent="0.2">
      <c r="Y34454" s="97"/>
    </row>
    <row r="34455" spans="25:25" x14ac:dyDescent="0.2">
      <c r="Y34455" s="97"/>
    </row>
    <row r="34456" spans="25:25" x14ac:dyDescent="0.2">
      <c r="Y34456" s="97"/>
    </row>
    <row r="34457" spans="25:25" x14ac:dyDescent="0.2">
      <c r="Y34457" s="97"/>
    </row>
    <row r="34458" spans="25:25" x14ac:dyDescent="0.2">
      <c r="Y34458" s="97"/>
    </row>
    <row r="34459" spans="25:25" x14ac:dyDescent="0.2">
      <c r="Y34459" s="97"/>
    </row>
    <row r="34460" spans="25:25" x14ac:dyDescent="0.2">
      <c r="Y34460" s="97"/>
    </row>
    <row r="34461" spans="25:25" x14ac:dyDescent="0.2">
      <c r="Y34461" s="97"/>
    </row>
    <row r="34462" spans="25:25" x14ac:dyDescent="0.2">
      <c r="Y34462" s="97"/>
    </row>
    <row r="34463" spans="25:25" x14ac:dyDescent="0.2">
      <c r="Y34463" s="97"/>
    </row>
    <row r="34464" spans="25:25" x14ac:dyDescent="0.2">
      <c r="Y34464" s="97"/>
    </row>
    <row r="34465" spans="25:25" x14ac:dyDescent="0.2">
      <c r="Y34465" s="97"/>
    </row>
    <row r="34466" spans="25:25" x14ac:dyDescent="0.2">
      <c r="Y34466" s="97"/>
    </row>
    <row r="34467" spans="25:25" x14ac:dyDescent="0.2">
      <c r="Y34467" s="97"/>
    </row>
    <row r="34468" spans="25:25" x14ac:dyDescent="0.2">
      <c r="Y34468" s="97"/>
    </row>
    <row r="34469" spans="25:25" x14ac:dyDescent="0.2">
      <c r="Y34469" s="97"/>
    </row>
    <row r="34470" spans="25:25" x14ac:dyDescent="0.2">
      <c r="Y34470" s="97"/>
    </row>
    <row r="34471" spans="25:25" x14ac:dyDescent="0.2">
      <c r="Y34471" s="97"/>
    </row>
    <row r="34472" spans="25:25" x14ac:dyDescent="0.2">
      <c r="Y34472" s="97"/>
    </row>
    <row r="34473" spans="25:25" x14ac:dyDescent="0.2">
      <c r="Y34473" s="97"/>
    </row>
    <row r="34474" spans="25:25" x14ac:dyDescent="0.2">
      <c r="Y34474" s="97"/>
    </row>
    <row r="34475" spans="25:25" x14ac:dyDescent="0.2">
      <c r="Y34475" s="97"/>
    </row>
    <row r="34476" spans="25:25" x14ac:dyDescent="0.2">
      <c r="Y34476" s="97"/>
    </row>
    <row r="34477" spans="25:25" x14ac:dyDescent="0.2">
      <c r="Y34477" s="97"/>
    </row>
    <row r="34478" spans="25:25" x14ac:dyDescent="0.2">
      <c r="Y34478" s="97"/>
    </row>
    <row r="34479" spans="25:25" x14ac:dyDescent="0.2">
      <c r="Y34479" s="97"/>
    </row>
    <row r="34480" spans="25:25" x14ac:dyDescent="0.2">
      <c r="Y34480" s="97"/>
    </row>
    <row r="34481" spans="25:25" x14ac:dyDescent="0.2">
      <c r="Y34481" s="97"/>
    </row>
    <row r="34482" spans="25:25" x14ac:dyDescent="0.2">
      <c r="Y34482" s="97"/>
    </row>
    <row r="34483" spans="25:25" x14ac:dyDescent="0.2">
      <c r="Y34483" s="97"/>
    </row>
    <row r="34484" spans="25:25" x14ac:dyDescent="0.2">
      <c r="Y34484" s="97"/>
    </row>
    <row r="34485" spans="25:25" x14ac:dyDescent="0.2">
      <c r="Y34485" s="97"/>
    </row>
    <row r="34486" spans="25:25" x14ac:dyDescent="0.2">
      <c r="Y34486" s="97"/>
    </row>
    <row r="34487" spans="25:25" x14ac:dyDescent="0.2">
      <c r="Y34487" s="97"/>
    </row>
    <row r="34488" spans="25:25" x14ac:dyDescent="0.2">
      <c r="Y34488" s="97"/>
    </row>
    <row r="34489" spans="25:25" x14ac:dyDescent="0.2">
      <c r="Y34489" s="97"/>
    </row>
    <row r="34490" spans="25:25" x14ac:dyDescent="0.2">
      <c r="Y34490" s="97"/>
    </row>
    <row r="34491" spans="25:25" x14ac:dyDescent="0.2">
      <c r="Y34491" s="97"/>
    </row>
    <row r="34492" spans="25:25" x14ac:dyDescent="0.2">
      <c r="Y34492" s="97"/>
    </row>
    <row r="34493" spans="25:25" x14ac:dyDescent="0.2">
      <c r="Y34493" s="97"/>
    </row>
    <row r="34494" spans="25:25" x14ac:dyDescent="0.2">
      <c r="Y34494" s="97"/>
    </row>
    <row r="34495" spans="25:25" x14ac:dyDescent="0.2">
      <c r="Y34495" s="97"/>
    </row>
    <row r="34496" spans="25:25" x14ac:dyDescent="0.2">
      <c r="Y34496" s="97"/>
    </row>
    <row r="34497" spans="25:25" x14ac:dyDescent="0.2">
      <c r="Y34497" s="97"/>
    </row>
    <row r="34498" spans="25:25" x14ac:dyDescent="0.2">
      <c r="Y34498" s="97"/>
    </row>
    <row r="34499" spans="25:25" x14ac:dyDescent="0.2">
      <c r="Y34499" s="97"/>
    </row>
    <row r="34500" spans="25:25" x14ac:dyDescent="0.2">
      <c r="Y34500" s="97"/>
    </row>
    <row r="34501" spans="25:25" x14ac:dyDescent="0.2">
      <c r="Y34501" s="97"/>
    </row>
    <row r="34502" spans="25:25" x14ac:dyDescent="0.2">
      <c r="Y34502" s="97"/>
    </row>
    <row r="34503" spans="25:25" x14ac:dyDescent="0.2">
      <c r="Y34503" s="97"/>
    </row>
    <row r="34504" spans="25:25" x14ac:dyDescent="0.2">
      <c r="Y34504" s="97"/>
    </row>
    <row r="34505" spans="25:25" x14ac:dyDescent="0.2">
      <c r="Y34505" s="97"/>
    </row>
    <row r="34506" spans="25:25" x14ac:dyDescent="0.2">
      <c r="Y34506" s="97"/>
    </row>
    <row r="34507" spans="25:25" x14ac:dyDescent="0.2">
      <c r="Y34507" s="97"/>
    </row>
    <row r="34508" spans="25:25" x14ac:dyDescent="0.2">
      <c r="Y34508" s="97"/>
    </row>
    <row r="34509" spans="25:25" x14ac:dyDescent="0.2">
      <c r="Y34509" s="97"/>
    </row>
    <row r="34510" spans="25:25" x14ac:dyDescent="0.2">
      <c r="Y34510" s="97"/>
    </row>
    <row r="34511" spans="25:25" x14ac:dyDescent="0.2">
      <c r="Y34511" s="97"/>
    </row>
    <row r="34512" spans="25:25" x14ac:dyDescent="0.2">
      <c r="Y34512" s="97"/>
    </row>
    <row r="34513" spans="25:25" x14ac:dyDescent="0.2">
      <c r="Y34513" s="97"/>
    </row>
    <row r="34514" spans="25:25" x14ac:dyDescent="0.2">
      <c r="Y34514" s="97"/>
    </row>
    <row r="34515" spans="25:25" x14ac:dyDescent="0.2">
      <c r="Y34515" s="97"/>
    </row>
    <row r="34516" spans="25:25" x14ac:dyDescent="0.2">
      <c r="Y34516" s="97"/>
    </row>
    <row r="34517" spans="25:25" x14ac:dyDescent="0.2">
      <c r="Y34517" s="97"/>
    </row>
    <row r="34518" spans="25:25" x14ac:dyDescent="0.2">
      <c r="Y34518" s="97"/>
    </row>
    <row r="34519" spans="25:25" x14ac:dyDescent="0.2">
      <c r="Y34519" s="97"/>
    </row>
    <row r="34520" spans="25:25" x14ac:dyDescent="0.2">
      <c r="Y34520" s="97"/>
    </row>
    <row r="34521" spans="25:25" x14ac:dyDescent="0.2">
      <c r="Y34521" s="97"/>
    </row>
    <row r="34522" spans="25:25" x14ac:dyDescent="0.2">
      <c r="Y34522" s="97"/>
    </row>
    <row r="34523" spans="25:25" x14ac:dyDescent="0.2">
      <c r="Y34523" s="97"/>
    </row>
    <row r="34524" spans="25:25" x14ac:dyDescent="0.2">
      <c r="Y34524" s="97"/>
    </row>
    <row r="34525" spans="25:25" x14ac:dyDescent="0.2">
      <c r="Y34525" s="97"/>
    </row>
    <row r="34526" spans="25:25" x14ac:dyDescent="0.2">
      <c r="Y34526" s="97"/>
    </row>
    <row r="34527" spans="25:25" x14ac:dyDescent="0.2">
      <c r="Y34527" s="97"/>
    </row>
    <row r="34528" spans="25:25" x14ac:dyDescent="0.2">
      <c r="Y34528" s="97"/>
    </row>
    <row r="34529" spans="25:25" x14ac:dyDescent="0.2">
      <c r="Y34529" s="97"/>
    </row>
    <row r="34530" spans="25:25" x14ac:dyDescent="0.2">
      <c r="Y34530" s="97"/>
    </row>
    <row r="34531" spans="25:25" x14ac:dyDescent="0.2">
      <c r="Y34531" s="97"/>
    </row>
    <row r="34532" spans="25:25" x14ac:dyDescent="0.2">
      <c r="Y34532" s="97"/>
    </row>
    <row r="34533" spans="25:25" x14ac:dyDescent="0.2">
      <c r="Y34533" s="97"/>
    </row>
    <row r="34534" spans="25:25" x14ac:dyDescent="0.2">
      <c r="Y34534" s="97"/>
    </row>
    <row r="34535" spans="25:25" x14ac:dyDescent="0.2">
      <c r="Y34535" s="97"/>
    </row>
    <row r="34536" spans="25:25" x14ac:dyDescent="0.2">
      <c r="Y34536" s="97"/>
    </row>
    <row r="34537" spans="25:25" x14ac:dyDescent="0.2">
      <c r="Y34537" s="97"/>
    </row>
    <row r="34538" spans="25:25" x14ac:dyDescent="0.2">
      <c r="Y34538" s="97"/>
    </row>
    <row r="34539" spans="25:25" x14ac:dyDescent="0.2">
      <c r="Y34539" s="97"/>
    </row>
    <row r="34540" spans="25:25" x14ac:dyDescent="0.2">
      <c r="Y34540" s="97"/>
    </row>
    <row r="34541" spans="25:25" x14ac:dyDescent="0.2">
      <c r="Y34541" s="97"/>
    </row>
    <row r="34542" spans="25:25" x14ac:dyDescent="0.2">
      <c r="Y34542" s="97"/>
    </row>
    <row r="34543" spans="25:25" x14ac:dyDescent="0.2">
      <c r="Y34543" s="97"/>
    </row>
    <row r="34544" spans="25:25" x14ac:dyDescent="0.2">
      <c r="Y34544" s="97"/>
    </row>
    <row r="34545" spans="25:25" x14ac:dyDescent="0.2">
      <c r="Y34545" s="97"/>
    </row>
    <row r="34546" spans="25:25" x14ac:dyDescent="0.2">
      <c r="Y34546" s="97"/>
    </row>
    <row r="34547" spans="25:25" x14ac:dyDescent="0.2">
      <c r="Y34547" s="97"/>
    </row>
    <row r="34548" spans="25:25" x14ac:dyDescent="0.2">
      <c r="Y34548" s="97"/>
    </row>
    <row r="34549" spans="25:25" x14ac:dyDescent="0.2">
      <c r="Y34549" s="97"/>
    </row>
    <row r="34550" spans="25:25" x14ac:dyDescent="0.2">
      <c r="Y34550" s="97"/>
    </row>
    <row r="34551" spans="25:25" x14ac:dyDescent="0.2">
      <c r="Y34551" s="97"/>
    </row>
    <row r="34552" spans="25:25" x14ac:dyDescent="0.2">
      <c r="Y34552" s="97"/>
    </row>
    <row r="34553" spans="25:25" x14ac:dyDescent="0.2">
      <c r="Y34553" s="97"/>
    </row>
    <row r="34554" spans="25:25" x14ac:dyDescent="0.2">
      <c r="Y34554" s="97"/>
    </row>
    <row r="34555" spans="25:25" x14ac:dyDescent="0.2">
      <c r="Y34555" s="97"/>
    </row>
    <row r="34556" spans="25:25" x14ac:dyDescent="0.2">
      <c r="Y34556" s="97"/>
    </row>
    <row r="34557" spans="25:25" x14ac:dyDescent="0.2">
      <c r="Y34557" s="97"/>
    </row>
    <row r="34558" spans="25:25" x14ac:dyDescent="0.2">
      <c r="Y34558" s="97"/>
    </row>
    <row r="34559" spans="25:25" x14ac:dyDescent="0.2">
      <c r="Y34559" s="97"/>
    </row>
    <row r="34560" spans="25:25" x14ac:dyDescent="0.2">
      <c r="Y34560" s="97"/>
    </row>
    <row r="34561" spans="25:25" x14ac:dyDescent="0.2">
      <c r="Y34561" s="97"/>
    </row>
    <row r="34562" spans="25:25" x14ac:dyDescent="0.2">
      <c r="Y34562" s="97"/>
    </row>
    <row r="34563" spans="25:25" x14ac:dyDescent="0.2">
      <c r="Y34563" s="97"/>
    </row>
    <row r="34564" spans="25:25" x14ac:dyDescent="0.2">
      <c r="Y34564" s="97"/>
    </row>
    <row r="34565" spans="25:25" x14ac:dyDescent="0.2">
      <c r="Y34565" s="97"/>
    </row>
    <row r="34566" spans="25:25" x14ac:dyDescent="0.2">
      <c r="Y34566" s="97"/>
    </row>
    <row r="34567" spans="25:25" x14ac:dyDescent="0.2">
      <c r="Y34567" s="97"/>
    </row>
    <row r="34568" spans="25:25" x14ac:dyDescent="0.2">
      <c r="Y34568" s="97"/>
    </row>
    <row r="34569" spans="25:25" x14ac:dyDescent="0.2">
      <c r="Y34569" s="97"/>
    </row>
    <row r="34570" spans="25:25" x14ac:dyDescent="0.2">
      <c r="Y34570" s="97"/>
    </row>
    <row r="34571" spans="25:25" x14ac:dyDescent="0.2">
      <c r="Y34571" s="97"/>
    </row>
    <row r="34572" spans="25:25" x14ac:dyDescent="0.2">
      <c r="Y34572" s="97"/>
    </row>
    <row r="34573" spans="25:25" x14ac:dyDescent="0.2">
      <c r="Y34573" s="97"/>
    </row>
    <row r="34574" spans="25:25" x14ac:dyDescent="0.2">
      <c r="Y34574" s="97"/>
    </row>
    <row r="34575" spans="25:25" x14ac:dyDescent="0.2">
      <c r="Y34575" s="97"/>
    </row>
    <row r="34576" spans="25:25" x14ac:dyDescent="0.2">
      <c r="Y34576" s="97"/>
    </row>
    <row r="34577" spans="25:25" x14ac:dyDescent="0.2">
      <c r="Y34577" s="97"/>
    </row>
    <row r="34578" spans="25:25" x14ac:dyDescent="0.2">
      <c r="Y34578" s="97"/>
    </row>
    <row r="34579" spans="25:25" x14ac:dyDescent="0.2">
      <c r="Y34579" s="97"/>
    </row>
    <row r="34580" spans="25:25" x14ac:dyDescent="0.2">
      <c r="Y34580" s="97"/>
    </row>
    <row r="34581" spans="25:25" x14ac:dyDescent="0.2">
      <c r="Y34581" s="97"/>
    </row>
    <row r="34582" spans="25:25" x14ac:dyDescent="0.2">
      <c r="Y34582" s="97"/>
    </row>
    <row r="34583" spans="25:25" x14ac:dyDescent="0.2">
      <c r="Y34583" s="97"/>
    </row>
    <row r="34584" spans="25:25" x14ac:dyDescent="0.2">
      <c r="Y34584" s="97"/>
    </row>
    <row r="34585" spans="25:25" x14ac:dyDescent="0.2">
      <c r="Y34585" s="97"/>
    </row>
    <row r="34586" spans="25:25" x14ac:dyDescent="0.2">
      <c r="Y34586" s="97"/>
    </row>
    <row r="34587" spans="25:25" x14ac:dyDescent="0.2">
      <c r="Y34587" s="97"/>
    </row>
    <row r="34588" spans="25:25" x14ac:dyDescent="0.2">
      <c r="Y34588" s="97"/>
    </row>
    <row r="34589" spans="25:25" x14ac:dyDescent="0.2">
      <c r="Y34589" s="97"/>
    </row>
    <row r="34590" spans="25:25" x14ac:dyDescent="0.2">
      <c r="Y34590" s="97"/>
    </row>
    <row r="34591" spans="25:25" x14ac:dyDescent="0.2">
      <c r="Y34591" s="97"/>
    </row>
    <row r="34592" spans="25:25" x14ac:dyDescent="0.2">
      <c r="Y34592" s="97"/>
    </row>
    <row r="34593" spans="25:25" x14ac:dyDescent="0.2">
      <c r="Y34593" s="97"/>
    </row>
    <row r="34594" spans="25:25" x14ac:dyDescent="0.2">
      <c r="Y34594" s="97"/>
    </row>
    <row r="34595" spans="25:25" x14ac:dyDescent="0.2">
      <c r="Y34595" s="97"/>
    </row>
    <row r="34596" spans="25:25" x14ac:dyDescent="0.2">
      <c r="Y34596" s="97"/>
    </row>
    <row r="34597" spans="25:25" x14ac:dyDescent="0.2">
      <c r="Y34597" s="97"/>
    </row>
    <row r="34598" spans="25:25" x14ac:dyDescent="0.2">
      <c r="Y34598" s="97"/>
    </row>
    <row r="34599" spans="25:25" x14ac:dyDescent="0.2">
      <c r="Y34599" s="97"/>
    </row>
    <row r="34600" spans="25:25" x14ac:dyDescent="0.2">
      <c r="Y34600" s="97"/>
    </row>
    <row r="34601" spans="25:25" x14ac:dyDescent="0.2">
      <c r="Y34601" s="97"/>
    </row>
    <row r="34602" spans="25:25" x14ac:dyDescent="0.2">
      <c r="Y34602" s="97"/>
    </row>
    <row r="34603" spans="25:25" x14ac:dyDescent="0.2">
      <c r="Y34603" s="97"/>
    </row>
    <row r="34604" spans="25:25" x14ac:dyDescent="0.2">
      <c r="Y34604" s="97"/>
    </row>
    <row r="34605" spans="25:25" x14ac:dyDescent="0.2">
      <c r="Y34605" s="97"/>
    </row>
    <row r="34606" spans="25:25" x14ac:dyDescent="0.2">
      <c r="Y34606" s="97"/>
    </row>
    <row r="34607" spans="25:25" x14ac:dyDescent="0.2">
      <c r="Y34607" s="97"/>
    </row>
    <row r="34608" spans="25:25" x14ac:dyDescent="0.2">
      <c r="Y34608" s="97"/>
    </row>
    <row r="34609" spans="25:25" x14ac:dyDescent="0.2">
      <c r="Y34609" s="97"/>
    </row>
    <row r="34610" spans="25:25" x14ac:dyDescent="0.2">
      <c r="Y34610" s="97"/>
    </row>
    <row r="34611" spans="25:25" x14ac:dyDescent="0.2">
      <c r="Y34611" s="97"/>
    </row>
    <row r="34612" spans="25:25" x14ac:dyDescent="0.2">
      <c r="Y34612" s="97"/>
    </row>
    <row r="34613" spans="25:25" x14ac:dyDescent="0.2">
      <c r="Y34613" s="97"/>
    </row>
    <row r="34614" spans="25:25" x14ac:dyDescent="0.2">
      <c r="Y34614" s="97"/>
    </row>
    <row r="34615" spans="25:25" x14ac:dyDescent="0.2">
      <c r="Y34615" s="97"/>
    </row>
    <row r="34616" spans="25:25" x14ac:dyDescent="0.2">
      <c r="Y34616" s="97"/>
    </row>
    <row r="34617" spans="25:25" x14ac:dyDescent="0.2">
      <c r="Y34617" s="97"/>
    </row>
    <row r="34618" spans="25:25" x14ac:dyDescent="0.2">
      <c r="Y34618" s="97"/>
    </row>
    <row r="34619" spans="25:25" x14ac:dyDescent="0.2">
      <c r="Y34619" s="97"/>
    </row>
    <row r="34620" spans="25:25" x14ac:dyDescent="0.2">
      <c r="Y34620" s="97"/>
    </row>
    <row r="34621" spans="25:25" x14ac:dyDescent="0.2">
      <c r="Y34621" s="97"/>
    </row>
    <row r="34622" spans="25:25" x14ac:dyDescent="0.2">
      <c r="Y34622" s="97"/>
    </row>
    <row r="34623" spans="25:25" x14ac:dyDescent="0.2">
      <c r="Y34623" s="97"/>
    </row>
    <row r="34624" spans="25:25" x14ac:dyDescent="0.2">
      <c r="Y34624" s="97"/>
    </row>
    <row r="34625" spans="25:25" x14ac:dyDescent="0.2">
      <c r="Y34625" s="97"/>
    </row>
    <row r="34626" spans="25:25" x14ac:dyDescent="0.2">
      <c r="Y34626" s="97"/>
    </row>
    <row r="34627" spans="25:25" x14ac:dyDescent="0.2">
      <c r="Y34627" s="97"/>
    </row>
    <row r="34628" spans="25:25" x14ac:dyDescent="0.2">
      <c r="Y34628" s="97"/>
    </row>
    <row r="34629" spans="25:25" x14ac:dyDescent="0.2">
      <c r="Y34629" s="97"/>
    </row>
    <row r="34630" spans="25:25" x14ac:dyDescent="0.2">
      <c r="Y34630" s="97"/>
    </row>
    <row r="34631" spans="25:25" x14ac:dyDescent="0.2">
      <c r="Y34631" s="97"/>
    </row>
    <row r="34632" spans="25:25" x14ac:dyDescent="0.2">
      <c r="Y34632" s="97"/>
    </row>
    <row r="34633" spans="25:25" x14ac:dyDescent="0.2">
      <c r="Y34633" s="97"/>
    </row>
    <row r="34634" spans="25:25" x14ac:dyDescent="0.2">
      <c r="Y34634" s="97"/>
    </row>
    <row r="34635" spans="25:25" x14ac:dyDescent="0.2">
      <c r="Y34635" s="97"/>
    </row>
    <row r="34636" spans="25:25" x14ac:dyDescent="0.2">
      <c r="Y34636" s="97"/>
    </row>
    <row r="34637" spans="25:25" x14ac:dyDescent="0.2">
      <c r="Y34637" s="97"/>
    </row>
    <row r="34638" spans="25:25" x14ac:dyDescent="0.2">
      <c r="Y34638" s="97"/>
    </row>
    <row r="34639" spans="25:25" x14ac:dyDescent="0.2">
      <c r="Y34639" s="97"/>
    </row>
    <row r="34640" spans="25:25" x14ac:dyDescent="0.2">
      <c r="Y34640" s="97"/>
    </row>
    <row r="34641" spans="25:25" x14ac:dyDescent="0.2">
      <c r="Y34641" s="97"/>
    </row>
    <row r="34642" spans="25:25" x14ac:dyDescent="0.2">
      <c r="Y34642" s="97"/>
    </row>
    <row r="34643" spans="25:25" x14ac:dyDescent="0.2">
      <c r="Y34643" s="97"/>
    </row>
    <row r="34644" spans="25:25" x14ac:dyDescent="0.2">
      <c r="Y34644" s="97"/>
    </row>
    <row r="34645" spans="25:25" x14ac:dyDescent="0.2">
      <c r="Y34645" s="97"/>
    </row>
    <row r="34646" spans="25:25" x14ac:dyDescent="0.2">
      <c r="Y34646" s="97"/>
    </row>
    <row r="34647" spans="25:25" x14ac:dyDescent="0.2">
      <c r="Y34647" s="97"/>
    </row>
    <row r="34648" spans="25:25" x14ac:dyDescent="0.2">
      <c r="Y34648" s="97"/>
    </row>
    <row r="34649" spans="25:25" x14ac:dyDescent="0.2">
      <c r="Y34649" s="97"/>
    </row>
    <row r="34650" spans="25:25" x14ac:dyDescent="0.2">
      <c r="Y34650" s="97"/>
    </row>
    <row r="34651" spans="25:25" x14ac:dyDescent="0.2">
      <c r="Y34651" s="97"/>
    </row>
    <row r="34652" spans="25:25" x14ac:dyDescent="0.2">
      <c r="Y34652" s="97"/>
    </row>
    <row r="34653" spans="25:25" x14ac:dyDescent="0.2">
      <c r="Y34653" s="97"/>
    </row>
    <row r="34654" spans="25:25" x14ac:dyDescent="0.2">
      <c r="Y34654" s="97"/>
    </row>
    <row r="34655" spans="25:25" x14ac:dyDescent="0.2">
      <c r="Y34655" s="97"/>
    </row>
    <row r="34656" spans="25:25" x14ac:dyDescent="0.2">
      <c r="Y34656" s="97"/>
    </row>
    <row r="34657" spans="25:25" x14ac:dyDescent="0.2">
      <c r="Y34657" s="97"/>
    </row>
    <row r="34658" spans="25:25" x14ac:dyDescent="0.2">
      <c r="Y34658" s="97"/>
    </row>
    <row r="34659" spans="25:25" x14ac:dyDescent="0.2">
      <c r="Y34659" s="97"/>
    </row>
    <row r="34660" spans="25:25" x14ac:dyDescent="0.2">
      <c r="Y34660" s="97"/>
    </row>
    <row r="34661" spans="25:25" x14ac:dyDescent="0.2">
      <c r="Y34661" s="97"/>
    </row>
    <row r="34662" spans="25:25" x14ac:dyDescent="0.2">
      <c r="Y34662" s="97"/>
    </row>
    <row r="34663" spans="25:25" x14ac:dyDescent="0.2">
      <c r="Y34663" s="97"/>
    </row>
    <row r="34664" spans="25:25" x14ac:dyDescent="0.2">
      <c r="Y34664" s="97"/>
    </row>
    <row r="34665" spans="25:25" x14ac:dyDescent="0.2">
      <c r="Y34665" s="97"/>
    </row>
    <row r="34666" spans="25:25" x14ac:dyDescent="0.2">
      <c r="Y34666" s="97"/>
    </row>
    <row r="34667" spans="25:25" x14ac:dyDescent="0.2">
      <c r="Y34667" s="97"/>
    </row>
    <row r="34668" spans="25:25" x14ac:dyDescent="0.2">
      <c r="Y34668" s="97"/>
    </row>
    <row r="34669" spans="25:25" x14ac:dyDescent="0.2">
      <c r="Y34669" s="97"/>
    </row>
    <row r="34670" spans="25:25" x14ac:dyDescent="0.2">
      <c r="Y34670" s="97"/>
    </row>
    <row r="34671" spans="25:25" x14ac:dyDescent="0.2">
      <c r="Y34671" s="97"/>
    </row>
    <row r="34672" spans="25:25" x14ac:dyDescent="0.2">
      <c r="Y34672" s="97"/>
    </row>
    <row r="34673" spans="25:25" x14ac:dyDescent="0.2">
      <c r="Y34673" s="97"/>
    </row>
    <row r="34674" spans="25:25" x14ac:dyDescent="0.2">
      <c r="Y34674" s="97"/>
    </row>
    <row r="34675" spans="25:25" x14ac:dyDescent="0.2">
      <c r="Y34675" s="97"/>
    </row>
    <row r="34676" spans="25:25" x14ac:dyDescent="0.2">
      <c r="Y34676" s="97"/>
    </row>
    <row r="34677" spans="25:25" x14ac:dyDescent="0.2">
      <c r="Y34677" s="97"/>
    </row>
    <row r="34678" spans="25:25" x14ac:dyDescent="0.2">
      <c r="Y34678" s="97"/>
    </row>
    <row r="34679" spans="25:25" x14ac:dyDescent="0.2">
      <c r="Y34679" s="97"/>
    </row>
    <row r="34680" spans="25:25" x14ac:dyDescent="0.2">
      <c r="Y34680" s="97"/>
    </row>
    <row r="34681" spans="25:25" x14ac:dyDescent="0.2">
      <c r="Y34681" s="97"/>
    </row>
    <row r="34682" spans="25:25" x14ac:dyDescent="0.2">
      <c r="Y34682" s="97"/>
    </row>
    <row r="34683" spans="25:25" x14ac:dyDescent="0.2">
      <c r="Y34683" s="97"/>
    </row>
    <row r="34684" spans="25:25" x14ac:dyDescent="0.2">
      <c r="Y34684" s="97"/>
    </row>
    <row r="34685" spans="25:25" x14ac:dyDescent="0.2">
      <c r="Y34685" s="97"/>
    </row>
    <row r="34686" spans="25:25" x14ac:dyDescent="0.2">
      <c r="Y34686" s="97"/>
    </row>
    <row r="34687" spans="25:25" x14ac:dyDescent="0.2">
      <c r="Y34687" s="97"/>
    </row>
    <row r="34688" spans="25:25" x14ac:dyDescent="0.2">
      <c r="Y34688" s="97"/>
    </row>
    <row r="34689" spans="25:25" x14ac:dyDescent="0.2">
      <c r="Y34689" s="97"/>
    </row>
    <row r="34690" spans="25:25" x14ac:dyDescent="0.2">
      <c r="Y34690" s="97"/>
    </row>
    <row r="34691" spans="25:25" x14ac:dyDescent="0.2">
      <c r="Y34691" s="97"/>
    </row>
    <row r="34692" spans="25:25" x14ac:dyDescent="0.2">
      <c r="Y34692" s="97"/>
    </row>
    <row r="34693" spans="25:25" x14ac:dyDescent="0.2">
      <c r="Y34693" s="97"/>
    </row>
    <row r="34694" spans="25:25" x14ac:dyDescent="0.2">
      <c r="Y34694" s="97"/>
    </row>
    <row r="34695" spans="25:25" x14ac:dyDescent="0.2">
      <c r="Y34695" s="97"/>
    </row>
    <row r="34696" spans="25:25" x14ac:dyDescent="0.2">
      <c r="Y34696" s="97"/>
    </row>
    <row r="34697" spans="25:25" x14ac:dyDescent="0.2">
      <c r="Y34697" s="97"/>
    </row>
    <row r="34698" spans="25:25" x14ac:dyDescent="0.2">
      <c r="Y34698" s="97"/>
    </row>
    <row r="34699" spans="25:25" x14ac:dyDescent="0.2">
      <c r="Y34699" s="97"/>
    </row>
    <row r="34700" spans="25:25" x14ac:dyDescent="0.2">
      <c r="Y34700" s="97"/>
    </row>
    <row r="34701" spans="25:25" x14ac:dyDescent="0.2">
      <c r="Y34701" s="97"/>
    </row>
    <row r="34702" spans="25:25" x14ac:dyDescent="0.2">
      <c r="Y34702" s="97"/>
    </row>
    <row r="34703" spans="25:25" x14ac:dyDescent="0.2">
      <c r="Y34703" s="97"/>
    </row>
    <row r="34704" spans="25:25" x14ac:dyDescent="0.2">
      <c r="Y34704" s="97"/>
    </row>
    <row r="34705" spans="25:25" x14ac:dyDescent="0.2">
      <c r="Y34705" s="97"/>
    </row>
    <row r="34706" spans="25:25" x14ac:dyDescent="0.2">
      <c r="Y34706" s="97"/>
    </row>
    <row r="34707" spans="25:25" x14ac:dyDescent="0.2">
      <c r="Y34707" s="97"/>
    </row>
    <row r="34708" spans="25:25" x14ac:dyDescent="0.2">
      <c r="Y34708" s="97"/>
    </row>
    <row r="34709" spans="25:25" x14ac:dyDescent="0.2">
      <c r="Y34709" s="97"/>
    </row>
    <row r="34710" spans="25:25" x14ac:dyDescent="0.2">
      <c r="Y34710" s="97"/>
    </row>
    <row r="34711" spans="25:25" x14ac:dyDescent="0.2">
      <c r="Y34711" s="97"/>
    </row>
    <row r="34712" spans="25:25" x14ac:dyDescent="0.2">
      <c r="Y34712" s="97"/>
    </row>
    <row r="34713" spans="25:25" x14ac:dyDescent="0.2">
      <c r="Y34713" s="97"/>
    </row>
    <row r="34714" spans="25:25" x14ac:dyDescent="0.2">
      <c r="Y34714" s="97"/>
    </row>
    <row r="34715" spans="25:25" x14ac:dyDescent="0.2">
      <c r="Y34715" s="97"/>
    </row>
    <row r="34716" spans="25:25" x14ac:dyDescent="0.2">
      <c r="Y34716" s="97"/>
    </row>
    <row r="34717" spans="25:25" x14ac:dyDescent="0.2">
      <c r="Y34717" s="97"/>
    </row>
    <row r="34718" spans="25:25" x14ac:dyDescent="0.2">
      <c r="Y34718" s="97"/>
    </row>
    <row r="34719" spans="25:25" x14ac:dyDescent="0.2">
      <c r="Y34719" s="97"/>
    </row>
    <row r="34720" spans="25:25" x14ac:dyDescent="0.2">
      <c r="Y34720" s="97"/>
    </row>
    <row r="34721" spans="25:25" x14ac:dyDescent="0.2">
      <c r="Y34721" s="97"/>
    </row>
    <row r="34722" spans="25:25" x14ac:dyDescent="0.2">
      <c r="Y34722" s="97"/>
    </row>
    <row r="34723" spans="25:25" x14ac:dyDescent="0.2">
      <c r="Y34723" s="97"/>
    </row>
    <row r="34724" spans="25:25" x14ac:dyDescent="0.2">
      <c r="Y34724" s="97"/>
    </row>
    <row r="34725" spans="25:25" x14ac:dyDescent="0.2">
      <c r="Y34725" s="97"/>
    </row>
    <row r="34726" spans="25:25" x14ac:dyDescent="0.2">
      <c r="Y34726" s="97"/>
    </row>
    <row r="34727" spans="25:25" x14ac:dyDescent="0.2">
      <c r="Y34727" s="97"/>
    </row>
    <row r="34728" spans="25:25" x14ac:dyDescent="0.2">
      <c r="Y34728" s="97"/>
    </row>
    <row r="34729" spans="25:25" x14ac:dyDescent="0.2">
      <c r="Y34729" s="97"/>
    </row>
    <row r="34730" spans="25:25" x14ac:dyDescent="0.2">
      <c r="Y34730" s="97"/>
    </row>
    <row r="34731" spans="25:25" x14ac:dyDescent="0.2">
      <c r="Y34731" s="97"/>
    </row>
    <row r="34732" spans="25:25" x14ac:dyDescent="0.2">
      <c r="Y34732" s="97"/>
    </row>
    <row r="34733" spans="25:25" x14ac:dyDescent="0.2">
      <c r="Y34733" s="97"/>
    </row>
    <row r="34734" spans="25:25" x14ac:dyDescent="0.2">
      <c r="Y34734" s="97"/>
    </row>
    <row r="34735" spans="25:25" x14ac:dyDescent="0.2">
      <c r="Y34735" s="97"/>
    </row>
    <row r="34736" spans="25:25" x14ac:dyDescent="0.2">
      <c r="Y34736" s="97"/>
    </row>
    <row r="34737" spans="25:25" x14ac:dyDescent="0.2">
      <c r="Y34737" s="97"/>
    </row>
    <row r="34738" spans="25:25" x14ac:dyDescent="0.2">
      <c r="Y34738" s="97"/>
    </row>
    <row r="34739" spans="25:25" x14ac:dyDescent="0.2">
      <c r="Y34739" s="97"/>
    </row>
    <row r="34740" spans="25:25" x14ac:dyDescent="0.2">
      <c r="Y34740" s="97"/>
    </row>
    <row r="34741" spans="25:25" x14ac:dyDescent="0.2">
      <c r="Y34741" s="97"/>
    </row>
    <row r="34742" spans="25:25" x14ac:dyDescent="0.2">
      <c r="Y34742" s="97"/>
    </row>
    <row r="34743" spans="25:25" x14ac:dyDescent="0.2">
      <c r="Y34743" s="97"/>
    </row>
    <row r="34744" spans="25:25" x14ac:dyDescent="0.2">
      <c r="Y34744" s="97"/>
    </row>
    <row r="34745" spans="25:25" x14ac:dyDescent="0.2">
      <c r="Y34745" s="97"/>
    </row>
    <row r="34746" spans="25:25" x14ac:dyDescent="0.2">
      <c r="Y34746" s="97"/>
    </row>
    <row r="34747" spans="25:25" x14ac:dyDescent="0.2">
      <c r="Y34747" s="97"/>
    </row>
    <row r="34748" spans="25:25" x14ac:dyDescent="0.2">
      <c r="Y34748" s="97"/>
    </row>
    <row r="34749" spans="25:25" x14ac:dyDescent="0.2">
      <c r="Y34749" s="97"/>
    </row>
    <row r="34750" spans="25:25" x14ac:dyDescent="0.2">
      <c r="Y34750" s="97"/>
    </row>
    <row r="34751" spans="25:25" x14ac:dyDescent="0.2">
      <c r="Y34751" s="97"/>
    </row>
    <row r="34752" spans="25:25" x14ac:dyDescent="0.2">
      <c r="Y34752" s="97"/>
    </row>
    <row r="34753" spans="25:25" x14ac:dyDescent="0.2">
      <c r="Y34753" s="97"/>
    </row>
    <row r="34754" spans="25:25" x14ac:dyDescent="0.2">
      <c r="Y34754" s="97"/>
    </row>
    <row r="34755" spans="25:25" x14ac:dyDescent="0.2">
      <c r="Y34755" s="97"/>
    </row>
    <row r="34756" spans="25:25" x14ac:dyDescent="0.2">
      <c r="Y34756" s="97"/>
    </row>
    <row r="34757" spans="25:25" x14ac:dyDescent="0.2">
      <c r="Y34757" s="97"/>
    </row>
    <row r="34758" spans="25:25" x14ac:dyDescent="0.2">
      <c r="Y34758" s="97"/>
    </row>
    <row r="34759" spans="25:25" x14ac:dyDescent="0.2">
      <c r="Y34759" s="97"/>
    </row>
    <row r="34760" spans="25:25" x14ac:dyDescent="0.2">
      <c r="Y34760" s="97"/>
    </row>
    <row r="34761" spans="25:25" x14ac:dyDescent="0.2">
      <c r="Y34761" s="97"/>
    </row>
    <row r="34762" spans="25:25" x14ac:dyDescent="0.2">
      <c r="Y34762" s="97"/>
    </row>
    <row r="34763" spans="25:25" x14ac:dyDescent="0.2">
      <c r="Y34763" s="97"/>
    </row>
    <row r="34764" spans="25:25" x14ac:dyDescent="0.2">
      <c r="Y34764" s="97"/>
    </row>
    <row r="34765" spans="25:25" x14ac:dyDescent="0.2">
      <c r="Y34765" s="97"/>
    </row>
    <row r="34766" spans="25:25" x14ac:dyDescent="0.2">
      <c r="Y34766" s="97"/>
    </row>
    <row r="34767" spans="25:25" x14ac:dyDescent="0.2">
      <c r="Y34767" s="97"/>
    </row>
    <row r="34768" spans="25:25" x14ac:dyDescent="0.2">
      <c r="Y34768" s="97"/>
    </row>
    <row r="34769" spans="25:25" x14ac:dyDescent="0.2">
      <c r="Y34769" s="97"/>
    </row>
    <row r="34770" spans="25:25" x14ac:dyDescent="0.2">
      <c r="Y34770" s="97"/>
    </row>
    <row r="34771" spans="25:25" x14ac:dyDescent="0.2">
      <c r="Y34771" s="97"/>
    </row>
    <row r="34772" spans="25:25" x14ac:dyDescent="0.2">
      <c r="Y34772" s="97"/>
    </row>
    <row r="34773" spans="25:25" x14ac:dyDescent="0.2">
      <c r="Y34773" s="97"/>
    </row>
    <row r="34774" spans="25:25" x14ac:dyDescent="0.2">
      <c r="Y34774" s="97"/>
    </row>
    <row r="34775" spans="25:25" x14ac:dyDescent="0.2">
      <c r="Y34775" s="97"/>
    </row>
    <row r="34776" spans="25:25" x14ac:dyDescent="0.2">
      <c r="Y34776" s="97"/>
    </row>
    <row r="34777" spans="25:25" x14ac:dyDescent="0.2">
      <c r="Y34777" s="97"/>
    </row>
    <row r="34778" spans="25:25" x14ac:dyDescent="0.2">
      <c r="Y34778" s="97"/>
    </row>
    <row r="34779" spans="25:25" x14ac:dyDescent="0.2">
      <c r="Y34779" s="97"/>
    </row>
    <row r="34780" spans="25:25" x14ac:dyDescent="0.2">
      <c r="Y34780" s="97"/>
    </row>
    <row r="34781" spans="25:25" x14ac:dyDescent="0.2">
      <c r="Y34781" s="97"/>
    </row>
    <row r="34782" spans="25:25" x14ac:dyDescent="0.2">
      <c r="Y34782" s="97"/>
    </row>
    <row r="34783" spans="25:25" x14ac:dyDescent="0.2">
      <c r="Y34783" s="97"/>
    </row>
    <row r="34784" spans="25:25" x14ac:dyDescent="0.2">
      <c r="Y34784" s="97"/>
    </row>
    <row r="34785" spans="25:25" x14ac:dyDescent="0.2">
      <c r="Y34785" s="97"/>
    </row>
    <row r="34786" spans="25:25" x14ac:dyDescent="0.2">
      <c r="Y34786" s="97"/>
    </row>
    <row r="34787" spans="25:25" x14ac:dyDescent="0.2">
      <c r="Y34787" s="97"/>
    </row>
    <row r="34788" spans="25:25" x14ac:dyDescent="0.2">
      <c r="Y34788" s="97"/>
    </row>
    <row r="34789" spans="25:25" x14ac:dyDescent="0.2">
      <c r="Y34789" s="97"/>
    </row>
    <row r="34790" spans="25:25" x14ac:dyDescent="0.2">
      <c r="Y34790" s="97"/>
    </row>
    <row r="34791" spans="25:25" x14ac:dyDescent="0.2">
      <c r="Y34791" s="97"/>
    </row>
    <row r="34792" spans="25:25" x14ac:dyDescent="0.2">
      <c r="Y34792" s="97"/>
    </row>
    <row r="34793" spans="25:25" x14ac:dyDescent="0.2">
      <c r="Y34793" s="97"/>
    </row>
    <row r="34794" spans="25:25" x14ac:dyDescent="0.2">
      <c r="Y34794" s="97"/>
    </row>
    <row r="34795" spans="25:25" x14ac:dyDescent="0.2">
      <c r="Y34795" s="97"/>
    </row>
    <row r="34796" spans="25:25" x14ac:dyDescent="0.2">
      <c r="Y34796" s="97"/>
    </row>
    <row r="34797" spans="25:25" x14ac:dyDescent="0.2">
      <c r="Y34797" s="97"/>
    </row>
    <row r="34798" spans="25:25" x14ac:dyDescent="0.2">
      <c r="Y34798" s="97"/>
    </row>
    <row r="34799" spans="25:25" x14ac:dyDescent="0.2">
      <c r="Y34799" s="97"/>
    </row>
    <row r="34800" spans="25:25" x14ac:dyDescent="0.2">
      <c r="Y34800" s="97"/>
    </row>
    <row r="34801" spans="25:25" x14ac:dyDescent="0.2">
      <c r="Y34801" s="97"/>
    </row>
    <row r="34802" spans="25:25" x14ac:dyDescent="0.2">
      <c r="Y34802" s="97"/>
    </row>
    <row r="34803" spans="25:25" x14ac:dyDescent="0.2">
      <c r="Y34803" s="97"/>
    </row>
    <row r="34804" spans="25:25" x14ac:dyDescent="0.2">
      <c r="Y34804" s="97"/>
    </row>
    <row r="34805" spans="25:25" x14ac:dyDescent="0.2">
      <c r="Y34805" s="97"/>
    </row>
    <row r="34806" spans="25:25" x14ac:dyDescent="0.2">
      <c r="Y34806" s="97"/>
    </row>
    <row r="34807" spans="25:25" x14ac:dyDescent="0.2">
      <c r="Y34807" s="97"/>
    </row>
    <row r="34808" spans="25:25" x14ac:dyDescent="0.2">
      <c r="Y34808" s="97"/>
    </row>
    <row r="34809" spans="25:25" x14ac:dyDescent="0.2">
      <c r="Y34809" s="97"/>
    </row>
    <row r="34810" spans="25:25" x14ac:dyDescent="0.2">
      <c r="Y34810" s="97"/>
    </row>
    <row r="34811" spans="25:25" x14ac:dyDescent="0.2">
      <c r="Y34811" s="97"/>
    </row>
    <row r="34812" spans="25:25" x14ac:dyDescent="0.2">
      <c r="Y34812" s="97"/>
    </row>
    <row r="34813" spans="25:25" x14ac:dyDescent="0.2">
      <c r="Y34813" s="97"/>
    </row>
    <row r="34814" spans="25:25" x14ac:dyDescent="0.2">
      <c r="Y34814" s="97"/>
    </row>
    <row r="34815" spans="25:25" x14ac:dyDescent="0.2">
      <c r="Y34815" s="97"/>
    </row>
    <row r="34816" spans="25:25" x14ac:dyDescent="0.2">
      <c r="Y34816" s="97"/>
    </row>
    <row r="34817" spans="25:25" x14ac:dyDescent="0.2">
      <c r="Y34817" s="97"/>
    </row>
    <row r="34818" spans="25:25" x14ac:dyDescent="0.2">
      <c r="Y34818" s="97"/>
    </row>
    <row r="34819" spans="25:25" x14ac:dyDescent="0.2">
      <c r="Y34819" s="97"/>
    </row>
    <row r="34820" spans="25:25" x14ac:dyDescent="0.2">
      <c r="Y34820" s="97"/>
    </row>
    <row r="34821" spans="25:25" x14ac:dyDescent="0.2">
      <c r="Y34821" s="97"/>
    </row>
    <row r="34822" spans="25:25" x14ac:dyDescent="0.2">
      <c r="Y34822" s="97"/>
    </row>
    <row r="34823" spans="25:25" x14ac:dyDescent="0.2">
      <c r="Y34823" s="97"/>
    </row>
    <row r="34824" spans="25:25" x14ac:dyDescent="0.2">
      <c r="Y34824" s="97"/>
    </row>
    <row r="34825" spans="25:25" x14ac:dyDescent="0.2">
      <c r="Y34825" s="97"/>
    </row>
    <row r="34826" spans="25:25" x14ac:dyDescent="0.2">
      <c r="Y34826" s="97"/>
    </row>
    <row r="34827" spans="25:25" x14ac:dyDescent="0.2">
      <c r="Y34827" s="97"/>
    </row>
    <row r="34828" spans="25:25" x14ac:dyDescent="0.2">
      <c r="Y34828" s="97"/>
    </row>
    <row r="34829" spans="25:25" x14ac:dyDescent="0.2">
      <c r="Y34829" s="97"/>
    </row>
    <row r="34830" spans="25:25" x14ac:dyDescent="0.2">
      <c r="Y34830" s="97"/>
    </row>
    <row r="34831" spans="25:25" x14ac:dyDescent="0.2">
      <c r="Y34831" s="97"/>
    </row>
    <row r="34832" spans="25:25" x14ac:dyDescent="0.2">
      <c r="Y34832" s="97"/>
    </row>
    <row r="34833" spans="25:25" x14ac:dyDescent="0.2">
      <c r="Y34833" s="97"/>
    </row>
    <row r="34834" spans="25:25" x14ac:dyDescent="0.2">
      <c r="Y34834" s="97"/>
    </row>
    <row r="34835" spans="25:25" x14ac:dyDescent="0.2">
      <c r="Y34835" s="97"/>
    </row>
    <row r="34836" spans="25:25" x14ac:dyDescent="0.2">
      <c r="Y34836" s="97"/>
    </row>
    <row r="34837" spans="25:25" x14ac:dyDescent="0.2">
      <c r="Y34837" s="97"/>
    </row>
    <row r="34838" spans="25:25" x14ac:dyDescent="0.2">
      <c r="Y34838" s="97"/>
    </row>
    <row r="34839" spans="25:25" x14ac:dyDescent="0.2">
      <c r="Y34839" s="97"/>
    </row>
    <row r="34840" spans="25:25" x14ac:dyDescent="0.2">
      <c r="Y34840" s="97"/>
    </row>
    <row r="34841" spans="25:25" x14ac:dyDescent="0.2">
      <c r="Y34841" s="97"/>
    </row>
    <row r="34842" spans="25:25" x14ac:dyDescent="0.2">
      <c r="Y34842" s="97"/>
    </row>
    <row r="34843" spans="25:25" x14ac:dyDescent="0.2">
      <c r="Y34843" s="97"/>
    </row>
    <row r="34844" spans="25:25" x14ac:dyDescent="0.2">
      <c r="Y34844" s="97"/>
    </row>
    <row r="34845" spans="25:25" x14ac:dyDescent="0.2">
      <c r="Y34845" s="97"/>
    </row>
    <row r="34846" spans="25:25" x14ac:dyDescent="0.2">
      <c r="Y34846" s="97"/>
    </row>
    <row r="34847" spans="25:25" x14ac:dyDescent="0.2">
      <c r="Y34847" s="97"/>
    </row>
    <row r="34848" spans="25:25" x14ac:dyDescent="0.2">
      <c r="Y34848" s="97"/>
    </row>
    <row r="34849" spans="25:25" x14ac:dyDescent="0.2">
      <c r="Y34849" s="97"/>
    </row>
    <row r="34850" spans="25:25" x14ac:dyDescent="0.2">
      <c r="Y34850" s="97"/>
    </row>
    <row r="34851" spans="25:25" x14ac:dyDescent="0.2">
      <c r="Y34851" s="97"/>
    </row>
    <row r="34852" spans="25:25" x14ac:dyDescent="0.2">
      <c r="Y34852" s="97"/>
    </row>
    <row r="34853" spans="25:25" x14ac:dyDescent="0.2">
      <c r="Y34853" s="97"/>
    </row>
    <row r="34854" spans="25:25" x14ac:dyDescent="0.2">
      <c r="Y34854" s="97"/>
    </row>
    <row r="34855" spans="25:25" x14ac:dyDescent="0.2">
      <c r="Y34855" s="97"/>
    </row>
    <row r="34856" spans="25:25" x14ac:dyDescent="0.2">
      <c r="Y34856" s="97"/>
    </row>
    <row r="34857" spans="25:25" x14ac:dyDescent="0.2">
      <c r="Y34857" s="97"/>
    </row>
    <row r="34858" spans="25:25" x14ac:dyDescent="0.2">
      <c r="Y34858" s="97"/>
    </row>
    <row r="34859" spans="25:25" x14ac:dyDescent="0.2">
      <c r="Y34859" s="97"/>
    </row>
    <row r="34860" spans="25:25" x14ac:dyDescent="0.2">
      <c r="Y34860" s="97"/>
    </row>
    <row r="34861" spans="25:25" x14ac:dyDescent="0.2">
      <c r="Y34861" s="97"/>
    </row>
    <row r="34862" spans="25:25" x14ac:dyDescent="0.2">
      <c r="Y34862" s="97"/>
    </row>
    <row r="34863" spans="25:25" x14ac:dyDescent="0.2">
      <c r="Y34863" s="97"/>
    </row>
    <row r="34864" spans="25:25" x14ac:dyDescent="0.2">
      <c r="Y34864" s="97"/>
    </row>
    <row r="34865" spans="25:25" x14ac:dyDescent="0.2">
      <c r="Y34865" s="97"/>
    </row>
    <row r="34866" spans="25:25" x14ac:dyDescent="0.2">
      <c r="Y34866" s="97"/>
    </row>
    <row r="34867" spans="25:25" x14ac:dyDescent="0.2">
      <c r="Y34867" s="97"/>
    </row>
    <row r="34868" spans="25:25" x14ac:dyDescent="0.2">
      <c r="Y34868" s="97"/>
    </row>
    <row r="34869" spans="25:25" x14ac:dyDescent="0.2">
      <c r="Y34869" s="97"/>
    </row>
    <row r="34870" spans="25:25" x14ac:dyDescent="0.2">
      <c r="Y34870" s="97"/>
    </row>
    <row r="34871" spans="25:25" x14ac:dyDescent="0.2">
      <c r="Y34871" s="97"/>
    </row>
    <row r="34872" spans="25:25" x14ac:dyDescent="0.2">
      <c r="Y34872" s="97"/>
    </row>
    <row r="34873" spans="25:25" x14ac:dyDescent="0.2">
      <c r="Y34873" s="97"/>
    </row>
    <row r="34874" spans="25:25" x14ac:dyDescent="0.2">
      <c r="Y34874" s="97"/>
    </row>
    <row r="34875" spans="25:25" x14ac:dyDescent="0.2">
      <c r="Y34875" s="97"/>
    </row>
    <row r="34876" spans="25:25" x14ac:dyDescent="0.2">
      <c r="Y34876" s="97"/>
    </row>
    <row r="34877" spans="25:25" x14ac:dyDescent="0.2">
      <c r="Y34877" s="97"/>
    </row>
    <row r="34878" spans="25:25" x14ac:dyDescent="0.2">
      <c r="Y34878" s="97"/>
    </row>
    <row r="34879" spans="25:25" x14ac:dyDescent="0.2">
      <c r="Y34879" s="97"/>
    </row>
    <row r="34880" spans="25:25" x14ac:dyDescent="0.2">
      <c r="Y34880" s="97"/>
    </row>
    <row r="34881" spans="25:25" x14ac:dyDescent="0.2">
      <c r="Y34881" s="97"/>
    </row>
    <row r="34882" spans="25:25" x14ac:dyDescent="0.2">
      <c r="Y34882" s="97"/>
    </row>
    <row r="34883" spans="25:25" x14ac:dyDescent="0.2">
      <c r="Y34883" s="97"/>
    </row>
    <row r="34884" spans="25:25" x14ac:dyDescent="0.2">
      <c r="Y34884" s="97"/>
    </row>
    <row r="34885" spans="25:25" x14ac:dyDescent="0.2">
      <c r="Y34885" s="97"/>
    </row>
    <row r="34886" spans="25:25" x14ac:dyDescent="0.2">
      <c r="Y34886" s="97"/>
    </row>
    <row r="34887" spans="25:25" x14ac:dyDescent="0.2">
      <c r="Y34887" s="97"/>
    </row>
    <row r="34888" spans="25:25" x14ac:dyDescent="0.2">
      <c r="Y34888" s="97"/>
    </row>
    <row r="34889" spans="25:25" x14ac:dyDescent="0.2">
      <c r="Y34889" s="97"/>
    </row>
    <row r="34890" spans="25:25" x14ac:dyDescent="0.2">
      <c r="Y34890" s="97"/>
    </row>
    <row r="34891" spans="25:25" x14ac:dyDescent="0.2">
      <c r="Y34891" s="97"/>
    </row>
    <row r="34892" spans="25:25" x14ac:dyDescent="0.2">
      <c r="Y34892" s="97"/>
    </row>
    <row r="34893" spans="25:25" x14ac:dyDescent="0.2">
      <c r="Y34893" s="97"/>
    </row>
    <row r="34894" spans="25:25" x14ac:dyDescent="0.2">
      <c r="Y34894" s="97"/>
    </row>
    <row r="34895" spans="25:25" x14ac:dyDescent="0.2">
      <c r="Y34895" s="97"/>
    </row>
    <row r="34896" spans="25:25" x14ac:dyDescent="0.2">
      <c r="Y34896" s="97"/>
    </row>
    <row r="34897" spans="25:25" x14ac:dyDescent="0.2">
      <c r="Y34897" s="97"/>
    </row>
    <row r="34898" spans="25:25" x14ac:dyDescent="0.2">
      <c r="Y34898" s="97"/>
    </row>
    <row r="34899" spans="25:25" x14ac:dyDescent="0.2">
      <c r="Y34899" s="97"/>
    </row>
    <row r="34900" spans="25:25" x14ac:dyDescent="0.2">
      <c r="Y34900" s="97"/>
    </row>
    <row r="34901" spans="25:25" x14ac:dyDescent="0.2">
      <c r="Y34901" s="97"/>
    </row>
    <row r="34902" spans="25:25" x14ac:dyDescent="0.2">
      <c r="Y34902" s="97"/>
    </row>
    <row r="34903" spans="25:25" x14ac:dyDescent="0.2">
      <c r="Y34903" s="97"/>
    </row>
    <row r="34904" spans="25:25" x14ac:dyDescent="0.2">
      <c r="Y34904" s="97"/>
    </row>
    <row r="34905" spans="25:25" x14ac:dyDescent="0.2">
      <c r="Y34905" s="97"/>
    </row>
    <row r="34906" spans="25:25" x14ac:dyDescent="0.2">
      <c r="Y34906" s="97"/>
    </row>
    <row r="34907" spans="25:25" x14ac:dyDescent="0.2">
      <c r="Y34907" s="97"/>
    </row>
    <row r="34908" spans="25:25" x14ac:dyDescent="0.2">
      <c r="Y34908" s="97"/>
    </row>
    <row r="34909" spans="25:25" x14ac:dyDescent="0.2">
      <c r="Y34909" s="97"/>
    </row>
    <row r="34910" spans="25:25" x14ac:dyDescent="0.2">
      <c r="Y34910" s="97"/>
    </row>
    <row r="34911" spans="25:25" x14ac:dyDescent="0.2">
      <c r="Y34911" s="97"/>
    </row>
    <row r="34912" spans="25:25" x14ac:dyDescent="0.2">
      <c r="Y34912" s="97"/>
    </row>
    <row r="34913" spans="25:25" x14ac:dyDescent="0.2">
      <c r="Y34913" s="97"/>
    </row>
    <row r="34914" spans="25:25" x14ac:dyDescent="0.2">
      <c r="Y34914" s="97"/>
    </row>
    <row r="34915" spans="25:25" x14ac:dyDescent="0.2">
      <c r="Y34915" s="97"/>
    </row>
    <row r="34916" spans="25:25" x14ac:dyDescent="0.2">
      <c r="Y34916" s="97"/>
    </row>
    <row r="34917" spans="25:25" x14ac:dyDescent="0.2">
      <c r="Y34917" s="97"/>
    </row>
    <row r="34918" spans="25:25" x14ac:dyDescent="0.2">
      <c r="Y34918" s="97"/>
    </row>
    <row r="34919" spans="25:25" x14ac:dyDescent="0.2">
      <c r="Y34919" s="97"/>
    </row>
    <row r="34920" spans="25:25" x14ac:dyDescent="0.2">
      <c r="Y34920" s="97"/>
    </row>
    <row r="34921" spans="25:25" x14ac:dyDescent="0.2">
      <c r="Y34921" s="97"/>
    </row>
    <row r="34922" spans="25:25" x14ac:dyDescent="0.2">
      <c r="Y34922" s="97"/>
    </row>
    <row r="34923" spans="25:25" x14ac:dyDescent="0.2">
      <c r="Y34923" s="97"/>
    </row>
    <row r="34924" spans="25:25" x14ac:dyDescent="0.2">
      <c r="Y34924" s="97"/>
    </row>
    <row r="34925" spans="25:25" x14ac:dyDescent="0.2">
      <c r="Y34925" s="97"/>
    </row>
    <row r="34926" spans="25:25" x14ac:dyDescent="0.2">
      <c r="Y34926" s="97"/>
    </row>
    <row r="34927" spans="25:25" x14ac:dyDescent="0.2">
      <c r="Y34927" s="97"/>
    </row>
    <row r="34928" spans="25:25" x14ac:dyDescent="0.2">
      <c r="Y34928" s="97"/>
    </row>
    <row r="34929" spans="25:25" x14ac:dyDescent="0.2">
      <c r="Y34929" s="97"/>
    </row>
    <row r="34930" spans="25:25" x14ac:dyDescent="0.2">
      <c r="Y34930" s="97"/>
    </row>
    <row r="34931" spans="25:25" x14ac:dyDescent="0.2">
      <c r="Y34931" s="97"/>
    </row>
    <row r="34932" spans="25:25" x14ac:dyDescent="0.2">
      <c r="Y34932" s="97"/>
    </row>
    <row r="34933" spans="25:25" x14ac:dyDescent="0.2">
      <c r="Y34933" s="97"/>
    </row>
    <row r="34934" spans="25:25" x14ac:dyDescent="0.2">
      <c r="Y34934" s="97"/>
    </row>
    <row r="34935" spans="25:25" x14ac:dyDescent="0.2">
      <c r="Y34935" s="97"/>
    </row>
    <row r="34936" spans="25:25" x14ac:dyDescent="0.2">
      <c r="Y34936" s="97"/>
    </row>
    <row r="34937" spans="25:25" x14ac:dyDescent="0.2">
      <c r="Y34937" s="97"/>
    </row>
    <row r="34938" spans="25:25" x14ac:dyDescent="0.2">
      <c r="Y34938" s="97"/>
    </row>
    <row r="34939" spans="25:25" x14ac:dyDescent="0.2">
      <c r="Y34939" s="97"/>
    </row>
    <row r="34940" spans="25:25" x14ac:dyDescent="0.2">
      <c r="Y34940" s="97"/>
    </row>
    <row r="34941" spans="25:25" x14ac:dyDescent="0.2">
      <c r="Y34941" s="97"/>
    </row>
    <row r="34942" spans="25:25" x14ac:dyDescent="0.2">
      <c r="Y34942" s="97"/>
    </row>
    <row r="34943" spans="25:25" x14ac:dyDescent="0.2">
      <c r="Y34943" s="97"/>
    </row>
    <row r="34944" spans="25:25" x14ac:dyDescent="0.2">
      <c r="Y34944" s="97"/>
    </row>
    <row r="34945" spans="25:25" x14ac:dyDescent="0.2">
      <c r="Y34945" s="97"/>
    </row>
    <row r="34946" spans="25:25" x14ac:dyDescent="0.2">
      <c r="Y34946" s="97"/>
    </row>
    <row r="34947" spans="25:25" x14ac:dyDescent="0.2">
      <c r="Y34947" s="97"/>
    </row>
    <row r="34948" spans="25:25" x14ac:dyDescent="0.2">
      <c r="Y34948" s="97"/>
    </row>
    <row r="34949" spans="25:25" x14ac:dyDescent="0.2">
      <c r="Y34949" s="97"/>
    </row>
    <row r="34950" spans="25:25" x14ac:dyDescent="0.2">
      <c r="Y34950" s="97"/>
    </row>
    <row r="34951" spans="25:25" x14ac:dyDescent="0.2">
      <c r="Y34951" s="97"/>
    </row>
    <row r="34952" spans="25:25" x14ac:dyDescent="0.2">
      <c r="Y34952" s="97"/>
    </row>
    <row r="34953" spans="25:25" x14ac:dyDescent="0.2">
      <c r="Y34953" s="97"/>
    </row>
    <row r="34954" spans="25:25" x14ac:dyDescent="0.2">
      <c r="Y34954" s="97"/>
    </row>
    <row r="34955" spans="25:25" x14ac:dyDescent="0.2">
      <c r="Y34955" s="97"/>
    </row>
    <row r="34956" spans="25:25" x14ac:dyDescent="0.2">
      <c r="Y34956" s="97"/>
    </row>
    <row r="34957" spans="25:25" x14ac:dyDescent="0.2">
      <c r="Y34957" s="97"/>
    </row>
    <row r="34958" spans="25:25" x14ac:dyDescent="0.2">
      <c r="Y34958" s="97"/>
    </row>
    <row r="34959" spans="25:25" x14ac:dyDescent="0.2">
      <c r="Y34959" s="97"/>
    </row>
    <row r="34960" spans="25:25" x14ac:dyDescent="0.2">
      <c r="Y34960" s="97"/>
    </row>
    <row r="34961" spans="25:25" x14ac:dyDescent="0.2">
      <c r="Y34961" s="97"/>
    </row>
    <row r="34962" spans="25:25" x14ac:dyDescent="0.2">
      <c r="Y34962" s="97"/>
    </row>
    <row r="34963" spans="25:25" x14ac:dyDescent="0.2">
      <c r="Y34963" s="97"/>
    </row>
    <row r="34964" spans="25:25" x14ac:dyDescent="0.2">
      <c r="Y34964" s="97"/>
    </row>
    <row r="34965" spans="25:25" x14ac:dyDescent="0.2">
      <c r="Y34965" s="97"/>
    </row>
    <row r="34966" spans="25:25" x14ac:dyDescent="0.2">
      <c r="Y34966" s="97"/>
    </row>
    <row r="34967" spans="25:25" x14ac:dyDescent="0.2">
      <c r="Y34967" s="97"/>
    </row>
    <row r="34968" spans="25:25" x14ac:dyDescent="0.2">
      <c r="Y34968" s="97"/>
    </row>
    <row r="34969" spans="25:25" x14ac:dyDescent="0.2">
      <c r="Y34969" s="97"/>
    </row>
    <row r="34970" spans="25:25" x14ac:dyDescent="0.2">
      <c r="Y34970" s="97"/>
    </row>
    <row r="34971" spans="25:25" x14ac:dyDescent="0.2">
      <c r="Y34971" s="97"/>
    </row>
    <row r="34972" spans="25:25" x14ac:dyDescent="0.2">
      <c r="Y34972" s="97"/>
    </row>
    <row r="34973" spans="25:25" x14ac:dyDescent="0.2">
      <c r="Y34973" s="97"/>
    </row>
    <row r="34974" spans="25:25" x14ac:dyDescent="0.2">
      <c r="Y34974" s="97"/>
    </row>
    <row r="34975" spans="25:25" x14ac:dyDescent="0.2">
      <c r="Y34975" s="97"/>
    </row>
    <row r="34976" spans="25:25" x14ac:dyDescent="0.2">
      <c r="Y34976" s="97"/>
    </row>
    <row r="34977" spans="25:25" x14ac:dyDescent="0.2">
      <c r="Y34977" s="97"/>
    </row>
    <row r="34978" spans="25:25" x14ac:dyDescent="0.2">
      <c r="Y34978" s="97"/>
    </row>
    <row r="34979" spans="25:25" x14ac:dyDescent="0.2">
      <c r="Y34979" s="97"/>
    </row>
    <row r="34980" spans="25:25" x14ac:dyDescent="0.2">
      <c r="Y34980" s="97"/>
    </row>
    <row r="34981" spans="25:25" x14ac:dyDescent="0.2">
      <c r="Y34981" s="97"/>
    </row>
    <row r="34982" spans="25:25" x14ac:dyDescent="0.2">
      <c r="Y34982" s="97"/>
    </row>
    <row r="34983" spans="25:25" x14ac:dyDescent="0.2">
      <c r="Y34983" s="97"/>
    </row>
    <row r="34984" spans="25:25" x14ac:dyDescent="0.2">
      <c r="Y34984" s="97"/>
    </row>
    <row r="34985" spans="25:25" x14ac:dyDescent="0.2">
      <c r="Y34985" s="97"/>
    </row>
    <row r="34986" spans="25:25" x14ac:dyDescent="0.2">
      <c r="Y34986" s="97"/>
    </row>
    <row r="34987" spans="25:25" x14ac:dyDescent="0.2">
      <c r="Y34987" s="97"/>
    </row>
    <row r="34988" spans="25:25" x14ac:dyDescent="0.2">
      <c r="Y34988" s="97"/>
    </row>
    <row r="34989" spans="25:25" x14ac:dyDescent="0.2">
      <c r="Y34989" s="97"/>
    </row>
    <row r="34990" spans="25:25" x14ac:dyDescent="0.2">
      <c r="Y34990" s="97"/>
    </row>
    <row r="34991" spans="25:25" x14ac:dyDescent="0.2">
      <c r="Y34991" s="97"/>
    </row>
    <row r="34992" spans="25:25" x14ac:dyDescent="0.2">
      <c r="Y34992" s="97"/>
    </row>
    <row r="34993" spans="25:25" x14ac:dyDescent="0.2">
      <c r="Y34993" s="97"/>
    </row>
    <row r="34994" spans="25:25" x14ac:dyDescent="0.2">
      <c r="Y34994" s="97"/>
    </row>
    <row r="34995" spans="25:25" x14ac:dyDescent="0.2">
      <c r="Y34995" s="97"/>
    </row>
    <row r="34996" spans="25:25" x14ac:dyDescent="0.2">
      <c r="Y34996" s="97"/>
    </row>
    <row r="34997" spans="25:25" x14ac:dyDescent="0.2">
      <c r="Y34997" s="97"/>
    </row>
    <row r="34998" spans="25:25" x14ac:dyDescent="0.2">
      <c r="Y34998" s="97"/>
    </row>
    <row r="34999" spans="25:25" x14ac:dyDescent="0.2">
      <c r="Y34999" s="97"/>
    </row>
    <row r="35000" spans="25:25" x14ac:dyDescent="0.2">
      <c r="Y35000" s="97"/>
    </row>
    <row r="35001" spans="25:25" x14ac:dyDescent="0.2">
      <c r="Y35001" s="97"/>
    </row>
    <row r="35002" spans="25:25" x14ac:dyDescent="0.2">
      <c r="Y35002" s="97"/>
    </row>
    <row r="35003" spans="25:25" x14ac:dyDescent="0.2">
      <c r="Y35003" s="97"/>
    </row>
    <row r="35004" spans="25:25" x14ac:dyDescent="0.2">
      <c r="Y35004" s="97"/>
    </row>
    <row r="35005" spans="25:25" x14ac:dyDescent="0.2">
      <c r="Y35005" s="97"/>
    </row>
    <row r="35006" spans="25:25" x14ac:dyDescent="0.2">
      <c r="Y35006" s="97"/>
    </row>
    <row r="35007" spans="25:25" x14ac:dyDescent="0.2">
      <c r="Y35007" s="97"/>
    </row>
    <row r="35008" spans="25:25" x14ac:dyDescent="0.2">
      <c r="Y35008" s="97"/>
    </row>
    <row r="35009" spans="25:25" x14ac:dyDescent="0.2">
      <c r="Y35009" s="97"/>
    </row>
    <row r="35010" spans="25:25" x14ac:dyDescent="0.2">
      <c r="Y35010" s="97"/>
    </row>
    <row r="35011" spans="25:25" x14ac:dyDescent="0.2">
      <c r="Y35011" s="97"/>
    </row>
    <row r="35012" spans="25:25" x14ac:dyDescent="0.2">
      <c r="Y35012" s="97"/>
    </row>
    <row r="35013" spans="25:25" x14ac:dyDescent="0.2">
      <c r="Y35013" s="97"/>
    </row>
    <row r="35014" spans="25:25" x14ac:dyDescent="0.2">
      <c r="Y35014" s="97"/>
    </row>
    <row r="35015" spans="25:25" x14ac:dyDescent="0.2">
      <c r="Y35015" s="97"/>
    </row>
    <row r="35016" spans="25:25" x14ac:dyDescent="0.2">
      <c r="Y35016" s="97"/>
    </row>
    <row r="35017" spans="25:25" x14ac:dyDescent="0.2">
      <c r="Y35017" s="97"/>
    </row>
    <row r="35018" spans="25:25" x14ac:dyDescent="0.2">
      <c r="Y35018" s="97"/>
    </row>
    <row r="35019" spans="25:25" x14ac:dyDescent="0.2">
      <c r="Y35019" s="97"/>
    </row>
    <row r="35020" spans="25:25" x14ac:dyDescent="0.2">
      <c r="Y35020" s="97"/>
    </row>
    <row r="35021" spans="25:25" x14ac:dyDescent="0.2">
      <c r="Y35021" s="97"/>
    </row>
    <row r="35022" spans="25:25" x14ac:dyDescent="0.2">
      <c r="Y35022" s="97"/>
    </row>
    <row r="35023" spans="25:25" x14ac:dyDescent="0.2">
      <c r="Y35023" s="97"/>
    </row>
    <row r="35024" spans="25:25" x14ac:dyDescent="0.2">
      <c r="Y35024" s="97"/>
    </row>
    <row r="35025" spans="25:25" x14ac:dyDescent="0.2">
      <c r="Y35025" s="97"/>
    </row>
    <row r="35026" spans="25:25" x14ac:dyDescent="0.2">
      <c r="Y35026" s="97"/>
    </row>
    <row r="35027" spans="25:25" x14ac:dyDescent="0.2">
      <c r="Y35027" s="97"/>
    </row>
    <row r="35028" spans="25:25" x14ac:dyDescent="0.2">
      <c r="Y35028" s="97"/>
    </row>
    <row r="35029" spans="25:25" x14ac:dyDescent="0.2">
      <c r="Y35029" s="97"/>
    </row>
    <row r="35030" spans="25:25" x14ac:dyDescent="0.2">
      <c r="Y35030" s="97"/>
    </row>
    <row r="35031" spans="25:25" x14ac:dyDescent="0.2">
      <c r="Y35031" s="97"/>
    </row>
    <row r="35032" spans="25:25" x14ac:dyDescent="0.2">
      <c r="Y35032" s="97"/>
    </row>
    <row r="35033" spans="25:25" x14ac:dyDescent="0.2">
      <c r="Y35033" s="97"/>
    </row>
    <row r="35034" spans="25:25" x14ac:dyDescent="0.2">
      <c r="Y35034" s="97"/>
    </row>
    <row r="35035" spans="25:25" x14ac:dyDescent="0.2">
      <c r="Y35035" s="97"/>
    </row>
    <row r="35036" spans="25:25" x14ac:dyDescent="0.2">
      <c r="Y35036" s="97"/>
    </row>
    <row r="35037" spans="25:25" x14ac:dyDescent="0.2">
      <c r="Y35037" s="97"/>
    </row>
    <row r="35038" spans="25:25" x14ac:dyDescent="0.2">
      <c r="Y35038" s="97"/>
    </row>
    <row r="35039" spans="25:25" x14ac:dyDescent="0.2">
      <c r="Y35039" s="97"/>
    </row>
    <row r="35040" spans="25:25" x14ac:dyDescent="0.2">
      <c r="Y35040" s="97"/>
    </row>
    <row r="35041" spans="25:25" x14ac:dyDescent="0.2">
      <c r="Y35041" s="97"/>
    </row>
    <row r="35042" spans="25:25" x14ac:dyDescent="0.2">
      <c r="Y35042" s="97"/>
    </row>
    <row r="35043" spans="25:25" x14ac:dyDescent="0.2">
      <c r="Y35043" s="97"/>
    </row>
    <row r="35044" spans="25:25" x14ac:dyDescent="0.2">
      <c r="Y35044" s="97"/>
    </row>
    <row r="35045" spans="25:25" x14ac:dyDescent="0.2">
      <c r="Y35045" s="97"/>
    </row>
    <row r="35046" spans="25:25" x14ac:dyDescent="0.2">
      <c r="Y35046" s="97"/>
    </row>
    <row r="35047" spans="25:25" x14ac:dyDescent="0.2">
      <c r="Y35047" s="97"/>
    </row>
    <row r="35048" spans="25:25" x14ac:dyDescent="0.2">
      <c r="Y35048" s="97"/>
    </row>
    <row r="35049" spans="25:25" x14ac:dyDescent="0.2">
      <c r="Y35049" s="97"/>
    </row>
    <row r="35050" spans="25:25" x14ac:dyDescent="0.2">
      <c r="Y35050" s="97"/>
    </row>
    <row r="35051" spans="25:25" x14ac:dyDescent="0.2">
      <c r="Y35051" s="97"/>
    </row>
    <row r="35052" spans="25:25" x14ac:dyDescent="0.2">
      <c r="Y35052" s="97"/>
    </row>
    <row r="35053" spans="25:25" x14ac:dyDescent="0.2">
      <c r="Y35053" s="97"/>
    </row>
    <row r="35054" spans="25:25" x14ac:dyDescent="0.2">
      <c r="Y35054" s="97"/>
    </row>
    <row r="35055" spans="25:25" x14ac:dyDescent="0.2">
      <c r="Y35055" s="97"/>
    </row>
    <row r="35056" spans="25:25" x14ac:dyDescent="0.2">
      <c r="Y35056" s="97"/>
    </row>
    <row r="35057" spans="25:25" x14ac:dyDescent="0.2">
      <c r="Y35057" s="97"/>
    </row>
    <row r="35058" spans="25:25" x14ac:dyDescent="0.2">
      <c r="Y35058" s="97"/>
    </row>
    <row r="35059" spans="25:25" x14ac:dyDescent="0.2">
      <c r="Y35059" s="97"/>
    </row>
    <row r="35060" spans="25:25" x14ac:dyDescent="0.2">
      <c r="Y35060" s="97"/>
    </row>
    <row r="35061" spans="25:25" x14ac:dyDescent="0.2">
      <c r="Y35061" s="97"/>
    </row>
    <row r="35062" spans="25:25" x14ac:dyDescent="0.2">
      <c r="Y35062" s="97"/>
    </row>
    <row r="35063" spans="25:25" x14ac:dyDescent="0.2">
      <c r="Y35063" s="97"/>
    </row>
    <row r="35064" spans="25:25" x14ac:dyDescent="0.2">
      <c r="Y35064" s="97"/>
    </row>
    <row r="35065" spans="25:25" x14ac:dyDescent="0.2">
      <c r="Y35065" s="97"/>
    </row>
    <row r="35066" spans="25:25" x14ac:dyDescent="0.2">
      <c r="Y35066" s="97"/>
    </row>
    <row r="35067" spans="25:25" x14ac:dyDescent="0.2">
      <c r="Y35067" s="97"/>
    </row>
    <row r="35068" spans="25:25" x14ac:dyDescent="0.2">
      <c r="Y35068" s="97"/>
    </row>
    <row r="35069" spans="25:25" x14ac:dyDescent="0.2">
      <c r="Y35069" s="97"/>
    </row>
    <row r="35070" spans="25:25" x14ac:dyDescent="0.2">
      <c r="Y35070" s="97"/>
    </row>
    <row r="35071" spans="25:25" x14ac:dyDescent="0.2">
      <c r="Y35071" s="97"/>
    </row>
    <row r="35072" spans="25:25" x14ac:dyDescent="0.2">
      <c r="Y35072" s="97"/>
    </row>
    <row r="35073" spans="25:25" x14ac:dyDescent="0.2">
      <c r="Y35073" s="97"/>
    </row>
    <row r="35074" spans="25:25" x14ac:dyDescent="0.2">
      <c r="Y35074" s="97"/>
    </row>
    <row r="35075" spans="25:25" x14ac:dyDescent="0.2">
      <c r="Y35075" s="97"/>
    </row>
    <row r="35076" spans="25:25" x14ac:dyDescent="0.2">
      <c r="Y35076" s="97"/>
    </row>
    <row r="35077" spans="25:25" x14ac:dyDescent="0.2">
      <c r="Y35077" s="97"/>
    </row>
    <row r="35078" spans="25:25" x14ac:dyDescent="0.2">
      <c r="Y35078" s="97"/>
    </row>
    <row r="35079" spans="25:25" x14ac:dyDescent="0.2">
      <c r="Y35079" s="97"/>
    </row>
    <row r="35080" spans="25:25" x14ac:dyDescent="0.2">
      <c r="Y35080" s="97"/>
    </row>
    <row r="35081" spans="25:25" x14ac:dyDescent="0.2">
      <c r="Y35081" s="97"/>
    </row>
    <row r="35082" spans="25:25" x14ac:dyDescent="0.2">
      <c r="Y35082" s="97"/>
    </row>
    <row r="35083" spans="25:25" x14ac:dyDescent="0.2">
      <c r="Y35083" s="97"/>
    </row>
    <row r="35084" spans="25:25" x14ac:dyDescent="0.2">
      <c r="Y35084" s="97"/>
    </row>
    <row r="35085" spans="25:25" x14ac:dyDescent="0.2">
      <c r="Y35085" s="97"/>
    </row>
    <row r="35086" spans="25:25" x14ac:dyDescent="0.2">
      <c r="Y35086" s="97"/>
    </row>
    <row r="35087" spans="25:25" x14ac:dyDescent="0.2">
      <c r="Y35087" s="97"/>
    </row>
    <row r="35088" spans="25:25" x14ac:dyDescent="0.2">
      <c r="Y35088" s="97"/>
    </row>
    <row r="35089" spans="25:25" x14ac:dyDescent="0.2">
      <c r="Y35089" s="97"/>
    </row>
    <row r="35090" spans="25:25" x14ac:dyDescent="0.2">
      <c r="Y35090" s="97"/>
    </row>
    <row r="35091" spans="25:25" x14ac:dyDescent="0.2">
      <c r="Y35091" s="97"/>
    </row>
    <row r="35092" spans="25:25" x14ac:dyDescent="0.2">
      <c r="Y35092" s="97"/>
    </row>
    <row r="35093" spans="25:25" x14ac:dyDescent="0.2">
      <c r="Y35093" s="97"/>
    </row>
    <row r="35094" spans="25:25" x14ac:dyDescent="0.2">
      <c r="Y35094" s="97"/>
    </row>
    <row r="35095" spans="25:25" x14ac:dyDescent="0.2">
      <c r="Y35095" s="97"/>
    </row>
    <row r="35096" spans="25:25" x14ac:dyDescent="0.2">
      <c r="Y35096" s="97"/>
    </row>
    <row r="35097" spans="25:25" x14ac:dyDescent="0.2">
      <c r="Y35097" s="97"/>
    </row>
    <row r="35098" spans="25:25" x14ac:dyDescent="0.2">
      <c r="Y35098" s="97"/>
    </row>
    <row r="35099" spans="25:25" x14ac:dyDescent="0.2">
      <c r="Y35099" s="97"/>
    </row>
    <row r="35100" spans="25:25" x14ac:dyDescent="0.2">
      <c r="Y35100" s="97"/>
    </row>
    <row r="35101" spans="25:25" x14ac:dyDescent="0.2">
      <c r="Y35101" s="97"/>
    </row>
    <row r="35102" spans="25:25" x14ac:dyDescent="0.2">
      <c r="Y35102" s="97"/>
    </row>
    <row r="35103" spans="25:25" x14ac:dyDescent="0.2">
      <c r="Y35103" s="97"/>
    </row>
    <row r="35104" spans="25:25" x14ac:dyDescent="0.2">
      <c r="Y35104" s="97"/>
    </row>
    <row r="35105" spans="25:25" x14ac:dyDescent="0.2">
      <c r="Y35105" s="97"/>
    </row>
    <row r="35106" spans="25:25" x14ac:dyDescent="0.2">
      <c r="Y35106" s="97"/>
    </row>
    <row r="35107" spans="25:25" x14ac:dyDescent="0.2">
      <c r="Y35107" s="97"/>
    </row>
    <row r="35108" spans="25:25" x14ac:dyDescent="0.2">
      <c r="Y35108" s="97"/>
    </row>
    <row r="35109" spans="25:25" x14ac:dyDescent="0.2">
      <c r="Y35109" s="97"/>
    </row>
    <row r="35110" spans="25:25" x14ac:dyDescent="0.2">
      <c r="Y35110" s="97"/>
    </row>
    <row r="35111" spans="25:25" x14ac:dyDescent="0.2">
      <c r="Y35111" s="97"/>
    </row>
    <row r="35112" spans="25:25" x14ac:dyDescent="0.2">
      <c r="Y35112" s="97"/>
    </row>
    <row r="35113" spans="25:25" x14ac:dyDescent="0.2">
      <c r="Y35113" s="97"/>
    </row>
    <row r="35114" spans="25:25" x14ac:dyDescent="0.2">
      <c r="Y35114" s="97"/>
    </row>
    <row r="35115" spans="25:25" x14ac:dyDescent="0.2">
      <c r="Y35115" s="97"/>
    </row>
    <row r="35116" spans="25:25" x14ac:dyDescent="0.2">
      <c r="Y35116" s="97"/>
    </row>
    <row r="35117" spans="25:25" x14ac:dyDescent="0.2">
      <c r="Y35117" s="97"/>
    </row>
    <row r="35118" spans="25:25" x14ac:dyDescent="0.2">
      <c r="Y35118" s="97"/>
    </row>
    <row r="35119" spans="25:25" x14ac:dyDescent="0.2">
      <c r="Y35119" s="97"/>
    </row>
    <row r="35120" spans="25:25" x14ac:dyDescent="0.2">
      <c r="Y35120" s="97"/>
    </row>
    <row r="35121" spans="25:25" x14ac:dyDescent="0.2">
      <c r="Y35121" s="97"/>
    </row>
    <row r="35122" spans="25:25" x14ac:dyDescent="0.2">
      <c r="Y35122" s="97"/>
    </row>
    <row r="35123" spans="25:25" x14ac:dyDescent="0.2">
      <c r="Y35123" s="97"/>
    </row>
    <row r="35124" spans="25:25" x14ac:dyDescent="0.2">
      <c r="Y35124" s="97"/>
    </row>
    <row r="35125" spans="25:25" x14ac:dyDescent="0.2">
      <c r="Y35125" s="97"/>
    </row>
    <row r="35126" spans="25:25" x14ac:dyDescent="0.2">
      <c r="Y35126" s="97"/>
    </row>
    <row r="35127" spans="25:25" x14ac:dyDescent="0.2">
      <c r="Y35127" s="97"/>
    </row>
    <row r="35128" spans="25:25" x14ac:dyDescent="0.2">
      <c r="Y35128" s="97"/>
    </row>
    <row r="35129" spans="25:25" x14ac:dyDescent="0.2">
      <c r="Y35129" s="97"/>
    </row>
    <row r="35130" spans="25:25" x14ac:dyDescent="0.2">
      <c r="Y35130" s="97"/>
    </row>
    <row r="35131" spans="25:25" x14ac:dyDescent="0.2">
      <c r="Y35131" s="97"/>
    </row>
    <row r="35132" spans="25:25" x14ac:dyDescent="0.2">
      <c r="Y35132" s="97"/>
    </row>
    <row r="35133" spans="25:25" x14ac:dyDescent="0.2">
      <c r="Y35133" s="97"/>
    </row>
    <row r="35134" spans="25:25" x14ac:dyDescent="0.2">
      <c r="Y35134" s="97"/>
    </row>
    <row r="35135" spans="25:25" x14ac:dyDescent="0.2">
      <c r="Y35135" s="97"/>
    </row>
    <row r="35136" spans="25:25" x14ac:dyDescent="0.2">
      <c r="Y35136" s="97"/>
    </row>
    <row r="35137" spans="25:25" x14ac:dyDescent="0.2">
      <c r="Y35137" s="97"/>
    </row>
    <row r="35138" spans="25:25" x14ac:dyDescent="0.2">
      <c r="Y35138" s="97"/>
    </row>
    <row r="35139" spans="25:25" x14ac:dyDescent="0.2">
      <c r="Y35139" s="97"/>
    </row>
    <row r="35140" spans="25:25" x14ac:dyDescent="0.2">
      <c r="Y35140" s="97"/>
    </row>
    <row r="35141" spans="25:25" x14ac:dyDescent="0.2">
      <c r="Y35141" s="97"/>
    </row>
    <row r="35142" spans="25:25" x14ac:dyDescent="0.2">
      <c r="Y35142" s="97"/>
    </row>
    <row r="35143" spans="25:25" x14ac:dyDescent="0.2">
      <c r="Y35143" s="97"/>
    </row>
    <row r="35144" spans="25:25" x14ac:dyDescent="0.2">
      <c r="Y35144" s="97"/>
    </row>
    <row r="35145" spans="25:25" x14ac:dyDescent="0.2">
      <c r="Y35145" s="97"/>
    </row>
    <row r="35146" spans="25:25" x14ac:dyDescent="0.2">
      <c r="Y35146" s="97"/>
    </row>
    <row r="35147" spans="25:25" x14ac:dyDescent="0.2">
      <c r="Y35147" s="97"/>
    </row>
    <row r="35148" spans="25:25" x14ac:dyDescent="0.2">
      <c r="Y35148" s="97"/>
    </row>
    <row r="35149" spans="25:25" x14ac:dyDescent="0.2">
      <c r="Y35149" s="97"/>
    </row>
    <row r="35150" spans="25:25" x14ac:dyDescent="0.2">
      <c r="Y35150" s="97"/>
    </row>
    <row r="35151" spans="25:25" x14ac:dyDescent="0.2">
      <c r="Y35151" s="97"/>
    </row>
    <row r="35152" spans="25:25" x14ac:dyDescent="0.2">
      <c r="Y35152" s="97"/>
    </row>
    <row r="35153" spans="25:25" x14ac:dyDescent="0.2">
      <c r="Y35153" s="97"/>
    </row>
    <row r="35154" spans="25:25" x14ac:dyDescent="0.2">
      <c r="Y35154" s="97"/>
    </row>
    <row r="35155" spans="25:25" x14ac:dyDescent="0.2">
      <c r="Y35155" s="97"/>
    </row>
    <row r="35156" spans="25:25" x14ac:dyDescent="0.2">
      <c r="Y35156" s="97"/>
    </row>
    <row r="35157" spans="25:25" x14ac:dyDescent="0.2">
      <c r="Y35157" s="97"/>
    </row>
    <row r="35158" spans="25:25" x14ac:dyDescent="0.2">
      <c r="Y35158" s="97"/>
    </row>
    <row r="35159" spans="25:25" x14ac:dyDescent="0.2">
      <c r="Y35159" s="97"/>
    </row>
    <row r="35160" spans="25:25" x14ac:dyDescent="0.2">
      <c r="Y35160" s="97"/>
    </row>
    <row r="35161" spans="25:25" x14ac:dyDescent="0.2">
      <c r="Y35161" s="97"/>
    </row>
    <row r="35162" spans="25:25" x14ac:dyDescent="0.2">
      <c r="Y35162" s="97"/>
    </row>
    <row r="35163" spans="25:25" x14ac:dyDescent="0.2">
      <c r="Y35163" s="97"/>
    </row>
    <row r="35164" spans="25:25" x14ac:dyDescent="0.2">
      <c r="Y35164" s="97"/>
    </row>
    <row r="35165" spans="25:25" x14ac:dyDescent="0.2">
      <c r="Y35165" s="97"/>
    </row>
    <row r="35166" spans="25:25" x14ac:dyDescent="0.2">
      <c r="Y35166" s="97"/>
    </row>
    <row r="35167" spans="25:25" x14ac:dyDescent="0.2">
      <c r="Y35167" s="97"/>
    </row>
    <row r="35168" spans="25:25" x14ac:dyDescent="0.2">
      <c r="Y35168" s="97"/>
    </row>
    <row r="35169" spans="25:25" x14ac:dyDescent="0.2">
      <c r="Y35169" s="97"/>
    </row>
    <row r="35170" spans="25:25" x14ac:dyDescent="0.2">
      <c r="Y35170" s="97"/>
    </row>
    <row r="35171" spans="25:25" x14ac:dyDescent="0.2">
      <c r="Y35171" s="97"/>
    </row>
    <row r="35172" spans="25:25" x14ac:dyDescent="0.2">
      <c r="Y35172" s="97"/>
    </row>
    <row r="35173" spans="25:25" x14ac:dyDescent="0.2">
      <c r="Y35173" s="97"/>
    </row>
    <row r="35174" spans="25:25" x14ac:dyDescent="0.2">
      <c r="Y35174" s="97"/>
    </row>
    <row r="35175" spans="25:25" x14ac:dyDescent="0.2">
      <c r="Y35175" s="97"/>
    </row>
    <row r="35176" spans="25:25" x14ac:dyDescent="0.2">
      <c r="Y35176" s="97"/>
    </row>
    <row r="35177" spans="25:25" x14ac:dyDescent="0.2">
      <c r="Y35177" s="97"/>
    </row>
    <row r="35178" spans="25:25" x14ac:dyDescent="0.2">
      <c r="Y35178" s="97"/>
    </row>
    <row r="35179" spans="25:25" x14ac:dyDescent="0.2">
      <c r="Y35179" s="97"/>
    </row>
    <row r="35180" spans="25:25" x14ac:dyDescent="0.2">
      <c r="Y35180" s="97"/>
    </row>
    <row r="35181" spans="25:25" x14ac:dyDescent="0.2">
      <c r="Y35181" s="97"/>
    </row>
    <row r="35182" spans="25:25" x14ac:dyDescent="0.2">
      <c r="Y35182" s="97"/>
    </row>
    <row r="35183" spans="25:25" x14ac:dyDescent="0.2">
      <c r="Y35183" s="97"/>
    </row>
    <row r="35184" spans="25:25" x14ac:dyDescent="0.2">
      <c r="Y35184" s="97"/>
    </row>
    <row r="35185" spans="25:25" x14ac:dyDescent="0.2">
      <c r="Y35185" s="97"/>
    </row>
    <row r="35186" spans="25:25" x14ac:dyDescent="0.2">
      <c r="Y35186" s="97"/>
    </row>
    <row r="35187" spans="25:25" x14ac:dyDescent="0.2">
      <c r="Y35187" s="97"/>
    </row>
    <row r="35188" spans="25:25" x14ac:dyDescent="0.2">
      <c r="Y35188" s="97"/>
    </row>
    <row r="35189" spans="25:25" x14ac:dyDescent="0.2">
      <c r="Y35189" s="97"/>
    </row>
    <row r="35190" spans="25:25" x14ac:dyDescent="0.2">
      <c r="Y35190" s="97"/>
    </row>
    <row r="35191" spans="25:25" x14ac:dyDescent="0.2">
      <c r="Y35191" s="97"/>
    </row>
    <row r="35192" spans="25:25" x14ac:dyDescent="0.2">
      <c r="Y35192" s="97"/>
    </row>
    <row r="35193" spans="25:25" x14ac:dyDescent="0.2">
      <c r="Y35193" s="97"/>
    </row>
    <row r="35194" spans="25:25" x14ac:dyDescent="0.2">
      <c r="Y35194" s="97"/>
    </row>
    <row r="35195" spans="25:25" x14ac:dyDescent="0.2">
      <c r="Y35195" s="97"/>
    </row>
    <row r="35196" spans="25:25" x14ac:dyDescent="0.2">
      <c r="Y35196" s="97"/>
    </row>
    <row r="35197" spans="25:25" x14ac:dyDescent="0.2">
      <c r="Y35197" s="97"/>
    </row>
    <row r="35198" spans="25:25" x14ac:dyDescent="0.2">
      <c r="Y35198" s="97"/>
    </row>
    <row r="35199" spans="25:25" x14ac:dyDescent="0.2">
      <c r="Y35199" s="97"/>
    </row>
    <row r="35200" spans="25:25" x14ac:dyDescent="0.2">
      <c r="Y35200" s="97"/>
    </row>
    <row r="35201" spans="25:25" x14ac:dyDescent="0.2">
      <c r="Y35201" s="97"/>
    </row>
    <row r="35202" spans="25:25" x14ac:dyDescent="0.2">
      <c r="Y35202" s="97"/>
    </row>
    <row r="35203" spans="25:25" x14ac:dyDescent="0.2">
      <c r="Y35203" s="97"/>
    </row>
    <row r="35204" spans="25:25" x14ac:dyDescent="0.2">
      <c r="Y35204" s="97"/>
    </row>
    <row r="35205" spans="25:25" x14ac:dyDescent="0.2">
      <c r="Y35205" s="97"/>
    </row>
    <row r="35206" spans="25:25" x14ac:dyDescent="0.2">
      <c r="Y35206" s="97"/>
    </row>
    <row r="35207" spans="25:25" x14ac:dyDescent="0.2">
      <c r="Y35207" s="97"/>
    </row>
    <row r="35208" spans="25:25" x14ac:dyDescent="0.2">
      <c r="Y35208" s="97"/>
    </row>
    <row r="35209" spans="25:25" x14ac:dyDescent="0.2">
      <c r="Y35209" s="97"/>
    </row>
    <row r="35210" spans="25:25" x14ac:dyDescent="0.2">
      <c r="Y35210" s="97"/>
    </row>
    <row r="35211" spans="25:25" x14ac:dyDescent="0.2">
      <c r="Y35211" s="97"/>
    </row>
    <row r="35212" spans="25:25" x14ac:dyDescent="0.2">
      <c r="Y35212" s="97"/>
    </row>
    <row r="35213" spans="25:25" x14ac:dyDescent="0.2">
      <c r="Y35213" s="97"/>
    </row>
    <row r="35214" spans="25:25" x14ac:dyDescent="0.2">
      <c r="Y35214" s="97"/>
    </row>
    <row r="35215" spans="25:25" x14ac:dyDescent="0.2">
      <c r="Y35215" s="97"/>
    </row>
    <row r="35216" spans="25:25" x14ac:dyDescent="0.2">
      <c r="Y35216" s="97"/>
    </row>
    <row r="35217" spans="25:25" x14ac:dyDescent="0.2">
      <c r="Y35217" s="97"/>
    </row>
    <row r="35218" spans="25:25" x14ac:dyDescent="0.2">
      <c r="Y35218" s="97"/>
    </row>
    <row r="35219" spans="25:25" x14ac:dyDescent="0.2">
      <c r="Y35219" s="97"/>
    </row>
    <row r="35220" spans="25:25" x14ac:dyDescent="0.2">
      <c r="Y35220" s="97"/>
    </row>
    <row r="35221" spans="25:25" x14ac:dyDescent="0.2">
      <c r="Y35221" s="97"/>
    </row>
    <row r="35222" spans="25:25" x14ac:dyDescent="0.2">
      <c r="Y35222" s="97"/>
    </row>
    <row r="35223" spans="25:25" x14ac:dyDescent="0.2">
      <c r="Y35223" s="97"/>
    </row>
    <row r="35224" spans="25:25" x14ac:dyDescent="0.2">
      <c r="Y35224" s="97"/>
    </row>
    <row r="35225" spans="25:25" x14ac:dyDescent="0.2">
      <c r="Y35225" s="97"/>
    </row>
    <row r="35226" spans="25:25" x14ac:dyDescent="0.2">
      <c r="Y35226" s="97"/>
    </row>
    <row r="35227" spans="25:25" x14ac:dyDescent="0.2">
      <c r="Y35227" s="97"/>
    </row>
    <row r="35228" spans="25:25" x14ac:dyDescent="0.2">
      <c r="Y35228" s="97"/>
    </row>
    <row r="35229" spans="25:25" x14ac:dyDescent="0.2">
      <c r="Y35229" s="97"/>
    </row>
    <row r="35230" spans="25:25" x14ac:dyDescent="0.2">
      <c r="Y35230" s="97"/>
    </row>
    <row r="35231" spans="25:25" x14ac:dyDescent="0.2">
      <c r="Y35231" s="97"/>
    </row>
    <row r="35232" spans="25:25" x14ac:dyDescent="0.2">
      <c r="Y35232" s="97"/>
    </row>
    <row r="35233" spans="25:25" x14ac:dyDescent="0.2">
      <c r="Y35233" s="97"/>
    </row>
    <row r="35234" spans="25:25" x14ac:dyDescent="0.2">
      <c r="Y35234" s="97"/>
    </row>
    <row r="35235" spans="25:25" x14ac:dyDescent="0.2">
      <c r="Y35235" s="97"/>
    </row>
    <row r="35236" spans="25:25" x14ac:dyDescent="0.2">
      <c r="Y35236" s="97"/>
    </row>
    <row r="35237" spans="25:25" x14ac:dyDescent="0.2">
      <c r="Y35237" s="97"/>
    </row>
    <row r="35238" spans="25:25" x14ac:dyDescent="0.2">
      <c r="Y35238" s="97"/>
    </row>
    <row r="35239" spans="25:25" x14ac:dyDescent="0.2">
      <c r="Y35239" s="97"/>
    </row>
    <row r="35240" spans="25:25" x14ac:dyDescent="0.2">
      <c r="Y35240" s="97"/>
    </row>
    <row r="35241" spans="25:25" x14ac:dyDescent="0.2">
      <c r="Y35241" s="97"/>
    </row>
    <row r="35242" spans="25:25" x14ac:dyDescent="0.2">
      <c r="Y35242" s="97"/>
    </row>
    <row r="35243" spans="25:25" x14ac:dyDescent="0.2">
      <c r="Y35243" s="97"/>
    </row>
    <row r="35244" spans="25:25" x14ac:dyDescent="0.2">
      <c r="Y35244" s="97"/>
    </row>
    <row r="35245" spans="25:25" x14ac:dyDescent="0.2">
      <c r="Y35245" s="97"/>
    </row>
    <row r="35246" spans="25:25" x14ac:dyDescent="0.2">
      <c r="Y35246" s="97"/>
    </row>
    <row r="35247" spans="25:25" x14ac:dyDescent="0.2">
      <c r="Y35247" s="97"/>
    </row>
    <row r="35248" spans="25:25" x14ac:dyDescent="0.2">
      <c r="Y35248" s="97"/>
    </row>
    <row r="35249" spans="25:25" x14ac:dyDescent="0.2">
      <c r="Y35249" s="97"/>
    </row>
    <row r="35250" spans="25:25" x14ac:dyDescent="0.2">
      <c r="Y35250" s="97"/>
    </row>
    <row r="35251" spans="25:25" x14ac:dyDescent="0.2">
      <c r="Y35251" s="97"/>
    </row>
    <row r="35252" spans="25:25" x14ac:dyDescent="0.2">
      <c r="Y35252" s="97"/>
    </row>
    <row r="35253" spans="25:25" x14ac:dyDescent="0.2">
      <c r="Y35253" s="97"/>
    </row>
    <row r="35254" spans="25:25" x14ac:dyDescent="0.2">
      <c r="Y35254" s="97"/>
    </row>
    <row r="35255" spans="25:25" x14ac:dyDescent="0.2">
      <c r="Y35255" s="97"/>
    </row>
    <row r="35256" spans="25:25" x14ac:dyDescent="0.2">
      <c r="Y35256" s="97"/>
    </row>
    <row r="35257" spans="25:25" x14ac:dyDescent="0.2">
      <c r="Y35257" s="97"/>
    </row>
    <row r="35258" spans="25:25" x14ac:dyDescent="0.2">
      <c r="Y35258" s="97"/>
    </row>
    <row r="35259" spans="25:25" x14ac:dyDescent="0.2">
      <c r="Y35259" s="97"/>
    </row>
    <row r="35260" spans="25:25" x14ac:dyDescent="0.2">
      <c r="Y35260" s="97"/>
    </row>
    <row r="35261" spans="25:25" x14ac:dyDescent="0.2">
      <c r="Y35261" s="97"/>
    </row>
    <row r="35262" spans="25:25" x14ac:dyDescent="0.2">
      <c r="Y35262" s="97"/>
    </row>
    <row r="35263" spans="25:25" x14ac:dyDescent="0.2">
      <c r="Y35263" s="97"/>
    </row>
    <row r="35264" spans="25:25" x14ac:dyDescent="0.2">
      <c r="Y35264" s="97"/>
    </row>
    <row r="35265" spans="25:25" x14ac:dyDescent="0.2">
      <c r="Y35265" s="97"/>
    </row>
    <row r="35266" spans="25:25" x14ac:dyDescent="0.2">
      <c r="Y35266" s="97"/>
    </row>
    <row r="35267" spans="25:25" x14ac:dyDescent="0.2">
      <c r="Y35267" s="97"/>
    </row>
    <row r="35268" spans="25:25" x14ac:dyDescent="0.2">
      <c r="Y35268" s="97"/>
    </row>
    <row r="35269" spans="25:25" x14ac:dyDescent="0.2">
      <c r="Y35269" s="97"/>
    </row>
    <row r="35270" spans="25:25" x14ac:dyDescent="0.2">
      <c r="Y35270" s="97"/>
    </row>
    <row r="35271" spans="25:25" x14ac:dyDescent="0.2">
      <c r="Y35271" s="97"/>
    </row>
    <row r="35272" spans="25:25" x14ac:dyDescent="0.2">
      <c r="Y35272" s="97"/>
    </row>
    <row r="35273" spans="25:25" x14ac:dyDescent="0.2">
      <c r="Y35273" s="97"/>
    </row>
    <row r="35274" spans="25:25" x14ac:dyDescent="0.2">
      <c r="Y35274" s="97"/>
    </row>
    <row r="35275" spans="25:25" x14ac:dyDescent="0.2">
      <c r="Y35275" s="97"/>
    </row>
    <row r="35276" spans="25:25" x14ac:dyDescent="0.2">
      <c r="Y35276" s="97"/>
    </row>
    <row r="35277" spans="25:25" x14ac:dyDescent="0.2">
      <c r="Y35277" s="97"/>
    </row>
    <row r="35278" spans="25:25" x14ac:dyDescent="0.2">
      <c r="Y35278" s="97"/>
    </row>
    <row r="35279" spans="25:25" x14ac:dyDescent="0.2">
      <c r="Y35279" s="97"/>
    </row>
    <row r="35280" spans="25:25" x14ac:dyDescent="0.2">
      <c r="Y35280" s="97"/>
    </row>
    <row r="35281" spans="25:25" x14ac:dyDescent="0.2">
      <c r="Y35281" s="97"/>
    </row>
    <row r="35282" spans="25:25" x14ac:dyDescent="0.2">
      <c r="Y35282" s="97"/>
    </row>
    <row r="35283" spans="25:25" x14ac:dyDescent="0.2">
      <c r="Y35283" s="97"/>
    </row>
    <row r="35284" spans="25:25" x14ac:dyDescent="0.2">
      <c r="Y35284" s="97"/>
    </row>
    <row r="35285" spans="25:25" x14ac:dyDescent="0.2">
      <c r="Y35285" s="97"/>
    </row>
    <row r="35286" spans="25:25" x14ac:dyDescent="0.2">
      <c r="Y35286" s="97"/>
    </row>
    <row r="35287" spans="25:25" x14ac:dyDescent="0.2">
      <c r="Y35287" s="97"/>
    </row>
    <row r="35288" spans="25:25" x14ac:dyDescent="0.2">
      <c r="Y35288" s="97"/>
    </row>
    <row r="35289" spans="25:25" x14ac:dyDescent="0.2">
      <c r="Y35289" s="97"/>
    </row>
    <row r="35290" spans="25:25" x14ac:dyDescent="0.2">
      <c r="Y35290" s="97"/>
    </row>
    <row r="35291" spans="25:25" x14ac:dyDescent="0.2">
      <c r="Y35291" s="97"/>
    </row>
    <row r="35292" spans="25:25" x14ac:dyDescent="0.2">
      <c r="Y35292" s="97"/>
    </row>
    <row r="35293" spans="25:25" x14ac:dyDescent="0.2">
      <c r="Y35293" s="97"/>
    </row>
    <row r="35294" spans="25:25" x14ac:dyDescent="0.2">
      <c r="Y35294" s="97"/>
    </row>
    <row r="35295" spans="25:25" x14ac:dyDescent="0.2">
      <c r="Y35295" s="97"/>
    </row>
    <row r="35296" spans="25:25" x14ac:dyDescent="0.2">
      <c r="Y35296" s="97"/>
    </row>
    <row r="35297" spans="25:25" x14ac:dyDescent="0.2">
      <c r="Y35297" s="97"/>
    </row>
    <row r="35298" spans="25:25" x14ac:dyDescent="0.2">
      <c r="Y35298" s="97"/>
    </row>
    <row r="35299" spans="25:25" x14ac:dyDescent="0.2">
      <c r="Y35299" s="97"/>
    </row>
    <row r="35300" spans="25:25" x14ac:dyDescent="0.2">
      <c r="Y35300" s="97"/>
    </row>
    <row r="35301" spans="25:25" x14ac:dyDescent="0.2">
      <c r="Y35301" s="97"/>
    </row>
    <row r="35302" spans="25:25" x14ac:dyDescent="0.2">
      <c r="Y35302" s="97"/>
    </row>
    <row r="35303" spans="25:25" x14ac:dyDescent="0.2">
      <c r="Y35303" s="97"/>
    </row>
    <row r="35304" spans="25:25" x14ac:dyDescent="0.2">
      <c r="Y35304" s="97"/>
    </row>
    <row r="35305" spans="25:25" x14ac:dyDescent="0.2">
      <c r="Y35305" s="97"/>
    </row>
    <row r="35306" spans="25:25" x14ac:dyDescent="0.2">
      <c r="Y35306" s="97"/>
    </row>
    <row r="35307" spans="25:25" x14ac:dyDescent="0.2">
      <c r="Y35307" s="97"/>
    </row>
    <row r="35308" spans="25:25" x14ac:dyDescent="0.2">
      <c r="Y35308" s="97"/>
    </row>
    <row r="35309" spans="25:25" x14ac:dyDescent="0.2">
      <c r="Y35309" s="97"/>
    </row>
    <row r="35310" spans="25:25" x14ac:dyDescent="0.2">
      <c r="Y35310" s="97"/>
    </row>
    <row r="35311" spans="25:25" x14ac:dyDescent="0.2">
      <c r="Y35311" s="97"/>
    </row>
    <row r="35312" spans="25:25" x14ac:dyDescent="0.2">
      <c r="Y35312" s="97"/>
    </row>
    <row r="35313" spans="25:25" x14ac:dyDescent="0.2">
      <c r="Y35313" s="97"/>
    </row>
    <row r="35314" spans="25:25" x14ac:dyDescent="0.2">
      <c r="Y35314" s="97"/>
    </row>
    <row r="35315" spans="25:25" x14ac:dyDescent="0.2">
      <c r="Y35315" s="97"/>
    </row>
    <row r="35316" spans="25:25" x14ac:dyDescent="0.2">
      <c r="Y35316" s="97"/>
    </row>
    <row r="35317" spans="25:25" x14ac:dyDescent="0.2">
      <c r="Y35317" s="97"/>
    </row>
    <row r="35318" spans="25:25" x14ac:dyDescent="0.2">
      <c r="Y35318" s="97"/>
    </row>
    <row r="35319" spans="25:25" x14ac:dyDescent="0.2">
      <c r="Y35319" s="97"/>
    </row>
    <row r="35320" spans="25:25" x14ac:dyDescent="0.2">
      <c r="Y35320" s="97"/>
    </row>
    <row r="35321" spans="25:25" x14ac:dyDescent="0.2">
      <c r="Y35321" s="97"/>
    </row>
    <row r="35322" spans="25:25" x14ac:dyDescent="0.2">
      <c r="Y35322" s="97"/>
    </row>
    <row r="35323" spans="25:25" x14ac:dyDescent="0.2">
      <c r="Y35323" s="97"/>
    </row>
    <row r="35324" spans="25:25" x14ac:dyDescent="0.2">
      <c r="Y35324" s="97"/>
    </row>
    <row r="35325" spans="25:25" x14ac:dyDescent="0.2">
      <c r="Y35325" s="97"/>
    </row>
    <row r="35326" spans="25:25" x14ac:dyDescent="0.2">
      <c r="Y35326" s="97"/>
    </row>
    <row r="35327" spans="25:25" x14ac:dyDescent="0.2">
      <c r="Y35327" s="97"/>
    </row>
    <row r="35328" spans="25:25" x14ac:dyDescent="0.2">
      <c r="Y35328" s="97"/>
    </row>
    <row r="35329" spans="25:25" x14ac:dyDescent="0.2">
      <c r="Y35329" s="97"/>
    </row>
    <row r="35330" spans="25:25" x14ac:dyDescent="0.2">
      <c r="Y35330" s="97"/>
    </row>
    <row r="35331" spans="25:25" x14ac:dyDescent="0.2">
      <c r="Y35331" s="97"/>
    </row>
    <row r="35332" spans="25:25" x14ac:dyDescent="0.2">
      <c r="Y35332" s="97"/>
    </row>
    <row r="35333" spans="25:25" x14ac:dyDescent="0.2">
      <c r="Y35333" s="97"/>
    </row>
    <row r="35334" spans="25:25" x14ac:dyDescent="0.2">
      <c r="Y35334" s="97"/>
    </row>
    <row r="35335" spans="25:25" x14ac:dyDescent="0.2">
      <c r="Y35335" s="97"/>
    </row>
    <row r="35336" spans="25:25" x14ac:dyDescent="0.2">
      <c r="Y35336" s="97"/>
    </row>
    <row r="35337" spans="25:25" x14ac:dyDescent="0.2">
      <c r="Y35337" s="97"/>
    </row>
    <row r="35338" spans="25:25" x14ac:dyDescent="0.2">
      <c r="Y35338" s="97"/>
    </row>
    <row r="35339" spans="25:25" x14ac:dyDescent="0.2">
      <c r="Y35339" s="97"/>
    </row>
    <row r="35340" spans="25:25" x14ac:dyDescent="0.2">
      <c r="Y35340" s="97"/>
    </row>
    <row r="35341" spans="25:25" x14ac:dyDescent="0.2">
      <c r="Y35341" s="97"/>
    </row>
    <row r="35342" spans="25:25" x14ac:dyDescent="0.2">
      <c r="Y35342" s="97"/>
    </row>
    <row r="35343" spans="25:25" x14ac:dyDescent="0.2">
      <c r="Y35343" s="97"/>
    </row>
    <row r="35344" spans="25:25" x14ac:dyDescent="0.2">
      <c r="Y35344" s="97"/>
    </row>
    <row r="35345" spans="25:25" x14ac:dyDescent="0.2">
      <c r="Y35345" s="97"/>
    </row>
    <row r="35346" spans="25:25" x14ac:dyDescent="0.2">
      <c r="Y35346" s="97"/>
    </row>
    <row r="35347" spans="25:25" x14ac:dyDescent="0.2">
      <c r="Y35347" s="97"/>
    </row>
    <row r="35348" spans="25:25" x14ac:dyDescent="0.2">
      <c r="Y35348" s="97"/>
    </row>
    <row r="35349" spans="25:25" x14ac:dyDescent="0.2">
      <c r="Y35349" s="97"/>
    </row>
    <row r="35350" spans="25:25" x14ac:dyDescent="0.2">
      <c r="Y35350" s="97"/>
    </row>
    <row r="35351" spans="25:25" x14ac:dyDescent="0.2">
      <c r="Y35351" s="97"/>
    </row>
    <row r="35352" spans="25:25" x14ac:dyDescent="0.2">
      <c r="Y35352" s="97"/>
    </row>
    <row r="35353" spans="25:25" x14ac:dyDescent="0.2">
      <c r="Y35353" s="97"/>
    </row>
    <row r="35354" spans="25:25" x14ac:dyDescent="0.2">
      <c r="Y35354" s="97"/>
    </row>
    <row r="35355" spans="25:25" x14ac:dyDescent="0.2">
      <c r="Y35355" s="97"/>
    </row>
    <row r="35356" spans="25:25" x14ac:dyDescent="0.2">
      <c r="Y35356" s="97"/>
    </row>
    <row r="35357" spans="25:25" x14ac:dyDescent="0.2">
      <c r="Y35357" s="97"/>
    </row>
    <row r="35358" spans="25:25" x14ac:dyDescent="0.2">
      <c r="Y35358" s="97"/>
    </row>
    <row r="35359" spans="25:25" x14ac:dyDescent="0.2">
      <c r="Y35359" s="97"/>
    </row>
    <row r="35360" spans="25:25" x14ac:dyDescent="0.2">
      <c r="Y35360" s="97"/>
    </row>
    <row r="35361" spans="25:25" x14ac:dyDescent="0.2">
      <c r="Y35361" s="97"/>
    </row>
    <row r="35362" spans="25:25" x14ac:dyDescent="0.2">
      <c r="Y35362" s="97"/>
    </row>
    <row r="35363" spans="25:25" x14ac:dyDescent="0.2">
      <c r="Y35363" s="97"/>
    </row>
    <row r="35364" spans="25:25" x14ac:dyDescent="0.2">
      <c r="Y35364" s="97"/>
    </row>
    <row r="35365" spans="25:25" x14ac:dyDescent="0.2">
      <c r="Y35365" s="97"/>
    </row>
    <row r="35366" spans="25:25" x14ac:dyDescent="0.2">
      <c r="Y35366" s="97"/>
    </row>
    <row r="35367" spans="25:25" x14ac:dyDescent="0.2">
      <c r="Y35367" s="97"/>
    </row>
    <row r="35368" spans="25:25" x14ac:dyDescent="0.2">
      <c r="Y35368" s="97"/>
    </row>
    <row r="35369" spans="25:25" x14ac:dyDescent="0.2">
      <c r="Y35369" s="97"/>
    </row>
    <row r="35370" spans="25:25" x14ac:dyDescent="0.2">
      <c r="Y35370" s="97"/>
    </row>
    <row r="35371" spans="25:25" x14ac:dyDescent="0.2">
      <c r="Y35371" s="97"/>
    </row>
    <row r="35372" spans="25:25" x14ac:dyDescent="0.2">
      <c r="Y35372" s="97"/>
    </row>
    <row r="35373" spans="25:25" x14ac:dyDescent="0.2">
      <c r="Y35373" s="97"/>
    </row>
    <row r="35374" spans="25:25" x14ac:dyDescent="0.2">
      <c r="Y35374" s="97"/>
    </row>
    <row r="35375" spans="25:25" x14ac:dyDescent="0.2">
      <c r="Y35375" s="97"/>
    </row>
    <row r="35376" spans="25:25" x14ac:dyDescent="0.2">
      <c r="Y35376" s="97"/>
    </row>
    <row r="35377" spans="25:25" x14ac:dyDescent="0.2">
      <c r="Y35377" s="97"/>
    </row>
    <row r="35378" spans="25:25" x14ac:dyDescent="0.2">
      <c r="Y35378" s="97"/>
    </row>
    <row r="35379" spans="25:25" x14ac:dyDescent="0.2">
      <c r="Y35379" s="97"/>
    </row>
    <row r="35380" spans="25:25" x14ac:dyDescent="0.2">
      <c r="Y35380" s="97"/>
    </row>
    <row r="35381" spans="25:25" x14ac:dyDescent="0.2">
      <c r="Y35381" s="97"/>
    </row>
    <row r="35382" spans="25:25" x14ac:dyDescent="0.2">
      <c r="Y35382" s="97"/>
    </row>
    <row r="35383" spans="25:25" x14ac:dyDescent="0.2">
      <c r="Y35383" s="97"/>
    </row>
    <row r="35384" spans="25:25" x14ac:dyDescent="0.2">
      <c r="Y35384" s="97"/>
    </row>
    <row r="35385" spans="25:25" x14ac:dyDescent="0.2">
      <c r="Y35385" s="97"/>
    </row>
    <row r="35386" spans="25:25" x14ac:dyDescent="0.2">
      <c r="Y35386" s="97"/>
    </row>
    <row r="35387" spans="25:25" x14ac:dyDescent="0.2">
      <c r="Y35387" s="97"/>
    </row>
    <row r="35388" spans="25:25" x14ac:dyDescent="0.2">
      <c r="Y35388" s="97"/>
    </row>
    <row r="35389" spans="25:25" x14ac:dyDescent="0.2">
      <c r="Y35389" s="97"/>
    </row>
    <row r="35390" spans="25:25" x14ac:dyDescent="0.2">
      <c r="Y35390" s="97"/>
    </row>
    <row r="35391" spans="25:25" x14ac:dyDescent="0.2">
      <c r="Y35391" s="97"/>
    </row>
    <row r="35392" spans="25:25" x14ac:dyDescent="0.2">
      <c r="Y35392" s="97"/>
    </row>
    <row r="35393" spans="25:25" x14ac:dyDescent="0.2">
      <c r="Y35393" s="97"/>
    </row>
    <row r="35394" spans="25:25" x14ac:dyDescent="0.2">
      <c r="Y35394" s="97"/>
    </row>
    <row r="35395" spans="25:25" x14ac:dyDescent="0.2">
      <c r="Y35395" s="97"/>
    </row>
    <row r="35396" spans="25:25" x14ac:dyDescent="0.2">
      <c r="Y35396" s="97"/>
    </row>
    <row r="35397" spans="25:25" x14ac:dyDescent="0.2">
      <c r="Y35397" s="97"/>
    </row>
    <row r="35398" spans="25:25" x14ac:dyDescent="0.2">
      <c r="Y35398" s="97"/>
    </row>
    <row r="35399" spans="25:25" x14ac:dyDescent="0.2">
      <c r="Y35399" s="97"/>
    </row>
    <row r="35400" spans="25:25" x14ac:dyDescent="0.2">
      <c r="Y35400" s="97"/>
    </row>
    <row r="35401" spans="25:25" x14ac:dyDescent="0.2">
      <c r="Y35401" s="97"/>
    </row>
    <row r="35402" spans="25:25" x14ac:dyDescent="0.2">
      <c r="Y35402" s="97"/>
    </row>
    <row r="35403" spans="25:25" x14ac:dyDescent="0.2">
      <c r="Y35403" s="97"/>
    </row>
    <row r="35404" spans="25:25" x14ac:dyDescent="0.2">
      <c r="Y35404" s="97"/>
    </row>
    <row r="35405" spans="25:25" x14ac:dyDescent="0.2">
      <c r="Y35405" s="97"/>
    </row>
    <row r="35406" spans="25:25" x14ac:dyDescent="0.2">
      <c r="Y35406" s="97"/>
    </row>
    <row r="35407" spans="25:25" x14ac:dyDescent="0.2">
      <c r="Y35407" s="97"/>
    </row>
    <row r="35408" spans="25:25" x14ac:dyDescent="0.2">
      <c r="Y35408" s="97"/>
    </row>
    <row r="35409" spans="25:25" x14ac:dyDescent="0.2">
      <c r="Y35409" s="97"/>
    </row>
    <row r="35410" spans="25:25" x14ac:dyDescent="0.2">
      <c r="Y35410" s="97"/>
    </row>
    <row r="35411" spans="25:25" x14ac:dyDescent="0.2">
      <c r="Y35411" s="97"/>
    </row>
    <row r="35412" spans="25:25" x14ac:dyDescent="0.2">
      <c r="Y35412" s="97"/>
    </row>
    <row r="35413" spans="25:25" x14ac:dyDescent="0.2">
      <c r="Y35413" s="97"/>
    </row>
    <row r="35414" spans="25:25" x14ac:dyDescent="0.2">
      <c r="Y35414" s="97"/>
    </row>
    <row r="35415" spans="25:25" x14ac:dyDescent="0.2">
      <c r="Y35415" s="97"/>
    </row>
    <row r="35416" spans="25:25" x14ac:dyDescent="0.2">
      <c r="Y35416" s="97"/>
    </row>
    <row r="35417" spans="25:25" x14ac:dyDescent="0.2">
      <c r="Y35417" s="97"/>
    </row>
    <row r="35418" spans="25:25" x14ac:dyDescent="0.2">
      <c r="Y35418" s="97"/>
    </row>
    <row r="35419" spans="25:25" x14ac:dyDescent="0.2">
      <c r="Y35419" s="97"/>
    </row>
    <row r="35420" spans="25:25" x14ac:dyDescent="0.2">
      <c r="Y35420" s="97"/>
    </row>
    <row r="35421" spans="25:25" x14ac:dyDescent="0.2">
      <c r="Y35421" s="97"/>
    </row>
    <row r="35422" spans="25:25" x14ac:dyDescent="0.2">
      <c r="Y35422" s="97"/>
    </row>
    <row r="35423" spans="25:25" x14ac:dyDescent="0.2">
      <c r="Y35423" s="97"/>
    </row>
    <row r="35424" spans="25:25" x14ac:dyDescent="0.2">
      <c r="Y35424" s="97"/>
    </row>
    <row r="35425" spans="25:25" x14ac:dyDescent="0.2">
      <c r="Y35425" s="97"/>
    </row>
    <row r="35426" spans="25:25" x14ac:dyDescent="0.2">
      <c r="Y35426" s="97"/>
    </row>
    <row r="35427" spans="25:25" x14ac:dyDescent="0.2">
      <c r="Y35427" s="97"/>
    </row>
    <row r="35428" spans="25:25" x14ac:dyDescent="0.2">
      <c r="Y35428" s="97"/>
    </row>
    <row r="35429" spans="25:25" x14ac:dyDescent="0.2">
      <c r="Y35429" s="97"/>
    </row>
    <row r="35430" spans="25:25" x14ac:dyDescent="0.2">
      <c r="Y35430" s="97"/>
    </row>
    <row r="35431" spans="25:25" x14ac:dyDescent="0.2">
      <c r="Y35431" s="97"/>
    </row>
    <row r="35432" spans="25:25" x14ac:dyDescent="0.2">
      <c r="Y35432" s="97"/>
    </row>
    <row r="35433" spans="25:25" x14ac:dyDescent="0.2">
      <c r="Y35433" s="97"/>
    </row>
    <row r="35434" spans="25:25" x14ac:dyDescent="0.2">
      <c r="Y35434" s="97"/>
    </row>
    <row r="35435" spans="25:25" x14ac:dyDescent="0.2">
      <c r="Y35435" s="97"/>
    </row>
    <row r="35436" spans="25:25" x14ac:dyDescent="0.2">
      <c r="Y35436" s="97"/>
    </row>
    <row r="35437" spans="25:25" x14ac:dyDescent="0.2">
      <c r="Y35437" s="97"/>
    </row>
    <row r="35438" spans="25:25" x14ac:dyDescent="0.2">
      <c r="Y35438" s="97"/>
    </row>
    <row r="35439" spans="25:25" x14ac:dyDescent="0.2">
      <c r="Y35439" s="97"/>
    </row>
    <row r="35440" spans="25:25" x14ac:dyDescent="0.2">
      <c r="Y35440" s="97"/>
    </row>
    <row r="35441" spans="25:25" x14ac:dyDescent="0.2">
      <c r="Y35441" s="97"/>
    </row>
    <row r="35442" spans="25:25" x14ac:dyDescent="0.2">
      <c r="Y35442" s="97"/>
    </row>
    <row r="35443" spans="25:25" x14ac:dyDescent="0.2">
      <c r="Y35443" s="97"/>
    </row>
    <row r="35444" spans="25:25" x14ac:dyDescent="0.2">
      <c r="Y35444" s="97"/>
    </row>
    <row r="35445" spans="25:25" x14ac:dyDescent="0.2">
      <c r="Y35445" s="97"/>
    </row>
    <row r="35446" spans="25:25" x14ac:dyDescent="0.2">
      <c r="Y35446" s="97"/>
    </row>
    <row r="35447" spans="25:25" x14ac:dyDescent="0.2">
      <c r="Y35447" s="97"/>
    </row>
    <row r="35448" spans="25:25" x14ac:dyDescent="0.2">
      <c r="Y35448" s="97"/>
    </row>
    <row r="35449" spans="25:25" x14ac:dyDescent="0.2">
      <c r="Y35449" s="97"/>
    </row>
    <row r="35450" spans="25:25" x14ac:dyDescent="0.2">
      <c r="Y35450" s="97"/>
    </row>
    <row r="35451" spans="25:25" x14ac:dyDescent="0.2">
      <c r="Y35451" s="97"/>
    </row>
    <row r="35452" spans="25:25" x14ac:dyDescent="0.2">
      <c r="Y35452" s="97"/>
    </row>
    <row r="35453" spans="25:25" x14ac:dyDescent="0.2">
      <c r="Y35453" s="97"/>
    </row>
    <row r="35454" spans="25:25" x14ac:dyDescent="0.2">
      <c r="Y35454" s="97"/>
    </row>
    <row r="35455" spans="25:25" x14ac:dyDescent="0.2">
      <c r="Y35455" s="97"/>
    </row>
    <row r="35456" spans="25:25" x14ac:dyDescent="0.2">
      <c r="Y35456" s="97"/>
    </row>
    <row r="35457" spans="25:25" x14ac:dyDescent="0.2">
      <c r="Y35457" s="97"/>
    </row>
    <row r="35458" spans="25:25" x14ac:dyDescent="0.2">
      <c r="Y35458" s="97"/>
    </row>
    <row r="35459" spans="25:25" x14ac:dyDescent="0.2">
      <c r="Y35459" s="97"/>
    </row>
    <row r="35460" spans="25:25" x14ac:dyDescent="0.2">
      <c r="Y35460" s="97"/>
    </row>
    <row r="35461" spans="25:25" x14ac:dyDescent="0.2">
      <c r="Y35461" s="97"/>
    </row>
    <row r="35462" spans="25:25" x14ac:dyDescent="0.2">
      <c r="Y35462" s="97"/>
    </row>
    <row r="35463" spans="25:25" x14ac:dyDescent="0.2">
      <c r="Y35463" s="97"/>
    </row>
    <row r="35464" spans="25:25" x14ac:dyDescent="0.2">
      <c r="Y35464" s="97"/>
    </row>
    <row r="35465" spans="25:25" x14ac:dyDescent="0.2">
      <c r="Y35465" s="97"/>
    </row>
    <row r="35466" spans="25:25" x14ac:dyDescent="0.2">
      <c r="Y35466" s="97"/>
    </row>
    <row r="35467" spans="25:25" x14ac:dyDescent="0.2">
      <c r="Y35467" s="97"/>
    </row>
    <row r="35468" spans="25:25" x14ac:dyDescent="0.2">
      <c r="Y35468" s="97"/>
    </row>
    <row r="35469" spans="25:25" x14ac:dyDescent="0.2">
      <c r="Y35469" s="97"/>
    </row>
    <row r="35470" spans="25:25" x14ac:dyDescent="0.2">
      <c r="Y35470" s="97"/>
    </row>
    <row r="35471" spans="25:25" x14ac:dyDescent="0.2">
      <c r="Y35471" s="97"/>
    </row>
    <row r="35472" spans="25:25" x14ac:dyDescent="0.2">
      <c r="Y35472" s="97"/>
    </row>
    <row r="35473" spans="25:25" x14ac:dyDescent="0.2">
      <c r="Y35473" s="97"/>
    </row>
    <row r="35474" spans="25:25" x14ac:dyDescent="0.2">
      <c r="Y35474" s="97"/>
    </row>
    <row r="35475" spans="25:25" x14ac:dyDescent="0.2">
      <c r="Y35475" s="97"/>
    </row>
    <row r="35476" spans="25:25" x14ac:dyDescent="0.2">
      <c r="Y35476" s="97"/>
    </row>
    <row r="35477" spans="25:25" x14ac:dyDescent="0.2">
      <c r="Y35477" s="97"/>
    </row>
    <row r="35478" spans="25:25" x14ac:dyDescent="0.2">
      <c r="Y35478" s="97"/>
    </row>
    <row r="35479" spans="25:25" x14ac:dyDescent="0.2">
      <c r="Y35479" s="97"/>
    </row>
    <row r="35480" spans="25:25" x14ac:dyDescent="0.2">
      <c r="Y35480" s="97"/>
    </row>
    <row r="35481" spans="25:25" x14ac:dyDescent="0.2">
      <c r="Y35481" s="97"/>
    </row>
    <row r="35482" spans="25:25" x14ac:dyDescent="0.2">
      <c r="Y35482" s="97"/>
    </row>
    <row r="35483" spans="25:25" x14ac:dyDescent="0.2">
      <c r="Y35483" s="97"/>
    </row>
    <row r="35484" spans="25:25" x14ac:dyDescent="0.2">
      <c r="Y35484" s="97"/>
    </row>
    <row r="35485" spans="25:25" x14ac:dyDescent="0.2">
      <c r="Y35485" s="97"/>
    </row>
    <row r="35486" spans="25:25" x14ac:dyDescent="0.2">
      <c r="Y35486" s="97"/>
    </row>
    <row r="35487" spans="25:25" x14ac:dyDescent="0.2">
      <c r="Y35487" s="97"/>
    </row>
    <row r="35488" spans="25:25" x14ac:dyDescent="0.2">
      <c r="Y35488" s="97"/>
    </row>
    <row r="35489" spans="25:25" x14ac:dyDescent="0.2">
      <c r="Y35489" s="97"/>
    </row>
    <row r="35490" spans="25:25" x14ac:dyDescent="0.2">
      <c r="Y35490" s="97"/>
    </row>
    <row r="35491" spans="25:25" x14ac:dyDescent="0.2">
      <c r="Y35491" s="97"/>
    </row>
    <row r="35492" spans="25:25" x14ac:dyDescent="0.2">
      <c r="Y35492" s="97"/>
    </row>
    <row r="35493" spans="25:25" x14ac:dyDescent="0.2">
      <c r="Y35493" s="97"/>
    </row>
    <row r="35494" spans="25:25" x14ac:dyDescent="0.2">
      <c r="Y35494" s="97"/>
    </row>
    <row r="35495" spans="25:25" x14ac:dyDescent="0.2">
      <c r="Y35495" s="97"/>
    </row>
    <row r="35496" spans="25:25" x14ac:dyDescent="0.2">
      <c r="Y35496" s="97"/>
    </row>
    <row r="35497" spans="25:25" x14ac:dyDescent="0.2">
      <c r="Y35497" s="97"/>
    </row>
    <row r="35498" spans="25:25" x14ac:dyDescent="0.2">
      <c r="Y35498" s="97"/>
    </row>
    <row r="35499" spans="25:25" x14ac:dyDescent="0.2">
      <c r="Y35499" s="97"/>
    </row>
    <row r="35500" spans="25:25" x14ac:dyDescent="0.2">
      <c r="Y35500" s="97"/>
    </row>
    <row r="35501" spans="25:25" x14ac:dyDescent="0.2">
      <c r="Y35501" s="97"/>
    </row>
    <row r="35502" spans="25:25" x14ac:dyDescent="0.2">
      <c r="Y35502" s="97"/>
    </row>
    <row r="35503" spans="25:25" x14ac:dyDescent="0.2">
      <c r="Y35503" s="97"/>
    </row>
    <row r="35504" spans="25:25" x14ac:dyDescent="0.2">
      <c r="Y35504" s="97"/>
    </row>
    <row r="35505" spans="25:25" x14ac:dyDescent="0.2">
      <c r="Y35505" s="97"/>
    </row>
    <row r="35506" spans="25:25" x14ac:dyDescent="0.2">
      <c r="Y35506" s="97"/>
    </row>
    <row r="35507" spans="25:25" x14ac:dyDescent="0.2">
      <c r="Y35507" s="97"/>
    </row>
    <row r="35508" spans="25:25" x14ac:dyDescent="0.2">
      <c r="Y35508" s="97"/>
    </row>
    <row r="35509" spans="25:25" x14ac:dyDescent="0.2">
      <c r="Y35509" s="97"/>
    </row>
    <row r="35510" spans="25:25" x14ac:dyDescent="0.2">
      <c r="Y35510" s="97"/>
    </row>
    <row r="35511" spans="25:25" x14ac:dyDescent="0.2">
      <c r="Y35511" s="97"/>
    </row>
    <row r="35512" spans="25:25" x14ac:dyDescent="0.2">
      <c r="Y35512" s="97"/>
    </row>
    <row r="35513" spans="25:25" x14ac:dyDescent="0.2">
      <c r="Y35513" s="97"/>
    </row>
    <row r="35514" spans="25:25" x14ac:dyDescent="0.2">
      <c r="Y35514" s="97"/>
    </row>
    <row r="35515" spans="25:25" x14ac:dyDescent="0.2">
      <c r="Y35515" s="97"/>
    </row>
    <row r="35516" spans="25:25" x14ac:dyDescent="0.2">
      <c r="Y35516" s="97"/>
    </row>
    <row r="35517" spans="25:25" x14ac:dyDescent="0.2">
      <c r="Y35517" s="97"/>
    </row>
    <row r="35518" spans="25:25" x14ac:dyDescent="0.2">
      <c r="Y35518" s="97"/>
    </row>
    <row r="35519" spans="25:25" x14ac:dyDescent="0.2">
      <c r="Y35519" s="97"/>
    </row>
    <row r="35520" spans="25:25" x14ac:dyDescent="0.2">
      <c r="Y35520" s="97"/>
    </row>
    <row r="35521" spans="25:25" x14ac:dyDescent="0.2">
      <c r="Y35521" s="97"/>
    </row>
    <row r="35522" spans="25:25" x14ac:dyDescent="0.2">
      <c r="Y35522" s="97"/>
    </row>
    <row r="35523" spans="25:25" x14ac:dyDescent="0.2">
      <c r="Y35523" s="97"/>
    </row>
    <row r="35524" spans="25:25" x14ac:dyDescent="0.2">
      <c r="Y35524" s="97"/>
    </row>
    <row r="35525" spans="25:25" x14ac:dyDescent="0.2">
      <c r="Y35525" s="97"/>
    </row>
    <row r="35526" spans="25:25" x14ac:dyDescent="0.2">
      <c r="Y35526" s="97"/>
    </row>
    <row r="35527" spans="25:25" x14ac:dyDescent="0.2">
      <c r="Y35527" s="97"/>
    </row>
    <row r="35528" spans="25:25" x14ac:dyDescent="0.2">
      <c r="Y35528" s="97"/>
    </row>
    <row r="35529" spans="25:25" x14ac:dyDescent="0.2">
      <c r="Y35529" s="97"/>
    </row>
    <row r="35530" spans="25:25" x14ac:dyDescent="0.2">
      <c r="Y35530" s="97"/>
    </row>
    <row r="35531" spans="25:25" x14ac:dyDescent="0.2">
      <c r="Y35531" s="97"/>
    </row>
    <row r="35532" spans="25:25" x14ac:dyDescent="0.2">
      <c r="Y35532" s="97"/>
    </row>
    <row r="35533" spans="25:25" x14ac:dyDescent="0.2">
      <c r="Y35533" s="97"/>
    </row>
    <row r="35534" spans="25:25" x14ac:dyDescent="0.2">
      <c r="Y35534" s="97"/>
    </row>
    <row r="35535" spans="25:25" x14ac:dyDescent="0.2">
      <c r="Y35535" s="97"/>
    </row>
    <row r="35536" spans="25:25" x14ac:dyDescent="0.2">
      <c r="Y35536" s="97"/>
    </row>
    <row r="35537" spans="25:25" x14ac:dyDescent="0.2">
      <c r="Y35537" s="97"/>
    </row>
    <row r="35538" spans="25:25" x14ac:dyDescent="0.2">
      <c r="Y35538" s="97"/>
    </row>
    <row r="35539" spans="25:25" x14ac:dyDescent="0.2">
      <c r="Y35539" s="97"/>
    </row>
    <row r="35540" spans="25:25" x14ac:dyDescent="0.2">
      <c r="Y35540" s="97"/>
    </row>
    <row r="35541" spans="25:25" x14ac:dyDescent="0.2">
      <c r="Y35541" s="97"/>
    </row>
    <row r="35542" spans="25:25" x14ac:dyDescent="0.2">
      <c r="Y35542" s="97"/>
    </row>
    <row r="35543" spans="25:25" x14ac:dyDescent="0.2">
      <c r="Y35543" s="97"/>
    </row>
    <row r="35544" spans="25:25" x14ac:dyDescent="0.2">
      <c r="Y35544" s="97"/>
    </row>
    <row r="35545" spans="25:25" x14ac:dyDescent="0.2">
      <c r="Y35545" s="97"/>
    </row>
    <row r="35546" spans="25:25" x14ac:dyDescent="0.2">
      <c r="Y35546" s="97"/>
    </row>
    <row r="35547" spans="25:25" x14ac:dyDescent="0.2">
      <c r="Y35547" s="97"/>
    </row>
    <row r="35548" spans="25:25" x14ac:dyDescent="0.2">
      <c r="Y35548" s="97"/>
    </row>
    <row r="35549" spans="25:25" x14ac:dyDescent="0.2">
      <c r="Y35549" s="97"/>
    </row>
    <row r="35550" spans="25:25" x14ac:dyDescent="0.2">
      <c r="Y35550" s="97"/>
    </row>
    <row r="35551" spans="25:25" x14ac:dyDescent="0.2">
      <c r="Y35551" s="97"/>
    </row>
    <row r="35552" spans="25:25" x14ac:dyDescent="0.2">
      <c r="Y35552" s="97"/>
    </row>
    <row r="35553" spans="25:25" x14ac:dyDescent="0.2">
      <c r="Y35553" s="97"/>
    </row>
    <row r="35554" spans="25:25" x14ac:dyDescent="0.2">
      <c r="Y35554" s="97"/>
    </row>
    <row r="35555" spans="25:25" x14ac:dyDescent="0.2">
      <c r="Y35555" s="97"/>
    </row>
    <row r="35556" spans="25:25" x14ac:dyDescent="0.2">
      <c r="Y35556" s="97"/>
    </row>
    <row r="35557" spans="25:25" x14ac:dyDescent="0.2">
      <c r="Y35557" s="97"/>
    </row>
    <row r="35558" spans="25:25" x14ac:dyDescent="0.2">
      <c r="Y35558" s="97"/>
    </row>
    <row r="35559" spans="25:25" x14ac:dyDescent="0.2">
      <c r="Y35559" s="97"/>
    </row>
    <row r="35560" spans="25:25" x14ac:dyDescent="0.2">
      <c r="Y35560" s="97"/>
    </row>
    <row r="35561" spans="25:25" x14ac:dyDescent="0.2">
      <c r="Y35561" s="97"/>
    </row>
    <row r="35562" spans="25:25" x14ac:dyDescent="0.2">
      <c r="Y35562" s="97"/>
    </row>
    <row r="35563" spans="25:25" x14ac:dyDescent="0.2">
      <c r="Y35563" s="97"/>
    </row>
    <row r="35564" spans="25:25" x14ac:dyDescent="0.2">
      <c r="Y35564" s="97"/>
    </row>
    <row r="35565" spans="25:25" x14ac:dyDescent="0.2">
      <c r="Y35565" s="97"/>
    </row>
    <row r="35566" spans="25:25" x14ac:dyDescent="0.2">
      <c r="Y35566" s="97"/>
    </row>
    <row r="35567" spans="25:25" x14ac:dyDescent="0.2">
      <c r="Y35567" s="97"/>
    </row>
    <row r="35568" spans="25:25" x14ac:dyDescent="0.2">
      <c r="Y35568" s="97"/>
    </row>
    <row r="35569" spans="25:25" x14ac:dyDescent="0.2">
      <c r="Y35569" s="97"/>
    </row>
    <row r="35570" spans="25:25" x14ac:dyDescent="0.2">
      <c r="Y35570" s="97"/>
    </row>
    <row r="35571" spans="25:25" x14ac:dyDescent="0.2">
      <c r="Y35571" s="97"/>
    </row>
    <row r="35572" spans="25:25" x14ac:dyDescent="0.2">
      <c r="Y35572" s="97"/>
    </row>
    <row r="35573" spans="25:25" x14ac:dyDescent="0.2">
      <c r="Y35573" s="97"/>
    </row>
    <row r="35574" spans="25:25" x14ac:dyDescent="0.2">
      <c r="Y35574" s="97"/>
    </row>
    <row r="35575" spans="25:25" x14ac:dyDescent="0.2">
      <c r="Y35575" s="97"/>
    </row>
    <row r="35576" spans="25:25" x14ac:dyDescent="0.2">
      <c r="Y35576" s="97"/>
    </row>
    <row r="35577" spans="25:25" x14ac:dyDescent="0.2">
      <c r="Y35577" s="97"/>
    </row>
    <row r="35578" spans="25:25" x14ac:dyDescent="0.2">
      <c r="Y35578" s="97"/>
    </row>
    <row r="35579" spans="25:25" x14ac:dyDescent="0.2">
      <c r="Y35579" s="97"/>
    </row>
    <row r="35580" spans="25:25" x14ac:dyDescent="0.2">
      <c r="Y35580" s="97"/>
    </row>
    <row r="35581" spans="25:25" x14ac:dyDescent="0.2">
      <c r="Y35581" s="97"/>
    </row>
    <row r="35582" spans="25:25" x14ac:dyDescent="0.2">
      <c r="Y35582" s="97"/>
    </row>
    <row r="35583" spans="25:25" x14ac:dyDescent="0.2">
      <c r="Y35583" s="97"/>
    </row>
    <row r="35584" spans="25:25" x14ac:dyDescent="0.2">
      <c r="Y35584" s="97"/>
    </row>
    <row r="35585" spans="25:25" x14ac:dyDescent="0.2">
      <c r="Y35585" s="97"/>
    </row>
    <row r="35586" spans="25:25" x14ac:dyDescent="0.2">
      <c r="Y35586" s="97"/>
    </row>
    <row r="35587" spans="25:25" x14ac:dyDescent="0.2">
      <c r="Y35587" s="97"/>
    </row>
    <row r="35588" spans="25:25" x14ac:dyDescent="0.2">
      <c r="Y35588" s="97"/>
    </row>
    <row r="35589" spans="25:25" x14ac:dyDescent="0.2">
      <c r="Y35589" s="97"/>
    </row>
    <row r="35590" spans="25:25" x14ac:dyDescent="0.2">
      <c r="Y35590" s="97"/>
    </row>
    <row r="35591" spans="25:25" x14ac:dyDescent="0.2">
      <c r="Y35591" s="97"/>
    </row>
    <row r="35592" spans="25:25" x14ac:dyDescent="0.2">
      <c r="Y35592" s="97"/>
    </row>
    <row r="35593" spans="25:25" x14ac:dyDescent="0.2">
      <c r="Y35593" s="97"/>
    </row>
    <row r="35594" spans="25:25" x14ac:dyDescent="0.2">
      <c r="Y35594" s="97"/>
    </row>
    <row r="35595" spans="25:25" x14ac:dyDescent="0.2">
      <c r="Y35595" s="97"/>
    </row>
    <row r="35596" spans="25:25" x14ac:dyDescent="0.2">
      <c r="Y35596" s="97"/>
    </row>
    <row r="35597" spans="25:25" x14ac:dyDescent="0.2">
      <c r="Y35597" s="97"/>
    </row>
    <row r="35598" spans="25:25" x14ac:dyDescent="0.2">
      <c r="Y35598" s="97"/>
    </row>
    <row r="35599" spans="25:25" x14ac:dyDescent="0.2">
      <c r="Y35599" s="97"/>
    </row>
    <row r="35600" spans="25:25" x14ac:dyDescent="0.2">
      <c r="Y35600" s="97"/>
    </row>
    <row r="35601" spans="25:25" x14ac:dyDescent="0.2">
      <c r="Y35601" s="97"/>
    </row>
    <row r="35602" spans="25:25" x14ac:dyDescent="0.2">
      <c r="Y35602" s="97"/>
    </row>
    <row r="35603" spans="25:25" x14ac:dyDescent="0.2">
      <c r="Y35603" s="97"/>
    </row>
    <row r="35604" spans="25:25" x14ac:dyDescent="0.2">
      <c r="Y35604" s="97"/>
    </row>
    <row r="35605" spans="25:25" x14ac:dyDescent="0.2">
      <c r="Y35605" s="97"/>
    </row>
    <row r="35606" spans="25:25" x14ac:dyDescent="0.2">
      <c r="Y35606" s="97"/>
    </row>
    <row r="35607" spans="25:25" x14ac:dyDescent="0.2">
      <c r="Y35607" s="97"/>
    </row>
    <row r="35608" spans="25:25" x14ac:dyDescent="0.2">
      <c r="Y35608" s="97"/>
    </row>
    <row r="35609" spans="25:25" x14ac:dyDescent="0.2">
      <c r="Y35609" s="97"/>
    </row>
    <row r="35610" spans="25:25" x14ac:dyDescent="0.2">
      <c r="Y35610" s="97"/>
    </row>
    <row r="35611" spans="25:25" x14ac:dyDescent="0.2">
      <c r="Y35611" s="97"/>
    </row>
    <row r="35612" spans="25:25" x14ac:dyDescent="0.2">
      <c r="Y35612" s="97"/>
    </row>
    <row r="35613" spans="25:25" x14ac:dyDescent="0.2">
      <c r="Y35613" s="97"/>
    </row>
    <row r="35614" spans="25:25" x14ac:dyDescent="0.2">
      <c r="Y35614" s="97"/>
    </row>
    <row r="35615" spans="25:25" x14ac:dyDescent="0.2">
      <c r="Y35615" s="97"/>
    </row>
    <row r="35616" spans="25:25" x14ac:dyDescent="0.2">
      <c r="Y35616" s="97"/>
    </row>
    <row r="35617" spans="25:25" x14ac:dyDescent="0.2">
      <c r="Y35617" s="97"/>
    </row>
    <row r="35618" spans="25:25" x14ac:dyDescent="0.2">
      <c r="Y35618" s="97"/>
    </row>
    <row r="35619" spans="25:25" x14ac:dyDescent="0.2">
      <c r="Y35619" s="97"/>
    </row>
    <row r="35620" spans="25:25" x14ac:dyDescent="0.2">
      <c r="Y35620" s="97"/>
    </row>
    <row r="35621" spans="25:25" x14ac:dyDescent="0.2">
      <c r="Y35621" s="97"/>
    </row>
    <row r="35622" spans="25:25" x14ac:dyDescent="0.2">
      <c r="Y35622" s="97"/>
    </row>
    <row r="35623" spans="25:25" x14ac:dyDescent="0.2">
      <c r="Y35623" s="97"/>
    </row>
    <row r="35624" spans="25:25" x14ac:dyDescent="0.2">
      <c r="Y35624" s="97"/>
    </row>
    <row r="35625" spans="25:25" x14ac:dyDescent="0.2">
      <c r="Y35625" s="97"/>
    </row>
    <row r="35626" spans="25:25" x14ac:dyDescent="0.2">
      <c r="Y35626" s="97"/>
    </row>
    <row r="35627" spans="25:25" x14ac:dyDescent="0.2">
      <c r="Y35627" s="97"/>
    </row>
    <row r="35628" spans="25:25" x14ac:dyDescent="0.2">
      <c r="Y35628" s="97"/>
    </row>
    <row r="35629" spans="25:25" x14ac:dyDescent="0.2">
      <c r="Y35629" s="97"/>
    </row>
    <row r="35630" spans="25:25" x14ac:dyDescent="0.2">
      <c r="Y35630" s="97"/>
    </row>
    <row r="35631" spans="25:25" x14ac:dyDescent="0.2">
      <c r="Y35631" s="97"/>
    </row>
    <row r="35632" spans="25:25" x14ac:dyDescent="0.2">
      <c r="Y35632" s="97"/>
    </row>
    <row r="35633" spans="25:25" x14ac:dyDescent="0.2">
      <c r="Y35633" s="97"/>
    </row>
    <row r="35634" spans="25:25" x14ac:dyDescent="0.2">
      <c r="Y35634" s="97"/>
    </row>
    <row r="35635" spans="25:25" x14ac:dyDescent="0.2">
      <c r="Y35635" s="97"/>
    </row>
    <row r="35636" spans="25:25" x14ac:dyDescent="0.2">
      <c r="Y35636" s="97"/>
    </row>
    <row r="35637" spans="25:25" x14ac:dyDescent="0.2">
      <c r="Y35637" s="97"/>
    </row>
    <row r="35638" spans="25:25" x14ac:dyDescent="0.2">
      <c r="Y35638" s="97"/>
    </row>
    <row r="35639" spans="25:25" x14ac:dyDescent="0.2">
      <c r="Y35639" s="97"/>
    </row>
    <row r="35640" spans="25:25" x14ac:dyDescent="0.2">
      <c r="Y35640" s="97"/>
    </row>
    <row r="35641" spans="25:25" x14ac:dyDescent="0.2">
      <c r="Y35641" s="97"/>
    </row>
    <row r="35642" spans="25:25" x14ac:dyDescent="0.2">
      <c r="Y35642" s="97"/>
    </row>
    <row r="35643" spans="25:25" x14ac:dyDescent="0.2">
      <c r="Y35643" s="97"/>
    </row>
    <row r="35644" spans="25:25" x14ac:dyDescent="0.2">
      <c r="Y35644" s="97"/>
    </row>
    <row r="35645" spans="25:25" x14ac:dyDescent="0.2">
      <c r="Y35645" s="97"/>
    </row>
    <row r="35646" spans="25:25" x14ac:dyDescent="0.2">
      <c r="Y35646" s="97"/>
    </row>
    <row r="35647" spans="25:25" x14ac:dyDescent="0.2">
      <c r="Y35647" s="97"/>
    </row>
    <row r="35648" spans="25:25" x14ac:dyDescent="0.2">
      <c r="Y35648" s="97"/>
    </row>
    <row r="35649" spans="25:25" x14ac:dyDescent="0.2">
      <c r="Y35649" s="97"/>
    </row>
    <row r="35650" spans="25:25" x14ac:dyDescent="0.2">
      <c r="Y35650" s="97"/>
    </row>
    <row r="35651" spans="25:25" x14ac:dyDescent="0.2">
      <c r="Y35651" s="97"/>
    </row>
    <row r="35652" spans="25:25" x14ac:dyDescent="0.2">
      <c r="Y35652" s="97"/>
    </row>
    <row r="35653" spans="25:25" x14ac:dyDescent="0.2">
      <c r="Y35653" s="97"/>
    </row>
    <row r="35654" spans="25:25" x14ac:dyDescent="0.2">
      <c r="Y35654" s="97"/>
    </row>
    <row r="35655" spans="25:25" x14ac:dyDescent="0.2">
      <c r="Y35655" s="97"/>
    </row>
    <row r="35656" spans="25:25" x14ac:dyDescent="0.2">
      <c r="Y35656" s="97"/>
    </row>
    <row r="35657" spans="25:25" x14ac:dyDescent="0.2">
      <c r="Y35657" s="97"/>
    </row>
    <row r="35658" spans="25:25" x14ac:dyDescent="0.2">
      <c r="Y35658" s="97"/>
    </row>
    <row r="35659" spans="25:25" x14ac:dyDescent="0.2">
      <c r="Y35659" s="97"/>
    </row>
    <row r="35660" spans="25:25" x14ac:dyDescent="0.2">
      <c r="Y35660" s="97"/>
    </row>
    <row r="35661" spans="25:25" x14ac:dyDescent="0.2">
      <c r="Y35661" s="97"/>
    </row>
    <row r="35662" spans="25:25" x14ac:dyDescent="0.2">
      <c r="Y35662" s="97"/>
    </row>
    <row r="35663" spans="25:25" x14ac:dyDescent="0.2">
      <c r="Y35663" s="97"/>
    </row>
    <row r="35664" spans="25:25" x14ac:dyDescent="0.2">
      <c r="Y35664" s="97"/>
    </row>
    <row r="35665" spans="25:25" x14ac:dyDescent="0.2">
      <c r="Y35665" s="97"/>
    </row>
    <row r="35666" spans="25:25" x14ac:dyDescent="0.2">
      <c r="Y35666" s="97"/>
    </row>
    <row r="35667" spans="25:25" x14ac:dyDescent="0.2">
      <c r="Y35667" s="97"/>
    </row>
    <row r="35668" spans="25:25" x14ac:dyDescent="0.2">
      <c r="Y35668" s="97"/>
    </row>
    <row r="35669" spans="25:25" x14ac:dyDescent="0.2">
      <c r="Y35669" s="97"/>
    </row>
    <row r="35670" spans="25:25" x14ac:dyDescent="0.2">
      <c r="Y35670" s="97"/>
    </row>
    <row r="35671" spans="25:25" x14ac:dyDescent="0.2">
      <c r="Y35671" s="97"/>
    </row>
    <row r="35672" spans="25:25" x14ac:dyDescent="0.2">
      <c r="Y35672" s="97"/>
    </row>
    <row r="35673" spans="25:25" x14ac:dyDescent="0.2">
      <c r="Y35673" s="97"/>
    </row>
    <row r="35674" spans="25:25" x14ac:dyDescent="0.2">
      <c r="Y35674" s="97"/>
    </row>
    <row r="35675" spans="25:25" x14ac:dyDescent="0.2">
      <c r="Y35675" s="97"/>
    </row>
    <row r="35676" spans="25:25" x14ac:dyDescent="0.2">
      <c r="Y35676" s="97"/>
    </row>
    <row r="35677" spans="25:25" x14ac:dyDescent="0.2">
      <c r="Y35677" s="97"/>
    </row>
    <row r="35678" spans="25:25" x14ac:dyDescent="0.2">
      <c r="Y35678" s="97"/>
    </row>
    <row r="35679" spans="25:25" x14ac:dyDescent="0.2">
      <c r="Y35679" s="97"/>
    </row>
    <row r="35680" spans="25:25" x14ac:dyDescent="0.2">
      <c r="Y35680" s="97"/>
    </row>
    <row r="35681" spans="25:25" x14ac:dyDescent="0.2">
      <c r="Y35681" s="97"/>
    </row>
    <row r="35682" spans="25:25" x14ac:dyDescent="0.2">
      <c r="Y35682" s="97"/>
    </row>
    <row r="35683" spans="25:25" x14ac:dyDescent="0.2">
      <c r="Y35683" s="97"/>
    </row>
    <row r="35684" spans="25:25" x14ac:dyDescent="0.2">
      <c r="Y35684" s="97"/>
    </row>
    <row r="35685" spans="25:25" x14ac:dyDescent="0.2">
      <c r="Y35685" s="97"/>
    </row>
    <row r="35686" spans="25:25" x14ac:dyDescent="0.2">
      <c r="Y35686" s="97"/>
    </row>
    <row r="35687" spans="25:25" x14ac:dyDescent="0.2">
      <c r="Y35687" s="97"/>
    </row>
    <row r="35688" spans="25:25" x14ac:dyDescent="0.2">
      <c r="Y35688" s="97"/>
    </row>
    <row r="35689" spans="25:25" x14ac:dyDescent="0.2">
      <c r="Y35689" s="97"/>
    </row>
    <row r="35690" spans="25:25" x14ac:dyDescent="0.2">
      <c r="Y35690" s="97"/>
    </row>
    <row r="35691" spans="25:25" x14ac:dyDescent="0.2">
      <c r="Y35691" s="97"/>
    </row>
    <row r="35692" spans="25:25" x14ac:dyDescent="0.2">
      <c r="Y35692" s="97"/>
    </row>
    <row r="35693" spans="25:25" x14ac:dyDescent="0.2">
      <c r="Y35693" s="97"/>
    </row>
    <row r="35694" spans="25:25" x14ac:dyDescent="0.2">
      <c r="Y35694" s="97"/>
    </row>
    <row r="35695" spans="25:25" x14ac:dyDescent="0.2">
      <c r="Y35695" s="97"/>
    </row>
    <row r="35696" spans="25:25" x14ac:dyDescent="0.2">
      <c r="Y35696" s="97"/>
    </row>
    <row r="35697" spans="25:25" x14ac:dyDescent="0.2">
      <c r="Y35697" s="97"/>
    </row>
    <row r="35698" spans="25:25" x14ac:dyDescent="0.2">
      <c r="Y35698" s="97"/>
    </row>
    <row r="35699" spans="25:25" x14ac:dyDescent="0.2">
      <c r="Y35699" s="97"/>
    </row>
    <row r="35700" spans="25:25" x14ac:dyDescent="0.2">
      <c r="Y35700" s="97"/>
    </row>
    <row r="35701" spans="25:25" x14ac:dyDescent="0.2">
      <c r="Y35701" s="97"/>
    </row>
    <row r="35702" spans="25:25" x14ac:dyDescent="0.2">
      <c r="Y35702" s="97"/>
    </row>
    <row r="35703" spans="25:25" x14ac:dyDescent="0.2">
      <c r="Y35703" s="97"/>
    </row>
    <row r="35704" spans="25:25" x14ac:dyDescent="0.2">
      <c r="Y35704" s="97"/>
    </row>
    <row r="35705" spans="25:25" x14ac:dyDescent="0.2">
      <c r="Y35705" s="97"/>
    </row>
    <row r="35706" spans="25:25" x14ac:dyDescent="0.2">
      <c r="Y35706" s="97"/>
    </row>
    <row r="35707" spans="25:25" x14ac:dyDescent="0.2">
      <c r="Y35707" s="97"/>
    </row>
    <row r="35708" spans="25:25" x14ac:dyDescent="0.2">
      <c r="Y35708" s="97"/>
    </row>
    <row r="35709" spans="25:25" x14ac:dyDescent="0.2">
      <c r="Y35709" s="97"/>
    </row>
    <row r="35710" spans="25:25" x14ac:dyDescent="0.2">
      <c r="Y35710" s="97"/>
    </row>
    <row r="35711" spans="25:25" x14ac:dyDescent="0.2">
      <c r="Y35711" s="97"/>
    </row>
    <row r="35712" spans="25:25" x14ac:dyDescent="0.2">
      <c r="Y35712" s="97"/>
    </row>
    <row r="35713" spans="25:25" x14ac:dyDescent="0.2">
      <c r="Y35713" s="97"/>
    </row>
    <row r="35714" spans="25:25" x14ac:dyDescent="0.2">
      <c r="Y35714" s="97"/>
    </row>
    <row r="35715" spans="25:25" x14ac:dyDescent="0.2">
      <c r="Y35715" s="97"/>
    </row>
    <row r="35716" spans="25:25" x14ac:dyDescent="0.2">
      <c r="Y35716" s="97"/>
    </row>
    <row r="35717" spans="25:25" x14ac:dyDescent="0.2">
      <c r="Y35717" s="97"/>
    </row>
    <row r="35718" spans="25:25" x14ac:dyDescent="0.2">
      <c r="Y35718" s="97"/>
    </row>
    <row r="35719" spans="25:25" x14ac:dyDescent="0.2">
      <c r="Y35719" s="97"/>
    </row>
    <row r="35720" spans="25:25" x14ac:dyDescent="0.2">
      <c r="Y35720" s="97"/>
    </row>
    <row r="35721" spans="25:25" x14ac:dyDescent="0.2">
      <c r="Y35721" s="97"/>
    </row>
    <row r="35722" spans="25:25" x14ac:dyDescent="0.2">
      <c r="Y35722" s="97"/>
    </row>
    <row r="35723" spans="25:25" x14ac:dyDescent="0.2">
      <c r="Y35723" s="97"/>
    </row>
    <row r="35724" spans="25:25" x14ac:dyDescent="0.2">
      <c r="Y35724" s="97"/>
    </row>
    <row r="35725" spans="25:25" x14ac:dyDescent="0.2">
      <c r="Y35725" s="97"/>
    </row>
    <row r="35726" spans="25:25" x14ac:dyDescent="0.2">
      <c r="Y35726" s="97"/>
    </row>
    <row r="35727" spans="25:25" x14ac:dyDescent="0.2">
      <c r="Y35727" s="97"/>
    </row>
    <row r="35728" spans="25:25" x14ac:dyDescent="0.2">
      <c r="Y35728" s="97"/>
    </row>
    <row r="35729" spans="25:25" x14ac:dyDescent="0.2">
      <c r="Y35729" s="97"/>
    </row>
    <row r="35730" spans="25:25" x14ac:dyDescent="0.2">
      <c r="Y35730" s="97"/>
    </row>
    <row r="35731" spans="25:25" x14ac:dyDescent="0.2">
      <c r="Y35731" s="97"/>
    </row>
    <row r="35732" spans="25:25" x14ac:dyDescent="0.2">
      <c r="Y35732" s="97"/>
    </row>
    <row r="35733" spans="25:25" x14ac:dyDescent="0.2">
      <c r="Y35733" s="97"/>
    </row>
    <row r="35734" spans="25:25" x14ac:dyDescent="0.2">
      <c r="Y35734" s="97"/>
    </row>
    <row r="35735" spans="25:25" x14ac:dyDescent="0.2">
      <c r="Y35735" s="97"/>
    </row>
    <row r="35736" spans="25:25" x14ac:dyDescent="0.2">
      <c r="Y35736" s="97"/>
    </row>
    <row r="35737" spans="25:25" x14ac:dyDescent="0.2">
      <c r="Y35737" s="97"/>
    </row>
    <row r="35738" spans="25:25" x14ac:dyDescent="0.2">
      <c r="Y35738" s="97"/>
    </row>
    <row r="35739" spans="25:25" x14ac:dyDescent="0.2">
      <c r="Y35739" s="97"/>
    </row>
    <row r="35740" spans="25:25" x14ac:dyDescent="0.2">
      <c r="Y35740" s="97"/>
    </row>
    <row r="35741" spans="25:25" x14ac:dyDescent="0.2">
      <c r="Y35741" s="97"/>
    </row>
    <row r="35742" spans="25:25" x14ac:dyDescent="0.2">
      <c r="Y35742" s="97"/>
    </row>
    <row r="35743" spans="25:25" x14ac:dyDescent="0.2">
      <c r="Y35743" s="97"/>
    </row>
    <row r="35744" spans="25:25" x14ac:dyDescent="0.2">
      <c r="Y35744" s="97"/>
    </row>
    <row r="35745" spans="25:25" x14ac:dyDescent="0.2">
      <c r="Y35745" s="97"/>
    </row>
    <row r="35746" spans="25:25" x14ac:dyDescent="0.2">
      <c r="Y35746" s="97"/>
    </row>
    <row r="35747" spans="25:25" x14ac:dyDescent="0.2">
      <c r="Y35747" s="97"/>
    </row>
    <row r="35748" spans="25:25" x14ac:dyDescent="0.2">
      <c r="Y35748" s="97"/>
    </row>
    <row r="35749" spans="25:25" x14ac:dyDescent="0.2">
      <c r="Y35749" s="97"/>
    </row>
    <row r="35750" spans="25:25" x14ac:dyDescent="0.2">
      <c r="Y35750" s="97"/>
    </row>
    <row r="35751" spans="25:25" x14ac:dyDescent="0.2">
      <c r="Y35751" s="97"/>
    </row>
    <row r="35752" spans="25:25" x14ac:dyDescent="0.2">
      <c r="Y35752" s="97"/>
    </row>
    <row r="35753" spans="25:25" x14ac:dyDescent="0.2">
      <c r="Y35753" s="97"/>
    </row>
    <row r="35754" spans="25:25" x14ac:dyDescent="0.2">
      <c r="Y35754" s="97"/>
    </row>
    <row r="35755" spans="25:25" x14ac:dyDescent="0.2">
      <c r="Y35755" s="97"/>
    </row>
    <row r="35756" spans="25:25" x14ac:dyDescent="0.2">
      <c r="Y35756" s="97"/>
    </row>
    <row r="35757" spans="25:25" x14ac:dyDescent="0.2">
      <c r="Y35757" s="97"/>
    </row>
    <row r="35758" spans="25:25" x14ac:dyDescent="0.2">
      <c r="Y35758" s="97"/>
    </row>
    <row r="35759" spans="25:25" x14ac:dyDescent="0.2">
      <c r="Y35759" s="97"/>
    </row>
    <row r="35760" spans="25:25" x14ac:dyDescent="0.2">
      <c r="Y35760" s="97"/>
    </row>
    <row r="35761" spans="25:25" x14ac:dyDescent="0.2">
      <c r="Y35761" s="97"/>
    </row>
    <row r="35762" spans="25:25" x14ac:dyDescent="0.2">
      <c r="Y35762" s="97"/>
    </row>
    <row r="35763" spans="25:25" x14ac:dyDescent="0.2">
      <c r="Y35763" s="97"/>
    </row>
    <row r="35764" spans="25:25" x14ac:dyDescent="0.2">
      <c r="Y35764" s="97"/>
    </row>
    <row r="35765" spans="25:25" x14ac:dyDescent="0.2">
      <c r="Y35765" s="97"/>
    </row>
    <row r="35766" spans="25:25" x14ac:dyDescent="0.2">
      <c r="Y35766" s="97"/>
    </row>
    <row r="35767" spans="25:25" x14ac:dyDescent="0.2">
      <c r="Y35767" s="97"/>
    </row>
    <row r="35768" spans="25:25" x14ac:dyDescent="0.2">
      <c r="Y35768" s="97"/>
    </row>
    <row r="35769" spans="25:25" x14ac:dyDescent="0.2">
      <c r="Y35769" s="97"/>
    </row>
    <row r="35770" spans="25:25" x14ac:dyDescent="0.2">
      <c r="Y35770" s="97"/>
    </row>
    <row r="35771" spans="25:25" x14ac:dyDescent="0.2">
      <c r="Y35771" s="97"/>
    </row>
    <row r="35772" spans="25:25" x14ac:dyDescent="0.2">
      <c r="Y35772" s="97"/>
    </row>
    <row r="35773" spans="25:25" x14ac:dyDescent="0.2">
      <c r="Y35773" s="97"/>
    </row>
    <row r="35774" spans="25:25" x14ac:dyDescent="0.2">
      <c r="Y35774" s="97"/>
    </row>
    <row r="35775" spans="25:25" x14ac:dyDescent="0.2">
      <c r="Y35775" s="97"/>
    </row>
    <row r="35776" spans="25:25" x14ac:dyDescent="0.2">
      <c r="Y35776" s="97"/>
    </row>
    <row r="35777" spans="25:25" x14ac:dyDescent="0.2">
      <c r="Y35777" s="97"/>
    </row>
    <row r="35778" spans="25:25" x14ac:dyDescent="0.2">
      <c r="Y35778" s="97"/>
    </row>
    <row r="35779" spans="25:25" x14ac:dyDescent="0.2">
      <c r="Y35779" s="97"/>
    </row>
    <row r="35780" spans="25:25" x14ac:dyDescent="0.2">
      <c r="Y35780" s="97"/>
    </row>
    <row r="35781" spans="25:25" x14ac:dyDescent="0.2">
      <c r="Y35781" s="97"/>
    </row>
    <row r="35782" spans="25:25" x14ac:dyDescent="0.2">
      <c r="Y35782" s="97"/>
    </row>
    <row r="35783" spans="25:25" x14ac:dyDescent="0.2">
      <c r="Y35783" s="97"/>
    </row>
    <row r="35784" spans="25:25" x14ac:dyDescent="0.2">
      <c r="Y35784" s="97"/>
    </row>
    <row r="35785" spans="25:25" x14ac:dyDescent="0.2">
      <c r="Y35785" s="97"/>
    </row>
    <row r="35786" spans="25:25" x14ac:dyDescent="0.2">
      <c r="Y35786" s="97"/>
    </row>
    <row r="35787" spans="25:25" x14ac:dyDescent="0.2">
      <c r="Y35787" s="97"/>
    </row>
    <row r="35788" spans="25:25" x14ac:dyDescent="0.2">
      <c r="Y35788" s="97"/>
    </row>
    <row r="35789" spans="25:25" x14ac:dyDescent="0.2">
      <c r="Y35789" s="97"/>
    </row>
    <row r="35790" spans="25:25" x14ac:dyDescent="0.2">
      <c r="Y35790" s="97"/>
    </row>
    <row r="35791" spans="25:25" x14ac:dyDescent="0.2">
      <c r="Y35791" s="97"/>
    </row>
    <row r="35792" spans="25:25" x14ac:dyDescent="0.2">
      <c r="Y35792" s="97"/>
    </row>
    <row r="35793" spans="25:25" x14ac:dyDescent="0.2">
      <c r="Y35793" s="97"/>
    </row>
    <row r="35794" spans="25:25" x14ac:dyDescent="0.2">
      <c r="Y35794" s="97"/>
    </row>
    <row r="35795" spans="25:25" x14ac:dyDescent="0.2">
      <c r="Y35795" s="97"/>
    </row>
    <row r="35796" spans="25:25" x14ac:dyDescent="0.2">
      <c r="Y35796" s="97"/>
    </row>
    <row r="35797" spans="25:25" x14ac:dyDescent="0.2">
      <c r="Y35797" s="97"/>
    </row>
    <row r="35798" spans="25:25" x14ac:dyDescent="0.2">
      <c r="Y35798" s="97"/>
    </row>
    <row r="35799" spans="25:25" x14ac:dyDescent="0.2">
      <c r="Y35799" s="97"/>
    </row>
    <row r="35800" spans="25:25" x14ac:dyDescent="0.2">
      <c r="Y35800" s="97"/>
    </row>
    <row r="35801" spans="25:25" x14ac:dyDescent="0.2">
      <c r="Y35801" s="97"/>
    </row>
    <row r="35802" spans="25:25" x14ac:dyDescent="0.2">
      <c r="Y35802" s="97"/>
    </row>
    <row r="35803" spans="25:25" x14ac:dyDescent="0.2">
      <c r="Y35803" s="97"/>
    </row>
    <row r="35804" spans="25:25" x14ac:dyDescent="0.2">
      <c r="Y35804" s="97"/>
    </row>
    <row r="35805" spans="25:25" x14ac:dyDescent="0.2">
      <c r="Y35805" s="97"/>
    </row>
    <row r="35806" spans="25:25" x14ac:dyDescent="0.2">
      <c r="Y35806" s="97"/>
    </row>
    <row r="35807" spans="25:25" x14ac:dyDescent="0.2">
      <c r="Y35807" s="97"/>
    </row>
    <row r="35808" spans="25:25" x14ac:dyDescent="0.2">
      <c r="Y35808" s="97"/>
    </row>
    <row r="35809" spans="25:25" x14ac:dyDescent="0.2">
      <c r="Y35809" s="97"/>
    </row>
    <row r="35810" spans="25:25" x14ac:dyDescent="0.2">
      <c r="Y35810" s="97"/>
    </row>
    <row r="35811" spans="25:25" x14ac:dyDescent="0.2">
      <c r="Y35811" s="97"/>
    </row>
    <row r="35812" spans="25:25" x14ac:dyDescent="0.2">
      <c r="Y35812" s="97"/>
    </row>
    <row r="35813" spans="25:25" x14ac:dyDescent="0.2">
      <c r="Y35813" s="97"/>
    </row>
    <row r="35814" spans="25:25" x14ac:dyDescent="0.2">
      <c r="Y35814" s="97"/>
    </row>
    <row r="35815" spans="25:25" x14ac:dyDescent="0.2">
      <c r="Y35815" s="97"/>
    </row>
    <row r="35816" spans="25:25" x14ac:dyDescent="0.2">
      <c r="Y35816" s="97"/>
    </row>
    <row r="35817" spans="25:25" x14ac:dyDescent="0.2">
      <c r="Y35817" s="97"/>
    </row>
    <row r="35818" spans="25:25" x14ac:dyDescent="0.2">
      <c r="Y35818" s="97"/>
    </row>
    <row r="35819" spans="25:25" x14ac:dyDescent="0.2">
      <c r="Y35819" s="97"/>
    </row>
    <row r="35820" spans="25:25" x14ac:dyDescent="0.2">
      <c r="Y35820" s="97"/>
    </row>
    <row r="35821" spans="25:25" x14ac:dyDescent="0.2">
      <c r="Y35821" s="97"/>
    </row>
    <row r="35822" spans="25:25" x14ac:dyDescent="0.2">
      <c r="Y35822" s="97"/>
    </row>
    <row r="35823" spans="25:25" x14ac:dyDescent="0.2">
      <c r="Y35823" s="97"/>
    </row>
    <row r="35824" spans="25:25" x14ac:dyDescent="0.2">
      <c r="Y35824" s="97"/>
    </row>
    <row r="35825" spans="25:25" x14ac:dyDescent="0.2">
      <c r="Y35825" s="97"/>
    </row>
    <row r="35826" spans="25:25" x14ac:dyDescent="0.2">
      <c r="Y35826" s="97"/>
    </row>
    <row r="35827" spans="25:25" x14ac:dyDescent="0.2">
      <c r="Y35827" s="97"/>
    </row>
    <row r="35828" spans="25:25" x14ac:dyDescent="0.2">
      <c r="Y35828" s="97"/>
    </row>
    <row r="35829" spans="25:25" x14ac:dyDescent="0.2">
      <c r="Y35829" s="97"/>
    </row>
    <row r="35830" spans="25:25" x14ac:dyDescent="0.2">
      <c r="Y35830" s="97"/>
    </row>
    <row r="35831" spans="25:25" x14ac:dyDescent="0.2">
      <c r="Y35831" s="97"/>
    </row>
    <row r="35832" spans="25:25" x14ac:dyDescent="0.2">
      <c r="Y35832" s="97"/>
    </row>
    <row r="35833" spans="25:25" x14ac:dyDescent="0.2">
      <c r="Y35833" s="97"/>
    </row>
    <row r="35834" spans="25:25" x14ac:dyDescent="0.2">
      <c r="Y35834" s="97"/>
    </row>
    <row r="35835" spans="25:25" x14ac:dyDescent="0.2">
      <c r="Y35835" s="97"/>
    </row>
    <row r="35836" spans="25:25" x14ac:dyDescent="0.2">
      <c r="Y35836" s="97"/>
    </row>
    <row r="35837" spans="25:25" x14ac:dyDescent="0.2">
      <c r="Y35837" s="97"/>
    </row>
    <row r="35838" spans="25:25" x14ac:dyDescent="0.2">
      <c r="Y35838" s="97"/>
    </row>
    <row r="35839" spans="25:25" x14ac:dyDescent="0.2">
      <c r="Y35839" s="97"/>
    </row>
    <row r="35840" spans="25:25" x14ac:dyDescent="0.2">
      <c r="Y35840" s="97"/>
    </row>
    <row r="35841" spans="25:25" x14ac:dyDescent="0.2">
      <c r="Y35841" s="97"/>
    </row>
    <row r="35842" spans="25:25" x14ac:dyDescent="0.2">
      <c r="Y35842" s="97"/>
    </row>
    <row r="35843" spans="25:25" x14ac:dyDescent="0.2">
      <c r="Y35843" s="97"/>
    </row>
    <row r="35844" spans="25:25" x14ac:dyDescent="0.2">
      <c r="Y35844" s="97"/>
    </row>
    <row r="35845" spans="25:25" x14ac:dyDescent="0.2">
      <c r="Y35845" s="97"/>
    </row>
    <row r="35846" spans="25:25" x14ac:dyDescent="0.2">
      <c r="Y35846" s="97"/>
    </row>
    <row r="35847" spans="25:25" x14ac:dyDescent="0.2">
      <c r="Y35847" s="97"/>
    </row>
    <row r="35848" spans="25:25" x14ac:dyDescent="0.2">
      <c r="Y35848" s="97"/>
    </row>
    <row r="35849" spans="25:25" x14ac:dyDescent="0.2">
      <c r="Y35849" s="97"/>
    </row>
    <row r="35850" spans="25:25" x14ac:dyDescent="0.2">
      <c r="Y35850" s="97"/>
    </row>
    <row r="35851" spans="25:25" x14ac:dyDescent="0.2">
      <c r="Y35851" s="97"/>
    </row>
    <row r="35852" spans="25:25" x14ac:dyDescent="0.2">
      <c r="Y35852" s="97"/>
    </row>
    <row r="35853" spans="25:25" x14ac:dyDescent="0.2">
      <c r="Y35853" s="97"/>
    </row>
    <row r="35854" spans="25:25" x14ac:dyDescent="0.2">
      <c r="Y35854" s="97"/>
    </row>
    <row r="35855" spans="25:25" x14ac:dyDescent="0.2">
      <c r="Y35855" s="97"/>
    </row>
    <row r="35856" spans="25:25" x14ac:dyDescent="0.2">
      <c r="Y35856" s="97"/>
    </row>
    <row r="35857" spans="25:25" x14ac:dyDescent="0.2">
      <c r="Y35857" s="97"/>
    </row>
    <row r="35858" spans="25:25" x14ac:dyDescent="0.2">
      <c r="Y35858" s="97"/>
    </row>
    <row r="35859" spans="25:25" x14ac:dyDescent="0.2">
      <c r="Y35859" s="97"/>
    </row>
    <row r="35860" spans="25:25" x14ac:dyDescent="0.2">
      <c r="Y35860" s="97"/>
    </row>
    <row r="35861" spans="25:25" x14ac:dyDescent="0.2">
      <c r="Y35861" s="97"/>
    </row>
    <row r="35862" spans="25:25" x14ac:dyDescent="0.2">
      <c r="Y35862" s="97"/>
    </row>
    <row r="35863" spans="25:25" x14ac:dyDescent="0.2">
      <c r="Y35863" s="97"/>
    </row>
    <row r="35864" spans="25:25" x14ac:dyDescent="0.2">
      <c r="Y35864" s="97"/>
    </row>
    <row r="35865" spans="25:25" x14ac:dyDescent="0.2">
      <c r="Y35865" s="97"/>
    </row>
    <row r="35866" spans="25:25" x14ac:dyDescent="0.2">
      <c r="Y35866" s="97"/>
    </row>
    <row r="35867" spans="25:25" x14ac:dyDescent="0.2">
      <c r="Y35867" s="97"/>
    </row>
    <row r="35868" spans="25:25" x14ac:dyDescent="0.2">
      <c r="Y35868" s="97"/>
    </row>
    <row r="35869" spans="25:25" x14ac:dyDescent="0.2">
      <c r="Y35869" s="97"/>
    </row>
    <row r="35870" spans="25:25" x14ac:dyDescent="0.2">
      <c r="Y35870" s="97"/>
    </row>
    <row r="35871" spans="25:25" x14ac:dyDescent="0.2">
      <c r="Y35871" s="97"/>
    </row>
    <row r="35872" spans="25:25" x14ac:dyDescent="0.2">
      <c r="Y35872" s="97"/>
    </row>
    <row r="35873" spans="25:25" x14ac:dyDescent="0.2">
      <c r="Y35873" s="97"/>
    </row>
    <row r="35874" spans="25:25" x14ac:dyDescent="0.2">
      <c r="Y35874" s="97"/>
    </row>
    <row r="35875" spans="25:25" x14ac:dyDescent="0.2">
      <c r="Y35875" s="97"/>
    </row>
    <row r="35876" spans="25:25" x14ac:dyDescent="0.2">
      <c r="Y35876" s="97"/>
    </row>
    <row r="35877" spans="25:25" x14ac:dyDescent="0.2">
      <c r="Y35877" s="97"/>
    </row>
    <row r="35878" spans="25:25" x14ac:dyDescent="0.2">
      <c r="Y35878" s="97"/>
    </row>
    <row r="35879" spans="25:25" x14ac:dyDescent="0.2">
      <c r="Y35879" s="97"/>
    </row>
    <row r="35880" spans="25:25" x14ac:dyDescent="0.2">
      <c r="Y35880" s="97"/>
    </row>
    <row r="35881" spans="25:25" x14ac:dyDescent="0.2">
      <c r="Y35881" s="97"/>
    </row>
    <row r="35882" spans="25:25" x14ac:dyDescent="0.2">
      <c r="Y35882" s="97"/>
    </row>
    <row r="35883" spans="25:25" x14ac:dyDescent="0.2">
      <c r="Y35883" s="97"/>
    </row>
    <row r="35884" spans="25:25" x14ac:dyDescent="0.2">
      <c r="Y35884" s="97"/>
    </row>
    <row r="35885" spans="25:25" x14ac:dyDescent="0.2">
      <c r="Y35885" s="97"/>
    </row>
    <row r="35886" spans="25:25" x14ac:dyDescent="0.2">
      <c r="Y35886" s="97"/>
    </row>
    <row r="35887" spans="25:25" x14ac:dyDescent="0.2">
      <c r="Y35887" s="97"/>
    </row>
    <row r="35888" spans="25:25" x14ac:dyDescent="0.2">
      <c r="Y35888" s="97"/>
    </row>
    <row r="35889" spans="25:25" x14ac:dyDescent="0.2">
      <c r="Y35889" s="97"/>
    </row>
    <row r="35890" spans="25:25" x14ac:dyDescent="0.2">
      <c r="Y35890" s="97"/>
    </row>
    <row r="35891" spans="25:25" x14ac:dyDescent="0.2">
      <c r="Y35891" s="97"/>
    </row>
    <row r="35892" spans="25:25" x14ac:dyDescent="0.2">
      <c r="Y35892" s="97"/>
    </row>
    <row r="35893" spans="25:25" x14ac:dyDescent="0.2">
      <c r="Y35893" s="97"/>
    </row>
    <row r="35894" spans="25:25" x14ac:dyDescent="0.2">
      <c r="Y35894" s="97"/>
    </row>
    <row r="35895" spans="25:25" x14ac:dyDescent="0.2">
      <c r="Y35895" s="97"/>
    </row>
    <row r="35896" spans="25:25" x14ac:dyDescent="0.2">
      <c r="Y35896" s="97"/>
    </row>
    <row r="35897" spans="25:25" x14ac:dyDescent="0.2">
      <c r="Y35897" s="97"/>
    </row>
    <row r="35898" spans="25:25" x14ac:dyDescent="0.2">
      <c r="Y35898" s="97"/>
    </row>
    <row r="35899" spans="25:25" x14ac:dyDescent="0.2">
      <c r="Y35899" s="97"/>
    </row>
    <row r="35900" spans="25:25" x14ac:dyDescent="0.2">
      <c r="Y35900" s="97"/>
    </row>
    <row r="35901" spans="25:25" x14ac:dyDescent="0.2">
      <c r="Y35901" s="97"/>
    </row>
    <row r="35902" spans="25:25" x14ac:dyDescent="0.2">
      <c r="Y35902" s="97"/>
    </row>
    <row r="35903" spans="25:25" x14ac:dyDescent="0.2">
      <c r="Y35903" s="97"/>
    </row>
    <row r="35904" spans="25:25" x14ac:dyDescent="0.2">
      <c r="Y35904" s="97"/>
    </row>
    <row r="35905" spans="25:25" x14ac:dyDescent="0.2">
      <c r="Y35905" s="97"/>
    </row>
    <row r="35906" spans="25:25" x14ac:dyDescent="0.2">
      <c r="Y35906" s="97"/>
    </row>
    <row r="35907" spans="25:25" x14ac:dyDescent="0.2">
      <c r="Y35907" s="97"/>
    </row>
    <row r="35908" spans="25:25" x14ac:dyDescent="0.2">
      <c r="Y35908" s="97"/>
    </row>
    <row r="35909" spans="25:25" x14ac:dyDescent="0.2">
      <c r="Y35909" s="97"/>
    </row>
    <row r="35910" spans="25:25" x14ac:dyDescent="0.2">
      <c r="Y35910" s="97"/>
    </row>
    <row r="35911" spans="25:25" x14ac:dyDescent="0.2">
      <c r="Y35911" s="97"/>
    </row>
    <row r="35912" spans="25:25" x14ac:dyDescent="0.2">
      <c r="Y35912" s="97"/>
    </row>
    <row r="35913" spans="25:25" x14ac:dyDescent="0.2">
      <c r="Y35913" s="97"/>
    </row>
    <row r="35914" spans="25:25" x14ac:dyDescent="0.2">
      <c r="Y35914" s="97"/>
    </row>
    <row r="35915" spans="25:25" x14ac:dyDescent="0.2">
      <c r="Y35915" s="97"/>
    </row>
    <row r="35916" spans="25:25" x14ac:dyDescent="0.2">
      <c r="Y35916" s="97"/>
    </row>
    <row r="35917" spans="25:25" x14ac:dyDescent="0.2">
      <c r="Y35917" s="97"/>
    </row>
    <row r="35918" spans="25:25" x14ac:dyDescent="0.2">
      <c r="Y35918" s="97"/>
    </row>
    <row r="35919" spans="25:25" x14ac:dyDescent="0.2">
      <c r="Y35919" s="97"/>
    </row>
    <row r="35920" spans="25:25" x14ac:dyDescent="0.2">
      <c r="Y35920" s="97"/>
    </row>
    <row r="35921" spans="25:25" x14ac:dyDescent="0.2">
      <c r="Y35921" s="97"/>
    </row>
    <row r="35922" spans="25:25" x14ac:dyDescent="0.2">
      <c r="Y35922" s="97"/>
    </row>
    <row r="35923" spans="25:25" x14ac:dyDescent="0.2">
      <c r="Y35923" s="97"/>
    </row>
    <row r="35924" spans="25:25" x14ac:dyDescent="0.2">
      <c r="Y35924" s="97"/>
    </row>
    <row r="35925" spans="25:25" x14ac:dyDescent="0.2">
      <c r="Y35925" s="97"/>
    </row>
    <row r="35926" spans="25:25" x14ac:dyDescent="0.2">
      <c r="Y35926" s="97"/>
    </row>
    <row r="35927" spans="25:25" x14ac:dyDescent="0.2">
      <c r="Y35927" s="97"/>
    </row>
    <row r="35928" spans="25:25" x14ac:dyDescent="0.2">
      <c r="Y35928" s="97"/>
    </row>
    <row r="35929" spans="25:25" x14ac:dyDescent="0.2">
      <c r="Y35929" s="97"/>
    </row>
    <row r="35930" spans="25:25" x14ac:dyDescent="0.2">
      <c r="Y35930" s="97"/>
    </row>
    <row r="35931" spans="25:25" x14ac:dyDescent="0.2">
      <c r="Y35931" s="97"/>
    </row>
    <row r="35932" spans="25:25" x14ac:dyDescent="0.2">
      <c r="Y35932" s="97"/>
    </row>
    <row r="35933" spans="25:25" x14ac:dyDescent="0.2">
      <c r="Y35933" s="97"/>
    </row>
    <row r="35934" spans="25:25" x14ac:dyDescent="0.2">
      <c r="Y35934" s="97"/>
    </row>
    <row r="35935" spans="25:25" x14ac:dyDescent="0.2">
      <c r="Y35935" s="97"/>
    </row>
    <row r="35936" spans="25:25" x14ac:dyDescent="0.2">
      <c r="Y35936" s="97"/>
    </row>
    <row r="35937" spans="25:25" x14ac:dyDescent="0.2">
      <c r="Y35937" s="97"/>
    </row>
    <row r="35938" spans="25:25" x14ac:dyDescent="0.2">
      <c r="Y35938" s="97"/>
    </row>
    <row r="35939" spans="25:25" x14ac:dyDescent="0.2">
      <c r="Y35939" s="97"/>
    </row>
    <row r="35940" spans="25:25" x14ac:dyDescent="0.2">
      <c r="Y35940" s="97"/>
    </row>
    <row r="35941" spans="25:25" x14ac:dyDescent="0.2">
      <c r="Y35941" s="97"/>
    </row>
    <row r="35942" spans="25:25" x14ac:dyDescent="0.2">
      <c r="Y35942" s="97"/>
    </row>
    <row r="35943" spans="25:25" x14ac:dyDescent="0.2">
      <c r="Y35943" s="97"/>
    </row>
    <row r="35944" spans="25:25" x14ac:dyDescent="0.2">
      <c r="Y35944" s="97"/>
    </row>
    <row r="35945" spans="25:25" x14ac:dyDescent="0.2">
      <c r="Y35945" s="97"/>
    </row>
    <row r="35946" spans="25:25" x14ac:dyDescent="0.2">
      <c r="Y35946" s="97"/>
    </row>
    <row r="35947" spans="25:25" x14ac:dyDescent="0.2">
      <c r="Y35947" s="97"/>
    </row>
    <row r="35948" spans="25:25" x14ac:dyDescent="0.2">
      <c r="Y35948" s="97"/>
    </row>
    <row r="35949" spans="25:25" x14ac:dyDescent="0.2">
      <c r="Y35949" s="97"/>
    </row>
    <row r="35950" spans="25:25" x14ac:dyDescent="0.2">
      <c r="Y35950" s="97"/>
    </row>
    <row r="35951" spans="25:25" x14ac:dyDescent="0.2">
      <c r="Y35951" s="97"/>
    </row>
    <row r="35952" spans="25:25" x14ac:dyDescent="0.2">
      <c r="Y35952" s="97"/>
    </row>
    <row r="35953" spans="25:25" x14ac:dyDescent="0.2">
      <c r="Y35953" s="97"/>
    </row>
    <row r="35954" spans="25:25" x14ac:dyDescent="0.2">
      <c r="Y35954" s="97"/>
    </row>
    <row r="35955" spans="25:25" x14ac:dyDescent="0.2">
      <c r="Y35955" s="97"/>
    </row>
    <row r="35956" spans="25:25" x14ac:dyDescent="0.2">
      <c r="Y35956" s="97"/>
    </row>
    <row r="35957" spans="25:25" x14ac:dyDescent="0.2">
      <c r="Y35957" s="97"/>
    </row>
    <row r="35958" spans="25:25" x14ac:dyDescent="0.2">
      <c r="Y35958" s="97"/>
    </row>
    <row r="35959" spans="25:25" x14ac:dyDescent="0.2">
      <c r="Y35959" s="97"/>
    </row>
    <row r="35960" spans="25:25" x14ac:dyDescent="0.2">
      <c r="Y35960" s="97"/>
    </row>
    <row r="35961" spans="25:25" x14ac:dyDescent="0.2">
      <c r="Y35961" s="97"/>
    </row>
    <row r="35962" spans="25:25" x14ac:dyDescent="0.2">
      <c r="Y35962" s="97"/>
    </row>
    <row r="35963" spans="25:25" x14ac:dyDescent="0.2">
      <c r="Y35963" s="97"/>
    </row>
    <row r="35964" spans="25:25" x14ac:dyDescent="0.2">
      <c r="Y35964" s="97"/>
    </row>
    <row r="35965" spans="25:25" x14ac:dyDescent="0.2">
      <c r="Y35965" s="97"/>
    </row>
    <row r="35966" spans="25:25" x14ac:dyDescent="0.2">
      <c r="Y35966" s="97"/>
    </row>
    <row r="35967" spans="25:25" x14ac:dyDescent="0.2">
      <c r="Y35967" s="97"/>
    </row>
    <row r="35968" spans="25:25" x14ac:dyDescent="0.2">
      <c r="Y35968" s="97"/>
    </row>
    <row r="35969" spans="25:25" x14ac:dyDescent="0.2">
      <c r="Y35969" s="97"/>
    </row>
    <row r="35970" spans="25:25" x14ac:dyDescent="0.2">
      <c r="Y35970" s="97"/>
    </row>
    <row r="35971" spans="25:25" x14ac:dyDescent="0.2">
      <c r="Y35971" s="97"/>
    </row>
    <row r="35972" spans="25:25" x14ac:dyDescent="0.2">
      <c r="Y35972" s="97"/>
    </row>
    <row r="35973" spans="25:25" x14ac:dyDescent="0.2">
      <c r="Y35973" s="97"/>
    </row>
    <row r="35974" spans="25:25" x14ac:dyDescent="0.2">
      <c r="Y35974" s="97"/>
    </row>
    <row r="35975" spans="25:25" x14ac:dyDescent="0.2">
      <c r="Y35975" s="97"/>
    </row>
    <row r="35976" spans="25:25" x14ac:dyDescent="0.2">
      <c r="Y35976" s="97"/>
    </row>
    <row r="35977" spans="25:25" x14ac:dyDescent="0.2">
      <c r="Y35977" s="97"/>
    </row>
    <row r="35978" spans="25:25" x14ac:dyDescent="0.2">
      <c r="Y35978" s="97"/>
    </row>
    <row r="35979" spans="25:25" x14ac:dyDescent="0.2">
      <c r="Y35979" s="97"/>
    </row>
    <row r="35980" spans="25:25" x14ac:dyDescent="0.2">
      <c r="Y35980" s="97"/>
    </row>
    <row r="35981" spans="25:25" x14ac:dyDescent="0.2">
      <c r="Y35981" s="97"/>
    </row>
    <row r="35982" spans="25:25" x14ac:dyDescent="0.2">
      <c r="Y35982" s="97"/>
    </row>
    <row r="35983" spans="25:25" x14ac:dyDescent="0.2">
      <c r="Y35983" s="97"/>
    </row>
    <row r="35984" spans="25:25" x14ac:dyDescent="0.2">
      <c r="Y35984" s="97"/>
    </row>
    <row r="35985" spans="25:25" x14ac:dyDescent="0.2">
      <c r="Y35985" s="97"/>
    </row>
    <row r="35986" spans="25:25" x14ac:dyDescent="0.2">
      <c r="Y35986" s="97"/>
    </row>
    <row r="35987" spans="25:25" x14ac:dyDescent="0.2">
      <c r="Y35987" s="97"/>
    </row>
    <row r="35988" spans="25:25" x14ac:dyDescent="0.2">
      <c r="Y35988" s="97"/>
    </row>
    <row r="35989" spans="25:25" x14ac:dyDescent="0.2">
      <c r="Y35989" s="97"/>
    </row>
    <row r="35990" spans="25:25" x14ac:dyDescent="0.2">
      <c r="Y35990" s="97"/>
    </row>
    <row r="35991" spans="25:25" x14ac:dyDescent="0.2">
      <c r="Y35991" s="97"/>
    </row>
    <row r="35992" spans="25:25" x14ac:dyDescent="0.2">
      <c r="Y35992" s="97"/>
    </row>
    <row r="35993" spans="25:25" x14ac:dyDescent="0.2">
      <c r="Y35993" s="97"/>
    </row>
    <row r="35994" spans="25:25" x14ac:dyDescent="0.2">
      <c r="Y35994" s="97"/>
    </row>
    <row r="35995" spans="25:25" x14ac:dyDescent="0.2">
      <c r="Y35995" s="97"/>
    </row>
    <row r="35996" spans="25:25" x14ac:dyDescent="0.2">
      <c r="Y35996" s="97"/>
    </row>
    <row r="35997" spans="25:25" x14ac:dyDescent="0.2">
      <c r="Y35997" s="97"/>
    </row>
    <row r="35998" spans="25:25" x14ac:dyDescent="0.2">
      <c r="Y35998" s="97"/>
    </row>
    <row r="35999" spans="25:25" x14ac:dyDescent="0.2">
      <c r="Y35999" s="97"/>
    </row>
    <row r="36000" spans="25:25" x14ac:dyDescent="0.2">
      <c r="Y36000" s="97"/>
    </row>
    <row r="36001" spans="25:25" x14ac:dyDescent="0.2">
      <c r="Y36001" s="97"/>
    </row>
    <row r="36002" spans="25:25" x14ac:dyDescent="0.2">
      <c r="Y36002" s="97"/>
    </row>
    <row r="36003" spans="25:25" x14ac:dyDescent="0.2">
      <c r="Y36003" s="97"/>
    </row>
    <row r="36004" spans="25:25" x14ac:dyDescent="0.2">
      <c r="Y36004" s="97"/>
    </row>
    <row r="36005" spans="25:25" x14ac:dyDescent="0.2">
      <c r="Y36005" s="97"/>
    </row>
    <row r="36006" spans="25:25" x14ac:dyDescent="0.2">
      <c r="Y36006" s="97"/>
    </row>
    <row r="36007" spans="25:25" x14ac:dyDescent="0.2">
      <c r="Y36007" s="97"/>
    </row>
    <row r="36008" spans="25:25" x14ac:dyDescent="0.2">
      <c r="Y36008" s="97"/>
    </row>
    <row r="36009" spans="25:25" x14ac:dyDescent="0.2">
      <c r="Y36009" s="97"/>
    </row>
    <row r="36010" spans="25:25" x14ac:dyDescent="0.2">
      <c r="Y36010" s="97"/>
    </row>
    <row r="36011" spans="25:25" x14ac:dyDescent="0.2">
      <c r="Y36011" s="97"/>
    </row>
    <row r="36012" spans="25:25" x14ac:dyDescent="0.2">
      <c r="Y36012" s="97"/>
    </row>
    <row r="36013" spans="25:25" x14ac:dyDescent="0.2">
      <c r="Y36013" s="97"/>
    </row>
    <row r="36014" spans="25:25" x14ac:dyDescent="0.2">
      <c r="Y36014" s="97"/>
    </row>
    <row r="36015" spans="25:25" x14ac:dyDescent="0.2">
      <c r="Y36015" s="97"/>
    </row>
    <row r="36016" spans="25:25" x14ac:dyDescent="0.2">
      <c r="Y36016" s="97"/>
    </row>
    <row r="36017" spans="25:25" x14ac:dyDescent="0.2">
      <c r="Y36017" s="97"/>
    </row>
    <row r="36018" spans="25:25" x14ac:dyDescent="0.2">
      <c r="Y36018" s="97"/>
    </row>
    <row r="36019" spans="25:25" x14ac:dyDescent="0.2">
      <c r="Y36019" s="97"/>
    </row>
    <row r="36020" spans="25:25" x14ac:dyDescent="0.2">
      <c r="Y36020" s="97"/>
    </row>
    <row r="36021" spans="25:25" x14ac:dyDescent="0.2">
      <c r="Y36021" s="97"/>
    </row>
    <row r="36022" spans="25:25" x14ac:dyDescent="0.2">
      <c r="Y36022" s="97"/>
    </row>
    <row r="36023" spans="25:25" x14ac:dyDescent="0.2">
      <c r="Y36023" s="97"/>
    </row>
    <row r="36024" spans="25:25" x14ac:dyDescent="0.2">
      <c r="Y36024" s="97"/>
    </row>
    <row r="36025" spans="25:25" x14ac:dyDescent="0.2">
      <c r="Y36025" s="97"/>
    </row>
    <row r="36026" spans="25:25" x14ac:dyDescent="0.2">
      <c r="Y36026" s="97"/>
    </row>
    <row r="36027" spans="25:25" x14ac:dyDescent="0.2">
      <c r="Y36027" s="97"/>
    </row>
    <row r="36028" spans="25:25" x14ac:dyDescent="0.2">
      <c r="Y36028" s="97"/>
    </row>
    <row r="36029" spans="25:25" x14ac:dyDescent="0.2">
      <c r="Y36029" s="97"/>
    </row>
    <row r="36030" spans="25:25" x14ac:dyDescent="0.2">
      <c r="Y36030" s="97"/>
    </row>
    <row r="36031" spans="25:25" x14ac:dyDescent="0.2">
      <c r="Y36031" s="97"/>
    </row>
    <row r="36032" spans="25:25" x14ac:dyDescent="0.2">
      <c r="Y36032" s="97"/>
    </row>
    <row r="36033" spans="25:25" x14ac:dyDescent="0.2">
      <c r="Y36033" s="97"/>
    </row>
    <row r="36034" spans="25:25" x14ac:dyDescent="0.2">
      <c r="Y36034" s="97"/>
    </row>
    <row r="36035" spans="25:25" x14ac:dyDescent="0.2">
      <c r="Y36035" s="97"/>
    </row>
    <row r="36036" spans="25:25" x14ac:dyDescent="0.2">
      <c r="Y36036" s="97"/>
    </row>
    <row r="36037" spans="25:25" x14ac:dyDescent="0.2">
      <c r="Y36037" s="97"/>
    </row>
    <row r="36038" spans="25:25" x14ac:dyDescent="0.2">
      <c r="Y36038" s="97"/>
    </row>
    <row r="36039" spans="25:25" x14ac:dyDescent="0.2">
      <c r="Y36039" s="97"/>
    </row>
    <row r="36040" spans="25:25" x14ac:dyDescent="0.2">
      <c r="Y36040" s="97"/>
    </row>
    <row r="36041" spans="25:25" x14ac:dyDescent="0.2">
      <c r="Y36041" s="97"/>
    </row>
    <row r="36042" spans="25:25" x14ac:dyDescent="0.2">
      <c r="Y36042" s="97"/>
    </row>
    <row r="36043" spans="25:25" x14ac:dyDescent="0.2">
      <c r="Y36043" s="97"/>
    </row>
    <row r="36044" spans="25:25" x14ac:dyDescent="0.2">
      <c r="Y36044" s="97"/>
    </row>
    <row r="36045" spans="25:25" x14ac:dyDescent="0.2">
      <c r="Y36045" s="97"/>
    </row>
    <row r="36046" spans="25:25" x14ac:dyDescent="0.2">
      <c r="Y36046" s="97"/>
    </row>
    <row r="36047" spans="25:25" x14ac:dyDescent="0.2">
      <c r="Y36047" s="97"/>
    </row>
    <row r="36048" spans="25:25" x14ac:dyDescent="0.2">
      <c r="Y36048" s="97"/>
    </row>
    <row r="36049" spans="25:25" x14ac:dyDescent="0.2">
      <c r="Y36049" s="97"/>
    </row>
    <row r="36050" spans="25:25" x14ac:dyDescent="0.2">
      <c r="Y36050" s="97"/>
    </row>
    <row r="36051" spans="25:25" x14ac:dyDescent="0.2">
      <c r="Y36051" s="97"/>
    </row>
    <row r="36052" spans="25:25" x14ac:dyDescent="0.2">
      <c r="Y36052" s="97"/>
    </row>
    <row r="36053" spans="25:25" x14ac:dyDescent="0.2">
      <c r="Y36053" s="97"/>
    </row>
    <row r="36054" spans="25:25" x14ac:dyDescent="0.2">
      <c r="Y36054" s="97"/>
    </row>
    <row r="36055" spans="25:25" x14ac:dyDescent="0.2">
      <c r="Y36055" s="97"/>
    </row>
    <row r="36056" spans="25:25" x14ac:dyDescent="0.2">
      <c r="Y36056" s="97"/>
    </row>
    <row r="36057" spans="25:25" x14ac:dyDescent="0.2">
      <c r="Y36057" s="97"/>
    </row>
    <row r="36058" spans="25:25" x14ac:dyDescent="0.2">
      <c r="Y36058" s="97"/>
    </row>
    <row r="36059" spans="25:25" x14ac:dyDescent="0.2">
      <c r="Y36059" s="97"/>
    </row>
    <row r="36060" spans="25:25" x14ac:dyDescent="0.2">
      <c r="Y36060" s="97"/>
    </row>
    <row r="36061" spans="25:25" x14ac:dyDescent="0.2">
      <c r="Y36061" s="97"/>
    </row>
    <row r="36062" spans="25:25" x14ac:dyDescent="0.2">
      <c r="Y36062" s="97"/>
    </row>
    <row r="36063" spans="25:25" x14ac:dyDescent="0.2">
      <c r="Y36063" s="97"/>
    </row>
    <row r="36064" spans="25:25" x14ac:dyDescent="0.2">
      <c r="Y36064" s="97"/>
    </row>
    <row r="36065" spans="25:25" x14ac:dyDescent="0.2">
      <c r="Y36065" s="97"/>
    </row>
    <row r="36066" spans="25:25" x14ac:dyDescent="0.2">
      <c r="Y36066" s="97"/>
    </row>
    <row r="36067" spans="25:25" x14ac:dyDescent="0.2">
      <c r="Y36067" s="97"/>
    </row>
    <row r="36068" spans="25:25" x14ac:dyDescent="0.2">
      <c r="Y36068" s="97"/>
    </row>
    <row r="36069" spans="25:25" x14ac:dyDescent="0.2">
      <c r="Y36069" s="97"/>
    </row>
    <row r="36070" spans="25:25" x14ac:dyDescent="0.2">
      <c r="Y36070" s="97"/>
    </row>
    <row r="36071" spans="25:25" x14ac:dyDescent="0.2">
      <c r="Y36071" s="97"/>
    </row>
    <row r="36072" spans="25:25" x14ac:dyDescent="0.2">
      <c r="Y36072" s="97"/>
    </row>
    <row r="36073" spans="25:25" x14ac:dyDescent="0.2">
      <c r="Y36073" s="97"/>
    </row>
    <row r="36074" spans="25:25" x14ac:dyDescent="0.2">
      <c r="Y36074" s="97"/>
    </row>
    <row r="36075" spans="25:25" x14ac:dyDescent="0.2">
      <c r="Y36075" s="97"/>
    </row>
    <row r="36076" spans="25:25" x14ac:dyDescent="0.2">
      <c r="Y36076" s="97"/>
    </row>
    <row r="36077" spans="25:25" x14ac:dyDescent="0.2">
      <c r="Y36077" s="97"/>
    </row>
    <row r="36078" spans="25:25" x14ac:dyDescent="0.2">
      <c r="Y36078" s="97"/>
    </row>
    <row r="36079" spans="25:25" x14ac:dyDescent="0.2">
      <c r="Y36079" s="97"/>
    </row>
    <row r="36080" spans="25:25" x14ac:dyDescent="0.2">
      <c r="Y36080" s="97"/>
    </row>
    <row r="36081" spans="25:25" x14ac:dyDescent="0.2">
      <c r="Y36081" s="97"/>
    </row>
    <row r="36082" spans="25:25" x14ac:dyDescent="0.2">
      <c r="Y36082" s="97"/>
    </row>
    <row r="36083" spans="25:25" x14ac:dyDescent="0.2">
      <c r="Y36083" s="97"/>
    </row>
    <row r="36084" spans="25:25" x14ac:dyDescent="0.2">
      <c r="Y36084" s="97"/>
    </row>
    <row r="36085" spans="25:25" x14ac:dyDescent="0.2">
      <c r="Y36085" s="97"/>
    </row>
    <row r="36086" spans="25:25" x14ac:dyDescent="0.2">
      <c r="Y36086" s="97"/>
    </row>
    <row r="36087" spans="25:25" x14ac:dyDescent="0.2">
      <c r="Y36087" s="97"/>
    </row>
    <row r="36088" spans="25:25" x14ac:dyDescent="0.2">
      <c r="Y36088" s="97"/>
    </row>
    <row r="36089" spans="25:25" x14ac:dyDescent="0.2">
      <c r="Y36089" s="97"/>
    </row>
    <row r="36090" spans="25:25" x14ac:dyDescent="0.2">
      <c r="Y36090" s="97"/>
    </row>
    <row r="36091" spans="25:25" x14ac:dyDescent="0.2">
      <c r="Y36091" s="97"/>
    </row>
    <row r="36092" spans="25:25" x14ac:dyDescent="0.2">
      <c r="Y36092" s="97"/>
    </row>
    <row r="36093" spans="25:25" x14ac:dyDescent="0.2">
      <c r="Y36093" s="97"/>
    </row>
    <row r="36094" spans="25:25" x14ac:dyDescent="0.2">
      <c r="Y36094" s="97"/>
    </row>
    <row r="36095" spans="25:25" x14ac:dyDescent="0.2">
      <c r="Y36095" s="97"/>
    </row>
    <row r="36096" spans="25:25" x14ac:dyDescent="0.2">
      <c r="Y36096" s="97"/>
    </row>
    <row r="36097" spans="25:25" x14ac:dyDescent="0.2">
      <c r="Y36097" s="97"/>
    </row>
    <row r="36098" spans="25:25" x14ac:dyDescent="0.2">
      <c r="Y36098" s="97"/>
    </row>
    <row r="36099" spans="25:25" x14ac:dyDescent="0.2">
      <c r="Y36099" s="97"/>
    </row>
    <row r="36100" spans="25:25" x14ac:dyDescent="0.2">
      <c r="Y36100" s="97"/>
    </row>
    <row r="36101" spans="25:25" x14ac:dyDescent="0.2">
      <c r="Y36101" s="97"/>
    </row>
    <row r="36102" spans="25:25" x14ac:dyDescent="0.2">
      <c r="Y36102" s="97"/>
    </row>
    <row r="36103" spans="25:25" x14ac:dyDescent="0.2">
      <c r="Y36103" s="97"/>
    </row>
    <row r="36104" spans="25:25" x14ac:dyDescent="0.2">
      <c r="Y36104" s="97"/>
    </row>
    <row r="36105" spans="25:25" x14ac:dyDescent="0.2">
      <c r="Y36105" s="97"/>
    </row>
    <row r="36106" spans="25:25" x14ac:dyDescent="0.2">
      <c r="Y36106" s="97"/>
    </row>
    <row r="36107" spans="25:25" x14ac:dyDescent="0.2">
      <c r="Y36107" s="97"/>
    </row>
    <row r="36108" spans="25:25" x14ac:dyDescent="0.2">
      <c r="Y36108" s="97"/>
    </row>
    <row r="36109" spans="25:25" x14ac:dyDescent="0.2">
      <c r="Y36109" s="97"/>
    </row>
    <row r="36110" spans="25:25" x14ac:dyDescent="0.2">
      <c r="Y36110" s="97"/>
    </row>
    <row r="36111" spans="25:25" x14ac:dyDescent="0.2">
      <c r="Y36111" s="97"/>
    </row>
    <row r="36112" spans="25:25" x14ac:dyDescent="0.2">
      <c r="Y36112" s="97"/>
    </row>
    <row r="36113" spans="25:25" x14ac:dyDescent="0.2">
      <c r="Y36113" s="97"/>
    </row>
    <row r="36114" spans="25:25" x14ac:dyDescent="0.2">
      <c r="Y36114" s="97"/>
    </row>
    <row r="36115" spans="25:25" x14ac:dyDescent="0.2">
      <c r="Y36115" s="97"/>
    </row>
    <row r="36116" spans="25:25" x14ac:dyDescent="0.2">
      <c r="Y36116" s="97"/>
    </row>
    <row r="36117" spans="25:25" x14ac:dyDescent="0.2">
      <c r="Y36117" s="97"/>
    </row>
    <row r="36118" spans="25:25" x14ac:dyDescent="0.2">
      <c r="Y36118" s="97"/>
    </row>
    <row r="36119" spans="25:25" x14ac:dyDescent="0.2">
      <c r="Y36119" s="97"/>
    </row>
    <row r="36120" spans="25:25" x14ac:dyDescent="0.2">
      <c r="Y36120" s="97"/>
    </row>
    <row r="36121" spans="25:25" x14ac:dyDescent="0.2">
      <c r="Y36121" s="97"/>
    </row>
    <row r="36122" spans="25:25" x14ac:dyDescent="0.2">
      <c r="Y36122" s="97"/>
    </row>
    <row r="36123" spans="25:25" x14ac:dyDescent="0.2">
      <c r="Y36123" s="97"/>
    </row>
    <row r="36124" spans="25:25" x14ac:dyDescent="0.2">
      <c r="Y36124" s="97"/>
    </row>
    <row r="36125" spans="25:25" x14ac:dyDescent="0.2">
      <c r="Y36125" s="97"/>
    </row>
    <row r="36126" spans="25:25" x14ac:dyDescent="0.2">
      <c r="Y36126" s="97"/>
    </row>
    <row r="36127" spans="25:25" x14ac:dyDescent="0.2">
      <c r="Y36127" s="97"/>
    </row>
    <row r="36128" spans="25:25" x14ac:dyDescent="0.2">
      <c r="Y36128" s="97"/>
    </row>
    <row r="36129" spans="25:25" x14ac:dyDescent="0.2">
      <c r="Y36129" s="97"/>
    </row>
    <row r="36130" spans="25:25" x14ac:dyDescent="0.2">
      <c r="Y36130" s="97"/>
    </row>
    <row r="36131" spans="25:25" x14ac:dyDescent="0.2">
      <c r="Y36131" s="97"/>
    </row>
    <row r="36132" spans="25:25" x14ac:dyDescent="0.2">
      <c r="Y36132" s="97"/>
    </row>
    <row r="36133" spans="25:25" x14ac:dyDescent="0.2">
      <c r="Y36133" s="97"/>
    </row>
    <row r="36134" spans="25:25" x14ac:dyDescent="0.2">
      <c r="Y36134" s="97"/>
    </row>
    <row r="36135" spans="25:25" x14ac:dyDescent="0.2">
      <c r="Y36135" s="97"/>
    </row>
    <row r="36136" spans="25:25" x14ac:dyDescent="0.2">
      <c r="Y36136" s="97"/>
    </row>
    <row r="36137" spans="25:25" x14ac:dyDescent="0.2">
      <c r="Y36137" s="97"/>
    </row>
    <row r="36138" spans="25:25" x14ac:dyDescent="0.2">
      <c r="Y36138" s="97"/>
    </row>
    <row r="36139" spans="25:25" x14ac:dyDescent="0.2">
      <c r="Y36139" s="97"/>
    </row>
    <row r="36140" spans="25:25" x14ac:dyDescent="0.2">
      <c r="Y36140" s="97"/>
    </row>
    <row r="36141" spans="25:25" x14ac:dyDescent="0.2">
      <c r="Y36141" s="97"/>
    </row>
    <row r="36142" spans="25:25" x14ac:dyDescent="0.2">
      <c r="Y36142" s="97"/>
    </row>
    <row r="36143" spans="25:25" x14ac:dyDescent="0.2">
      <c r="Y36143" s="97"/>
    </row>
    <row r="36144" spans="25:25" x14ac:dyDescent="0.2">
      <c r="Y36144" s="97"/>
    </row>
    <row r="36145" spans="25:25" x14ac:dyDescent="0.2">
      <c r="Y36145" s="97"/>
    </row>
    <row r="36146" spans="25:25" x14ac:dyDescent="0.2">
      <c r="Y36146" s="97"/>
    </row>
    <row r="36147" spans="25:25" x14ac:dyDescent="0.2">
      <c r="Y36147" s="97"/>
    </row>
    <row r="36148" spans="25:25" x14ac:dyDescent="0.2">
      <c r="Y36148" s="97"/>
    </row>
    <row r="36149" spans="25:25" x14ac:dyDescent="0.2">
      <c r="Y36149" s="97"/>
    </row>
    <row r="36150" spans="25:25" x14ac:dyDescent="0.2">
      <c r="Y36150" s="97"/>
    </row>
    <row r="36151" spans="25:25" x14ac:dyDescent="0.2">
      <c r="Y36151" s="97"/>
    </row>
    <row r="36152" spans="25:25" x14ac:dyDescent="0.2">
      <c r="Y36152" s="97"/>
    </row>
    <row r="36153" spans="25:25" x14ac:dyDescent="0.2">
      <c r="Y36153" s="97"/>
    </row>
    <row r="36154" spans="25:25" x14ac:dyDescent="0.2">
      <c r="Y36154" s="97"/>
    </row>
    <row r="36155" spans="25:25" x14ac:dyDescent="0.2">
      <c r="Y36155" s="97"/>
    </row>
    <row r="36156" spans="25:25" x14ac:dyDescent="0.2">
      <c r="Y36156" s="97"/>
    </row>
    <row r="36157" spans="25:25" x14ac:dyDescent="0.2">
      <c r="Y36157" s="97"/>
    </row>
    <row r="36158" spans="25:25" x14ac:dyDescent="0.2">
      <c r="Y36158" s="97"/>
    </row>
    <row r="36159" spans="25:25" x14ac:dyDescent="0.2">
      <c r="Y36159" s="97"/>
    </row>
    <row r="36160" spans="25:25" x14ac:dyDescent="0.2">
      <c r="Y36160" s="97"/>
    </row>
    <row r="36161" spans="25:25" x14ac:dyDescent="0.2">
      <c r="Y36161" s="97"/>
    </row>
    <row r="36162" spans="25:25" x14ac:dyDescent="0.2">
      <c r="Y36162" s="97"/>
    </row>
    <row r="36163" spans="25:25" x14ac:dyDescent="0.2">
      <c r="Y36163" s="97"/>
    </row>
    <row r="36164" spans="25:25" x14ac:dyDescent="0.2">
      <c r="Y36164" s="97"/>
    </row>
    <row r="36165" spans="25:25" x14ac:dyDescent="0.2">
      <c r="Y36165" s="97"/>
    </row>
    <row r="36166" spans="25:25" x14ac:dyDescent="0.2">
      <c r="Y36166" s="97"/>
    </row>
    <row r="36167" spans="25:25" x14ac:dyDescent="0.2">
      <c r="Y36167" s="97"/>
    </row>
    <row r="36168" spans="25:25" x14ac:dyDescent="0.2">
      <c r="Y36168" s="97"/>
    </row>
    <row r="36169" spans="25:25" x14ac:dyDescent="0.2">
      <c r="Y36169" s="97"/>
    </row>
    <row r="36170" spans="25:25" x14ac:dyDescent="0.2">
      <c r="Y36170" s="97"/>
    </row>
    <row r="36171" spans="25:25" x14ac:dyDescent="0.2">
      <c r="Y36171" s="97"/>
    </row>
    <row r="36172" spans="25:25" x14ac:dyDescent="0.2">
      <c r="Y36172" s="97"/>
    </row>
    <row r="36173" spans="25:25" x14ac:dyDescent="0.2">
      <c r="Y36173" s="97"/>
    </row>
    <row r="36174" spans="25:25" x14ac:dyDescent="0.2">
      <c r="Y36174" s="97"/>
    </row>
    <row r="36175" spans="25:25" x14ac:dyDescent="0.2">
      <c r="Y36175" s="97"/>
    </row>
    <row r="36176" spans="25:25" x14ac:dyDescent="0.2">
      <c r="Y36176" s="97"/>
    </row>
    <row r="36177" spans="25:25" x14ac:dyDescent="0.2">
      <c r="Y36177" s="97"/>
    </row>
    <row r="36178" spans="25:25" x14ac:dyDescent="0.2">
      <c r="Y36178" s="97"/>
    </row>
    <row r="36179" spans="25:25" x14ac:dyDescent="0.2">
      <c r="Y36179" s="97"/>
    </row>
    <row r="36180" spans="25:25" x14ac:dyDescent="0.2">
      <c r="Y36180" s="97"/>
    </row>
    <row r="36181" spans="25:25" x14ac:dyDescent="0.2">
      <c r="Y36181" s="97"/>
    </row>
    <row r="36182" spans="25:25" x14ac:dyDescent="0.2">
      <c r="Y36182" s="97"/>
    </row>
    <row r="36183" spans="25:25" x14ac:dyDescent="0.2">
      <c r="Y36183" s="97"/>
    </row>
    <row r="36184" spans="25:25" x14ac:dyDescent="0.2">
      <c r="Y36184" s="97"/>
    </row>
    <row r="36185" spans="25:25" x14ac:dyDescent="0.2">
      <c r="Y36185" s="97"/>
    </row>
    <row r="36186" spans="25:25" x14ac:dyDescent="0.2">
      <c r="Y36186" s="97"/>
    </row>
    <row r="36187" spans="25:25" x14ac:dyDescent="0.2">
      <c r="Y36187" s="97"/>
    </row>
    <row r="36188" spans="25:25" x14ac:dyDescent="0.2">
      <c r="Y36188" s="97"/>
    </row>
    <row r="36189" spans="25:25" x14ac:dyDescent="0.2">
      <c r="Y36189" s="97"/>
    </row>
    <row r="36190" spans="25:25" x14ac:dyDescent="0.2">
      <c r="Y36190" s="97"/>
    </row>
    <row r="36191" spans="25:25" x14ac:dyDescent="0.2">
      <c r="Y36191" s="97"/>
    </row>
    <row r="36192" spans="25:25" x14ac:dyDescent="0.2">
      <c r="Y36192" s="97"/>
    </row>
    <row r="36193" spans="25:25" x14ac:dyDescent="0.2">
      <c r="Y36193" s="97"/>
    </row>
    <row r="36194" spans="25:25" x14ac:dyDescent="0.2">
      <c r="Y36194" s="97"/>
    </row>
    <row r="36195" spans="25:25" x14ac:dyDescent="0.2">
      <c r="Y36195" s="97"/>
    </row>
    <row r="36196" spans="25:25" x14ac:dyDescent="0.2">
      <c r="Y36196" s="97"/>
    </row>
    <row r="36197" spans="25:25" x14ac:dyDescent="0.2">
      <c r="Y36197" s="97"/>
    </row>
    <row r="36198" spans="25:25" x14ac:dyDescent="0.2">
      <c r="Y36198" s="97"/>
    </row>
    <row r="36199" spans="25:25" x14ac:dyDescent="0.2">
      <c r="Y36199" s="97"/>
    </row>
    <row r="36200" spans="25:25" x14ac:dyDescent="0.2">
      <c r="Y36200" s="97"/>
    </row>
    <row r="36201" spans="25:25" x14ac:dyDescent="0.2">
      <c r="Y36201" s="97"/>
    </row>
    <row r="36202" spans="25:25" x14ac:dyDescent="0.2">
      <c r="Y36202" s="97"/>
    </row>
    <row r="36203" spans="25:25" x14ac:dyDescent="0.2">
      <c r="Y36203" s="97"/>
    </row>
    <row r="36204" spans="25:25" x14ac:dyDescent="0.2">
      <c r="Y36204" s="97"/>
    </row>
    <row r="36205" spans="25:25" x14ac:dyDescent="0.2">
      <c r="Y36205" s="97"/>
    </row>
    <row r="36206" spans="25:25" x14ac:dyDescent="0.2">
      <c r="Y36206" s="97"/>
    </row>
    <row r="36207" spans="25:25" x14ac:dyDescent="0.2">
      <c r="Y36207" s="97"/>
    </row>
    <row r="36208" spans="25:25" x14ac:dyDescent="0.2">
      <c r="Y36208" s="97"/>
    </row>
    <row r="36209" spans="25:25" x14ac:dyDescent="0.2">
      <c r="Y36209" s="97"/>
    </row>
    <row r="36210" spans="25:25" x14ac:dyDescent="0.2">
      <c r="Y36210" s="97"/>
    </row>
    <row r="36211" spans="25:25" x14ac:dyDescent="0.2">
      <c r="Y36211" s="97"/>
    </row>
    <row r="36212" spans="25:25" x14ac:dyDescent="0.2">
      <c r="Y36212" s="97"/>
    </row>
    <row r="36213" spans="25:25" x14ac:dyDescent="0.2">
      <c r="Y36213" s="97"/>
    </row>
    <row r="36214" spans="25:25" x14ac:dyDescent="0.2">
      <c r="Y36214" s="97"/>
    </row>
    <row r="36215" spans="25:25" x14ac:dyDescent="0.2">
      <c r="Y36215" s="97"/>
    </row>
    <row r="36216" spans="25:25" x14ac:dyDescent="0.2">
      <c r="Y36216" s="97"/>
    </row>
    <row r="36217" spans="25:25" x14ac:dyDescent="0.2">
      <c r="Y36217" s="97"/>
    </row>
    <row r="36218" spans="25:25" x14ac:dyDescent="0.2">
      <c r="Y36218" s="97"/>
    </row>
    <row r="36219" spans="25:25" x14ac:dyDescent="0.2">
      <c r="Y36219" s="97"/>
    </row>
    <row r="36220" spans="25:25" x14ac:dyDescent="0.2">
      <c r="Y36220" s="97"/>
    </row>
    <row r="36221" spans="25:25" x14ac:dyDescent="0.2">
      <c r="Y36221" s="97"/>
    </row>
    <row r="36222" spans="25:25" x14ac:dyDescent="0.2">
      <c r="Y36222" s="97"/>
    </row>
    <row r="36223" spans="25:25" x14ac:dyDescent="0.2">
      <c r="Y36223" s="97"/>
    </row>
    <row r="36224" spans="25:25" x14ac:dyDescent="0.2">
      <c r="Y36224" s="97"/>
    </row>
    <row r="36225" spans="25:25" x14ac:dyDescent="0.2">
      <c r="Y36225" s="97"/>
    </row>
    <row r="36226" spans="25:25" x14ac:dyDescent="0.2">
      <c r="Y36226" s="97"/>
    </row>
    <row r="36227" spans="25:25" x14ac:dyDescent="0.2">
      <c r="Y36227" s="97"/>
    </row>
    <row r="36228" spans="25:25" x14ac:dyDescent="0.2">
      <c r="Y36228" s="97"/>
    </row>
    <row r="36229" spans="25:25" x14ac:dyDescent="0.2">
      <c r="Y36229" s="97"/>
    </row>
    <row r="36230" spans="25:25" x14ac:dyDescent="0.2">
      <c r="Y36230" s="97"/>
    </row>
    <row r="36231" spans="25:25" x14ac:dyDescent="0.2">
      <c r="Y36231" s="97"/>
    </row>
    <row r="36232" spans="25:25" x14ac:dyDescent="0.2">
      <c r="Y36232" s="97"/>
    </row>
    <row r="36233" spans="25:25" x14ac:dyDescent="0.2">
      <c r="Y36233" s="97"/>
    </row>
    <row r="36234" spans="25:25" x14ac:dyDescent="0.2">
      <c r="Y36234" s="97"/>
    </row>
    <row r="36235" spans="25:25" x14ac:dyDescent="0.2">
      <c r="Y36235" s="97"/>
    </row>
    <row r="36236" spans="25:25" x14ac:dyDescent="0.2">
      <c r="Y36236" s="97"/>
    </row>
    <row r="36237" spans="25:25" x14ac:dyDescent="0.2">
      <c r="Y36237" s="97"/>
    </row>
    <row r="36238" spans="25:25" x14ac:dyDescent="0.2">
      <c r="Y36238" s="97"/>
    </row>
    <row r="36239" spans="25:25" x14ac:dyDescent="0.2">
      <c r="Y36239" s="97"/>
    </row>
    <row r="36240" spans="25:25" x14ac:dyDescent="0.2">
      <c r="Y36240" s="97"/>
    </row>
    <row r="36241" spans="25:25" x14ac:dyDescent="0.2">
      <c r="Y36241" s="97"/>
    </row>
    <row r="36242" spans="25:25" x14ac:dyDescent="0.2">
      <c r="Y36242" s="97"/>
    </row>
    <row r="36243" spans="25:25" x14ac:dyDescent="0.2">
      <c r="Y36243" s="97"/>
    </row>
    <row r="36244" spans="25:25" x14ac:dyDescent="0.2">
      <c r="Y36244" s="97"/>
    </row>
    <row r="36245" spans="25:25" x14ac:dyDescent="0.2">
      <c r="Y36245" s="97"/>
    </row>
    <row r="36246" spans="25:25" x14ac:dyDescent="0.2">
      <c r="Y36246" s="97"/>
    </row>
    <row r="36247" spans="25:25" x14ac:dyDescent="0.2">
      <c r="Y36247" s="97"/>
    </row>
    <row r="36248" spans="25:25" x14ac:dyDescent="0.2">
      <c r="Y36248" s="97"/>
    </row>
    <row r="36249" spans="25:25" x14ac:dyDescent="0.2">
      <c r="Y36249" s="97"/>
    </row>
    <row r="36250" spans="25:25" x14ac:dyDescent="0.2">
      <c r="Y36250" s="97"/>
    </row>
    <row r="36251" spans="25:25" x14ac:dyDescent="0.2">
      <c r="Y36251" s="97"/>
    </row>
    <row r="36252" spans="25:25" x14ac:dyDescent="0.2">
      <c r="Y36252" s="97"/>
    </row>
    <row r="36253" spans="25:25" x14ac:dyDescent="0.2">
      <c r="Y36253" s="97"/>
    </row>
    <row r="36254" spans="25:25" x14ac:dyDescent="0.2">
      <c r="Y36254" s="97"/>
    </row>
    <row r="36255" spans="25:25" x14ac:dyDescent="0.2">
      <c r="Y36255" s="97"/>
    </row>
    <row r="36256" spans="25:25" x14ac:dyDescent="0.2">
      <c r="Y36256" s="97"/>
    </row>
    <row r="36257" spans="25:25" x14ac:dyDescent="0.2">
      <c r="Y36257" s="97"/>
    </row>
    <row r="36258" spans="25:25" x14ac:dyDescent="0.2">
      <c r="Y36258" s="97"/>
    </row>
    <row r="36259" spans="25:25" x14ac:dyDescent="0.2">
      <c r="Y36259" s="97"/>
    </row>
    <row r="36260" spans="25:25" x14ac:dyDescent="0.2">
      <c r="Y36260" s="97"/>
    </row>
    <row r="36261" spans="25:25" x14ac:dyDescent="0.2">
      <c r="Y36261" s="97"/>
    </row>
    <row r="36262" spans="25:25" x14ac:dyDescent="0.2">
      <c r="Y36262" s="97"/>
    </row>
    <row r="36263" spans="25:25" x14ac:dyDescent="0.2">
      <c r="Y36263" s="97"/>
    </row>
    <row r="36264" spans="25:25" x14ac:dyDescent="0.2">
      <c r="Y36264" s="97"/>
    </row>
    <row r="36265" spans="25:25" x14ac:dyDescent="0.2">
      <c r="Y36265" s="97"/>
    </row>
    <row r="36266" spans="25:25" x14ac:dyDescent="0.2">
      <c r="Y36266" s="97"/>
    </row>
    <row r="36267" spans="25:25" x14ac:dyDescent="0.2">
      <c r="Y36267" s="97"/>
    </row>
    <row r="36268" spans="25:25" x14ac:dyDescent="0.2">
      <c r="Y36268" s="97"/>
    </row>
    <row r="36269" spans="25:25" x14ac:dyDescent="0.2">
      <c r="Y36269" s="97"/>
    </row>
    <row r="36270" spans="25:25" x14ac:dyDescent="0.2">
      <c r="Y36270" s="97"/>
    </row>
    <row r="36271" spans="25:25" x14ac:dyDescent="0.2">
      <c r="Y36271" s="97"/>
    </row>
    <row r="36272" spans="25:25" x14ac:dyDescent="0.2">
      <c r="Y36272" s="97"/>
    </row>
    <row r="36273" spans="25:25" x14ac:dyDescent="0.2">
      <c r="Y36273" s="97"/>
    </row>
    <row r="36274" spans="25:25" x14ac:dyDescent="0.2">
      <c r="Y36274" s="97"/>
    </row>
    <row r="36275" spans="25:25" x14ac:dyDescent="0.2">
      <c r="Y36275" s="97"/>
    </row>
    <row r="36276" spans="25:25" x14ac:dyDescent="0.2">
      <c r="Y36276" s="97"/>
    </row>
    <row r="36277" spans="25:25" x14ac:dyDescent="0.2">
      <c r="Y36277" s="97"/>
    </row>
    <row r="36278" spans="25:25" x14ac:dyDescent="0.2">
      <c r="Y36278" s="97"/>
    </row>
    <row r="36279" spans="25:25" x14ac:dyDescent="0.2">
      <c r="Y36279" s="97"/>
    </row>
    <row r="36280" spans="25:25" x14ac:dyDescent="0.2">
      <c r="Y36280" s="97"/>
    </row>
    <row r="36281" spans="25:25" x14ac:dyDescent="0.2">
      <c r="Y36281" s="97"/>
    </row>
    <row r="36282" spans="25:25" x14ac:dyDescent="0.2">
      <c r="Y36282" s="97"/>
    </row>
    <row r="36283" spans="25:25" x14ac:dyDescent="0.2">
      <c r="Y36283" s="97"/>
    </row>
    <row r="36284" spans="25:25" x14ac:dyDescent="0.2">
      <c r="Y36284" s="97"/>
    </row>
    <row r="36285" spans="25:25" x14ac:dyDescent="0.2">
      <c r="Y36285" s="97"/>
    </row>
    <row r="36286" spans="25:25" x14ac:dyDescent="0.2">
      <c r="Y36286" s="97"/>
    </row>
    <row r="36287" spans="25:25" x14ac:dyDescent="0.2">
      <c r="Y36287" s="97"/>
    </row>
    <row r="36288" spans="25:25" x14ac:dyDescent="0.2">
      <c r="Y36288" s="97"/>
    </row>
    <row r="36289" spans="25:25" x14ac:dyDescent="0.2">
      <c r="Y36289" s="97"/>
    </row>
    <row r="36290" spans="25:25" x14ac:dyDescent="0.2">
      <c r="Y36290" s="97"/>
    </row>
    <row r="36291" spans="25:25" x14ac:dyDescent="0.2">
      <c r="Y36291" s="97"/>
    </row>
    <row r="36292" spans="25:25" x14ac:dyDescent="0.2">
      <c r="Y36292" s="97"/>
    </row>
    <row r="36293" spans="25:25" x14ac:dyDescent="0.2">
      <c r="Y36293" s="97"/>
    </row>
    <row r="36294" spans="25:25" x14ac:dyDescent="0.2">
      <c r="Y36294" s="97"/>
    </row>
    <row r="36295" spans="25:25" x14ac:dyDescent="0.2">
      <c r="Y36295" s="97"/>
    </row>
    <row r="36296" spans="25:25" x14ac:dyDescent="0.2">
      <c r="Y36296" s="97"/>
    </row>
    <row r="36297" spans="25:25" x14ac:dyDescent="0.2">
      <c r="Y36297" s="97"/>
    </row>
    <row r="36298" spans="25:25" x14ac:dyDescent="0.2">
      <c r="Y36298" s="97"/>
    </row>
    <row r="36299" spans="25:25" x14ac:dyDescent="0.2">
      <c r="Y36299" s="97"/>
    </row>
    <row r="36300" spans="25:25" x14ac:dyDescent="0.2">
      <c r="Y36300" s="97"/>
    </row>
    <row r="36301" spans="25:25" x14ac:dyDescent="0.2">
      <c r="Y36301" s="97"/>
    </row>
    <row r="36302" spans="25:25" x14ac:dyDescent="0.2">
      <c r="Y36302" s="97"/>
    </row>
    <row r="36303" spans="25:25" x14ac:dyDescent="0.2">
      <c r="Y36303" s="97"/>
    </row>
    <row r="36304" spans="25:25" x14ac:dyDescent="0.2">
      <c r="Y36304" s="97"/>
    </row>
    <row r="36305" spans="25:25" x14ac:dyDescent="0.2">
      <c r="Y36305" s="97"/>
    </row>
    <row r="36306" spans="25:25" x14ac:dyDescent="0.2">
      <c r="Y36306" s="97"/>
    </row>
    <row r="36307" spans="25:25" x14ac:dyDescent="0.2">
      <c r="Y36307" s="97"/>
    </row>
    <row r="36308" spans="25:25" x14ac:dyDescent="0.2">
      <c r="Y36308" s="97"/>
    </row>
    <row r="36309" spans="25:25" x14ac:dyDescent="0.2">
      <c r="Y36309" s="97"/>
    </row>
    <row r="36310" spans="25:25" x14ac:dyDescent="0.2">
      <c r="Y36310" s="97"/>
    </row>
    <row r="36311" spans="25:25" x14ac:dyDescent="0.2">
      <c r="Y36311" s="97"/>
    </row>
    <row r="36312" spans="25:25" x14ac:dyDescent="0.2">
      <c r="Y36312" s="97"/>
    </row>
    <row r="36313" spans="25:25" x14ac:dyDescent="0.2">
      <c r="Y36313" s="97"/>
    </row>
    <row r="36314" spans="25:25" x14ac:dyDescent="0.2">
      <c r="Y36314" s="97"/>
    </row>
    <row r="36315" spans="25:25" x14ac:dyDescent="0.2">
      <c r="Y36315" s="97"/>
    </row>
    <row r="36316" spans="25:25" x14ac:dyDescent="0.2">
      <c r="Y36316" s="97"/>
    </row>
    <row r="36317" spans="25:25" x14ac:dyDescent="0.2">
      <c r="Y36317" s="97"/>
    </row>
    <row r="36318" spans="25:25" x14ac:dyDescent="0.2">
      <c r="Y36318" s="97"/>
    </row>
    <row r="36319" spans="25:25" x14ac:dyDescent="0.2">
      <c r="Y36319" s="97"/>
    </row>
    <row r="36320" spans="25:25" x14ac:dyDescent="0.2">
      <c r="Y36320" s="97"/>
    </row>
    <row r="36321" spans="25:25" x14ac:dyDescent="0.2">
      <c r="Y36321" s="97"/>
    </row>
    <row r="36322" spans="25:25" x14ac:dyDescent="0.2">
      <c r="Y36322" s="97"/>
    </row>
    <row r="36323" spans="25:25" x14ac:dyDescent="0.2">
      <c r="Y36323" s="97"/>
    </row>
    <row r="36324" spans="25:25" x14ac:dyDescent="0.2">
      <c r="Y36324" s="97"/>
    </row>
    <row r="36325" spans="25:25" x14ac:dyDescent="0.2">
      <c r="Y36325" s="97"/>
    </row>
    <row r="36326" spans="25:25" x14ac:dyDescent="0.2">
      <c r="Y36326" s="97"/>
    </row>
    <row r="36327" spans="25:25" x14ac:dyDescent="0.2">
      <c r="Y36327" s="97"/>
    </row>
    <row r="36328" spans="25:25" x14ac:dyDescent="0.2">
      <c r="Y36328" s="97"/>
    </row>
    <row r="36329" spans="25:25" x14ac:dyDescent="0.2">
      <c r="Y36329" s="97"/>
    </row>
    <row r="36330" spans="25:25" x14ac:dyDescent="0.2">
      <c r="Y36330" s="97"/>
    </row>
    <row r="36331" spans="25:25" x14ac:dyDescent="0.2">
      <c r="Y36331" s="97"/>
    </row>
    <row r="36332" spans="25:25" x14ac:dyDescent="0.2">
      <c r="Y36332" s="97"/>
    </row>
    <row r="36333" spans="25:25" x14ac:dyDescent="0.2">
      <c r="Y36333" s="97"/>
    </row>
    <row r="36334" spans="25:25" x14ac:dyDescent="0.2">
      <c r="Y36334" s="97"/>
    </row>
    <row r="36335" spans="25:25" x14ac:dyDescent="0.2">
      <c r="Y36335" s="97"/>
    </row>
    <row r="36336" spans="25:25" x14ac:dyDescent="0.2">
      <c r="Y36336" s="97"/>
    </row>
    <row r="36337" spans="25:25" x14ac:dyDescent="0.2">
      <c r="Y36337" s="97"/>
    </row>
    <row r="36338" spans="25:25" x14ac:dyDescent="0.2">
      <c r="Y36338" s="97"/>
    </row>
    <row r="36339" spans="25:25" x14ac:dyDescent="0.2">
      <c r="Y36339" s="97"/>
    </row>
    <row r="36340" spans="25:25" x14ac:dyDescent="0.2">
      <c r="Y36340" s="97"/>
    </row>
    <row r="36341" spans="25:25" x14ac:dyDescent="0.2">
      <c r="Y36341" s="97"/>
    </row>
    <row r="36342" spans="25:25" x14ac:dyDescent="0.2">
      <c r="Y36342" s="97"/>
    </row>
    <row r="36343" spans="25:25" x14ac:dyDescent="0.2">
      <c r="Y36343" s="97"/>
    </row>
    <row r="36344" spans="25:25" x14ac:dyDescent="0.2">
      <c r="Y36344" s="97"/>
    </row>
    <row r="36345" spans="25:25" x14ac:dyDescent="0.2">
      <c r="Y36345" s="97"/>
    </row>
    <row r="36346" spans="25:25" x14ac:dyDescent="0.2">
      <c r="Y36346" s="97"/>
    </row>
    <row r="36347" spans="25:25" x14ac:dyDescent="0.2">
      <c r="Y36347" s="97"/>
    </row>
    <row r="36348" spans="25:25" x14ac:dyDescent="0.2">
      <c r="Y36348" s="97"/>
    </row>
    <row r="36349" spans="25:25" x14ac:dyDescent="0.2">
      <c r="Y36349" s="97"/>
    </row>
    <row r="36350" spans="25:25" x14ac:dyDescent="0.2">
      <c r="Y36350" s="97"/>
    </row>
    <row r="36351" spans="25:25" x14ac:dyDescent="0.2">
      <c r="Y36351" s="97"/>
    </row>
    <row r="36352" spans="25:25" x14ac:dyDescent="0.2">
      <c r="Y36352" s="97"/>
    </row>
    <row r="36353" spans="25:25" x14ac:dyDescent="0.2">
      <c r="Y36353" s="97"/>
    </row>
    <row r="36354" spans="25:25" x14ac:dyDescent="0.2">
      <c r="Y36354" s="97"/>
    </row>
    <row r="36355" spans="25:25" x14ac:dyDescent="0.2">
      <c r="Y36355" s="97"/>
    </row>
    <row r="36356" spans="25:25" x14ac:dyDescent="0.2">
      <c r="Y36356" s="97"/>
    </row>
    <row r="36357" spans="25:25" x14ac:dyDescent="0.2">
      <c r="Y36357" s="97"/>
    </row>
    <row r="36358" spans="25:25" x14ac:dyDescent="0.2">
      <c r="Y36358" s="97"/>
    </row>
    <row r="36359" spans="25:25" x14ac:dyDescent="0.2">
      <c r="Y36359" s="97"/>
    </row>
    <row r="36360" spans="25:25" x14ac:dyDescent="0.2">
      <c r="Y36360" s="97"/>
    </row>
    <row r="36361" spans="25:25" x14ac:dyDescent="0.2">
      <c r="Y36361" s="97"/>
    </row>
    <row r="36362" spans="25:25" x14ac:dyDescent="0.2">
      <c r="Y36362" s="97"/>
    </row>
    <row r="36363" spans="25:25" x14ac:dyDescent="0.2">
      <c r="Y36363" s="97"/>
    </row>
    <row r="36364" spans="25:25" x14ac:dyDescent="0.2">
      <c r="Y36364" s="97"/>
    </row>
    <row r="36365" spans="25:25" x14ac:dyDescent="0.2">
      <c r="Y36365" s="97"/>
    </row>
    <row r="36366" spans="25:25" x14ac:dyDescent="0.2">
      <c r="Y36366" s="97"/>
    </row>
    <row r="36367" spans="25:25" x14ac:dyDescent="0.2">
      <c r="Y36367" s="97"/>
    </row>
    <row r="36368" spans="25:25" x14ac:dyDescent="0.2">
      <c r="Y36368" s="97"/>
    </row>
    <row r="36369" spans="25:25" x14ac:dyDescent="0.2">
      <c r="Y36369" s="97"/>
    </row>
    <row r="36370" spans="25:25" x14ac:dyDescent="0.2">
      <c r="Y36370" s="97"/>
    </row>
    <row r="36371" spans="25:25" x14ac:dyDescent="0.2">
      <c r="Y36371" s="97"/>
    </row>
    <row r="36372" spans="25:25" x14ac:dyDescent="0.2">
      <c r="Y36372" s="97"/>
    </row>
    <row r="36373" spans="25:25" x14ac:dyDescent="0.2">
      <c r="Y36373" s="97"/>
    </row>
    <row r="36374" spans="25:25" x14ac:dyDescent="0.2">
      <c r="Y36374" s="97"/>
    </row>
    <row r="36375" spans="25:25" x14ac:dyDescent="0.2">
      <c r="Y36375" s="97"/>
    </row>
    <row r="36376" spans="25:25" x14ac:dyDescent="0.2">
      <c r="Y36376" s="97"/>
    </row>
    <row r="36377" spans="25:25" x14ac:dyDescent="0.2">
      <c r="Y36377" s="97"/>
    </row>
    <row r="36378" spans="25:25" x14ac:dyDescent="0.2">
      <c r="Y36378" s="97"/>
    </row>
    <row r="36379" spans="25:25" x14ac:dyDescent="0.2">
      <c r="Y36379" s="97"/>
    </row>
    <row r="36380" spans="25:25" x14ac:dyDescent="0.2">
      <c r="Y36380" s="97"/>
    </row>
    <row r="36381" spans="25:25" x14ac:dyDescent="0.2">
      <c r="Y36381" s="97"/>
    </row>
    <row r="36382" spans="25:25" x14ac:dyDescent="0.2">
      <c r="Y36382" s="97"/>
    </row>
    <row r="36383" spans="25:25" x14ac:dyDescent="0.2">
      <c r="Y36383" s="97"/>
    </row>
    <row r="36384" spans="25:25" x14ac:dyDescent="0.2">
      <c r="Y36384" s="97"/>
    </row>
    <row r="36385" spans="25:25" x14ac:dyDescent="0.2">
      <c r="Y36385" s="97"/>
    </row>
    <row r="36386" spans="25:25" x14ac:dyDescent="0.2">
      <c r="Y36386" s="97"/>
    </row>
    <row r="36387" spans="25:25" x14ac:dyDescent="0.2">
      <c r="Y36387" s="97"/>
    </row>
    <row r="36388" spans="25:25" x14ac:dyDescent="0.2">
      <c r="Y36388" s="97"/>
    </row>
    <row r="36389" spans="25:25" x14ac:dyDescent="0.2">
      <c r="Y36389" s="97"/>
    </row>
    <row r="36390" spans="25:25" x14ac:dyDescent="0.2">
      <c r="Y36390" s="97"/>
    </row>
    <row r="36391" spans="25:25" x14ac:dyDescent="0.2">
      <c r="Y36391" s="97"/>
    </row>
    <row r="36392" spans="25:25" x14ac:dyDescent="0.2">
      <c r="Y36392" s="97"/>
    </row>
    <row r="36393" spans="25:25" x14ac:dyDescent="0.2">
      <c r="Y36393" s="97"/>
    </row>
    <row r="36394" spans="25:25" x14ac:dyDescent="0.2">
      <c r="Y36394" s="97"/>
    </row>
    <row r="36395" spans="25:25" x14ac:dyDescent="0.2">
      <c r="Y36395" s="97"/>
    </row>
    <row r="36396" spans="25:25" x14ac:dyDescent="0.2">
      <c r="Y36396" s="97"/>
    </row>
    <row r="36397" spans="25:25" x14ac:dyDescent="0.2">
      <c r="Y36397" s="97"/>
    </row>
    <row r="36398" spans="25:25" x14ac:dyDescent="0.2">
      <c r="Y36398" s="97"/>
    </row>
    <row r="36399" spans="25:25" x14ac:dyDescent="0.2">
      <c r="Y36399" s="97"/>
    </row>
    <row r="36400" spans="25:25" x14ac:dyDescent="0.2">
      <c r="Y36400" s="97"/>
    </row>
    <row r="36401" spans="25:25" x14ac:dyDescent="0.2">
      <c r="Y36401" s="97"/>
    </row>
    <row r="36402" spans="25:25" x14ac:dyDescent="0.2">
      <c r="Y36402" s="97"/>
    </row>
    <row r="36403" spans="25:25" x14ac:dyDescent="0.2">
      <c r="Y36403" s="97"/>
    </row>
    <row r="36404" spans="25:25" x14ac:dyDescent="0.2">
      <c r="Y36404" s="97"/>
    </row>
    <row r="36405" spans="25:25" x14ac:dyDescent="0.2">
      <c r="Y36405" s="97"/>
    </row>
    <row r="36406" spans="25:25" x14ac:dyDescent="0.2">
      <c r="Y36406" s="97"/>
    </row>
    <row r="36407" spans="25:25" x14ac:dyDescent="0.2">
      <c r="Y36407" s="97"/>
    </row>
    <row r="36408" spans="25:25" x14ac:dyDescent="0.2">
      <c r="Y36408" s="97"/>
    </row>
    <row r="36409" spans="25:25" x14ac:dyDescent="0.2">
      <c r="Y36409" s="97"/>
    </row>
    <row r="36410" spans="25:25" x14ac:dyDescent="0.2">
      <c r="Y36410" s="97"/>
    </row>
    <row r="36411" spans="25:25" x14ac:dyDescent="0.2">
      <c r="Y36411" s="97"/>
    </row>
    <row r="36412" spans="25:25" x14ac:dyDescent="0.2">
      <c r="Y36412" s="97"/>
    </row>
    <row r="36413" spans="25:25" x14ac:dyDescent="0.2">
      <c r="Y36413" s="97"/>
    </row>
    <row r="36414" spans="25:25" x14ac:dyDescent="0.2">
      <c r="Y36414" s="97"/>
    </row>
    <row r="36415" spans="25:25" x14ac:dyDescent="0.2">
      <c r="Y36415" s="97"/>
    </row>
    <row r="36416" spans="25:25" x14ac:dyDescent="0.2">
      <c r="Y36416" s="97"/>
    </row>
    <row r="36417" spans="25:25" x14ac:dyDescent="0.2">
      <c r="Y36417" s="97"/>
    </row>
    <row r="36418" spans="25:25" x14ac:dyDescent="0.2">
      <c r="Y36418" s="97"/>
    </row>
    <row r="36419" spans="25:25" x14ac:dyDescent="0.2">
      <c r="Y36419" s="97"/>
    </row>
    <row r="36420" spans="25:25" x14ac:dyDescent="0.2">
      <c r="Y36420" s="97"/>
    </row>
    <row r="36421" spans="25:25" x14ac:dyDescent="0.2">
      <c r="Y36421" s="97"/>
    </row>
    <row r="36422" spans="25:25" x14ac:dyDescent="0.2">
      <c r="Y36422" s="97"/>
    </row>
    <row r="36423" spans="25:25" x14ac:dyDescent="0.2">
      <c r="Y36423" s="97"/>
    </row>
    <row r="36424" spans="25:25" x14ac:dyDescent="0.2">
      <c r="Y36424" s="97"/>
    </row>
    <row r="36425" spans="25:25" x14ac:dyDescent="0.2">
      <c r="Y36425" s="97"/>
    </row>
    <row r="36426" spans="25:25" x14ac:dyDescent="0.2">
      <c r="Y36426" s="97"/>
    </row>
    <row r="36427" spans="25:25" x14ac:dyDescent="0.2">
      <c r="Y36427" s="97"/>
    </row>
    <row r="36428" spans="25:25" x14ac:dyDescent="0.2">
      <c r="Y36428" s="97"/>
    </row>
    <row r="36429" spans="25:25" x14ac:dyDescent="0.2">
      <c r="Y36429" s="97"/>
    </row>
    <row r="36430" spans="25:25" x14ac:dyDescent="0.2">
      <c r="Y36430" s="97"/>
    </row>
    <row r="36431" spans="25:25" x14ac:dyDescent="0.2">
      <c r="Y36431" s="97"/>
    </row>
    <row r="36432" spans="25:25" x14ac:dyDescent="0.2">
      <c r="Y36432" s="97"/>
    </row>
    <row r="36433" spans="25:25" x14ac:dyDescent="0.2">
      <c r="Y36433" s="97"/>
    </row>
    <row r="36434" spans="25:25" x14ac:dyDescent="0.2">
      <c r="Y36434" s="97"/>
    </row>
    <row r="36435" spans="25:25" x14ac:dyDescent="0.2">
      <c r="Y36435" s="97"/>
    </row>
    <row r="36436" spans="25:25" x14ac:dyDescent="0.2">
      <c r="Y36436" s="97"/>
    </row>
    <row r="36437" spans="25:25" x14ac:dyDescent="0.2">
      <c r="Y36437" s="97"/>
    </row>
    <row r="36438" spans="25:25" x14ac:dyDescent="0.2">
      <c r="Y36438" s="97"/>
    </row>
    <row r="36439" spans="25:25" x14ac:dyDescent="0.2">
      <c r="Y36439" s="97"/>
    </row>
    <row r="36440" spans="25:25" x14ac:dyDescent="0.2">
      <c r="Y36440" s="97"/>
    </row>
    <row r="36441" spans="25:25" x14ac:dyDescent="0.2">
      <c r="Y36441" s="97"/>
    </row>
    <row r="36442" spans="25:25" x14ac:dyDescent="0.2">
      <c r="Y36442" s="97"/>
    </row>
    <row r="36443" spans="25:25" x14ac:dyDescent="0.2">
      <c r="Y36443" s="97"/>
    </row>
    <row r="36444" spans="25:25" x14ac:dyDescent="0.2">
      <c r="Y36444" s="97"/>
    </row>
    <row r="36445" spans="25:25" x14ac:dyDescent="0.2">
      <c r="Y36445" s="97"/>
    </row>
    <row r="36446" spans="25:25" x14ac:dyDescent="0.2">
      <c r="Y36446" s="97"/>
    </row>
    <row r="36447" spans="25:25" x14ac:dyDescent="0.2">
      <c r="Y36447" s="97"/>
    </row>
    <row r="36448" spans="25:25" x14ac:dyDescent="0.2">
      <c r="Y36448" s="97"/>
    </row>
    <row r="36449" spans="25:25" x14ac:dyDescent="0.2">
      <c r="Y36449" s="97"/>
    </row>
    <row r="36450" spans="25:25" x14ac:dyDescent="0.2">
      <c r="Y36450" s="97"/>
    </row>
    <row r="36451" spans="25:25" x14ac:dyDescent="0.2">
      <c r="Y36451" s="97"/>
    </row>
    <row r="36452" spans="25:25" x14ac:dyDescent="0.2">
      <c r="Y36452" s="97"/>
    </row>
    <row r="36453" spans="25:25" x14ac:dyDescent="0.2">
      <c r="Y36453" s="97"/>
    </row>
    <row r="36454" spans="25:25" x14ac:dyDescent="0.2">
      <c r="Y36454" s="97"/>
    </row>
    <row r="36455" spans="25:25" x14ac:dyDescent="0.2">
      <c r="Y36455" s="97"/>
    </row>
    <row r="36456" spans="25:25" x14ac:dyDescent="0.2">
      <c r="Y36456" s="97"/>
    </row>
    <row r="36457" spans="25:25" x14ac:dyDescent="0.2">
      <c r="Y36457" s="97"/>
    </row>
    <row r="36458" spans="25:25" x14ac:dyDescent="0.2">
      <c r="Y36458" s="97"/>
    </row>
    <row r="36459" spans="25:25" x14ac:dyDescent="0.2">
      <c r="Y36459" s="97"/>
    </row>
    <row r="36460" spans="25:25" x14ac:dyDescent="0.2">
      <c r="Y36460" s="97"/>
    </row>
    <row r="36461" spans="25:25" x14ac:dyDescent="0.2">
      <c r="Y36461" s="97"/>
    </row>
    <row r="36462" spans="25:25" x14ac:dyDescent="0.2">
      <c r="Y36462" s="97"/>
    </row>
    <row r="36463" spans="25:25" x14ac:dyDescent="0.2">
      <c r="Y36463" s="97"/>
    </row>
    <row r="36464" spans="25:25" x14ac:dyDescent="0.2">
      <c r="Y36464" s="97"/>
    </row>
    <row r="36465" spans="25:25" x14ac:dyDescent="0.2">
      <c r="Y36465" s="97"/>
    </row>
    <row r="36466" spans="25:25" x14ac:dyDescent="0.2">
      <c r="Y36466" s="97"/>
    </row>
    <row r="36467" spans="25:25" x14ac:dyDescent="0.2">
      <c r="Y36467" s="97"/>
    </row>
    <row r="36468" spans="25:25" x14ac:dyDescent="0.2">
      <c r="Y36468" s="97"/>
    </row>
    <row r="36469" spans="25:25" x14ac:dyDescent="0.2">
      <c r="Y36469" s="97"/>
    </row>
    <row r="36470" spans="25:25" x14ac:dyDescent="0.2">
      <c r="Y36470" s="97"/>
    </row>
    <row r="36471" spans="25:25" x14ac:dyDescent="0.2">
      <c r="Y36471" s="97"/>
    </row>
    <row r="36472" spans="25:25" x14ac:dyDescent="0.2">
      <c r="Y36472" s="97"/>
    </row>
    <row r="36473" spans="25:25" x14ac:dyDescent="0.2">
      <c r="Y36473" s="97"/>
    </row>
    <row r="36474" spans="25:25" x14ac:dyDescent="0.2">
      <c r="Y36474" s="97"/>
    </row>
    <row r="36475" spans="25:25" x14ac:dyDescent="0.2">
      <c r="Y36475" s="97"/>
    </row>
    <row r="36476" spans="25:25" x14ac:dyDescent="0.2">
      <c r="Y36476" s="97"/>
    </row>
    <row r="36477" spans="25:25" x14ac:dyDescent="0.2">
      <c r="Y36477" s="97"/>
    </row>
    <row r="36478" spans="25:25" x14ac:dyDescent="0.2">
      <c r="Y36478" s="97"/>
    </row>
    <row r="36479" spans="25:25" x14ac:dyDescent="0.2">
      <c r="Y36479" s="97"/>
    </row>
    <row r="36480" spans="25:25" x14ac:dyDescent="0.2">
      <c r="Y36480" s="97"/>
    </row>
    <row r="36481" spans="25:25" x14ac:dyDescent="0.2">
      <c r="Y36481" s="97"/>
    </row>
    <row r="36482" spans="25:25" x14ac:dyDescent="0.2">
      <c r="Y36482" s="97"/>
    </row>
    <row r="36483" spans="25:25" x14ac:dyDescent="0.2">
      <c r="Y36483" s="97"/>
    </row>
    <row r="36484" spans="25:25" x14ac:dyDescent="0.2">
      <c r="Y36484" s="97"/>
    </row>
    <row r="36485" spans="25:25" x14ac:dyDescent="0.2">
      <c r="Y36485" s="97"/>
    </row>
    <row r="36486" spans="25:25" x14ac:dyDescent="0.2">
      <c r="Y36486" s="97"/>
    </row>
    <row r="36487" spans="25:25" x14ac:dyDescent="0.2">
      <c r="Y36487" s="97"/>
    </row>
    <row r="36488" spans="25:25" x14ac:dyDescent="0.2">
      <c r="Y36488" s="97"/>
    </row>
    <row r="36489" spans="25:25" x14ac:dyDescent="0.2">
      <c r="Y36489" s="97"/>
    </row>
    <row r="36490" spans="25:25" x14ac:dyDescent="0.2">
      <c r="Y36490" s="97"/>
    </row>
    <row r="36491" spans="25:25" x14ac:dyDescent="0.2">
      <c r="Y36491" s="97"/>
    </row>
    <row r="36492" spans="25:25" x14ac:dyDescent="0.2">
      <c r="Y36492" s="97"/>
    </row>
    <row r="36493" spans="25:25" x14ac:dyDescent="0.2">
      <c r="Y36493" s="97"/>
    </row>
    <row r="36494" spans="25:25" x14ac:dyDescent="0.2">
      <c r="Y36494" s="97"/>
    </row>
    <row r="36495" spans="25:25" x14ac:dyDescent="0.2">
      <c r="Y36495" s="97"/>
    </row>
    <row r="36496" spans="25:25" x14ac:dyDescent="0.2">
      <c r="Y36496" s="97"/>
    </row>
    <row r="36497" spans="25:25" x14ac:dyDescent="0.2">
      <c r="Y36497" s="97"/>
    </row>
    <row r="36498" spans="25:25" x14ac:dyDescent="0.2">
      <c r="Y36498" s="97"/>
    </row>
    <row r="36499" spans="25:25" x14ac:dyDescent="0.2">
      <c r="Y36499" s="97"/>
    </row>
    <row r="36500" spans="25:25" x14ac:dyDescent="0.2">
      <c r="Y36500" s="97"/>
    </row>
    <row r="36501" spans="25:25" x14ac:dyDescent="0.2">
      <c r="Y36501" s="97"/>
    </row>
    <row r="36502" spans="25:25" x14ac:dyDescent="0.2">
      <c r="Y36502" s="97"/>
    </row>
    <row r="36503" spans="25:25" x14ac:dyDescent="0.2">
      <c r="Y36503" s="97"/>
    </row>
    <row r="36504" spans="25:25" x14ac:dyDescent="0.2">
      <c r="Y36504" s="97"/>
    </row>
    <row r="36505" spans="25:25" x14ac:dyDescent="0.2">
      <c r="Y36505" s="97"/>
    </row>
    <row r="36506" spans="25:25" x14ac:dyDescent="0.2">
      <c r="Y36506" s="97"/>
    </row>
    <row r="36507" spans="25:25" x14ac:dyDescent="0.2">
      <c r="Y36507" s="97"/>
    </row>
    <row r="36508" spans="25:25" x14ac:dyDescent="0.2">
      <c r="Y36508" s="97"/>
    </row>
    <row r="36509" spans="25:25" x14ac:dyDescent="0.2">
      <c r="Y36509" s="97"/>
    </row>
    <row r="36510" spans="25:25" x14ac:dyDescent="0.2">
      <c r="Y36510" s="97"/>
    </row>
    <row r="36511" spans="25:25" x14ac:dyDescent="0.2">
      <c r="Y36511" s="97"/>
    </row>
    <row r="36512" spans="25:25" x14ac:dyDescent="0.2">
      <c r="Y36512" s="97"/>
    </row>
    <row r="36513" spans="25:25" x14ac:dyDescent="0.2">
      <c r="Y36513" s="97"/>
    </row>
    <row r="36514" spans="25:25" x14ac:dyDescent="0.2">
      <c r="Y36514" s="97"/>
    </row>
    <row r="36515" spans="25:25" x14ac:dyDescent="0.2">
      <c r="Y36515" s="97"/>
    </row>
    <row r="36516" spans="25:25" x14ac:dyDescent="0.2">
      <c r="Y36516" s="97"/>
    </row>
    <row r="36517" spans="25:25" x14ac:dyDescent="0.2">
      <c r="Y36517" s="97"/>
    </row>
    <row r="36518" spans="25:25" x14ac:dyDescent="0.2">
      <c r="Y36518" s="97"/>
    </row>
    <row r="36519" spans="25:25" x14ac:dyDescent="0.2">
      <c r="Y36519" s="97"/>
    </row>
    <row r="36520" spans="25:25" x14ac:dyDescent="0.2">
      <c r="Y36520" s="97"/>
    </row>
    <row r="36521" spans="25:25" x14ac:dyDescent="0.2">
      <c r="Y36521" s="97"/>
    </row>
    <row r="36522" spans="25:25" x14ac:dyDescent="0.2">
      <c r="Y36522" s="97"/>
    </row>
    <row r="36523" spans="25:25" x14ac:dyDescent="0.2">
      <c r="Y36523" s="97"/>
    </row>
    <row r="36524" spans="25:25" x14ac:dyDescent="0.2">
      <c r="Y36524" s="97"/>
    </row>
    <row r="36525" spans="25:25" x14ac:dyDescent="0.2">
      <c r="Y36525" s="97"/>
    </row>
    <row r="36526" spans="25:25" x14ac:dyDescent="0.2">
      <c r="Y36526" s="97"/>
    </row>
    <row r="36527" spans="25:25" x14ac:dyDescent="0.2">
      <c r="Y36527" s="97"/>
    </row>
    <row r="36528" spans="25:25" x14ac:dyDescent="0.2">
      <c r="Y36528" s="97"/>
    </row>
    <row r="36529" spans="25:25" x14ac:dyDescent="0.2">
      <c r="Y36529" s="97"/>
    </row>
    <row r="36530" spans="25:25" x14ac:dyDescent="0.2">
      <c r="Y36530" s="97"/>
    </row>
    <row r="36531" spans="25:25" x14ac:dyDescent="0.2">
      <c r="Y36531" s="97"/>
    </row>
    <row r="36532" spans="25:25" x14ac:dyDescent="0.2">
      <c r="Y36532" s="97"/>
    </row>
    <row r="36533" spans="25:25" x14ac:dyDescent="0.2">
      <c r="Y36533" s="97"/>
    </row>
    <row r="36534" spans="25:25" x14ac:dyDescent="0.2">
      <c r="Y36534" s="97"/>
    </row>
    <row r="36535" spans="25:25" x14ac:dyDescent="0.2">
      <c r="Y36535" s="97"/>
    </row>
    <row r="36536" spans="25:25" x14ac:dyDescent="0.2">
      <c r="Y36536" s="97"/>
    </row>
    <row r="36537" spans="25:25" x14ac:dyDescent="0.2">
      <c r="Y36537" s="97"/>
    </row>
    <row r="36538" spans="25:25" x14ac:dyDescent="0.2">
      <c r="Y36538" s="97"/>
    </row>
    <row r="36539" spans="25:25" x14ac:dyDescent="0.2">
      <c r="Y36539" s="97"/>
    </row>
    <row r="36540" spans="25:25" x14ac:dyDescent="0.2">
      <c r="Y36540" s="97"/>
    </row>
    <row r="36541" spans="25:25" x14ac:dyDescent="0.2">
      <c r="Y36541" s="97"/>
    </row>
    <row r="36542" spans="25:25" x14ac:dyDescent="0.2">
      <c r="Y36542" s="97"/>
    </row>
    <row r="36543" spans="25:25" x14ac:dyDescent="0.2">
      <c r="Y36543" s="97"/>
    </row>
    <row r="36544" spans="25:25" x14ac:dyDescent="0.2">
      <c r="Y36544" s="97"/>
    </row>
    <row r="36545" spans="25:25" x14ac:dyDescent="0.2">
      <c r="Y36545" s="97"/>
    </row>
    <row r="36546" spans="25:25" x14ac:dyDescent="0.2">
      <c r="Y36546" s="97"/>
    </row>
    <row r="36547" spans="25:25" x14ac:dyDescent="0.2">
      <c r="Y36547" s="97"/>
    </row>
    <row r="36548" spans="25:25" x14ac:dyDescent="0.2">
      <c r="Y36548" s="97"/>
    </row>
    <row r="36549" spans="25:25" x14ac:dyDescent="0.2">
      <c r="Y36549" s="97"/>
    </row>
    <row r="36550" spans="25:25" x14ac:dyDescent="0.2">
      <c r="Y36550" s="97"/>
    </row>
    <row r="36551" spans="25:25" x14ac:dyDescent="0.2">
      <c r="Y36551" s="97"/>
    </row>
    <row r="36552" spans="25:25" x14ac:dyDescent="0.2">
      <c r="Y36552" s="97"/>
    </row>
    <row r="36553" spans="25:25" x14ac:dyDescent="0.2">
      <c r="Y36553" s="97"/>
    </row>
    <row r="36554" spans="25:25" x14ac:dyDescent="0.2">
      <c r="Y36554" s="97"/>
    </row>
    <row r="36555" spans="25:25" x14ac:dyDescent="0.2">
      <c r="Y36555" s="97"/>
    </row>
    <row r="36556" spans="25:25" x14ac:dyDescent="0.2">
      <c r="Y36556" s="97"/>
    </row>
    <row r="36557" spans="25:25" x14ac:dyDescent="0.2">
      <c r="Y36557" s="97"/>
    </row>
    <row r="36558" spans="25:25" x14ac:dyDescent="0.2">
      <c r="Y36558" s="97"/>
    </row>
    <row r="36559" spans="25:25" x14ac:dyDescent="0.2">
      <c r="Y36559" s="97"/>
    </row>
    <row r="36560" spans="25:25" x14ac:dyDescent="0.2">
      <c r="Y36560" s="97"/>
    </row>
    <row r="36561" spans="25:25" x14ac:dyDescent="0.2">
      <c r="Y36561" s="97"/>
    </row>
    <row r="36562" spans="25:25" x14ac:dyDescent="0.2">
      <c r="Y36562" s="97"/>
    </row>
    <row r="36563" spans="25:25" x14ac:dyDescent="0.2">
      <c r="Y36563" s="97"/>
    </row>
    <row r="36564" spans="25:25" x14ac:dyDescent="0.2">
      <c r="Y36564" s="97"/>
    </row>
    <row r="36565" spans="25:25" x14ac:dyDescent="0.2">
      <c r="Y36565" s="97"/>
    </row>
    <row r="36566" spans="25:25" x14ac:dyDescent="0.2">
      <c r="Y36566" s="97"/>
    </row>
    <row r="36567" spans="25:25" x14ac:dyDescent="0.2">
      <c r="Y36567" s="97"/>
    </row>
    <row r="36568" spans="25:25" x14ac:dyDescent="0.2">
      <c r="Y36568" s="97"/>
    </row>
    <row r="36569" spans="25:25" x14ac:dyDescent="0.2">
      <c r="Y36569" s="97"/>
    </row>
    <row r="36570" spans="25:25" x14ac:dyDescent="0.2">
      <c r="Y36570" s="97"/>
    </row>
    <row r="36571" spans="25:25" x14ac:dyDescent="0.2">
      <c r="Y36571" s="97"/>
    </row>
    <row r="36572" spans="25:25" x14ac:dyDescent="0.2">
      <c r="Y36572" s="97"/>
    </row>
    <row r="36573" spans="25:25" x14ac:dyDescent="0.2">
      <c r="Y36573" s="97"/>
    </row>
    <row r="36574" spans="25:25" x14ac:dyDescent="0.2">
      <c r="Y36574" s="97"/>
    </row>
    <row r="36575" spans="25:25" x14ac:dyDescent="0.2">
      <c r="Y36575" s="97"/>
    </row>
    <row r="36576" spans="25:25" x14ac:dyDescent="0.2">
      <c r="Y36576" s="97"/>
    </row>
    <row r="36577" spans="25:25" x14ac:dyDescent="0.2">
      <c r="Y36577" s="97"/>
    </row>
    <row r="36578" spans="25:25" x14ac:dyDescent="0.2">
      <c r="Y36578" s="97"/>
    </row>
    <row r="36579" spans="25:25" x14ac:dyDescent="0.2">
      <c r="Y36579" s="97"/>
    </row>
    <row r="36580" spans="25:25" x14ac:dyDescent="0.2">
      <c r="Y36580" s="97"/>
    </row>
    <row r="36581" spans="25:25" x14ac:dyDescent="0.2">
      <c r="Y36581" s="97"/>
    </row>
    <row r="36582" spans="25:25" x14ac:dyDescent="0.2">
      <c r="Y36582" s="97"/>
    </row>
    <row r="36583" spans="25:25" x14ac:dyDescent="0.2">
      <c r="Y36583" s="97"/>
    </row>
    <row r="36584" spans="25:25" x14ac:dyDescent="0.2">
      <c r="Y36584" s="97"/>
    </row>
    <row r="36585" spans="25:25" x14ac:dyDescent="0.2">
      <c r="Y36585" s="97"/>
    </row>
    <row r="36586" spans="25:25" x14ac:dyDescent="0.2">
      <c r="Y36586" s="97"/>
    </row>
    <row r="36587" spans="25:25" x14ac:dyDescent="0.2">
      <c r="Y36587" s="97"/>
    </row>
    <row r="36588" spans="25:25" x14ac:dyDescent="0.2">
      <c r="Y36588" s="97"/>
    </row>
    <row r="36589" spans="25:25" x14ac:dyDescent="0.2">
      <c r="Y36589" s="97"/>
    </row>
    <row r="36590" spans="25:25" x14ac:dyDescent="0.2">
      <c r="Y36590" s="97"/>
    </row>
    <row r="36591" spans="25:25" x14ac:dyDescent="0.2">
      <c r="Y36591" s="97"/>
    </row>
    <row r="36592" spans="25:25" x14ac:dyDescent="0.2">
      <c r="Y36592" s="97"/>
    </row>
    <row r="36593" spans="25:25" x14ac:dyDescent="0.2">
      <c r="Y36593" s="97"/>
    </row>
    <row r="36594" spans="25:25" x14ac:dyDescent="0.2">
      <c r="Y36594" s="97"/>
    </row>
    <row r="36595" spans="25:25" x14ac:dyDescent="0.2">
      <c r="Y36595" s="97"/>
    </row>
    <row r="36596" spans="25:25" x14ac:dyDescent="0.2">
      <c r="Y36596" s="97"/>
    </row>
    <row r="36597" spans="25:25" x14ac:dyDescent="0.2">
      <c r="Y36597" s="97"/>
    </row>
    <row r="36598" spans="25:25" x14ac:dyDescent="0.2">
      <c r="Y36598" s="97"/>
    </row>
    <row r="36599" spans="25:25" x14ac:dyDescent="0.2">
      <c r="Y36599" s="97"/>
    </row>
    <row r="36600" spans="25:25" x14ac:dyDescent="0.2">
      <c r="Y36600" s="97"/>
    </row>
    <row r="36601" spans="25:25" x14ac:dyDescent="0.2">
      <c r="Y36601" s="97"/>
    </row>
    <row r="36602" spans="25:25" x14ac:dyDescent="0.2">
      <c r="Y36602" s="97"/>
    </row>
    <row r="36603" spans="25:25" x14ac:dyDescent="0.2">
      <c r="Y36603" s="97"/>
    </row>
    <row r="36604" spans="25:25" x14ac:dyDescent="0.2">
      <c r="Y36604" s="97"/>
    </row>
    <row r="36605" spans="25:25" x14ac:dyDescent="0.2">
      <c r="Y36605" s="97"/>
    </row>
    <row r="36606" spans="25:25" x14ac:dyDescent="0.2">
      <c r="Y36606" s="97"/>
    </row>
    <row r="36607" spans="25:25" x14ac:dyDescent="0.2">
      <c r="Y36607" s="97"/>
    </row>
    <row r="36608" spans="25:25" x14ac:dyDescent="0.2">
      <c r="Y36608" s="97"/>
    </row>
    <row r="36609" spans="25:25" x14ac:dyDescent="0.2">
      <c r="Y36609" s="97"/>
    </row>
    <row r="36610" spans="25:25" x14ac:dyDescent="0.2">
      <c r="Y36610" s="97"/>
    </row>
    <row r="36611" spans="25:25" x14ac:dyDescent="0.2">
      <c r="Y36611" s="97"/>
    </row>
    <row r="36612" spans="25:25" x14ac:dyDescent="0.2">
      <c r="Y36612" s="97"/>
    </row>
    <row r="36613" spans="25:25" x14ac:dyDescent="0.2">
      <c r="Y36613" s="97"/>
    </row>
    <row r="36614" spans="25:25" x14ac:dyDescent="0.2">
      <c r="Y36614" s="97"/>
    </row>
    <row r="36615" spans="25:25" x14ac:dyDescent="0.2">
      <c r="Y36615" s="97"/>
    </row>
    <row r="36616" spans="25:25" x14ac:dyDescent="0.2">
      <c r="Y36616" s="97"/>
    </row>
    <row r="36617" spans="25:25" x14ac:dyDescent="0.2">
      <c r="Y36617" s="97"/>
    </row>
    <row r="36618" spans="25:25" x14ac:dyDescent="0.2">
      <c r="Y36618" s="97"/>
    </row>
    <row r="36619" spans="25:25" x14ac:dyDescent="0.2">
      <c r="Y36619" s="97"/>
    </row>
    <row r="36620" spans="25:25" x14ac:dyDescent="0.2">
      <c r="Y36620" s="97"/>
    </row>
    <row r="36621" spans="25:25" x14ac:dyDescent="0.2">
      <c r="Y36621" s="97"/>
    </row>
    <row r="36622" spans="25:25" x14ac:dyDescent="0.2">
      <c r="Y36622" s="97"/>
    </row>
    <row r="36623" spans="25:25" x14ac:dyDescent="0.2">
      <c r="Y36623" s="97"/>
    </row>
    <row r="36624" spans="25:25" x14ac:dyDescent="0.2">
      <c r="Y36624" s="97"/>
    </row>
    <row r="36625" spans="25:25" x14ac:dyDescent="0.2">
      <c r="Y36625" s="97"/>
    </row>
    <row r="36626" spans="25:25" x14ac:dyDescent="0.2">
      <c r="Y36626" s="97"/>
    </row>
    <row r="36627" spans="25:25" x14ac:dyDescent="0.2">
      <c r="Y36627" s="97"/>
    </row>
    <row r="36628" spans="25:25" x14ac:dyDescent="0.2">
      <c r="Y36628" s="97"/>
    </row>
    <row r="36629" spans="25:25" x14ac:dyDescent="0.2">
      <c r="Y36629" s="97"/>
    </row>
    <row r="36630" spans="25:25" x14ac:dyDescent="0.2">
      <c r="Y36630" s="97"/>
    </row>
    <row r="36631" spans="25:25" x14ac:dyDescent="0.2">
      <c r="Y36631" s="97"/>
    </row>
    <row r="36632" spans="25:25" x14ac:dyDescent="0.2">
      <c r="Y36632" s="97"/>
    </row>
    <row r="36633" spans="25:25" x14ac:dyDescent="0.2">
      <c r="Y36633" s="97"/>
    </row>
    <row r="36634" spans="25:25" x14ac:dyDescent="0.2">
      <c r="Y36634" s="97"/>
    </row>
    <row r="36635" spans="25:25" x14ac:dyDescent="0.2">
      <c r="Y36635" s="97"/>
    </row>
    <row r="36636" spans="25:25" x14ac:dyDescent="0.2">
      <c r="Y36636" s="97"/>
    </row>
    <row r="36637" spans="25:25" x14ac:dyDescent="0.2">
      <c r="Y36637" s="97"/>
    </row>
    <row r="36638" spans="25:25" x14ac:dyDescent="0.2">
      <c r="Y36638" s="97"/>
    </row>
    <row r="36639" spans="25:25" x14ac:dyDescent="0.2">
      <c r="Y36639" s="97"/>
    </row>
    <row r="36640" spans="25:25" x14ac:dyDescent="0.2">
      <c r="Y36640" s="97"/>
    </row>
    <row r="36641" spans="25:25" x14ac:dyDescent="0.2">
      <c r="Y36641" s="97"/>
    </row>
    <row r="36642" spans="25:25" x14ac:dyDescent="0.2">
      <c r="Y36642" s="97"/>
    </row>
    <row r="36643" spans="25:25" x14ac:dyDescent="0.2">
      <c r="Y36643" s="97"/>
    </row>
    <row r="36644" spans="25:25" x14ac:dyDescent="0.2">
      <c r="Y36644" s="97"/>
    </row>
    <row r="36645" spans="25:25" x14ac:dyDescent="0.2">
      <c r="Y36645" s="97"/>
    </row>
    <row r="36646" spans="25:25" x14ac:dyDescent="0.2">
      <c r="Y36646" s="97"/>
    </row>
    <row r="36647" spans="25:25" x14ac:dyDescent="0.2">
      <c r="Y36647" s="97"/>
    </row>
    <row r="36648" spans="25:25" x14ac:dyDescent="0.2">
      <c r="Y36648" s="97"/>
    </row>
    <row r="36649" spans="25:25" x14ac:dyDescent="0.2">
      <c r="Y36649" s="97"/>
    </row>
    <row r="36650" spans="25:25" x14ac:dyDescent="0.2">
      <c r="Y36650" s="97"/>
    </row>
    <row r="36651" spans="25:25" x14ac:dyDescent="0.2">
      <c r="Y36651" s="97"/>
    </row>
    <row r="36652" spans="25:25" x14ac:dyDescent="0.2">
      <c r="Y36652" s="97"/>
    </row>
    <row r="36653" spans="25:25" x14ac:dyDescent="0.2">
      <c r="Y36653" s="97"/>
    </row>
    <row r="36654" spans="25:25" x14ac:dyDescent="0.2">
      <c r="Y36654" s="97"/>
    </row>
    <row r="36655" spans="25:25" x14ac:dyDescent="0.2">
      <c r="Y36655" s="97"/>
    </row>
    <row r="36656" spans="25:25" x14ac:dyDescent="0.2">
      <c r="Y36656" s="97"/>
    </row>
    <row r="36657" spans="25:25" x14ac:dyDescent="0.2">
      <c r="Y36657" s="97"/>
    </row>
    <row r="36658" spans="25:25" x14ac:dyDescent="0.2">
      <c r="Y36658" s="97"/>
    </row>
    <row r="36659" spans="25:25" x14ac:dyDescent="0.2">
      <c r="Y36659" s="97"/>
    </row>
    <row r="36660" spans="25:25" x14ac:dyDescent="0.2">
      <c r="Y36660" s="97"/>
    </row>
    <row r="36661" spans="25:25" x14ac:dyDescent="0.2">
      <c r="Y36661" s="97"/>
    </row>
    <row r="36662" spans="25:25" x14ac:dyDescent="0.2">
      <c r="Y36662" s="97"/>
    </row>
    <row r="36663" spans="25:25" x14ac:dyDescent="0.2">
      <c r="Y36663" s="97"/>
    </row>
    <row r="36664" spans="25:25" x14ac:dyDescent="0.2">
      <c r="Y36664" s="97"/>
    </row>
    <row r="36665" spans="25:25" x14ac:dyDescent="0.2">
      <c r="Y36665" s="97"/>
    </row>
    <row r="36666" spans="25:25" x14ac:dyDescent="0.2">
      <c r="Y36666" s="97"/>
    </row>
    <row r="36667" spans="25:25" x14ac:dyDescent="0.2">
      <c r="Y36667" s="97"/>
    </row>
    <row r="36668" spans="25:25" x14ac:dyDescent="0.2">
      <c r="Y36668" s="97"/>
    </row>
    <row r="36669" spans="25:25" x14ac:dyDescent="0.2">
      <c r="Y36669" s="97"/>
    </row>
    <row r="36670" spans="25:25" x14ac:dyDescent="0.2">
      <c r="Y36670" s="97"/>
    </row>
    <row r="36671" spans="25:25" x14ac:dyDescent="0.2">
      <c r="Y36671" s="97"/>
    </row>
    <row r="36672" spans="25:25" x14ac:dyDescent="0.2">
      <c r="Y36672" s="97"/>
    </row>
    <row r="36673" spans="25:25" x14ac:dyDescent="0.2">
      <c r="Y36673" s="97"/>
    </row>
    <row r="36674" spans="25:25" x14ac:dyDescent="0.2">
      <c r="Y36674" s="97"/>
    </row>
    <row r="36675" spans="25:25" x14ac:dyDescent="0.2">
      <c r="Y36675" s="97"/>
    </row>
    <row r="36676" spans="25:25" x14ac:dyDescent="0.2">
      <c r="Y36676" s="97"/>
    </row>
    <row r="36677" spans="25:25" x14ac:dyDescent="0.2">
      <c r="Y36677" s="97"/>
    </row>
    <row r="36678" spans="25:25" x14ac:dyDescent="0.2">
      <c r="Y36678" s="97"/>
    </row>
    <row r="36679" spans="25:25" x14ac:dyDescent="0.2">
      <c r="Y36679" s="97"/>
    </row>
    <row r="36680" spans="25:25" x14ac:dyDescent="0.2">
      <c r="Y36680" s="97"/>
    </row>
    <row r="36681" spans="25:25" x14ac:dyDescent="0.2">
      <c r="Y36681" s="97"/>
    </row>
    <row r="36682" spans="25:25" x14ac:dyDescent="0.2">
      <c r="Y36682" s="97"/>
    </row>
    <row r="36683" spans="25:25" x14ac:dyDescent="0.2">
      <c r="Y36683" s="97"/>
    </row>
    <row r="36684" spans="25:25" x14ac:dyDescent="0.2">
      <c r="Y36684" s="97"/>
    </row>
    <row r="36685" spans="25:25" x14ac:dyDescent="0.2">
      <c r="Y36685" s="97"/>
    </row>
    <row r="36686" spans="25:25" x14ac:dyDescent="0.2">
      <c r="Y36686" s="97"/>
    </row>
    <row r="36687" spans="25:25" x14ac:dyDescent="0.2">
      <c r="Y36687" s="97"/>
    </row>
    <row r="36688" spans="25:25" x14ac:dyDescent="0.2">
      <c r="Y36688" s="97"/>
    </row>
    <row r="36689" spans="25:25" x14ac:dyDescent="0.2">
      <c r="Y36689" s="97"/>
    </row>
    <row r="36690" spans="25:25" x14ac:dyDescent="0.2">
      <c r="Y36690" s="97"/>
    </row>
    <row r="36691" spans="25:25" x14ac:dyDescent="0.2">
      <c r="Y36691" s="97"/>
    </row>
    <row r="36692" spans="25:25" x14ac:dyDescent="0.2">
      <c r="Y36692" s="97"/>
    </row>
    <row r="36693" spans="25:25" x14ac:dyDescent="0.2">
      <c r="Y36693" s="97"/>
    </row>
    <row r="36694" spans="25:25" x14ac:dyDescent="0.2">
      <c r="Y36694" s="97"/>
    </row>
    <row r="36695" spans="25:25" x14ac:dyDescent="0.2">
      <c r="Y36695" s="97"/>
    </row>
    <row r="36696" spans="25:25" x14ac:dyDescent="0.2">
      <c r="Y36696" s="97"/>
    </row>
    <row r="36697" spans="25:25" x14ac:dyDescent="0.2">
      <c r="Y36697" s="97"/>
    </row>
    <row r="36698" spans="25:25" x14ac:dyDescent="0.2">
      <c r="Y36698" s="97"/>
    </row>
    <row r="36699" spans="25:25" x14ac:dyDescent="0.2">
      <c r="Y36699" s="97"/>
    </row>
    <row r="36700" spans="25:25" x14ac:dyDescent="0.2">
      <c r="Y36700" s="97"/>
    </row>
    <row r="36701" spans="25:25" x14ac:dyDescent="0.2">
      <c r="Y36701" s="97"/>
    </row>
    <row r="36702" spans="25:25" x14ac:dyDescent="0.2">
      <c r="Y36702" s="97"/>
    </row>
    <row r="36703" spans="25:25" x14ac:dyDescent="0.2">
      <c r="Y36703" s="97"/>
    </row>
    <row r="36704" spans="25:25" x14ac:dyDescent="0.2">
      <c r="Y36704" s="97"/>
    </row>
    <row r="36705" spans="25:25" x14ac:dyDescent="0.2">
      <c r="Y36705" s="97"/>
    </row>
    <row r="36706" spans="25:25" x14ac:dyDescent="0.2">
      <c r="Y36706" s="97"/>
    </row>
    <row r="36707" spans="25:25" x14ac:dyDescent="0.2">
      <c r="Y36707" s="97"/>
    </row>
    <row r="36708" spans="25:25" x14ac:dyDescent="0.2">
      <c r="Y36708" s="97"/>
    </row>
    <row r="36709" spans="25:25" x14ac:dyDescent="0.2">
      <c r="Y36709" s="97"/>
    </row>
    <row r="36710" spans="25:25" x14ac:dyDescent="0.2">
      <c r="Y36710" s="97"/>
    </row>
    <row r="36711" spans="25:25" x14ac:dyDescent="0.2">
      <c r="Y36711" s="97"/>
    </row>
    <row r="36712" spans="25:25" x14ac:dyDescent="0.2">
      <c r="Y36712" s="97"/>
    </row>
    <row r="36713" spans="25:25" x14ac:dyDescent="0.2">
      <c r="Y36713" s="97"/>
    </row>
    <row r="36714" spans="25:25" x14ac:dyDescent="0.2">
      <c r="Y36714" s="97"/>
    </row>
    <row r="36715" spans="25:25" x14ac:dyDescent="0.2">
      <c r="Y36715" s="97"/>
    </row>
    <row r="36716" spans="25:25" x14ac:dyDescent="0.2">
      <c r="Y36716" s="97"/>
    </row>
    <row r="36717" spans="25:25" x14ac:dyDescent="0.2">
      <c r="Y36717" s="97"/>
    </row>
    <row r="36718" spans="25:25" x14ac:dyDescent="0.2">
      <c r="Y36718" s="97"/>
    </row>
    <row r="36719" spans="25:25" x14ac:dyDescent="0.2">
      <c r="Y36719" s="97"/>
    </row>
    <row r="36720" spans="25:25" x14ac:dyDescent="0.2">
      <c r="Y36720" s="97"/>
    </row>
    <row r="36721" spans="25:25" x14ac:dyDescent="0.2">
      <c r="Y36721" s="97"/>
    </row>
    <row r="36722" spans="25:25" x14ac:dyDescent="0.2">
      <c r="Y36722" s="97"/>
    </row>
    <row r="36723" spans="25:25" x14ac:dyDescent="0.2">
      <c r="Y36723" s="97"/>
    </row>
    <row r="36724" spans="25:25" x14ac:dyDescent="0.2">
      <c r="Y36724" s="97"/>
    </row>
    <row r="36725" spans="25:25" x14ac:dyDescent="0.2">
      <c r="Y36725" s="97"/>
    </row>
    <row r="36726" spans="25:25" x14ac:dyDescent="0.2">
      <c r="Y36726" s="97"/>
    </row>
    <row r="36727" spans="25:25" x14ac:dyDescent="0.2">
      <c r="Y36727" s="97"/>
    </row>
    <row r="36728" spans="25:25" x14ac:dyDescent="0.2">
      <c r="Y36728" s="97"/>
    </row>
    <row r="36729" spans="25:25" x14ac:dyDescent="0.2">
      <c r="Y36729" s="97"/>
    </row>
    <row r="36730" spans="25:25" x14ac:dyDescent="0.2">
      <c r="Y36730" s="97"/>
    </row>
    <row r="36731" spans="25:25" x14ac:dyDescent="0.2">
      <c r="Y36731" s="97"/>
    </row>
    <row r="36732" spans="25:25" x14ac:dyDescent="0.2">
      <c r="Y36732" s="97"/>
    </row>
    <row r="36733" spans="25:25" x14ac:dyDescent="0.2">
      <c r="Y36733" s="97"/>
    </row>
    <row r="36734" spans="25:25" x14ac:dyDescent="0.2">
      <c r="Y36734" s="97"/>
    </row>
    <row r="36735" spans="25:25" x14ac:dyDescent="0.2">
      <c r="Y36735" s="97"/>
    </row>
    <row r="36736" spans="25:25" x14ac:dyDescent="0.2">
      <c r="Y36736" s="97"/>
    </row>
    <row r="36737" spans="25:25" x14ac:dyDescent="0.2">
      <c r="Y36737" s="97"/>
    </row>
    <row r="36738" spans="25:25" x14ac:dyDescent="0.2">
      <c r="Y36738" s="97"/>
    </row>
    <row r="36739" spans="25:25" x14ac:dyDescent="0.2">
      <c r="Y36739" s="97"/>
    </row>
    <row r="36740" spans="25:25" x14ac:dyDescent="0.2">
      <c r="Y36740" s="97"/>
    </row>
    <row r="36741" spans="25:25" x14ac:dyDescent="0.2">
      <c r="Y36741" s="97"/>
    </row>
    <row r="36742" spans="25:25" x14ac:dyDescent="0.2">
      <c r="Y36742" s="97"/>
    </row>
    <row r="36743" spans="25:25" x14ac:dyDescent="0.2">
      <c r="Y36743" s="97"/>
    </row>
    <row r="36744" spans="25:25" x14ac:dyDescent="0.2">
      <c r="Y36744" s="97"/>
    </row>
    <row r="36745" spans="25:25" x14ac:dyDescent="0.2">
      <c r="Y36745" s="97"/>
    </row>
    <row r="36746" spans="25:25" x14ac:dyDescent="0.2">
      <c r="Y36746" s="97"/>
    </row>
    <row r="36747" spans="25:25" x14ac:dyDescent="0.2">
      <c r="Y36747" s="97"/>
    </row>
    <row r="36748" spans="25:25" x14ac:dyDescent="0.2">
      <c r="Y36748" s="97"/>
    </row>
    <row r="36749" spans="25:25" x14ac:dyDescent="0.2">
      <c r="Y36749" s="97"/>
    </row>
    <row r="36750" spans="25:25" x14ac:dyDescent="0.2">
      <c r="Y36750" s="97"/>
    </row>
    <row r="36751" spans="25:25" x14ac:dyDescent="0.2">
      <c r="Y36751" s="97"/>
    </row>
    <row r="36752" spans="25:25" x14ac:dyDescent="0.2">
      <c r="Y36752" s="97"/>
    </row>
    <row r="36753" spans="25:25" x14ac:dyDescent="0.2">
      <c r="Y36753" s="97"/>
    </row>
    <row r="36754" spans="25:25" x14ac:dyDescent="0.2">
      <c r="Y36754" s="97"/>
    </row>
    <row r="36755" spans="25:25" x14ac:dyDescent="0.2">
      <c r="Y36755" s="97"/>
    </row>
    <row r="36756" spans="25:25" x14ac:dyDescent="0.2">
      <c r="Y36756" s="97"/>
    </row>
    <row r="36757" spans="25:25" x14ac:dyDescent="0.2">
      <c r="Y36757" s="97"/>
    </row>
    <row r="36758" spans="25:25" x14ac:dyDescent="0.2">
      <c r="Y36758" s="97"/>
    </row>
    <row r="36759" spans="25:25" x14ac:dyDescent="0.2">
      <c r="Y36759" s="97"/>
    </row>
    <row r="36760" spans="25:25" x14ac:dyDescent="0.2">
      <c r="Y36760" s="97"/>
    </row>
    <row r="36761" spans="25:25" x14ac:dyDescent="0.2">
      <c r="Y36761" s="97"/>
    </row>
    <row r="36762" spans="25:25" x14ac:dyDescent="0.2">
      <c r="Y36762" s="97"/>
    </row>
    <row r="36763" spans="25:25" x14ac:dyDescent="0.2">
      <c r="Y36763" s="97"/>
    </row>
    <row r="36764" spans="25:25" x14ac:dyDescent="0.2">
      <c r="Y36764" s="97"/>
    </row>
    <row r="36765" spans="25:25" x14ac:dyDescent="0.2">
      <c r="Y36765" s="97"/>
    </row>
    <row r="36766" spans="25:25" x14ac:dyDescent="0.2">
      <c r="Y36766" s="97"/>
    </row>
    <row r="36767" spans="25:25" x14ac:dyDescent="0.2">
      <c r="Y36767" s="97"/>
    </row>
    <row r="36768" spans="25:25" x14ac:dyDescent="0.2">
      <c r="Y36768" s="97"/>
    </row>
    <row r="36769" spans="25:25" x14ac:dyDescent="0.2">
      <c r="Y36769" s="97"/>
    </row>
    <row r="36770" spans="25:25" x14ac:dyDescent="0.2">
      <c r="Y36770" s="97"/>
    </row>
    <row r="36771" spans="25:25" x14ac:dyDescent="0.2">
      <c r="Y36771" s="97"/>
    </row>
    <row r="36772" spans="25:25" x14ac:dyDescent="0.2">
      <c r="Y36772" s="97"/>
    </row>
    <row r="36773" spans="25:25" x14ac:dyDescent="0.2">
      <c r="Y36773" s="97"/>
    </row>
    <row r="36774" spans="25:25" x14ac:dyDescent="0.2">
      <c r="Y36774" s="97"/>
    </row>
    <row r="36775" spans="25:25" x14ac:dyDescent="0.2">
      <c r="Y36775" s="97"/>
    </row>
    <row r="36776" spans="25:25" x14ac:dyDescent="0.2">
      <c r="Y36776" s="97"/>
    </row>
    <row r="36777" spans="25:25" x14ac:dyDescent="0.2">
      <c r="Y36777" s="97"/>
    </row>
    <row r="36778" spans="25:25" x14ac:dyDescent="0.2">
      <c r="Y36778" s="97"/>
    </row>
    <row r="36779" spans="25:25" x14ac:dyDescent="0.2">
      <c r="Y36779" s="97"/>
    </row>
    <row r="36780" spans="25:25" x14ac:dyDescent="0.2">
      <c r="Y36780" s="97"/>
    </row>
    <row r="36781" spans="25:25" x14ac:dyDescent="0.2">
      <c r="Y36781" s="97"/>
    </row>
    <row r="36782" spans="25:25" x14ac:dyDescent="0.2">
      <c r="Y36782" s="97"/>
    </row>
    <row r="36783" spans="25:25" x14ac:dyDescent="0.2">
      <c r="Y36783" s="97"/>
    </row>
    <row r="36784" spans="25:25" x14ac:dyDescent="0.2">
      <c r="Y36784" s="97"/>
    </row>
    <row r="36785" spans="25:25" x14ac:dyDescent="0.2">
      <c r="Y36785" s="97"/>
    </row>
    <row r="36786" spans="25:25" x14ac:dyDescent="0.2">
      <c r="Y36786" s="97"/>
    </row>
    <row r="36787" spans="25:25" x14ac:dyDescent="0.2">
      <c r="Y36787" s="97"/>
    </row>
    <row r="36788" spans="25:25" x14ac:dyDescent="0.2">
      <c r="Y36788" s="97"/>
    </row>
    <row r="36789" spans="25:25" x14ac:dyDescent="0.2">
      <c r="Y36789" s="97"/>
    </row>
    <row r="36790" spans="25:25" x14ac:dyDescent="0.2">
      <c r="Y36790" s="97"/>
    </row>
    <row r="36791" spans="25:25" x14ac:dyDescent="0.2">
      <c r="Y36791" s="97"/>
    </row>
    <row r="36792" spans="25:25" x14ac:dyDescent="0.2">
      <c r="Y36792" s="97"/>
    </row>
    <row r="36793" spans="25:25" x14ac:dyDescent="0.2">
      <c r="Y36793" s="97"/>
    </row>
    <row r="36794" spans="25:25" x14ac:dyDescent="0.2">
      <c r="Y36794" s="97"/>
    </row>
    <row r="36795" spans="25:25" x14ac:dyDescent="0.2">
      <c r="Y36795" s="97"/>
    </row>
    <row r="36796" spans="25:25" x14ac:dyDescent="0.2">
      <c r="Y36796" s="97"/>
    </row>
    <row r="36797" spans="25:25" x14ac:dyDescent="0.2">
      <c r="Y36797" s="97"/>
    </row>
    <row r="36798" spans="25:25" x14ac:dyDescent="0.2">
      <c r="Y36798" s="97"/>
    </row>
    <row r="36799" spans="25:25" x14ac:dyDescent="0.2">
      <c r="Y36799" s="97"/>
    </row>
    <row r="36800" spans="25:25" x14ac:dyDescent="0.2">
      <c r="Y36800" s="97"/>
    </row>
    <row r="36801" spans="25:25" x14ac:dyDescent="0.2">
      <c r="Y36801" s="97"/>
    </row>
    <row r="36802" spans="25:25" x14ac:dyDescent="0.2">
      <c r="Y36802" s="97"/>
    </row>
    <row r="36803" spans="25:25" x14ac:dyDescent="0.2">
      <c r="Y36803" s="97"/>
    </row>
    <row r="36804" spans="25:25" x14ac:dyDescent="0.2">
      <c r="Y36804" s="97"/>
    </row>
    <row r="36805" spans="25:25" x14ac:dyDescent="0.2">
      <c r="Y36805" s="97"/>
    </row>
    <row r="36806" spans="25:25" x14ac:dyDescent="0.2">
      <c r="Y36806" s="97"/>
    </row>
    <row r="36807" spans="25:25" x14ac:dyDescent="0.2">
      <c r="Y36807" s="97"/>
    </row>
    <row r="36808" spans="25:25" x14ac:dyDescent="0.2">
      <c r="Y36808" s="97"/>
    </row>
    <row r="36809" spans="25:25" x14ac:dyDescent="0.2">
      <c r="Y36809" s="97"/>
    </row>
    <row r="36810" spans="25:25" x14ac:dyDescent="0.2">
      <c r="Y36810" s="97"/>
    </row>
    <row r="36811" spans="25:25" x14ac:dyDescent="0.2">
      <c r="Y36811" s="97"/>
    </row>
    <row r="36812" spans="25:25" x14ac:dyDescent="0.2">
      <c r="Y36812" s="97"/>
    </row>
    <row r="36813" spans="25:25" x14ac:dyDescent="0.2">
      <c r="Y36813" s="97"/>
    </row>
    <row r="36814" spans="25:25" x14ac:dyDescent="0.2">
      <c r="Y36814" s="97"/>
    </row>
    <row r="36815" spans="25:25" x14ac:dyDescent="0.2">
      <c r="Y36815" s="97"/>
    </row>
    <row r="36816" spans="25:25" x14ac:dyDescent="0.2">
      <c r="Y36816" s="97"/>
    </row>
    <row r="36817" spans="25:25" x14ac:dyDescent="0.2">
      <c r="Y36817" s="97"/>
    </row>
    <row r="36818" spans="25:25" x14ac:dyDescent="0.2">
      <c r="Y36818" s="97"/>
    </row>
    <row r="36819" spans="25:25" x14ac:dyDescent="0.2">
      <c r="Y36819" s="97"/>
    </row>
    <row r="36820" spans="25:25" x14ac:dyDescent="0.2">
      <c r="Y36820" s="97"/>
    </row>
    <row r="36821" spans="25:25" x14ac:dyDescent="0.2">
      <c r="Y36821" s="97"/>
    </row>
    <row r="36822" spans="25:25" x14ac:dyDescent="0.2">
      <c r="Y36822" s="97"/>
    </row>
    <row r="36823" spans="25:25" x14ac:dyDescent="0.2">
      <c r="Y36823" s="97"/>
    </row>
    <row r="36824" spans="25:25" x14ac:dyDescent="0.2">
      <c r="Y36824" s="97"/>
    </row>
    <row r="36825" spans="25:25" x14ac:dyDescent="0.2">
      <c r="Y36825" s="97"/>
    </row>
    <row r="36826" spans="25:25" x14ac:dyDescent="0.2">
      <c r="Y36826" s="97"/>
    </row>
    <row r="36827" spans="25:25" x14ac:dyDescent="0.2">
      <c r="Y36827" s="97"/>
    </row>
    <row r="36828" spans="25:25" x14ac:dyDescent="0.2">
      <c r="Y36828" s="97"/>
    </row>
    <row r="36829" spans="25:25" x14ac:dyDescent="0.2">
      <c r="Y36829" s="97"/>
    </row>
    <row r="36830" spans="25:25" x14ac:dyDescent="0.2">
      <c r="Y36830" s="97"/>
    </row>
    <row r="36831" spans="25:25" x14ac:dyDescent="0.2">
      <c r="Y36831" s="97"/>
    </row>
    <row r="36832" spans="25:25" x14ac:dyDescent="0.2">
      <c r="Y36832" s="97"/>
    </row>
    <row r="36833" spans="25:25" x14ac:dyDescent="0.2">
      <c r="Y36833" s="97"/>
    </row>
    <row r="36834" spans="25:25" x14ac:dyDescent="0.2">
      <c r="Y36834" s="97"/>
    </row>
    <row r="36835" spans="25:25" x14ac:dyDescent="0.2">
      <c r="Y36835" s="97"/>
    </row>
    <row r="36836" spans="25:25" x14ac:dyDescent="0.2">
      <c r="Y36836" s="97"/>
    </row>
    <row r="36837" spans="25:25" x14ac:dyDescent="0.2">
      <c r="Y36837" s="97"/>
    </row>
    <row r="36838" spans="25:25" x14ac:dyDescent="0.2">
      <c r="Y36838" s="97"/>
    </row>
    <row r="36839" spans="25:25" x14ac:dyDescent="0.2">
      <c r="Y36839" s="97"/>
    </row>
    <row r="36840" spans="25:25" x14ac:dyDescent="0.2">
      <c r="Y36840" s="97"/>
    </row>
    <row r="36841" spans="25:25" x14ac:dyDescent="0.2">
      <c r="Y36841" s="97"/>
    </row>
    <row r="36842" spans="25:25" x14ac:dyDescent="0.2">
      <c r="Y36842" s="97"/>
    </row>
    <row r="36843" spans="25:25" x14ac:dyDescent="0.2">
      <c r="Y36843" s="97"/>
    </row>
    <row r="36844" spans="25:25" x14ac:dyDescent="0.2">
      <c r="Y36844" s="97"/>
    </row>
    <row r="36845" spans="25:25" x14ac:dyDescent="0.2">
      <c r="Y36845" s="97"/>
    </row>
    <row r="36846" spans="25:25" x14ac:dyDescent="0.2">
      <c r="Y36846" s="97"/>
    </row>
    <row r="36847" spans="25:25" x14ac:dyDescent="0.2">
      <c r="Y36847" s="97"/>
    </row>
    <row r="36848" spans="25:25" x14ac:dyDescent="0.2">
      <c r="Y36848" s="97"/>
    </row>
    <row r="36849" spans="25:25" x14ac:dyDescent="0.2">
      <c r="Y36849" s="97"/>
    </row>
    <row r="36850" spans="25:25" x14ac:dyDescent="0.2">
      <c r="Y36850" s="97"/>
    </row>
    <row r="36851" spans="25:25" x14ac:dyDescent="0.2">
      <c r="Y36851" s="97"/>
    </row>
    <row r="36852" spans="25:25" x14ac:dyDescent="0.2">
      <c r="Y36852" s="97"/>
    </row>
    <row r="36853" spans="25:25" x14ac:dyDescent="0.2">
      <c r="Y36853" s="97"/>
    </row>
    <row r="36854" spans="25:25" x14ac:dyDescent="0.2">
      <c r="Y36854" s="97"/>
    </row>
    <row r="36855" spans="25:25" x14ac:dyDescent="0.2">
      <c r="Y36855" s="97"/>
    </row>
    <row r="36856" spans="25:25" x14ac:dyDescent="0.2">
      <c r="Y36856" s="97"/>
    </row>
    <row r="36857" spans="25:25" x14ac:dyDescent="0.2">
      <c r="Y36857" s="97"/>
    </row>
    <row r="36858" spans="25:25" x14ac:dyDescent="0.2">
      <c r="Y36858" s="97"/>
    </row>
    <row r="36859" spans="25:25" x14ac:dyDescent="0.2">
      <c r="Y36859" s="97"/>
    </row>
    <row r="36860" spans="25:25" x14ac:dyDescent="0.2">
      <c r="Y36860" s="97"/>
    </row>
    <row r="36861" spans="25:25" x14ac:dyDescent="0.2">
      <c r="Y36861" s="97"/>
    </row>
    <row r="36862" spans="25:25" x14ac:dyDescent="0.2">
      <c r="Y36862" s="97"/>
    </row>
    <row r="36863" spans="25:25" x14ac:dyDescent="0.2">
      <c r="Y36863" s="97"/>
    </row>
    <row r="36864" spans="25:25" x14ac:dyDescent="0.2">
      <c r="Y36864" s="97"/>
    </row>
    <row r="36865" spans="25:25" x14ac:dyDescent="0.2">
      <c r="Y36865" s="97"/>
    </row>
    <row r="36866" spans="25:25" x14ac:dyDescent="0.2">
      <c r="Y36866" s="97"/>
    </row>
    <row r="36867" spans="25:25" x14ac:dyDescent="0.2">
      <c r="Y36867" s="97"/>
    </row>
    <row r="36868" spans="25:25" x14ac:dyDescent="0.2">
      <c r="Y36868" s="97"/>
    </row>
    <row r="36869" spans="25:25" x14ac:dyDescent="0.2">
      <c r="Y36869" s="97"/>
    </row>
    <row r="36870" spans="25:25" x14ac:dyDescent="0.2">
      <c r="Y36870" s="97"/>
    </row>
    <row r="36871" spans="25:25" x14ac:dyDescent="0.2">
      <c r="Y36871" s="97"/>
    </row>
    <row r="36872" spans="25:25" x14ac:dyDescent="0.2">
      <c r="Y36872" s="97"/>
    </row>
    <row r="36873" spans="25:25" x14ac:dyDescent="0.2">
      <c r="Y36873" s="97"/>
    </row>
    <row r="36874" spans="25:25" x14ac:dyDescent="0.2">
      <c r="Y36874" s="97"/>
    </row>
    <row r="36875" spans="25:25" x14ac:dyDescent="0.2">
      <c r="Y36875" s="97"/>
    </row>
    <row r="36876" spans="25:25" x14ac:dyDescent="0.2">
      <c r="Y36876" s="97"/>
    </row>
    <row r="36877" spans="25:25" x14ac:dyDescent="0.2">
      <c r="Y36877" s="97"/>
    </row>
    <row r="36878" spans="25:25" x14ac:dyDescent="0.2">
      <c r="Y36878" s="97"/>
    </row>
    <row r="36879" spans="25:25" x14ac:dyDescent="0.2">
      <c r="Y36879" s="97"/>
    </row>
    <row r="36880" spans="25:25" x14ac:dyDescent="0.2">
      <c r="Y36880" s="97"/>
    </row>
    <row r="36881" spans="25:25" x14ac:dyDescent="0.2">
      <c r="Y36881" s="97"/>
    </row>
    <row r="36882" spans="25:25" x14ac:dyDescent="0.2">
      <c r="Y36882" s="97"/>
    </row>
    <row r="36883" spans="25:25" x14ac:dyDescent="0.2">
      <c r="Y36883" s="97"/>
    </row>
    <row r="36884" spans="25:25" x14ac:dyDescent="0.2">
      <c r="Y36884" s="97"/>
    </row>
    <row r="36885" spans="25:25" x14ac:dyDescent="0.2">
      <c r="Y36885" s="97"/>
    </row>
    <row r="36886" spans="25:25" x14ac:dyDescent="0.2">
      <c r="Y36886" s="97"/>
    </row>
    <row r="36887" spans="25:25" x14ac:dyDescent="0.2">
      <c r="Y36887" s="97"/>
    </row>
    <row r="36888" spans="25:25" x14ac:dyDescent="0.2">
      <c r="Y36888" s="97"/>
    </row>
    <row r="36889" spans="25:25" x14ac:dyDescent="0.2">
      <c r="Y36889" s="97"/>
    </row>
    <row r="36890" spans="25:25" x14ac:dyDescent="0.2">
      <c r="Y36890" s="97"/>
    </row>
    <row r="36891" spans="25:25" x14ac:dyDescent="0.2">
      <c r="Y36891" s="97"/>
    </row>
    <row r="36892" spans="25:25" x14ac:dyDescent="0.2">
      <c r="Y36892" s="97"/>
    </row>
    <row r="36893" spans="25:25" x14ac:dyDescent="0.2">
      <c r="Y36893" s="97"/>
    </row>
    <row r="36894" spans="25:25" x14ac:dyDescent="0.2">
      <c r="Y36894" s="97"/>
    </row>
    <row r="36895" spans="25:25" x14ac:dyDescent="0.2">
      <c r="Y36895" s="97"/>
    </row>
    <row r="36896" spans="25:25" x14ac:dyDescent="0.2">
      <c r="Y36896" s="97"/>
    </row>
    <row r="36897" spans="25:25" x14ac:dyDescent="0.2">
      <c r="Y36897" s="97"/>
    </row>
    <row r="36898" spans="25:25" x14ac:dyDescent="0.2">
      <c r="Y36898" s="97"/>
    </row>
    <row r="36899" spans="25:25" x14ac:dyDescent="0.2">
      <c r="Y36899" s="97"/>
    </row>
    <row r="36900" spans="25:25" x14ac:dyDescent="0.2">
      <c r="Y36900" s="97"/>
    </row>
    <row r="36901" spans="25:25" x14ac:dyDescent="0.2">
      <c r="Y36901" s="97"/>
    </row>
    <row r="36902" spans="25:25" x14ac:dyDescent="0.2">
      <c r="Y36902" s="97"/>
    </row>
    <row r="36903" spans="25:25" x14ac:dyDescent="0.2">
      <c r="Y36903" s="97"/>
    </row>
    <row r="36904" spans="25:25" x14ac:dyDescent="0.2">
      <c r="Y36904" s="97"/>
    </row>
    <row r="36905" spans="25:25" x14ac:dyDescent="0.2">
      <c r="Y36905" s="97"/>
    </row>
    <row r="36906" spans="25:25" x14ac:dyDescent="0.2">
      <c r="Y36906" s="97"/>
    </row>
    <row r="36907" spans="25:25" x14ac:dyDescent="0.2">
      <c r="Y36907" s="97"/>
    </row>
    <row r="36908" spans="25:25" x14ac:dyDescent="0.2">
      <c r="Y36908" s="97"/>
    </row>
    <row r="36909" spans="25:25" x14ac:dyDescent="0.2">
      <c r="Y36909" s="97"/>
    </row>
    <row r="36910" spans="25:25" x14ac:dyDescent="0.2">
      <c r="Y36910" s="97"/>
    </row>
    <row r="36911" spans="25:25" x14ac:dyDescent="0.2">
      <c r="Y36911" s="97"/>
    </row>
    <row r="36912" spans="25:25" x14ac:dyDescent="0.2">
      <c r="Y36912" s="97"/>
    </row>
    <row r="36913" spans="25:25" x14ac:dyDescent="0.2">
      <c r="Y36913" s="97"/>
    </row>
    <row r="36914" spans="25:25" x14ac:dyDescent="0.2">
      <c r="Y36914" s="97"/>
    </row>
    <row r="36915" spans="25:25" x14ac:dyDescent="0.2">
      <c r="Y36915" s="97"/>
    </row>
    <row r="36916" spans="25:25" x14ac:dyDescent="0.2">
      <c r="Y36916" s="97"/>
    </row>
    <row r="36917" spans="25:25" x14ac:dyDescent="0.2">
      <c r="Y36917" s="97"/>
    </row>
    <row r="36918" spans="25:25" x14ac:dyDescent="0.2">
      <c r="Y36918" s="97"/>
    </row>
    <row r="36919" spans="25:25" x14ac:dyDescent="0.2">
      <c r="Y36919" s="97"/>
    </row>
    <row r="36920" spans="25:25" x14ac:dyDescent="0.2">
      <c r="Y36920" s="97"/>
    </row>
    <row r="36921" spans="25:25" x14ac:dyDescent="0.2">
      <c r="Y36921" s="97"/>
    </row>
    <row r="36922" spans="25:25" x14ac:dyDescent="0.2">
      <c r="Y36922" s="97"/>
    </row>
    <row r="36923" spans="25:25" x14ac:dyDescent="0.2">
      <c r="Y36923" s="97"/>
    </row>
    <row r="36924" spans="25:25" x14ac:dyDescent="0.2">
      <c r="Y36924" s="97"/>
    </row>
    <row r="36925" spans="25:25" x14ac:dyDescent="0.2">
      <c r="Y36925" s="97"/>
    </row>
    <row r="36926" spans="25:25" x14ac:dyDescent="0.2">
      <c r="Y36926" s="97"/>
    </row>
    <row r="36927" spans="25:25" x14ac:dyDescent="0.2">
      <c r="Y36927" s="97"/>
    </row>
    <row r="36928" spans="25:25" x14ac:dyDescent="0.2">
      <c r="Y36928" s="97"/>
    </row>
    <row r="36929" spans="25:25" x14ac:dyDescent="0.2">
      <c r="Y36929" s="97"/>
    </row>
    <row r="36930" spans="25:25" x14ac:dyDescent="0.2">
      <c r="Y36930" s="97"/>
    </row>
    <row r="36931" spans="25:25" x14ac:dyDescent="0.2">
      <c r="Y36931" s="97"/>
    </row>
    <row r="36932" spans="25:25" x14ac:dyDescent="0.2">
      <c r="Y36932" s="97"/>
    </row>
    <row r="36933" spans="25:25" x14ac:dyDescent="0.2">
      <c r="Y36933" s="97"/>
    </row>
    <row r="36934" spans="25:25" x14ac:dyDescent="0.2">
      <c r="Y36934" s="97"/>
    </row>
    <row r="36935" spans="25:25" x14ac:dyDescent="0.2">
      <c r="Y36935" s="97"/>
    </row>
    <row r="36936" spans="25:25" x14ac:dyDescent="0.2">
      <c r="Y36936" s="97"/>
    </row>
    <row r="36937" spans="25:25" x14ac:dyDescent="0.2">
      <c r="Y36937" s="97"/>
    </row>
    <row r="36938" spans="25:25" x14ac:dyDescent="0.2">
      <c r="Y36938" s="97"/>
    </row>
    <row r="36939" spans="25:25" x14ac:dyDescent="0.2">
      <c r="Y36939" s="97"/>
    </row>
    <row r="36940" spans="25:25" x14ac:dyDescent="0.2">
      <c r="Y36940" s="97"/>
    </row>
    <row r="36941" spans="25:25" x14ac:dyDescent="0.2">
      <c r="Y36941" s="97"/>
    </row>
    <row r="36942" spans="25:25" x14ac:dyDescent="0.2">
      <c r="Y36942" s="97"/>
    </row>
    <row r="36943" spans="25:25" x14ac:dyDescent="0.2">
      <c r="Y36943" s="97"/>
    </row>
    <row r="36944" spans="25:25" x14ac:dyDescent="0.2">
      <c r="Y36944" s="97"/>
    </row>
    <row r="36945" spans="25:25" x14ac:dyDescent="0.2">
      <c r="Y36945" s="97"/>
    </row>
    <row r="36946" spans="25:25" x14ac:dyDescent="0.2">
      <c r="Y36946" s="97"/>
    </row>
    <row r="36947" spans="25:25" x14ac:dyDescent="0.2">
      <c r="Y36947" s="97"/>
    </row>
    <row r="36948" spans="25:25" x14ac:dyDescent="0.2">
      <c r="Y36948" s="97"/>
    </row>
    <row r="36949" spans="25:25" x14ac:dyDescent="0.2">
      <c r="Y36949" s="97"/>
    </row>
    <row r="36950" spans="25:25" x14ac:dyDescent="0.2">
      <c r="Y36950" s="97"/>
    </row>
    <row r="36951" spans="25:25" x14ac:dyDescent="0.2">
      <c r="Y36951" s="97"/>
    </row>
    <row r="36952" spans="25:25" x14ac:dyDescent="0.2">
      <c r="Y36952" s="97"/>
    </row>
    <row r="36953" spans="25:25" x14ac:dyDescent="0.2">
      <c r="Y36953" s="97"/>
    </row>
    <row r="36954" spans="25:25" x14ac:dyDescent="0.2">
      <c r="Y36954" s="97"/>
    </row>
    <row r="36955" spans="25:25" x14ac:dyDescent="0.2">
      <c r="Y36955" s="97"/>
    </row>
    <row r="36956" spans="25:25" x14ac:dyDescent="0.2">
      <c r="Y36956" s="97"/>
    </row>
    <row r="36957" spans="25:25" x14ac:dyDescent="0.2">
      <c r="Y36957" s="97"/>
    </row>
    <row r="36958" spans="25:25" x14ac:dyDescent="0.2">
      <c r="Y36958" s="97"/>
    </row>
    <row r="36959" spans="25:25" x14ac:dyDescent="0.2">
      <c r="Y36959" s="97"/>
    </row>
    <row r="36960" spans="25:25" x14ac:dyDescent="0.2">
      <c r="Y36960" s="97"/>
    </row>
    <row r="36961" spans="25:25" x14ac:dyDescent="0.2">
      <c r="Y36961" s="97"/>
    </row>
    <row r="36962" spans="25:25" x14ac:dyDescent="0.2">
      <c r="Y36962" s="97"/>
    </row>
    <row r="36963" spans="25:25" x14ac:dyDescent="0.2">
      <c r="Y36963" s="97"/>
    </row>
    <row r="36964" spans="25:25" x14ac:dyDescent="0.2">
      <c r="Y36964" s="97"/>
    </row>
    <row r="36965" spans="25:25" x14ac:dyDescent="0.2">
      <c r="Y36965" s="97"/>
    </row>
    <row r="36966" spans="25:25" x14ac:dyDescent="0.2">
      <c r="Y36966" s="97"/>
    </row>
    <row r="36967" spans="25:25" x14ac:dyDescent="0.2">
      <c r="Y36967" s="97"/>
    </row>
    <row r="36968" spans="25:25" x14ac:dyDescent="0.2">
      <c r="Y36968" s="97"/>
    </row>
    <row r="36969" spans="25:25" x14ac:dyDescent="0.2">
      <c r="Y36969" s="97"/>
    </row>
    <row r="36970" spans="25:25" x14ac:dyDescent="0.2">
      <c r="Y36970" s="97"/>
    </row>
    <row r="36971" spans="25:25" x14ac:dyDescent="0.2">
      <c r="Y36971" s="97"/>
    </row>
    <row r="36972" spans="25:25" x14ac:dyDescent="0.2">
      <c r="Y36972" s="97"/>
    </row>
    <row r="36973" spans="25:25" x14ac:dyDescent="0.2">
      <c r="Y36973" s="97"/>
    </row>
    <row r="36974" spans="25:25" x14ac:dyDescent="0.2">
      <c r="Y36974" s="97"/>
    </row>
    <row r="36975" spans="25:25" x14ac:dyDescent="0.2">
      <c r="Y36975" s="97"/>
    </row>
    <row r="36976" spans="25:25" x14ac:dyDescent="0.2">
      <c r="Y36976" s="97"/>
    </row>
    <row r="36977" spans="25:25" x14ac:dyDescent="0.2">
      <c r="Y36977" s="97"/>
    </row>
    <row r="36978" spans="25:25" x14ac:dyDescent="0.2">
      <c r="Y36978" s="97"/>
    </row>
    <row r="36979" spans="25:25" x14ac:dyDescent="0.2">
      <c r="Y36979" s="97"/>
    </row>
    <row r="36980" spans="25:25" x14ac:dyDescent="0.2">
      <c r="Y36980" s="97"/>
    </row>
    <row r="36981" spans="25:25" x14ac:dyDescent="0.2">
      <c r="Y36981" s="97"/>
    </row>
    <row r="36982" spans="25:25" x14ac:dyDescent="0.2">
      <c r="Y36982" s="97"/>
    </row>
    <row r="36983" spans="25:25" x14ac:dyDescent="0.2">
      <c r="Y36983" s="97"/>
    </row>
    <row r="36984" spans="25:25" x14ac:dyDescent="0.2">
      <c r="Y36984" s="97"/>
    </row>
    <row r="36985" spans="25:25" x14ac:dyDescent="0.2">
      <c r="Y36985" s="97"/>
    </row>
    <row r="36986" spans="25:25" x14ac:dyDescent="0.2">
      <c r="Y36986" s="97"/>
    </row>
    <row r="36987" spans="25:25" x14ac:dyDescent="0.2">
      <c r="Y36987" s="97"/>
    </row>
    <row r="36988" spans="25:25" x14ac:dyDescent="0.2">
      <c r="Y36988" s="97"/>
    </row>
    <row r="36989" spans="25:25" x14ac:dyDescent="0.2">
      <c r="Y36989" s="97"/>
    </row>
    <row r="36990" spans="25:25" x14ac:dyDescent="0.2">
      <c r="Y36990" s="97"/>
    </row>
    <row r="36991" spans="25:25" x14ac:dyDescent="0.2">
      <c r="Y36991" s="97"/>
    </row>
    <row r="36992" spans="25:25" x14ac:dyDescent="0.2">
      <c r="Y36992" s="97"/>
    </row>
    <row r="36993" spans="25:25" x14ac:dyDescent="0.2">
      <c r="Y36993" s="97"/>
    </row>
    <row r="36994" spans="25:25" x14ac:dyDescent="0.2">
      <c r="Y36994" s="97"/>
    </row>
    <row r="36995" spans="25:25" x14ac:dyDescent="0.2">
      <c r="Y36995" s="97"/>
    </row>
    <row r="36996" spans="25:25" x14ac:dyDescent="0.2">
      <c r="Y36996" s="97"/>
    </row>
    <row r="36997" spans="25:25" x14ac:dyDescent="0.2">
      <c r="Y36997" s="97"/>
    </row>
    <row r="36998" spans="25:25" x14ac:dyDescent="0.2">
      <c r="Y36998" s="97"/>
    </row>
    <row r="36999" spans="25:25" x14ac:dyDescent="0.2">
      <c r="Y36999" s="97"/>
    </row>
    <row r="37000" spans="25:25" x14ac:dyDescent="0.2">
      <c r="Y37000" s="97"/>
    </row>
    <row r="37001" spans="25:25" x14ac:dyDescent="0.2">
      <c r="Y37001" s="97"/>
    </row>
    <row r="37002" spans="25:25" x14ac:dyDescent="0.2">
      <c r="Y37002" s="97"/>
    </row>
    <row r="37003" spans="25:25" x14ac:dyDescent="0.2">
      <c r="Y37003" s="97"/>
    </row>
    <row r="37004" spans="25:25" x14ac:dyDescent="0.2">
      <c r="Y37004" s="97"/>
    </row>
    <row r="37005" spans="25:25" x14ac:dyDescent="0.2">
      <c r="Y37005" s="97"/>
    </row>
    <row r="37006" spans="25:25" x14ac:dyDescent="0.2">
      <c r="Y37006" s="97"/>
    </row>
    <row r="37007" spans="25:25" x14ac:dyDescent="0.2">
      <c r="Y37007" s="97"/>
    </row>
    <row r="37008" spans="25:25" x14ac:dyDescent="0.2">
      <c r="Y37008" s="97"/>
    </row>
    <row r="37009" spans="25:25" x14ac:dyDescent="0.2">
      <c r="Y37009" s="97"/>
    </row>
    <row r="37010" spans="25:25" x14ac:dyDescent="0.2">
      <c r="Y37010" s="97"/>
    </row>
    <row r="37011" spans="25:25" x14ac:dyDescent="0.2">
      <c r="Y37011" s="97"/>
    </row>
    <row r="37012" spans="25:25" x14ac:dyDescent="0.2">
      <c r="Y37012" s="97"/>
    </row>
    <row r="37013" spans="25:25" x14ac:dyDescent="0.2">
      <c r="Y37013" s="97"/>
    </row>
    <row r="37014" spans="25:25" x14ac:dyDescent="0.2">
      <c r="Y37014" s="97"/>
    </row>
    <row r="37015" spans="25:25" x14ac:dyDescent="0.2">
      <c r="Y37015" s="97"/>
    </row>
    <row r="37016" spans="25:25" x14ac:dyDescent="0.2">
      <c r="Y37016" s="97"/>
    </row>
    <row r="37017" spans="25:25" x14ac:dyDescent="0.2">
      <c r="Y37017" s="97"/>
    </row>
    <row r="37018" spans="25:25" x14ac:dyDescent="0.2">
      <c r="Y37018" s="97"/>
    </row>
    <row r="37019" spans="25:25" x14ac:dyDescent="0.2">
      <c r="Y37019" s="97"/>
    </row>
    <row r="37020" spans="25:25" x14ac:dyDescent="0.2">
      <c r="Y37020" s="97"/>
    </row>
    <row r="37021" spans="25:25" x14ac:dyDescent="0.2">
      <c r="Y37021" s="97"/>
    </row>
    <row r="37022" spans="25:25" x14ac:dyDescent="0.2">
      <c r="Y37022" s="97"/>
    </row>
    <row r="37023" spans="25:25" x14ac:dyDescent="0.2">
      <c r="Y37023" s="97"/>
    </row>
    <row r="37024" spans="25:25" x14ac:dyDescent="0.2">
      <c r="Y37024" s="97"/>
    </row>
    <row r="37025" spans="25:25" x14ac:dyDescent="0.2">
      <c r="Y37025" s="97"/>
    </row>
    <row r="37026" spans="25:25" x14ac:dyDescent="0.2">
      <c r="Y37026" s="97"/>
    </row>
    <row r="37027" spans="25:25" x14ac:dyDescent="0.2">
      <c r="Y37027" s="97"/>
    </row>
    <row r="37028" spans="25:25" x14ac:dyDescent="0.2">
      <c r="Y37028" s="97"/>
    </row>
    <row r="37029" spans="25:25" x14ac:dyDescent="0.2">
      <c r="Y37029" s="97"/>
    </row>
    <row r="37030" spans="25:25" x14ac:dyDescent="0.2">
      <c r="Y37030" s="97"/>
    </row>
    <row r="37031" spans="25:25" x14ac:dyDescent="0.2">
      <c r="Y37031" s="97"/>
    </row>
    <row r="37032" spans="25:25" x14ac:dyDescent="0.2">
      <c r="Y37032" s="97"/>
    </row>
    <row r="37033" spans="25:25" x14ac:dyDescent="0.2">
      <c r="Y37033" s="97"/>
    </row>
    <row r="37034" spans="25:25" x14ac:dyDescent="0.2">
      <c r="Y37034" s="97"/>
    </row>
    <row r="37035" spans="25:25" x14ac:dyDescent="0.2">
      <c r="Y37035" s="97"/>
    </row>
    <row r="37036" spans="25:25" x14ac:dyDescent="0.2">
      <c r="Y37036" s="97"/>
    </row>
    <row r="37037" spans="25:25" x14ac:dyDescent="0.2">
      <c r="Y37037" s="97"/>
    </row>
    <row r="37038" spans="25:25" x14ac:dyDescent="0.2">
      <c r="Y37038" s="97"/>
    </row>
    <row r="37039" spans="25:25" x14ac:dyDescent="0.2">
      <c r="Y37039" s="97"/>
    </row>
    <row r="37040" spans="25:25" x14ac:dyDescent="0.2">
      <c r="Y37040" s="97"/>
    </row>
    <row r="37041" spans="25:25" x14ac:dyDescent="0.2">
      <c r="Y37041" s="97"/>
    </row>
    <row r="37042" spans="25:25" x14ac:dyDescent="0.2">
      <c r="Y37042" s="97"/>
    </row>
    <row r="37043" spans="25:25" x14ac:dyDescent="0.2">
      <c r="Y37043" s="97"/>
    </row>
    <row r="37044" spans="25:25" x14ac:dyDescent="0.2">
      <c r="Y37044" s="97"/>
    </row>
    <row r="37045" spans="25:25" x14ac:dyDescent="0.2">
      <c r="Y37045" s="97"/>
    </row>
    <row r="37046" spans="25:25" x14ac:dyDescent="0.2">
      <c r="Y37046" s="97"/>
    </row>
    <row r="37047" spans="25:25" x14ac:dyDescent="0.2">
      <c r="Y37047" s="97"/>
    </row>
    <row r="37048" spans="25:25" x14ac:dyDescent="0.2">
      <c r="Y37048" s="97"/>
    </row>
    <row r="37049" spans="25:25" x14ac:dyDescent="0.2">
      <c r="Y37049" s="97"/>
    </row>
    <row r="37050" spans="25:25" x14ac:dyDescent="0.2">
      <c r="Y37050" s="97"/>
    </row>
    <row r="37051" spans="25:25" x14ac:dyDescent="0.2">
      <c r="Y37051" s="97"/>
    </row>
    <row r="37052" spans="25:25" x14ac:dyDescent="0.2">
      <c r="Y37052" s="97"/>
    </row>
    <row r="37053" spans="25:25" x14ac:dyDescent="0.2">
      <c r="Y37053" s="97"/>
    </row>
    <row r="37054" spans="25:25" x14ac:dyDescent="0.2">
      <c r="Y37054" s="97"/>
    </row>
    <row r="37055" spans="25:25" x14ac:dyDescent="0.2">
      <c r="Y37055" s="97"/>
    </row>
    <row r="37056" spans="25:25" x14ac:dyDescent="0.2">
      <c r="Y37056" s="97"/>
    </row>
    <row r="37057" spans="25:25" x14ac:dyDescent="0.2">
      <c r="Y37057" s="97"/>
    </row>
    <row r="37058" spans="25:25" x14ac:dyDescent="0.2">
      <c r="Y37058" s="97"/>
    </row>
    <row r="37059" spans="25:25" x14ac:dyDescent="0.2">
      <c r="Y37059" s="97"/>
    </row>
    <row r="37060" spans="25:25" x14ac:dyDescent="0.2">
      <c r="Y37060" s="97"/>
    </row>
    <row r="37061" spans="25:25" x14ac:dyDescent="0.2">
      <c r="Y37061" s="97"/>
    </row>
    <row r="37062" spans="25:25" x14ac:dyDescent="0.2">
      <c r="Y37062" s="97"/>
    </row>
    <row r="37063" spans="25:25" x14ac:dyDescent="0.2">
      <c r="Y37063" s="97"/>
    </row>
    <row r="37064" spans="25:25" x14ac:dyDescent="0.2">
      <c r="Y37064" s="97"/>
    </row>
    <row r="37065" spans="25:25" x14ac:dyDescent="0.2">
      <c r="Y37065" s="97"/>
    </row>
    <row r="37066" spans="25:25" x14ac:dyDescent="0.2">
      <c r="Y37066" s="97"/>
    </row>
    <row r="37067" spans="25:25" x14ac:dyDescent="0.2">
      <c r="Y37067" s="97"/>
    </row>
    <row r="37068" spans="25:25" x14ac:dyDescent="0.2">
      <c r="Y37068" s="97"/>
    </row>
    <row r="37069" spans="25:25" x14ac:dyDescent="0.2">
      <c r="Y37069" s="97"/>
    </row>
    <row r="37070" spans="25:25" x14ac:dyDescent="0.2">
      <c r="Y37070" s="97"/>
    </row>
    <row r="37071" spans="25:25" x14ac:dyDescent="0.2">
      <c r="Y37071" s="97"/>
    </row>
    <row r="37072" spans="25:25" x14ac:dyDescent="0.2">
      <c r="Y37072" s="97"/>
    </row>
    <row r="37073" spans="25:25" x14ac:dyDescent="0.2">
      <c r="Y37073" s="97"/>
    </row>
    <row r="37074" spans="25:25" x14ac:dyDescent="0.2">
      <c r="Y37074" s="97"/>
    </row>
    <row r="37075" spans="25:25" x14ac:dyDescent="0.2">
      <c r="Y37075" s="97"/>
    </row>
    <row r="37076" spans="25:25" x14ac:dyDescent="0.2">
      <c r="Y37076" s="97"/>
    </row>
    <row r="37077" spans="25:25" x14ac:dyDescent="0.2">
      <c r="Y37077" s="97"/>
    </row>
    <row r="37078" spans="25:25" x14ac:dyDescent="0.2">
      <c r="Y37078" s="97"/>
    </row>
    <row r="37079" spans="25:25" x14ac:dyDescent="0.2">
      <c r="Y37079" s="97"/>
    </row>
    <row r="37080" spans="25:25" x14ac:dyDescent="0.2">
      <c r="Y37080" s="97"/>
    </row>
    <row r="37081" spans="25:25" x14ac:dyDescent="0.2">
      <c r="Y37081" s="97"/>
    </row>
    <row r="37082" spans="25:25" x14ac:dyDescent="0.2">
      <c r="Y37082" s="97"/>
    </row>
    <row r="37083" spans="25:25" x14ac:dyDescent="0.2">
      <c r="Y37083" s="97"/>
    </row>
    <row r="37084" spans="25:25" x14ac:dyDescent="0.2">
      <c r="Y37084" s="97"/>
    </row>
    <row r="37085" spans="25:25" x14ac:dyDescent="0.2">
      <c r="Y37085" s="97"/>
    </row>
    <row r="37086" spans="25:25" x14ac:dyDescent="0.2">
      <c r="Y37086" s="97"/>
    </row>
    <row r="37087" spans="25:25" x14ac:dyDescent="0.2">
      <c r="Y37087" s="97"/>
    </row>
    <row r="37088" spans="25:25" x14ac:dyDescent="0.2">
      <c r="Y37088" s="97"/>
    </row>
    <row r="37089" spans="25:25" x14ac:dyDescent="0.2">
      <c r="Y37089" s="97"/>
    </row>
    <row r="37090" spans="25:25" x14ac:dyDescent="0.2">
      <c r="Y37090" s="97"/>
    </row>
    <row r="37091" spans="25:25" x14ac:dyDescent="0.2">
      <c r="Y37091" s="97"/>
    </row>
    <row r="37092" spans="25:25" x14ac:dyDescent="0.2">
      <c r="Y37092" s="97"/>
    </row>
    <row r="37093" spans="25:25" x14ac:dyDescent="0.2">
      <c r="Y37093" s="97"/>
    </row>
    <row r="37094" spans="25:25" x14ac:dyDescent="0.2">
      <c r="Y37094" s="97"/>
    </row>
    <row r="37095" spans="25:25" x14ac:dyDescent="0.2">
      <c r="Y37095" s="97"/>
    </row>
    <row r="37096" spans="25:25" x14ac:dyDescent="0.2">
      <c r="Y37096" s="97"/>
    </row>
    <row r="37097" spans="25:25" x14ac:dyDescent="0.2">
      <c r="Y37097" s="97"/>
    </row>
    <row r="37098" spans="25:25" x14ac:dyDescent="0.2">
      <c r="Y37098" s="97"/>
    </row>
    <row r="37099" spans="25:25" x14ac:dyDescent="0.2">
      <c r="Y37099" s="97"/>
    </row>
    <row r="37100" spans="25:25" x14ac:dyDescent="0.2">
      <c r="Y37100" s="97"/>
    </row>
    <row r="37101" spans="25:25" x14ac:dyDescent="0.2">
      <c r="Y37101" s="97"/>
    </row>
    <row r="37102" spans="25:25" x14ac:dyDescent="0.2">
      <c r="Y37102" s="97"/>
    </row>
    <row r="37103" spans="25:25" x14ac:dyDescent="0.2">
      <c r="Y37103" s="97"/>
    </row>
    <row r="37104" spans="25:25" x14ac:dyDescent="0.2">
      <c r="Y37104" s="97"/>
    </row>
    <row r="37105" spans="25:25" x14ac:dyDescent="0.2">
      <c r="Y37105" s="97"/>
    </row>
    <row r="37106" spans="25:25" x14ac:dyDescent="0.2">
      <c r="Y37106" s="97"/>
    </row>
    <row r="37107" spans="25:25" x14ac:dyDescent="0.2">
      <c r="Y37107" s="97"/>
    </row>
    <row r="37108" spans="25:25" x14ac:dyDescent="0.2">
      <c r="Y37108" s="97"/>
    </row>
    <row r="37109" spans="25:25" x14ac:dyDescent="0.2">
      <c r="Y37109" s="97"/>
    </row>
    <row r="37110" spans="25:25" x14ac:dyDescent="0.2">
      <c r="Y37110" s="97"/>
    </row>
    <row r="37111" spans="25:25" x14ac:dyDescent="0.2">
      <c r="Y37111" s="97"/>
    </row>
    <row r="37112" spans="25:25" x14ac:dyDescent="0.2">
      <c r="Y37112" s="97"/>
    </row>
    <row r="37113" spans="25:25" x14ac:dyDescent="0.2">
      <c r="Y37113" s="97"/>
    </row>
    <row r="37114" spans="25:25" x14ac:dyDescent="0.2">
      <c r="Y37114" s="97"/>
    </row>
    <row r="37115" spans="25:25" x14ac:dyDescent="0.2">
      <c r="Y37115" s="97"/>
    </row>
    <row r="37116" spans="25:25" x14ac:dyDescent="0.2">
      <c r="Y37116" s="97"/>
    </row>
    <row r="37117" spans="25:25" x14ac:dyDescent="0.2">
      <c r="Y37117" s="97"/>
    </row>
    <row r="37118" spans="25:25" x14ac:dyDescent="0.2">
      <c r="Y37118" s="97"/>
    </row>
    <row r="37119" spans="25:25" x14ac:dyDescent="0.2">
      <c r="Y37119" s="97"/>
    </row>
    <row r="37120" spans="25:25" x14ac:dyDescent="0.2">
      <c r="Y37120" s="97"/>
    </row>
    <row r="37121" spans="25:25" x14ac:dyDescent="0.2">
      <c r="Y37121" s="97"/>
    </row>
    <row r="37122" spans="25:25" x14ac:dyDescent="0.2">
      <c r="Y37122" s="97"/>
    </row>
    <row r="37123" spans="25:25" x14ac:dyDescent="0.2">
      <c r="Y37123" s="97"/>
    </row>
    <row r="37124" spans="25:25" x14ac:dyDescent="0.2">
      <c r="Y37124" s="97"/>
    </row>
    <row r="37125" spans="25:25" x14ac:dyDescent="0.2">
      <c r="Y37125" s="97"/>
    </row>
    <row r="37126" spans="25:25" x14ac:dyDescent="0.2">
      <c r="Y37126" s="97"/>
    </row>
    <row r="37127" spans="25:25" x14ac:dyDescent="0.2">
      <c r="Y37127" s="97"/>
    </row>
    <row r="37128" spans="25:25" x14ac:dyDescent="0.2">
      <c r="Y37128" s="97"/>
    </row>
    <row r="37129" spans="25:25" x14ac:dyDescent="0.2">
      <c r="Y37129" s="97"/>
    </row>
    <row r="37130" spans="25:25" x14ac:dyDescent="0.2">
      <c r="Y37130" s="97"/>
    </row>
    <row r="37131" spans="25:25" x14ac:dyDescent="0.2">
      <c r="Y37131" s="97"/>
    </row>
    <row r="37132" spans="25:25" x14ac:dyDescent="0.2">
      <c r="Y37132" s="97"/>
    </row>
    <row r="37133" spans="25:25" x14ac:dyDescent="0.2">
      <c r="Y37133" s="97"/>
    </row>
    <row r="37134" spans="25:25" x14ac:dyDescent="0.2">
      <c r="Y37134" s="97"/>
    </row>
    <row r="37135" spans="25:25" x14ac:dyDescent="0.2">
      <c r="Y37135" s="97"/>
    </row>
    <row r="37136" spans="25:25" x14ac:dyDescent="0.2">
      <c r="Y37136" s="97"/>
    </row>
    <row r="37137" spans="25:25" x14ac:dyDescent="0.2">
      <c r="Y37137" s="97"/>
    </row>
    <row r="37138" spans="25:25" x14ac:dyDescent="0.2">
      <c r="Y37138" s="97"/>
    </row>
    <row r="37139" spans="25:25" x14ac:dyDescent="0.2">
      <c r="Y37139" s="97"/>
    </row>
    <row r="37140" spans="25:25" x14ac:dyDescent="0.2">
      <c r="Y37140" s="97"/>
    </row>
    <row r="37141" spans="25:25" x14ac:dyDescent="0.2">
      <c r="Y37141" s="97"/>
    </row>
    <row r="37142" spans="25:25" x14ac:dyDescent="0.2">
      <c r="Y37142" s="97"/>
    </row>
    <row r="37143" spans="25:25" x14ac:dyDescent="0.2">
      <c r="Y37143" s="97"/>
    </row>
    <row r="37144" spans="25:25" x14ac:dyDescent="0.2">
      <c r="Y37144" s="97"/>
    </row>
    <row r="37145" spans="25:25" x14ac:dyDescent="0.2">
      <c r="Y37145" s="97"/>
    </row>
    <row r="37146" spans="25:25" x14ac:dyDescent="0.2">
      <c r="Y37146" s="97"/>
    </row>
    <row r="37147" spans="25:25" x14ac:dyDescent="0.2">
      <c r="Y37147" s="97"/>
    </row>
    <row r="37148" spans="25:25" x14ac:dyDescent="0.2">
      <c r="Y37148" s="97"/>
    </row>
    <row r="37149" spans="25:25" x14ac:dyDescent="0.2">
      <c r="Y37149" s="97"/>
    </row>
    <row r="37150" spans="25:25" x14ac:dyDescent="0.2">
      <c r="Y37150" s="97"/>
    </row>
    <row r="37151" spans="25:25" x14ac:dyDescent="0.2">
      <c r="Y37151" s="97"/>
    </row>
    <row r="37152" spans="25:25" x14ac:dyDescent="0.2">
      <c r="Y37152" s="97"/>
    </row>
    <row r="37153" spans="25:25" x14ac:dyDescent="0.2">
      <c r="Y37153" s="97"/>
    </row>
    <row r="37154" spans="25:25" x14ac:dyDescent="0.2">
      <c r="Y37154" s="97"/>
    </row>
    <row r="37155" spans="25:25" x14ac:dyDescent="0.2">
      <c r="Y37155" s="97"/>
    </row>
    <row r="37156" spans="25:25" x14ac:dyDescent="0.2">
      <c r="Y37156" s="97"/>
    </row>
    <row r="37157" spans="25:25" x14ac:dyDescent="0.2">
      <c r="Y37157" s="97"/>
    </row>
    <row r="37158" spans="25:25" x14ac:dyDescent="0.2">
      <c r="Y37158" s="97"/>
    </row>
    <row r="37159" spans="25:25" x14ac:dyDescent="0.2">
      <c r="Y37159" s="97"/>
    </row>
    <row r="37160" spans="25:25" x14ac:dyDescent="0.2">
      <c r="Y37160" s="97"/>
    </row>
    <row r="37161" spans="25:25" x14ac:dyDescent="0.2">
      <c r="Y37161" s="97"/>
    </row>
    <row r="37162" spans="25:25" x14ac:dyDescent="0.2">
      <c r="Y37162" s="97"/>
    </row>
    <row r="37163" spans="25:25" x14ac:dyDescent="0.2">
      <c r="Y37163" s="97"/>
    </row>
    <row r="37164" spans="25:25" x14ac:dyDescent="0.2">
      <c r="Y37164" s="97"/>
    </row>
    <row r="37165" spans="25:25" x14ac:dyDescent="0.2">
      <c r="Y37165" s="97"/>
    </row>
    <row r="37166" spans="25:25" x14ac:dyDescent="0.2">
      <c r="Y37166" s="97"/>
    </row>
    <row r="37167" spans="25:25" x14ac:dyDescent="0.2">
      <c r="Y37167" s="97"/>
    </row>
    <row r="37168" spans="25:25" x14ac:dyDescent="0.2">
      <c r="Y37168" s="97"/>
    </row>
    <row r="37169" spans="25:25" x14ac:dyDescent="0.2">
      <c r="Y37169" s="97"/>
    </row>
    <row r="37170" spans="25:25" x14ac:dyDescent="0.2">
      <c r="Y37170" s="97"/>
    </row>
    <row r="37171" spans="25:25" x14ac:dyDescent="0.2">
      <c r="Y37171" s="97"/>
    </row>
    <row r="37172" spans="25:25" x14ac:dyDescent="0.2">
      <c r="Y37172" s="97"/>
    </row>
    <row r="37173" spans="25:25" x14ac:dyDescent="0.2">
      <c r="Y37173" s="97"/>
    </row>
    <row r="37174" spans="25:25" x14ac:dyDescent="0.2">
      <c r="Y37174" s="97"/>
    </row>
    <row r="37175" spans="25:25" x14ac:dyDescent="0.2">
      <c r="Y37175" s="97"/>
    </row>
    <row r="37176" spans="25:25" x14ac:dyDescent="0.2">
      <c r="Y37176" s="97"/>
    </row>
    <row r="37177" spans="25:25" x14ac:dyDescent="0.2">
      <c r="Y37177" s="97"/>
    </row>
    <row r="37178" spans="25:25" x14ac:dyDescent="0.2">
      <c r="Y37178" s="97"/>
    </row>
    <row r="37179" spans="25:25" x14ac:dyDescent="0.2">
      <c r="Y37179" s="97"/>
    </row>
    <row r="37180" spans="25:25" x14ac:dyDescent="0.2">
      <c r="Y37180" s="97"/>
    </row>
    <row r="37181" spans="25:25" x14ac:dyDescent="0.2">
      <c r="Y37181" s="97"/>
    </row>
    <row r="37182" spans="25:25" x14ac:dyDescent="0.2">
      <c r="Y37182" s="97"/>
    </row>
    <row r="37183" spans="25:25" x14ac:dyDescent="0.2">
      <c r="Y37183" s="97"/>
    </row>
    <row r="37184" spans="25:25" x14ac:dyDescent="0.2">
      <c r="Y37184" s="97"/>
    </row>
    <row r="37185" spans="25:25" x14ac:dyDescent="0.2">
      <c r="Y37185" s="97"/>
    </row>
    <row r="37186" spans="25:25" x14ac:dyDescent="0.2">
      <c r="Y37186" s="97"/>
    </row>
    <row r="37187" spans="25:25" x14ac:dyDescent="0.2">
      <c r="Y37187" s="97"/>
    </row>
    <row r="37188" spans="25:25" x14ac:dyDescent="0.2">
      <c r="Y37188" s="97"/>
    </row>
    <row r="37189" spans="25:25" x14ac:dyDescent="0.2">
      <c r="Y37189" s="97"/>
    </row>
    <row r="37190" spans="25:25" x14ac:dyDescent="0.2">
      <c r="Y37190" s="97"/>
    </row>
    <row r="37191" spans="25:25" x14ac:dyDescent="0.2">
      <c r="Y37191" s="97"/>
    </row>
    <row r="37192" spans="25:25" x14ac:dyDescent="0.2">
      <c r="Y37192" s="97"/>
    </row>
    <row r="37193" spans="25:25" x14ac:dyDescent="0.2">
      <c r="Y37193" s="97"/>
    </row>
    <row r="37194" spans="25:25" x14ac:dyDescent="0.2">
      <c r="Y37194" s="97"/>
    </row>
    <row r="37195" spans="25:25" x14ac:dyDescent="0.2">
      <c r="Y37195" s="97"/>
    </row>
    <row r="37196" spans="25:25" x14ac:dyDescent="0.2">
      <c r="Y37196" s="97"/>
    </row>
    <row r="37197" spans="25:25" x14ac:dyDescent="0.2">
      <c r="Y37197" s="97"/>
    </row>
    <row r="37198" spans="25:25" x14ac:dyDescent="0.2">
      <c r="Y37198" s="97"/>
    </row>
    <row r="37199" spans="25:25" x14ac:dyDescent="0.2">
      <c r="Y37199" s="97"/>
    </row>
    <row r="37200" spans="25:25" x14ac:dyDescent="0.2">
      <c r="Y37200" s="97"/>
    </row>
    <row r="37201" spans="25:25" x14ac:dyDescent="0.2">
      <c r="Y37201" s="97"/>
    </row>
    <row r="37202" spans="25:25" x14ac:dyDescent="0.2">
      <c r="Y37202" s="97"/>
    </row>
    <row r="37203" spans="25:25" x14ac:dyDescent="0.2">
      <c r="Y37203" s="97"/>
    </row>
    <row r="37204" spans="25:25" x14ac:dyDescent="0.2">
      <c r="Y37204" s="97"/>
    </row>
    <row r="37205" spans="25:25" x14ac:dyDescent="0.2">
      <c r="Y37205" s="97"/>
    </row>
    <row r="37206" spans="25:25" x14ac:dyDescent="0.2">
      <c r="Y37206" s="97"/>
    </row>
    <row r="37207" spans="25:25" x14ac:dyDescent="0.2">
      <c r="Y37207" s="97"/>
    </row>
    <row r="37208" spans="25:25" x14ac:dyDescent="0.2">
      <c r="Y37208" s="97"/>
    </row>
    <row r="37209" spans="25:25" x14ac:dyDescent="0.2">
      <c r="Y37209" s="97"/>
    </row>
    <row r="37210" spans="25:25" x14ac:dyDescent="0.2">
      <c r="Y37210" s="97"/>
    </row>
    <row r="37211" spans="25:25" x14ac:dyDescent="0.2">
      <c r="Y37211" s="97"/>
    </row>
    <row r="37212" spans="25:25" x14ac:dyDescent="0.2">
      <c r="Y37212" s="97"/>
    </row>
    <row r="37213" spans="25:25" x14ac:dyDescent="0.2">
      <c r="Y37213" s="97"/>
    </row>
    <row r="37214" spans="25:25" x14ac:dyDescent="0.2">
      <c r="Y37214" s="97"/>
    </row>
    <row r="37215" spans="25:25" x14ac:dyDescent="0.2">
      <c r="Y37215" s="97"/>
    </row>
    <row r="37216" spans="25:25" x14ac:dyDescent="0.2">
      <c r="Y37216" s="97"/>
    </row>
    <row r="37217" spans="25:25" x14ac:dyDescent="0.2">
      <c r="Y37217" s="97"/>
    </row>
    <row r="37218" spans="25:25" x14ac:dyDescent="0.2">
      <c r="Y37218" s="97"/>
    </row>
    <row r="37219" spans="25:25" x14ac:dyDescent="0.2">
      <c r="Y37219" s="97"/>
    </row>
    <row r="37220" spans="25:25" x14ac:dyDescent="0.2">
      <c r="Y37220" s="97"/>
    </row>
    <row r="37221" spans="25:25" x14ac:dyDescent="0.2">
      <c r="Y37221" s="97"/>
    </row>
    <row r="37222" spans="25:25" x14ac:dyDescent="0.2">
      <c r="Y37222" s="97"/>
    </row>
    <row r="37223" spans="25:25" x14ac:dyDescent="0.2">
      <c r="Y37223" s="97"/>
    </row>
    <row r="37224" spans="25:25" x14ac:dyDescent="0.2">
      <c r="Y37224" s="97"/>
    </row>
    <row r="37225" spans="25:25" x14ac:dyDescent="0.2">
      <c r="Y37225" s="97"/>
    </row>
    <row r="37226" spans="25:25" x14ac:dyDescent="0.2">
      <c r="Y37226" s="97"/>
    </row>
    <row r="37227" spans="25:25" x14ac:dyDescent="0.2">
      <c r="Y37227" s="97"/>
    </row>
    <row r="37228" spans="25:25" x14ac:dyDescent="0.2">
      <c r="Y37228" s="97"/>
    </row>
    <row r="37229" spans="25:25" x14ac:dyDescent="0.2">
      <c r="Y37229" s="97"/>
    </row>
    <row r="37230" spans="25:25" x14ac:dyDescent="0.2">
      <c r="Y37230" s="97"/>
    </row>
    <row r="37231" spans="25:25" x14ac:dyDescent="0.2">
      <c r="Y37231" s="97"/>
    </row>
    <row r="37232" spans="25:25" x14ac:dyDescent="0.2">
      <c r="Y37232" s="97"/>
    </row>
    <row r="37233" spans="25:25" x14ac:dyDescent="0.2">
      <c r="Y37233" s="97"/>
    </row>
    <row r="37234" spans="25:25" x14ac:dyDescent="0.2">
      <c r="Y37234" s="97"/>
    </row>
    <row r="37235" spans="25:25" x14ac:dyDescent="0.2">
      <c r="Y37235" s="97"/>
    </row>
    <row r="37236" spans="25:25" x14ac:dyDescent="0.2">
      <c r="Y37236" s="97"/>
    </row>
    <row r="37237" spans="25:25" x14ac:dyDescent="0.2">
      <c r="Y37237" s="97"/>
    </row>
    <row r="37238" spans="25:25" x14ac:dyDescent="0.2">
      <c r="Y37238" s="97"/>
    </row>
    <row r="37239" spans="25:25" x14ac:dyDescent="0.2">
      <c r="Y37239" s="97"/>
    </row>
    <row r="37240" spans="25:25" x14ac:dyDescent="0.2">
      <c r="Y37240" s="97"/>
    </row>
    <row r="37241" spans="25:25" x14ac:dyDescent="0.2">
      <c r="Y37241" s="97"/>
    </row>
    <row r="37242" spans="25:25" x14ac:dyDescent="0.2">
      <c r="Y37242" s="97"/>
    </row>
    <row r="37243" spans="25:25" x14ac:dyDescent="0.2">
      <c r="Y37243" s="97"/>
    </row>
    <row r="37244" spans="25:25" x14ac:dyDescent="0.2">
      <c r="Y37244" s="97"/>
    </row>
    <row r="37245" spans="25:25" x14ac:dyDescent="0.2">
      <c r="Y37245" s="97"/>
    </row>
    <row r="37246" spans="25:25" x14ac:dyDescent="0.2">
      <c r="Y37246" s="97"/>
    </row>
    <row r="37247" spans="25:25" x14ac:dyDescent="0.2">
      <c r="Y37247" s="97"/>
    </row>
    <row r="37248" spans="25:25" x14ac:dyDescent="0.2">
      <c r="Y37248" s="97"/>
    </row>
    <row r="37249" spans="25:25" x14ac:dyDescent="0.2">
      <c r="Y37249" s="97"/>
    </row>
    <row r="37250" spans="25:25" x14ac:dyDescent="0.2">
      <c r="Y37250" s="97"/>
    </row>
    <row r="37251" spans="25:25" x14ac:dyDescent="0.2">
      <c r="Y37251" s="97"/>
    </row>
    <row r="37252" spans="25:25" x14ac:dyDescent="0.2">
      <c r="Y37252" s="97"/>
    </row>
    <row r="37253" spans="25:25" x14ac:dyDescent="0.2">
      <c r="Y37253" s="97"/>
    </row>
    <row r="37254" spans="25:25" x14ac:dyDescent="0.2">
      <c r="Y37254" s="97"/>
    </row>
    <row r="37255" spans="25:25" x14ac:dyDescent="0.2">
      <c r="Y37255" s="97"/>
    </row>
    <row r="37256" spans="25:25" x14ac:dyDescent="0.2">
      <c r="Y37256" s="97"/>
    </row>
    <row r="37257" spans="25:25" x14ac:dyDescent="0.2">
      <c r="Y37257" s="97"/>
    </row>
    <row r="37258" spans="25:25" x14ac:dyDescent="0.2">
      <c r="Y37258" s="97"/>
    </row>
    <row r="37259" spans="25:25" x14ac:dyDescent="0.2">
      <c r="Y37259" s="97"/>
    </row>
    <row r="37260" spans="25:25" x14ac:dyDescent="0.2">
      <c r="Y37260" s="97"/>
    </row>
    <row r="37261" spans="25:25" x14ac:dyDescent="0.2">
      <c r="Y37261" s="97"/>
    </row>
    <row r="37262" spans="25:25" x14ac:dyDescent="0.2">
      <c r="Y37262" s="97"/>
    </row>
    <row r="37263" spans="25:25" x14ac:dyDescent="0.2">
      <c r="Y37263" s="97"/>
    </row>
    <row r="37264" spans="25:25" x14ac:dyDescent="0.2">
      <c r="Y37264" s="97"/>
    </row>
    <row r="37265" spans="25:25" x14ac:dyDescent="0.2">
      <c r="Y37265" s="97"/>
    </row>
    <row r="37266" spans="25:25" x14ac:dyDescent="0.2">
      <c r="Y37266" s="97"/>
    </row>
    <row r="37267" spans="25:25" x14ac:dyDescent="0.2">
      <c r="Y37267" s="97"/>
    </row>
    <row r="37268" spans="25:25" x14ac:dyDescent="0.2">
      <c r="Y37268" s="97"/>
    </row>
    <row r="37269" spans="25:25" x14ac:dyDescent="0.2">
      <c r="Y37269" s="97"/>
    </row>
    <row r="37270" spans="25:25" x14ac:dyDescent="0.2">
      <c r="Y37270" s="97"/>
    </row>
    <row r="37271" spans="25:25" x14ac:dyDescent="0.2">
      <c r="Y37271" s="97"/>
    </row>
    <row r="37272" spans="25:25" x14ac:dyDescent="0.2">
      <c r="Y37272" s="97"/>
    </row>
    <row r="37273" spans="25:25" x14ac:dyDescent="0.2">
      <c r="Y37273" s="97"/>
    </row>
    <row r="37274" spans="25:25" x14ac:dyDescent="0.2">
      <c r="Y37274" s="97"/>
    </row>
    <row r="37275" spans="25:25" x14ac:dyDescent="0.2">
      <c r="Y37275" s="97"/>
    </row>
    <row r="37276" spans="25:25" x14ac:dyDescent="0.2">
      <c r="Y37276" s="97"/>
    </row>
    <row r="37277" spans="25:25" x14ac:dyDescent="0.2">
      <c r="Y37277" s="97"/>
    </row>
    <row r="37278" spans="25:25" x14ac:dyDescent="0.2">
      <c r="Y37278" s="97"/>
    </row>
    <row r="37279" spans="25:25" x14ac:dyDescent="0.2">
      <c r="Y37279" s="97"/>
    </row>
    <row r="37280" spans="25:25" x14ac:dyDescent="0.2">
      <c r="Y37280" s="97"/>
    </row>
    <row r="37281" spans="25:25" x14ac:dyDescent="0.2">
      <c r="Y37281" s="97"/>
    </row>
    <row r="37282" spans="25:25" x14ac:dyDescent="0.2">
      <c r="Y37282" s="97"/>
    </row>
    <row r="37283" spans="25:25" x14ac:dyDescent="0.2">
      <c r="Y37283" s="97"/>
    </row>
    <row r="37284" spans="25:25" x14ac:dyDescent="0.2">
      <c r="Y37284" s="97"/>
    </row>
    <row r="37285" spans="25:25" x14ac:dyDescent="0.2">
      <c r="Y37285" s="97"/>
    </row>
    <row r="37286" spans="25:25" x14ac:dyDescent="0.2">
      <c r="Y37286" s="97"/>
    </row>
    <row r="37287" spans="25:25" x14ac:dyDescent="0.2">
      <c r="Y37287" s="97"/>
    </row>
    <row r="37288" spans="25:25" x14ac:dyDescent="0.2">
      <c r="Y37288" s="97"/>
    </row>
    <row r="37289" spans="25:25" x14ac:dyDescent="0.2">
      <c r="Y37289" s="97"/>
    </row>
    <row r="37290" spans="25:25" x14ac:dyDescent="0.2">
      <c r="Y37290" s="97"/>
    </row>
    <row r="37291" spans="25:25" x14ac:dyDescent="0.2">
      <c r="Y37291" s="97"/>
    </row>
    <row r="37292" spans="25:25" x14ac:dyDescent="0.2">
      <c r="Y37292" s="97"/>
    </row>
    <row r="37293" spans="25:25" x14ac:dyDescent="0.2">
      <c r="Y37293" s="97"/>
    </row>
    <row r="37294" spans="25:25" x14ac:dyDescent="0.2">
      <c r="Y37294" s="97"/>
    </row>
    <row r="37295" spans="25:25" x14ac:dyDescent="0.2">
      <c r="Y37295" s="97"/>
    </row>
    <row r="37296" spans="25:25" x14ac:dyDescent="0.2">
      <c r="Y37296" s="97"/>
    </row>
    <row r="37297" spans="25:25" x14ac:dyDescent="0.2">
      <c r="Y37297" s="97"/>
    </row>
    <row r="37298" spans="25:25" x14ac:dyDescent="0.2">
      <c r="Y37298" s="97"/>
    </row>
    <row r="37299" spans="25:25" x14ac:dyDescent="0.2">
      <c r="Y37299" s="97"/>
    </row>
    <row r="37300" spans="25:25" x14ac:dyDescent="0.2">
      <c r="Y37300" s="97"/>
    </row>
    <row r="37301" spans="25:25" x14ac:dyDescent="0.2">
      <c r="Y37301" s="97"/>
    </row>
    <row r="37302" spans="25:25" x14ac:dyDescent="0.2">
      <c r="Y37302" s="97"/>
    </row>
    <row r="37303" spans="25:25" x14ac:dyDescent="0.2">
      <c r="Y37303" s="97"/>
    </row>
    <row r="37304" spans="25:25" x14ac:dyDescent="0.2">
      <c r="Y37304" s="97"/>
    </row>
    <row r="37305" spans="25:25" x14ac:dyDescent="0.2">
      <c r="Y37305" s="97"/>
    </row>
    <row r="37306" spans="25:25" x14ac:dyDescent="0.2">
      <c r="Y37306" s="97"/>
    </row>
    <row r="37307" spans="25:25" x14ac:dyDescent="0.2">
      <c r="Y37307" s="97"/>
    </row>
    <row r="37308" spans="25:25" x14ac:dyDescent="0.2">
      <c r="Y37308" s="97"/>
    </row>
    <row r="37309" spans="25:25" x14ac:dyDescent="0.2">
      <c r="Y37309" s="97"/>
    </row>
    <row r="37310" spans="25:25" x14ac:dyDescent="0.2">
      <c r="Y37310" s="97"/>
    </row>
    <row r="37311" spans="25:25" x14ac:dyDescent="0.2">
      <c r="Y37311" s="97"/>
    </row>
    <row r="37312" spans="25:25" x14ac:dyDescent="0.2">
      <c r="Y37312" s="97"/>
    </row>
    <row r="37313" spans="25:25" x14ac:dyDescent="0.2">
      <c r="Y37313" s="97"/>
    </row>
    <row r="37314" spans="25:25" x14ac:dyDescent="0.2">
      <c r="Y37314" s="97"/>
    </row>
    <row r="37315" spans="25:25" x14ac:dyDescent="0.2">
      <c r="Y37315" s="97"/>
    </row>
    <row r="37316" spans="25:25" x14ac:dyDescent="0.2">
      <c r="Y37316" s="97"/>
    </row>
    <row r="37317" spans="25:25" x14ac:dyDescent="0.2">
      <c r="Y37317" s="97"/>
    </row>
    <row r="37318" spans="25:25" x14ac:dyDescent="0.2">
      <c r="Y37318" s="97"/>
    </row>
    <row r="37319" spans="25:25" x14ac:dyDescent="0.2">
      <c r="Y37319" s="97"/>
    </row>
    <row r="37320" spans="25:25" x14ac:dyDescent="0.2">
      <c r="Y37320" s="97"/>
    </row>
    <row r="37321" spans="25:25" x14ac:dyDescent="0.2">
      <c r="Y37321" s="97"/>
    </row>
    <row r="37322" spans="25:25" x14ac:dyDescent="0.2">
      <c r="Y37322" s="97"/>
    </row>
    <row r="37323" spans="25:25" x14ac:dyDescent="0.2">
      <c r="Y37323" s="97"/>
    </row>
    <row r="37324" spans="25:25" x14ac:dyDescent="0.2">
      <c r="Y37324" s="97"/>
    </row>
    <row r="37325" spans="25:25" x14ac:dyDescent="0.2">
      <c r="Y37325" s="97"/>
    </row>
    <row r="37326" spans="25:25" x14ac:dyDescent="0.2">
      <c r="Y37326" s="97"/>
    </row>
    <row r="37327" spans="25:25" x14ac:dyDescent="0.2">
      <c r="Y37327" s="97"/>
    </row>
    <row r="37328" spans="25:25" x14ac:dyDescent="0.2">
      <c r="Y37328" s="97"/>
    </row>
    <row r="37329" spans="25:25" x14ac:dyDescent="0.2">
      <c r="Y37329" s="97"/>
    </row>
    <row r="37330" spans="25:25" x14ac:dyDescent="0.2">
      <c r="Y37330" s="97"/>
    </row>
    <row r="37331" spans="25:25" x14ac:dyDescent="0.2">
      <c r="Y37331" s="97"/>
    </row>
    <row r="37332" spans="25:25" x14ac:dyDescent="0.2">
      <c r="Y37332" s="97"/>
    </row>
    <row r="37333" spans="25:25" x14ac:dyDescent="0.2">
      <c r="Y37333" s="97"/>
    </row>
    <row r="37334" spans="25:25" x14ac:dyDescent="0.2">
      <c r="Y37334" s="97"/>
    </row>
    <row r="37335" spans="25:25" x14ac:dyDescent="0.2">
      <c r="Y37335" s="97"/>
    </row>
    <row r="37336" spans="25:25" x14ac:dyDescent="0.2">
      <c r="Y37336" s="97"/>
    </row>
    <row r="37337" spans="25:25" x14ac:dyDescent="0.2">
      <c r="Y37337" s="97"/>
    </row>
    <row r="37338" spans="25:25" x14ac:dyDescent="0.2">
      <c r="Y37338" s="97"/>
    </row>
    <row r="37339" spans="25:25" x14ac:dyDescent="0.2">
      <c r="Y37339" s="97"/>
    </row>
    <row r="37340" spans="25:25" x14ac:dyDescent="0.2">
      <c r="Y37340" s="97"/>
    </row>
    <row r="37341" spans="25:25" x14ac:dyDescent="0.2">
      <c r="Y37341" s="97"/>
    </row>
    <row r="37342" spans="25:25" x14ac:dyDescent="0.2">
      <c r="Y37342" s="97"/>
    </row>
    <row r="37343" spans="25:25" x14ac:dyDescent="0.2">
      <c r="Y37343" s="97"/>
    </row>
    <row r="37344" spans="25:25" x14ac:dyDescent="0.2">
      <c r="Y37344" s="97"/>
    </row>
    <row r="37345" spans="25:25" x14ac:dyDescent="0.2">
      <c r="Y37345" s="97"/>
    </row>
    <row r="37346" spans="25:25" x14ac:dyDescent="0.2">
      <c r="Y37346" s="97"/>
    </row>
    <row r="37347" spans="25:25" x14ac:dyDescent="0.2">
      <c r="Y37347" s="97"/>
    </row>
    <row r="37348" spans="25:25" x14ac:dyDescent="0.2">
      <c r="Y37348" s="97"/>
    </row>
    <row r="37349" spans="25:25" x14ac:dyDescent="0.2">
      <c r="Y37349" s="97"/>
    </row>
    <row r="37350" spans="25:25" x14ac:dyDescent="0.2">
      <c r="Y37350" s="97"/>
    </row>
    <row r="37351" spans="25:25" x14ac:dyDescent="0.2">
      <c r="Y37351" s="97"/>
    </row>
    <row r="37352" spans="25:25" x14ac:dyDescent="0.2">
      <c r="Y37352" s="97"/>
    </row>
    <row r="37353" spans="25:25" x14ac:dyDescent="0.2">
      <c r="Y37353" s="97"/>
    </row>
    <row r="37354" spans="25:25" x14ac:dyDescent="0.2">
      <c r="Y37354" s="97"/>
    </row>
    <row r="37355" spans="25:25" x14ac:dyDescent="0.2">
      <c r="Y37355" s="97"/>
    </row>
    <row r="37356" spans="25:25" x14ac:dyDescent="0.2">
      <c r="Y37356" s="97"/>
    </row>
    <row r="37357" spans="25:25" x14ac:dyDescent="0.2">
      <c r="Y37357" s="97"/>
    </row>
    <row r="37358" spans="25:25" x14ac:dyDescent="0.2">
      <c r="Y37358" s="97"/>
    </row>
    <row r="37359" spans="25:25" x14ac:dyDescent="0.2">
      <c r="Y37359" s="97"/>
    </row>
    <row r="37360" spans="25:25" x14ac:dyDescent="0.2">
      <c r="Y37360" s="97"/>
    </row>
    <row r="37361" spans="25:25" x14ac:dyDescent="0.2">
      <c r="Y37361" s="97"/>
    </row>
    <row r="37362" spans="25:25" x14ac:dyDescent="0.2">
      <c r="Y37362" s="97"/>
    </row>
    <row r="37363" spans="25:25" x14ac:dyDescent="0.2">
      <c r="Y37363" s="97"/>
    </row>
    <row r="37364" spans="25:25" x14ac:dyDescent="0.2">
      <c r="Y37364" s="97"/>
    </row>
    <row r="37365" spans="25:25" x14ac:dyDescent="0.2">
      <c r="Y37365" s="97"/>
    </row>
    <row r="37366" spans="25:25" x14ac:dyDescent="0.2">
      <c r="Y37366" s="97"/>
    </row>
    <row r="37367" spans="25:25" x14ac:dyDescent="0.2">
      <c r="Y37367" s="97"/>
    </row>
    <row r="37368" spans="25:25" x14ac:dyDescent="0.2">
      <c r="Y37368" s="97"/>
    </row>
    <row r="37369" spans="25:25" x14ac:dyDescent="0.2">
      <c r="Y37369" s="97"/>
    </row>
    <row r="37370" spans="25:25" x14ac:dyDescent="0.2">
      <c r="Y37370" s="97"/>
    </row>
    <row r="37371" spans="25:25" x14ac:dyDescent="0.2">
      <c r="Y37371" s="97"/>
    </row>
    <row r="37372" spans="25:25" x14ac:dyDescent="0.2">
      <c r="Y37372" s="97"/>
    </row>
    <row r="37373" spans="25:25" x14ac:dyDescent="0.2">
      <c r="Y37373" s="97"/>
    </row>
    <row r="37374" spans="25:25" x14ac:dyDescent="0.2">
      <c r="Y37374" s="97"/>
    </row>
    <row r="37375" spans="25:25" x14ac:dyDescent="0.2">
      <c r="Y37375" s="97"/>
    </row>
    <row r="37376" spans="25:25" x14ac:dyDescent="0.2">
      <c r="Y37376" s="97"/>
    </row>
    <row r="37377" spans="25:25" x14ac:dyDescent="0.2">
      <c r="Y37377" s="97"/>
    </row>
    <row r="37378" spans="25:25" x14ac:dyDescent="0.2">
      <c r="Y37378" s="97"/>
    </row>
    <row r="37379" spans="25:25" x14ac:dyDescent="0.2">
      <c r="Y37379" s="97"/>
    </row>
    <row r="37380" spans="25:25" x14ac:dyDescent="0.2">
      <c r="Y37380" s="97"/>
    </row>
    <row r="37381" spans="25:25" x14ac:dyDescent="0.2">
      <c r="Y37381" s="97"/>
    </row>
    <row r="37382" spans="25:25" x14ac:dyDescent="0.2">
      <c r="Y37382" s="97"/>
    </row>
    <row r="37383" spans="25:25" x14ac:dyDescent="0.2">
      <c r="Y37383" s="97"/>
    </row>
    <row r="37384" spans="25:25" x14ac:dyDescent="0.2">
      <c r="Y37384" s="97"/>
    </row>
    <row r="37385" spans="25:25" x14ac:dyDescent="0.2">
      <c r="Y37385" s="97"/>
    </row>
    <row r="37386" spans="25:25" x14ac:dyDescent="0.2">
      <c r="Y37386" s="97"/>
    </row>
    <row r="37387" spans="25:25" x14ac:dyDescent="0.2">
      <c r="Y37387" s="97"/>
    </row>
    <row r="37388" spans="25:25" x14ac:dyDescent="0.2">
      <c r="Y37388" s="97"/>
    </row>
    <row r="37389" spans="25:25" x14ac:dyDescent="0.2">
      <c r="Y37389" s="97"/>
    </row>
    <row r="37390" spans="25:25" x14ac:dyDescent="0.2">
      <c r="Y37390" s="97"/>
    </row>
    <row r="37391" spans="25:25" x14ac:dyDescent="0.2">
      <c r="Y37391" s="97"/>
    </row>
    <row r="37392" spans="25:25" x14ac:dyDescent="0.2">
      <c r="Y37392" s="97"/>
    </row>
    <row r="37393" spans="25:25" x14ac:dyDescent="0.2">
      <c r="Y37393" s="97"/>
    </row>
    <row r="37394" spans="25:25" x14ac:dyDescent="0.2">
      <c r="Y37394" s="97"/>
    </row>
    <row r="37395" spans="25:25" x14ac:dyDescent="0.2">
      <c r="Y37395" s="97"/>
    </row>
    <row r="37396" spans="25:25" x14ac:dyDescent="0.2">
      <c r="Y37396" s="97"/>
    </row>
    <row r="37397" spans="25:25" x14ac:dyDescent="0.2">
      <c r="Y37397" s="97"/>
    </row>
    <row r="37398" spans="25:25" x14ac:dyDescent="0.2">
      <c r="Y37398" s="97"/>
    </row>
    <row r="37399" spans="25:25" x14ac:dyDescent="0.2">
      <c r="Y37399" s="97"/>
    </row>
    <row r="37400" spans="25:25" x14ac:dyDescent="0.2">
      <c r="Y37400" s="97"/>
    </row>
    <row r="37401" spans="25:25" x14ac:dyDescent="0.2">
      <c r="Y37401" s="97"/>
    </row>
    <row r="37402" spans="25:25" x14ac:dyDescent="0.2">
      <c r="Y37402" s="97"/>
    </row>
    <row r="37403" spans="25:25" x14ac:dyDescent="0.2">
      <c r="Y37403" s="97"/>
    </row>
    <row r="37404" spans="25:25" x14ac:dyDescent="0.2">
      <c r="Y37404" s="97"/>
    </row>
    <row r="37405" spans="25:25" x14ac:dyDescent="0.2">
      <c r="Y37405" s="97"/>
    </row>
    <row r="37406" spans="25:25" x14ac:dyDescent="0.2">
      <c r="Y37406" s="97"/>
    </row>
    <row r="37407" spans="25:25" x14ac:dyDescent="0.2">
      <c r="Y37407" s="97"/>
    </row>
    <row r="37408" spans="25:25" x14ac:dyDescent="0.2">
      <c r="Y37408" s="97"/>
    </row>
    <row r="37409" spans="25:25" x14ac:dyDescent="0.2">
      <c r="Y37409" s="97"/>
    </row>
    <row r="37410" spans="25:25" x14ac:dyDescent="0.2">
      <c r="Y37410" s="97"/>
    </row>
    <row r="37411" spans="25:25" x14ac:dyDescent="0.2">
      <c r="Y37411" s="97"/>
    </row>
    <row r="37412" spans="25:25" x14ac:dyDescent="0.2">
      <c r="Y37412" s="97"/>
    </row>
    <row r="37413" spans="25:25" x14ac:dyDescent="0.2">
      <c r="Y37413" s="97"/>
    </row>
    <row r="37414" spans="25:25" x14ac:dyDescent="0.2">
      <c r="Y37414" s="97"/>
    </row>
    <row r="37415" spans="25:25" x14ac:dyDescent="0.2">
      <c r="Y37415" s="97"/>
    </row>
    <row r="37416" spans="25:25" x14ac:dyDescent="0.2">
      <c r="Y37416" s="97"/>
    </row>
    <row r="37417" spans="25:25" x14ac:dyDescent="0.2">
      <c r="Y37417" s="97"/>
    </row>
    <row r="37418" spans="25:25" x14ac:dyDescent="0.2">
      <c r="Y37418" s="97"/>
    </row>
    <row r="37419" spans="25:25" x14ac:dyDescent="0.2">
      <c r="Y37419" s="97"/>
    </row>
    <row r="37420" spans="25:25" x14ac:dyDescent="0.2">
      <c r="Y37420" s="97"/>
    </row>
    <row r="37421" spans="25:25" x14ac:dyDescent="0.2">
      <c r="Y37421" s="97"/>
    </row>
    <row r="37422" spans="25:25" x14ac:dyDescent="0.2">
      <c r="Y37422" s="97"/>
    </row>
    <row r="37423" spans="25:25" x14ac:dyDescent="0.2">
      <c r="Y37423" s="97"/>
    </row>
    <row r="37424" spans="25:25" x14ac:dyDescent="0.2">
      <c r="Y37424" s="97"/>
    </row>
    <row r="37425" spans="25:25" x14ac:dyDescent="0.2">
      <c r="Y37425" s="97"/>
    </row>
    <row r="37426" spans="25:25" x14ac:dyDescent="0.2">
      <c r="Y37426" s="97"/>
    </row>
    <row r="37427" spans="25:25" x14ac:dyDescent="0.2">
      <c r="Y37427" s="97"/>
    </row>
    <row r="37428" spans="25:25" x14ac:dyDescent="0.2">
      <c r="Y37428" s="97"/>
    </row>
    <row r="37429" spans="25:25" x14ac:dyDescent="0.2">
      <c r="Y37429" s="97"/>
    </row>
    <row r="37430" spans="25:25" x14ac:dyDescent="0.2">
      <c r="Y37430" s="97"/>
    </row>
    <row r="37431" spans="25:25" x14ac:dyDescent="0.2">
      <c r="Y37431" s="97"/>
    </row>
    <row r="37432" spans="25:25" x14ac:dyDescent="0.2">
      <c r="Y37432" s="97"/>
    </row>
    <row r="37433" spans="25:25" x14ac:dyDescent="0.2">
      <c r="Y37433" s="97"/>
    </row>
    <row r="37434" spans="25:25" x14ac:dyDescent="0.2">
      <c r="Y37434" s="97"/>
    </row>
    <row r="37435" spans="25:25" x14ac:dyDescent="0.2">
      <c r="Y37435" s="97"/>
    </row>
    <row r="37436" spans="25:25" x14ac:dyDescent="0.2">
      <c r="Y37436" s="97"/>
    </row>
    <row r="37437" spans="25:25" x14ac:dyDescent="0.2">
      <c r="Y37437" s="97"/>
    </row>
    <row r="37438" spans="25:25" x14ac:dyDescent="0.2">
      <c r="Y37438" s="97"/>
    </row>
    <row r="37439" spans="25:25" x14ac:dyDescent="0.2">
      <c r="Y37439" s="97"/>
    </row>
    <row r="37440" spans="25:25" x14ac:dyDescent="0.2">
      <c r="Y37440" s="97"/>
    </row>
    <row r="37441" spans="25:25" x14ac:dyDescent="0.2">
      <c r="Y37441" s="97"/>
    </row>
    <row r="37442" spans="25:25" x14ac:dyDescent="0.2">
      <c r="Y37442" s="97"/>
    </row>
    <row r="37443" spans="25:25" x14ac:dyDescent="0.2">
      <c r="Y37443" s="97"/>
    </row>
    <row r="37444" spans="25:25" x14ac:dyDescent="0.2">
      <c r="Y37444" s="97"/>
    </row>
    <row r="37445" spans="25:25" x14ac:dyDescent="0.2">
      <c r="Y37445" s="97"/>
    </row>
    <row r="37446" spans="25:25" x14ac:dyDescent="0.2">
      <c r="Y37446" s="97"/>
    </row>
    <row r="37447" spans="25:25" x14ac:dyDescent="0.2">
      <c r="Y37447" s="97"/>
    </row>
    <row r="37448" spans="25:25" x14ac:dyDescent="0.2">
      <c r="Y37448" s="97"/>
    </row>
    <row r="37449" spans="25:25" x14ac:dyDescent="0.2">
      <c r="Y37449" s="97"/>
    </row>
    <row r="37450" spans="25:25" x14ac:dyDescent="0.2">
      <c r="Y37450" s="97"/>
    </row>
    <row r="37451" spans="25:25" x14ac:dyDescent="0.2">
      <c r="Y37451" s="97"/>
    </row>
    <row r="37452" spans="25:25" x14ac:dyDescent="0.2">
      <c r="Y37452" s="97"/>
    </row>
    <row r="37453" spans="25:25" x14ac:dyDescent="0.2">
      <c r="Y37453" s="97"/>
    </row>
    <row r="37454" spans="25:25" x14ac:dyDescent="0.2">
      <c r="Y37454" s="97"/>
    </row>
    <row r="37455" spans="25:25" x14ac:dyDescent="0.2">
      <c r="Y37455" s="97"/>
    </row>
    <row r="37456" spans="25:25" x14ac:dyDescent="0.2">
      <c r="Y37456" s="97"/>
    </row>
    <row r="37457" spans="25:25" x14ac:dyDescent="0.2">
      <c r="Y37457" s="97"/>
    </row>
    <row r="37458" spans="25:25" x14ac:dyDescent="0.2">
      <c r="Y37458" s="97"/>
    </row>
    <row r="37459" spans="25:25" x14ac:dyDescent="0.2">
      <c r="Y37459" s="97"/>
    </row>
    <row r="37460" spans="25:25" x14ac:dyDescent="0.2">
      <c r="Y37460" s="97"/>
    </row>
    <row r="37461" spans="25:25" x14ac:dyDescent="0.2">
      <c r="Y37461" s="97"/>
    </row>
    <row r="37462" spans="25:25" x14ac:dyDescent="0.2">
      <c r="Y37462" s="97"/>
    </row>
    <row r="37463" spans="25:25" x14ac:dyDescent="0.2">
      <c r="Y37463" s="97"/>
    </row>
    <row r="37464" spans="25:25" x14ac:dyDescent="0.2">
      <c r="Y37464" s="97"/>
    </row>
    <row r="37465" spans="25:25" x14ac:dyDescent="0.2">
      <c r="Y37465" s="97"/>
    </row>
    <row r="37466" spans="25:25" x14ac:dyDescent="0.2">
      <c r="Y37466" s="97"/>
    </row>
    <row r="37467" spans="25:25" x14ac:dyDescent="0.2">
      <c r="Y37467" s="97"/>
    </row>
    <row r="37468" spans="25:25" x14ac:dyDescent="0.2">
      <c r="Y37468" s="97"/>
    </row>
    <row r="37469" spans="25:25" x14ac:dyDescent="0.2">
      <c r="Y37469" s="97"/>
    </row>
    <row r="37470" spans="25:25" x14ac:dyDescent="0.2">
      <c r="Y37470" s="97"/>
    </row>
    <row r="37471" spans="25:25" x14ac:dyDescent="0.2">
      <c r="Y37471" s="97"/>
    </row>
    <row r="37472" spans="25:25" x14ac:dyDescent="0.2">
      <c r="Y37472" s="97"/>
    </row>
    <row r="37473" spans="25:25" x14ac:dyDescent="0.2">
      <c r="Y37473" s="97"/>
    </row>
    <row r="37474" spans="25:25" x14ac:dyDescent="0.2">
      <c r="Y37474" s="97"/>
    </row>
    <row r="37475" spans="25:25" x14ac:dyDescent="0.2">
      <c r="Y37475" s="97"/>
    </row>
    <row r="37476" spans="25:25" x14ac:dyDescent="0.2">
      <c r="Y37476" s="97"/>
    </row>
    <row r="37477" spans="25:25" x14ac:dyDescent="0.2">
      <c r="Y37477" s="97"/>
    </row>
    <row r="37478" spans="25:25" x14ac:dyDescent="0.2">
      <c r="Y37478" s="97"/>
    </row>
    <row r="37479" spans="25:25" x14ac:dyDescent="0.2">
      <c r="Y37479" s="97"/>
    </row>
    <row r="37480" spans="25:25" x14ac:dyDescent="0.2">
      <c r="Y37480" s="97"/>
    </row>
    <row r="37481" spans="25:25" x14ac:dyDescent="0.2">
      <c r="Y37481" s="97"/>
    </row>
    <row r="37482" spans="25:25" x14ac:dyDescent="0.2">
      <c r="Y37482" s="97"/>
    </row>
    <row r="37483" spans="25:25" x14ac:dyDescent="0.2">
      <c r="Y37483" s="97"/>
    </row>
    <row r="37484" spans="25:25" x14ac:dyDescent="0.2">
      <c r="Y37484" s="97"/>
    </row>
    <row r="37485" spans="25:25" x14ac:dyDescent="0.2">
      <c r="Y37485" s="97"/>
    </row>
    <row r="37486" spans="25:25" x14ac:dyDescent="0.2">
      <c r="Y37486" s="97"/>
    </row>
    <row r="37487" spans="25:25" x14ac:dyDescent="0.2">
      <c r="Y37487" s="97"/>
    </row>
    <row r="37488" spans="25:25" x14ac:dyDescent="0.2">
      <c r="Y37488" s="97"/>
    </row>
    <row r="37489" spans="25:25" x14ac:dyDescent="0.2">
      <c r="Y37489" s="97"/>
    </row>
    <row r="37490" spans="25:25" x14ac:dyDescent="0.2">
      <c r="Y37490" s="97"/>
    </row>
    <row r="37491" spans="25:25" x14ac:dyDescent="0.2">
      <c r="Y37491" s="97"/>
    </row>
    <row r="37492" spans="25:25" x14ac:dyDescent="0.2">
      <c r="Y37492" s="97"/>
    </row>
    <row r="37493" spans="25:25" x14ac:dyDescent="0.2">
      <c r="Y37493" s="97"/>
    </row>
    <row r="37494" spans="25:25" x14ac:dyDescent="0.2">
      <c r="Y37494" s="97"/>
    </row>
    <row r="37495" spans="25:25" x14ac:dyDescent="0.2">
      <c r="Y37495" s="97"/>
    </row>
    <row r="37496" spans="25:25" x14ac:dyDescent="0.2">
      <c r="Y37496" s="97"/>
    </row>
    <row r="37497" spans="25:25" x14ac:dyDescent="0.2">
      <c r="Y37497" s="97"/>
    </row>
    <row r="37498" spans="25:25" x14ac:dyDescent="0.2">
      <c r="Y37498" s="97"/>
    </row>
    <row r="37499" spans="25:25" x14ac:dyDescent="0.2">
      <c r="Y37499" s="97"/>
    </row>
    <row r="37500" spans="25:25" x14ac:dyDescent="0.2">
      <c r="Y37500" s="97"/>
    </row>
    <row r="37501" spans="25:25" x14ac:dyDescent="0.2">
      <c r="Y37501" s="97"/>
    </row>
    <row r="37502" spans="25:25" x14ac:dyDescent="0.2">
      <c r="Y37502" s="97"/>
    </row>
    <row r="37503" spans="25:25" x14ac:dyDescent="0.2">
      <c r="Y37503" s="97"/>
    </row>
    <row r="37504" spans="25:25" x14ac:dyDescent="0.2">
      <c r="Y37504" s="97"/>
    </row>
    <row r="37505" spans="25:25" x14ac:dyDescent="0.2">
      <c r="Y37505" s="97"/>
    </row>
    <row r="37506" spans="25:25" x14ac:dyDescent="0.2">
      <c r="Y37506" s="97"/>
    </row>
    <row r="37507" spans="25:25" x14ac:dyDescent="0.2">
      <c r="Y37507" s="97"/>
    </row>
    <row r="37508" spans="25:25" x14ac:dyDescent="0.2">
      <c r="Y37508" s="97"/>
    </row>
    <row r="37509" spans="25:25" x14ac:dyDescent="0.2">
      <c r="Y37509" s="97"/>
    </row>
    <row r="37510" spans="25:25" x14ac:dyDescent="0.2">
      <c r="Y37510" s="97"/>
    </row>
    <row r="37511" spans="25:25" x14ac:dyDescent="0.2">
      <c r="Y37511" s="97"/>
    </row>
    <row r="37512" spans="25:25" x14ac:dyDescent="0.2">
      <c r="Y37512" s="97"/>
    </row>
    <row r="37513" spans="25:25" x14ac:dyDescent="0.2">
      <c r="Y37513" s="97"/>
    </row>
    <row r="37514" spans="25:25" x14ac:dyDescent="0.2">
      <c r="Y37514" s="97"/>
    </row>
    <row r="37515" spans="25:25" x14ac:dyDescent="0.2">
      <c r="Y37515" s="97"/>
    </row>
    <row r="37516" spans="25:25" x14ac:dyDescent="0.2">
      <c r="Y37516" s="97"/>
    </row>
    <row r="37517" spans="25:25" x14ac:dyDescent="0.2">
      <c r="Y37517" s="97"/>
    </row>
    <row r="37518" spans="25:25" x14ac:dyDescent="0.2">
      <c r="Y37518" s="97"/>
    </row>
    <row r="37519" spans="25:25" x14ac:dyDescent="0.2">
      <c r="Y37519" s="97"/>
    </row>
    <row r="37520" spans="25:25" x14ac:dyDescent="0.2">
      <c r="Y37520" s="97"/>
    </row>
    <row r="37521" spans="25:25" x14ac:dyDescent="0.2">
      <c r="Y37521" s="97"/>
    </row>
    <row r="37522" spans="25:25" x14ac:dyDescent="0.2">
      <c r="Y37522" s="97"/>
    </row>
    <row r="37523" spans="25:25" x14ac:dyDescent="0.2">
      <c r="Y37523" s="97"/>
    </row>
    <row r="37524" spans="25:25" x14ac:dyDescent="0.2">
      <c r="Y37524" s="97"/>
    </row>
    <row r="37525" spans="25:25" x14ac:dyDescent="0.2">
      <c r="Y37525" s="97"/>
    </row>
    <row r="37526" spans="25:25" x14ac:dyDescent="0.2">
      <c r="Y37526" s="97"/>
    </row>
    <row r="37527" spans="25:25" x14ac:dyDescent="0.2">
      <c r="Y37527" s="97"/>
    </row>
    <row r="37528" spans="25:25" x14ac:dyDescent="0.2">
      <c r="Y37528" s="97"/>
    </row>
    <row r="37529" spans="25:25" x14ac:dyDescent="0.2">
      <c r="Y37529" s="97"/>
    </row>
    <row r="37530" spans="25:25" x14ac:dyDescent="0.2">
      <c r="Y37530" s="97"/>
    </row>
    <row r="37531" spans="25:25" x14ac:dyDescent="0.2">
      <c r="Y37531" s="97"/>
    </row>
    <row r="37532" spans="25:25" x14ac:dyDescent="0.2">
      <c r="Y37532" s="97"/>
    </row>
    <row r="37533" spans="25:25" x14ac:dyDescent="0.2">
      <c r="Y37533" s="97"/>
    </row>
    <row r="37534" spans="25:25" x14ac:dyDescent="0.2">
      <c r="Y37534" s="97"/>
    </row>
    <row r="37535" spans="25:25" x14ac:dyDescent="0.2">
      <c r="Y37535" s="97"/>
    </row>
    <row r="37536" spans="25:25" x14ac:dyDescent="0.2">
      <c r="Y37536" s="97"/>
    </row>
    <row r="37537" spans="25:25" x14ac:dyDescent="0.2">
      <c r="Y37537" s="97"/>
    </row>
    <row r="37538" spans="25:25" x14ac:dyDescent="0.2">
      <c r="Y37538" s="97"/>
    </row>
    <row r="37539" spans="25:25" x14ac:dyDescent="0.2">
      <c r="Y37539" s="97"/>
    </row>
    <row r="37540" spans="25:25" x14ac:dyDescent="0.2">
      <c r="Y37540" s="97"/>
    </row>
    <row r="37541" spans="25:25" x14ac:dyDescent="0.2">
      <c r="Y37541" s="97"/>
    </row>
    <row r="37542" spans="25:25" x14ac:dyDescent="0.2">
      <c r="Y37542" s="97"/>
    </row>
    <row r="37543" spans="25:25" x14ac:dyDescent="0.2">
      <c r="Y37543" s="97"/>
    </row>
    <row r="37544" spans="25:25" x14ac:dyDescent="0.2">
      <c r="Y37544" s="97"/>
    </row>
    <row r="37545" spans="25:25" x14ac:dyDescent="0.2">
      <c r="Y37545" s="97"/>
    </row>
    <row r="37546" spans="25:25" x14ac:dyDescent="0.2">
      <c r="Y37546" s="97"/>
    </row>
    <row r="37547" spans="25:25" x14ac:dyDescent="0.2">
      <c r="Y37547" s="97"/>
    </row>
    <row r="37548" spans="25:25" x14ac:dyDescent="0.2">
      <c r="Y37548" s="97"/>
    </row>
    <row r="37549" spans="25:25" x14ac:dyDescent="0.2">
      <c r="Y37549" s="97"/>
    </row>
    <row r="37550" spans="25:25" x14ac:dyDescent="0.2">
      <c r="Y37550" s="97"/>
    </row>
    <row r="37551" spans="25:25" x14ac:dyDescent="0.2">
      <c r="Y37551" s="97"/>
    </row>
    <row r="37552" spans="25:25" x14ac:dyDescent="0.2">
      <c r="Y37552" s="97"/>
    </row>
    <row r="37553" spans="25:25" x14ac:dyDescent="0.2">
      <c r="Y37553" s="97"/>
    </row>
    <row r="37554" spans="25:25" x14ac:dyDescent="0.2">
      <c r="Y37554" s="97"/>
    </row>
    <row r="37555" spans="25:25" x14ac:dyDescent="0.2">
      <c r="Y37555" s="97"/>
    </row>
    <row r="37556" spans="25:25" x14ac:dyDescent="0.2">
      <c r="Y37556" s="97"/>
    </row>
    <row r="37557" spans="25:25" x14ac:dyDescent="0.2">
      <c r="Y37557" s="97"/>
    </row>
    <row r="37558" spans="25:25" x14ac:dyDescent="0.2">
      <c r="Y37558" s="97"/>
    </row>
    <row r="37559" spans="25:25" x14ac:dyDescent="0.2">
      <c r="Y37559" s="97"/>
    </row>
    <row r="37560" spans="25:25" x14ac:dyDescent="0.2">
      <c r="Y37560" s="97"/>
    </row>
    <row r="37561" spans="25:25" x14ac:dyDescent="0.2">
      <c r="Y37561" s="97"/>
    </row>
    <row r="37562" spans="25:25" x14ac:dyDescent="0.2">
      <c r="Y37562" s="97"/>
    </row>
    <row r="37563" spans="25:25" x14ac:dyDescent="0.2">
      <c r="Y37563" s="97"/>
    </row>
    <row r="37564" spans="25:25" x14ac:dyDescent="0.2">
      <c r="Y37564" s="97"/>
    </row>
    <row r="37565" spans="25:25" x14ac:dyDescent="0.2">
      <c r="Y37565" s="97"/>
    </row>
    <row r="37566" spans="25:25" x14ac:dyDescent="0.2">
      <c r="Y37566" s="97"/>
    </row>
    <row r="37567" spans="25:25" x14ac:dyDescent="0.2">
      <c r="Y37567" s="97"/>
    </row>
    <row r="37568" spans="25:25" x14ac:dyDescent="0.2">
      <c r="Y37568" s="97"/>
    </row>
    <row r="37569" spans="25:25" x14ac:dyDescent="0.2">
      <c r="Y37569" s="97"/>
    </row>
    <row r="37570" spans="25:25" x14ac:dyDescent="0.2">
      <c r="Y37570" s="97"/>
    </row>
    <row r="37571" spans="25:25" x14ac:dyDescent="0.2">
      <c r="Y37571" s="97"/>
    </row>
    <row r="37572" spans="25:25" x14ac:dyDescent="0.2">
      <c r="Y37572" s="97"/>
    </row>
    <row r="37573" spans="25:25" x14ac:dyDescent="0.2">
      <c r="Y37573" s="97"/>
    </row>
    <row r="37574" spans="25:25" x14ac:dyDescent="0.2">
      <c r="Y37574" s="97"/>
    </row>
    <row r="37575" spans="25:25" x14ac:dyDescent="0.2">
      <c r="Y37575" s="97"/>
    </row>
    <row r="37576" spans="25:25" x14ac:dyDescent="0.2">
      <c r="Y37576" s="97"/>
    </row>
    <row r="37577" spans="25:25" x14ac:dyDescent="0.2">
      <c r="Y37577" s="97"/>
    </row>
    <row r="37578" spans="25:25" x14ac:dyDescent="0.2">
      <c r="Y37578" s="97"/>
    </row>
    <row r="37579" spans="25:25" x14ac:dyDescent="0.2">
      <c r="Y37579" s="97"/>
    </row>
    <row r="37580" spans="25:25" x14ac:dyDescent="0.2">
      <c r="Y37580" s="97"/>
    </row>
    <row r="37581" spans="25:25" x14ac:dyDescent="0.2">
      <c r="Y37581" s="97"/>
    </row>
    <row r="37582" spans="25:25" x14ac:dyDescent="0.2">
      <c r="Y37582" s="97"/>
    </row>
    <row r="37583" spans="25:25" x14ac:dyDescent="0.2">
      <c r="Y37583" s="97"/>
    </row>
    <row r="37584" spans="25:25" x14ac:dyDescent="0.2">
      <c r="Y37584" s="97"/>
    </row>
    <row r="37585" spans="25:25" x14ac:dyDescent="0.2">
      <c r="Y37585" s="97"/>
    </row>
    <row r="37586" spans="25:25" x14ac:dyDescent="0.2">
      <c r="Y37586" s="97"/>
    </row>
    <row r="37587" spans="25:25" x14ac:dyDescent="0.2">
      <c r="Y37587" s="97"/>
    </row>
    <row r="37588" spans="25:25" x14ac:dyDescent="0.2">
      <c r="Y37588" s="97"/>
    </row>
    <row r="37589" spans="25:25" x14ac:dyDescent="0.2">
      <c r="Y37589" s="97"/>
    </row>
    <row r="37590" spans="25:25" x14ac:dyDescent="0.2">
      <c r="Y37590" s="97"/>
    </row>
    <row r="37591" spans="25:25" x14ac:dyDescent="0.2">
      <c r="Y37591" s="97"/>
    </row>
    <row r="37592" spans="25:25" x14ac:dyDescent="0.2">
      <c r="Y37592" s="97"/>
    </row>
    <row r="37593" spans="25:25" x14ac:dyDescent="0.2">
      <c r="Y37593" s="97"/>
    </row>
    <row r="37594" spans="25:25" x14ac:dyDescent="0.2">
      <c r="Y37594" s="97"/>
    </row>
    <row r="37595" spans="25:25" x14ac:dyDescent="0.2">
      <c r="Y37595" s="97"/>
    </row>
    <row r="37596" spans="25:25" x14ac:dyDescent="0.2">
      <c r="Y37596" s="97"/>
    </row>
    <row r="37597" spans="25:25" x14ac:dyDescent="0.2">
      <c r="Y37597" s="97"/>
    </row>
    <row r="37598" spans="25:25" x14ac:dyDescent="0.2">
      <c r="Y37598" s="97"/>
    </row>
    <row r="37599" spans="25:25" x14ac:dyDescent="0.2">
      <c r="Y37599" s="97"/>
    </row>
    <row r="37600" spans="25:25" x14ac:dyDescent="0.2">
      <c r="Y37600" s="97"/>
    </row>
    <row r="37601" spans="25:25" x14ac:dyDescent="0.2">
      <c r="Y37601" s="97"/>
    </row>
    <row r="37602" spans="25:25" x14ac:dyDescent="0.2">
      <c r="Y37602" s="97"/>
    </row>
    <row r="37603" spans="25:25" x14ac:dyDescent="0.2">
      <c r="Y37603" s="97"/>
    </row>
    <row r="37604" spans="25:25" x14ac:dyDescent="0.2">
      <c r="Y37604" s="97"/>
    </row>
    <row r="37605" spans="25:25" x14ac:dyDescent="0.2">
      <c r="Y37605" s="97"/>
    </row>
    <row r="37606" spans="25:25" x14ac:dyDescent="0.2">
      <c r="Y37606" s="97"/>
    </row>
    <row r="37607" spans="25:25" x14ac:dyDescent="0.2">
      <c r="Y37607" s="97"/>
    </row>
    <row r="37608" spans="25:25" x14ac:dyDescent="0.2">
      <c r="Y37608" s="97"/>
    </row>
    <row r="37609" spans="25:25" x14ac:dyDescent="0.2">
      <c r="Y37609" s="97"/>
    </row>
    <row r="37610" spans="25:25" x14ac:dyDescent="0.2">
      <c r="Y37610" s="97"/>
    </row>
    <row r="37611" spans="25:25" x14ac:dyDescent="0.2">
      <c r="Y37611" s="97"/>
    </row>
    <row r="37612" spans="25:25" x14ac:dyDescent="0.2">
      <c r="Y37612" s="97"/>
    </row>
    <row r="37613" spans="25:25" x14ac:dyDescent="0.2">
      <c r="Y37613" s="97"/>
    </row>
    <row r="37614" spans="25:25" x14ac:dyDescent="0.2">
      <c r="Y37614" s="97"/>
    </row>
    <row r="37615" spans="25:25" x14ac:dyDescent="0.2">
      <c r="Y37615" s="97"/>
    </row>
    <row r="37616" spans="25:25" x14ac:dyDescent="0.2">
      <c r="Y37616" s="97"/>
    </row>
    <row r="37617" spans="25:25" x14ac:dyDescent="0.2">
      <c r="Y37617" s="97"/>
    </row>
    <row r="37618" spans="25:25" x14ac:dyDescent="0.2">
      <c r="Y37618" s="97"/>
    </row>
    <row r="37619" spans="25:25" x14ac:dyDescent="0.2">
      <c r="Y37619" s="97"/>
    </row>
    <row r="37620" spans="25:25" x14ac:dyDescent="0.2">
      <c r="Y37620" s="97"/>
    </row>
    <row r="37621" spans="25:25" x14ac:dyDescent="0.2">
      <c r="Y37621" s="97"/>
    </row>
    <row r="37622" spans="25:25" x14ac:dyDescent="0.2">
      <c r="Y37622" s="97"/>
    </row>
    <row r="37623" spans="25:25" x14ac:dyDescent="0.2">
      <c r="Y37623" s="97"/>
    </row>
    <row r="37624" spans="25:25" x14ac:dyDescent="0.2">
      <c r="Y37624" s="97"/>
    </row>
    <row r="37625" spans="25:25" x14ac:dyDescent="0.2">
      <c r="Y37625" s="97"/>
    </row>
    <row r="37626" spans="25:25" x14ac:dyDescent="0.2">
      <c r="Y37626" s="97"/>
    </row>
    <row r="37627" spans="25:25" x14ac:dyDescent="0.2">
      <c r="Y37627" s="97"/>
    </row>
    <row r="37628" spans="25:25" x14ac:dyDescent="0.2">
      <c r="Y37628" s="97"/>
    </row>
    <row r="37629" spans="25:25" x14ac:dyDescent="0.2">
      <c r="Y37629" s="97"/>
    </row>
    <row r="37630" spans="25:25" x14ac:dyDescent="0.2">
      <c r="Y37630" s="97"/>
    </row>
    <row r="37631" spans="25:25" x14ac:dyDescent="0.2">
      <c r="Y37631" s="97"/>
    </row>
    <row r="37632" spans="25:25" x14ac:dyDescent="0.2">
      <c r="Y37632" s="97"/>
    </row>
    <row r="37633" spans="25:25" x14ac:dyDescent="0.2">
      <c r="Y37633" s="97"/>
    </row>
    <row r="37634" spans="25:25" x14ac:dyDescent="0.2">
      <c r="Y37634" s="97"/>
    </row>
    <row r="37635" spans="25:25" x14ac:dyDescent="0.2">
      <c r="Y37635" s="97"/>
    </row>
    <row r="37636" spans="25:25" x14ac:dyDescent="0.2">
      <c r="Y37636" s="97"/>
    </row>
    <row r="37637" spans="25:25" x14ac:dyDescent="0.2">
      <c r="Y37637" s="97"/>
    </row>
    <row r="37638" spans="25:25" x14ac:dyDescent="0.2">
      <c r="Y37638" s="97"/>
    </row>
    <row r="37639" spans="25:25" x14ac:dyDescent="0.2">
      <c r="Y37639" s="97"/>
    </row>
    <row r="37640" spans="25:25" x14ac:dyDescent="0.2">
      <c r="Y37640" s="97"/>
    </row>
    <row r="37641" spans="25:25" x14ac:dyDescent="0.2">
      <c r="Y37641" s="97"/>
    </row>
    <row r="37642" spans="25:25" x14ac:dyDescent="0.2">
      <c r="Y37642" s="97"/>
    </row>
    <row r="37643" spans="25:25" x14ac:dyDescent="0.2">
      <c r="Y37643" s="97"/>
    </row>
    <row r="37644" spans="25:25" x14ac:dyDescent="0.2">
      <c r="Y37644" s="97"/>
    </row>
    <row r="37645" spans="25:25" x14ac:dyDescent="0.2">
      <c r="Y37645" s="97"/>
    </row>
    <row r="37646" spans="25:25" x14ac:dyDescent="0.2">
      <c r="Y37646" s="97"/>
    </row>
    <row r="37647" spans="25:25" x14ac:dyDescent="0.2">
      <c r="Y37647" s="97"/>
    </row>
    <row r="37648" spans="25:25" x14ac:dyDescent="0.2">
      <c r="Y37648" s="97"/>
    </row>
    <row r="37649" spans="25:25" x14ac:dyDescent="0.2">
      <c r="Y37649" s="97"/>
    </row>
    <row r="37650" spans="25:25" x14ac:dyDescent="0.2">
      <c r="Y37650" s="97"/>
    </row>
    <row r="37651" spans="25:25" x14ac:dyDescent="0.2">
      <c r="Y37651" s="97"/>
    </row>
    <row r="37652" spans="25:25" x14ac:dyDescent="0.2">
      <c r="Y37652" s="97"/>
    </row>
    <row r="37653" spans="25:25" x14ac:dyDescent="0.2">
      <c r="Y37653" s="97"/>
    </row>
    <row r="37654" spans="25:25" x14ac:dyDescent="0.2">
      <c r="Y37654" s="97"/>
    </row>
    <row r="37655" spans="25:25" x14ac:dyDescent="0.2">
      <c r="Y37655" s="97"/>
    </row>
    <row r="37656" spans="25:25" x14ac:dyDescent="0.2">
      <c r="Y37656" s="97"/>
    </row>
    <row r="37657" spans="25:25" x14ac:dyDescent="0.2">
      <c r="Y37657" s="97"/>
    </row>
    <row r="37658" spans="25:25" x14ac:dyDescent="0.2">
      <c r="Y37658" s="97"/>
    </row>
    <row r="37659" spans="25:25" x14ac:dyDescent="0.2">
      <c r="Y37659" s="97"/>
    </row>
    <row r="37660" spans="25:25" x14ac:dyDescent="0.2">
      <c r="Y37660" s="97"/>
    </row>
    <row r="37661" spans="25:25" x14ac:dyDescent="0.2">
      <c r="Y37661" s="97"/>
    </row>
    <row r="37662" spans="25:25" x14ac:dyDescent="0.2">
      <c r="Y37662" s="97"/>
    </row>
    <row r="37663" spans="25:25" x14ac:dyDescent="0.2">
      <c r="Y37663" s="97"/>
    </row>
    <row r="37664" spans="25:25" x14ac:dyDescent="0.2">
      <c r="Y37664" s="97"/>
    </row>
    <row r="37665" spans="25:25" x14ac:dyDescent="0.2">
      <c r="Y37665" s="97"/>
    </row>
    <row r="37666" spans="25:25" x14ac:dyDescent="0.2">
      <c r="Y37666" s="97"/>
    </row>
    <row r="37667" spans="25:25" x14ac:dyDescent="0.2">
      <c r="Y37667" s="97"/>
    </row>
    <row r="37668" spans="25:25" x14ac:dyDescent="0.2">
      <c r="Y37668" s="97"/>
    </row>
    <row r="37669" spans="25:25" x14ac:dyDescent="0.2">
      <c r="Y37669" s="97"/>
    </row>
    <row r="37670" spans="25:25" x14ac:dyDescent="0.2">
      <c r="Y37670" s="97"/>
    </row>
    <row r="37671" spans="25:25" x14ac:dyDescent="0.2">
      <c r="Y37671" s="97"/>
    </row>
    <row r="37672" spans="25:25" x14ac:dyDescent="0.2">
      <c r="Y37672" s="97"/>
    </row>
    <row r="37673" spans="25:25" x14ac:dyDescent="0.2">
      <c r="Y37673" s="97"/>
    </row>
    <row r="37674" spans="25:25" x14ac:dyDescent="0.2">
      <c r="Y37674" s="97"/>
    </row>
    <row r="37675" spans="25:25" x14ac:dyDescent="0.2">
      <c r="Y37675" s="97"/>
    </row>
    <row r="37676" spans="25:25" x14ac:dyDescent="0.2">
      <c r="Y37676" s="97"/>
    </row>
    <row r="37677" spans="25:25" x14ac:dyDescent="0.2">
      <c r="Y37677" s="97"/>
    </row>
    <row r="37678" spans="25:25" x14ac:dyDescent="0.2">
      <c r="Y37678" s="97"/>
    </row>
    <row r="37679" spans="25:25" x14ac:dyDescent="0.2">
      <c r="Y37679" s="97"/>
    </row>
    <row r="37680" spans="25:25" x14ac:dyDescent="0.2">
      <c r="Y37680" s="97"/>
    </row>
    <row r="37681" spans="25:25" x14ac:dyDescent="0.2">
      <c r="Y37681" s="97"/>
    </row>
    <row r="37682" spans="25:25" x14ac:dyDescent="0.2">
      <c r="Y37682" s="97"/>
    </row>
    <row r="37683" spans="25:25" x14ac:dyDescent="0.2">
      <c r="Y37683" s="97"/>
    </row>
    <row r="37684" spans="25:25" x14ac:dyDescent="0.2">
      <c r="Y37684" s="97"/>
    </row>
    <row r="37685" spans="25:25" x14ac:dyDescent="0.2">
      <c r="Y37685" s="97"/>
    </row>
    <row r="37686" spans="25:25" x14ac:dyDescent="0.2">
      <c r="Y37686" s="97"/>
    </row>
    <row r="37687" spans="25:25" x14ac:dyDescent="0.2">
      <c r="Y37687" s="97"/>
    </row>
    <row r="37688" spans="25:25" x14ac:dyDescent="0.2">
      <c r="Y37688" s="97"/>
    </row>
    <row r="37689" spans="25:25" x14ac:dyDescent="0.2">
      <c r="Y37689" s="97"/>
    </row>
    <row r="37690" spans="25:25" x14ac:dyDescent="0.2">
      <c r="Y37690" s="97"/>
    </row>
    <row r="37691" spans="25:25" x14ac:dyDescent="0.2">
      <c r="Y37691" s="97"/>
    </row>
    <row r="37692" spans="25:25" x14ac:dyDescent="0.2">
      <c r="Y37692" s="97"/>
    </row>
    <row r="37693" spans="25:25" x14ac:dyDescent="0.2">
      <c r="Y37693" s="97"/>
    </row>
    <row r="37694" spans="25:25" x14ac:dyDescent="0.2">
      <c r="Y37694" s="97"/>
    </row>
    <row r="37695" spans="25:25" x14ac:dyDescent="0.2">
      <c r="Y37695" s="97"/>
    </row>
    <row r="37696" spans="25:25" x14ac:dyDescent="0.2">
      <c r="Y37696" s="97"/>
    </row>
    <row r="37697" spans="25:25" x14ac:dyDescent="0.2">
      <c r="Y37697" s="97"/>
    </row>
    <row r="37698" spans="25:25" x14ac:dyDescent="0.2">
      <c r="Y37698" s="97"/>
    </row>
    <row r="37699" spans="25:25" x14ac:dyDescent="0.2">
      <c r="Y37699" s="97"/>
    </row>
    <row r="37700" spans="25:25" x14ac:dyDescent="0.2">
      <c r="Y37700" s="97"/>
    </row>
    <row r="37701" spans="25:25" x14ac:dyDescent="0.2">
      <c r="Y37701" s="97"/>
    </row>
    <row r="37702" spans="25:25" x14ac:dyDescent="0.2">
      <c r="Y37702" s="97"/>
    </row>
    <row r="37703" spans="25:25" x14ac:dyDescent="0.2">
      <c r="Y37703" s="97"/>
    </row>
    <row r="37704" spans="25:25" x14ac:dyDescent="0.2">
      <c r="Y37704" s="97"/>
    </row>
    <row r="37705" spans="25:25" x14ac:dyDescent="0.2">
      <c r="Y37705" s="97"/>
    </row>
    <row r="37706" spans="25:25" x14ac:dyDescent="0.2">
      <c r="Y37706" s="97"/>
    </row>
    <row r="37707" spans="25:25" x14ac:dyDescent="0.2">
      <c r="Y37707" s="97"/>
    </row>
    <row r="37708" spans="25:25" x14ac:dyDescent="0.2">
      <c r="Y37708" s="97"/>
    </row>
    <row r="37709" spans="25:25" x14ac:dyDescent="0.2">
      <c r="Y37709" s="97"/>
    </row>
    <row r="37710" spans="25:25" x14ac:dyDescent="0.2">
      <c r="Y37710" s="97"/>
    </row>
    <row r="37711" spans="25:25" x14ac:dyDescent="0.2">
      <c r="Y37711" s="97"/>
    </row>
    <row r="37712" spans="25:25" x14ac:dyDescent="0.2">
      <c r="Y37712" s="97"/>
    </row>
    <row r="37713" spans="25:25" x14ac:dyDescent="0.2">
      <c r="Y37713" s="97"/>
    </row>
    <row r="37714" spans="25:25" x14ac:dyDescent="0.2">
      <c r="Y37714" s="97"/>
    </row>
    <row r="37715" spans="25:25" x14ac:dyDescent="0.2">
      <c r="Y37715" s="97"/>
    </row>
    <row r="37716" spans="25:25" x14ac:dyDescent="0.2">
      <c r="Y37716" s="97"/>
    </row>
    <row r="37717" spans="25:25" x14ac:dyDescent="0.2">
      <c r="Y37717" s="97"/>
    </row>
    <row r="37718" spans="25:25" x14ac:dyDescent="0.2">
      <c r="Y37718" s="97"/>
    </row>
    <row r="37719" spans="25:25" x14ac:dyDescent="0.2">
      <c r="Y37719" s="97"/>
    </row>
    <row r="37720" spans="25:25" x14ac:dyDescent="0.2">
      <c r="Y37720" s="97"/>
    </row>
    <row r="37721" spans="25:25" x14ac:dyDescent="0.2">
      <c r="Y37721" s="97"/>
    </row>
    <row r="37722" spans="25:25" x14ac:dyDescent="0.2">
      <c r="Y37722" s="97"/>
    </row>
    <row r="37723" spans="25:25" x14ac:dyDescent="0.2">
      <c r="Y37723" s="97"/>
    </row>
    <row r="37724" spans="25:25" x14ac:dyDescent="0.2">
      <c r="Y37724" s="97"/>
    </row>
    <row r="37725" spans="25:25" x14ac:dyDescent="0.2">
      <c r="Y37725" s="97"/>
    </row>
    <row r="37726" spans="25:25" x14ac:dyDescent="0.2">
      <c r="Y37726" s="97"/>
    </row>
    <row r="37727" spans="25:25" x14ac:dyDescent="0.2">
      <c r="Y37727" s="97"/>
    </row>
    <row r="37728" spans="25:25" x14ac:dyDescent="0.2">
      <c r="Y37728" s="97"/>
    </row>
    <row r="37729" spans="25:25" x14ac:dyDescent="0.2">
      <c r="Y37729" s="97"/>
    </row>
    <row r="37730" spans="25:25" x14ac:dyDescent="0.2">
      <c r="Y37730" s="97"/>
    </row>
    <row r="37731" spans="25:25" x14ac:dyDescent="0.2">
      <c r="Y37731" s="97"/>
    </row>
    <row r="37732" spans="25:25" x14ac:dyDescent="0.2">
      <c r="Y37732" s="97"/>
    </row>
    <row r="37733" spans="25:25" x14ac:dyDescent="0.2">
      <c r="Y37733" s="97"/>
    </row>
    <row r="37734" spans="25:25" x14ac:dyDescent="0.2">
      <c r="Y37734" s="97"/>
    </row>
    <row r="37735" spans="25:25" x14ac:dyDescent="0.2">
      <c r="Y37735" s="97"/>
    </row>
    <row r="37736" spans="25:25" x14ac:dyDescent="0.2">
      <c r="Y37736" s="97"/>
    </row>
    <row r="37737" spans="25:25" x14ac:dyDescent="0.2">
      <c r="Y37737" s="97"/>
    </row>
    <row r="37738" spans="25:25" x14ac:dyDescent="0.2">
      <c r="Y37738" s="97"/>
    </row>
    <row r="37739" spans="25:25" x14ac:dyDescent="0.2">
      <c r="Y37739" s="97"/>
    </row>
    <row r="37740" spans="25:25" x14ac:dyDescent="0.2">
      <c r="Y37740" s="97"/>
    </row>
    <row r="37741" spans="25:25" x14ac:dyDescent="0.2">
      <c r="Y37741" s="97"/>
    </row>
    <row r="37742" spans="25:25" x14ac:dyDescent="0.2">
      <c r="Y37742" s="97"/>
    </row>
    <row r="37743" spans="25:25" x14ac:dyDescent="0.2">
      <c r="Y37743" s="97"/>
    </row>
    <row r="37744" spans="25:25" x14ac:dyDescent="0.2">
      <c r="Y37744" s="97"/>
    </row>
    <row r="37745" spans="25:25" x14ac:dyDescent="0.2">
      <c r="Y37745" s="97"/>
    </row>
    <row r="37746" spans="25:25" x14ac:dyDescent="0.2">
      <c r="Y37746" s="97"/>
    </row>
    <row r="37747" spans="25:25" x14ac:dyDescent="0.2">
      <c r="Y37747" s="97"/>
    </row>
    <row r="37748" spans="25:25" x14ac:dyDescent="0.2">
      <c r="Y37748" s="97"/>
    </row>
    <row r="37749" spans="25:25" x14ac:dyDescent="0.2">
      <c r="Y37749" s="97"/>
    </row>
    <row r="37750" spans="25:25" x14ac:dyDescent="0.2">
      <c r="Y37750" s="97"/>
    </row>
    <row r="37751" spans="25:25" x14ac:dyDescent="0.2">
      <c r="Y37751" s="97"/>
    </row>
    <row r="37752" spans="25:25" x14ac:dyDescent="0.2">
      <c r="Y37752" s="97"/>
    </row>
    <row r="37753" spans="25:25" x14ac:dyDescent="0.2">
      <c r="Y37753" s="97"/>
    </row>
    <row r="37754" spans="25:25" x14ac:dyDescent="0.2">
      <c r="Y37754" s="97"/>
    </row>
    <row r="37755" spans="25:25" x14ac:dyDescent="0.2">
      <c r="Y37755" s="97"/>
    </row>
    <row r="37756" spans="25:25" x14ac:dyDescent="0.2">
      <c r="Y37756" s="97"/>
    </row>
    <row r="37757" spans="25:25" x14ac:dyDescent="0.2">
      <c r="Y37757" s="97"/>
    </row>
    <row r="37758" spans="25:25" x14ac:dyDescent="0.2">
      <c r="Y37758" s="97"/>
    </row>
    <row r="37759" spans="25:25" x14ac:dyDescent="0.2">
      <c r="Y37759" s="97"/>
    </row>
    <row r="37760" spans="25:25" x14ac:dyDescent="0.2">
      <c r="Y37760" s="97"/>
    </row>
    <row r="37761" spans="25:25" x14ac:dyDescent="0.2">
      <c r="Y37761" s="97"/>
    </row>
    <row r="37762" spans="25:25" x14ac:dyDescent="0.2">
      <c r="Y37762" s="97"/>
    </row>
    <row r="37763" spans="25:25" x14ac:dyDescent="0.2">
      <c r="Y37763" s="97"/>
    </row>
    <row r="37764" spans="25:25" x14ac:dyDescent="0.2">
      <c r="Y37764" s="97"/>
    </row>
    <row r="37765" spans="25:25" x14ac:dyDescent="0.2">
      <c r="Y37765" s="97"/>
    </row>
    <row r="37766" spans="25:25" x14ac:dyDescent="0.2">
      <c r="Y37766" s="97"/>
    </row>
    <row r="37767" spans="25:25" x14ac:dyDescent="0.2">
      <c r="Y37767" s="97"/>
    </row>
    <row r="37768" spans="25:25" x14ac:dyDescent="0.2">
      <c r="Y37768" s="97"/>
    </row>
    <row r="37769" spans="25:25" x14ac:dyDescent="0.2">
      <c r="Y37769" s="97"/>
    </row>
    <row r="37770" spans="25:25" x14ac:dyDescent="0.2">
      <c r="Y37770" s="97"/>
    </row>
    <row r="37771" spans="25:25" x14ac:dyDescent="0.2">
      <c r="Y37771" s="97"/>
    </row>
    <row r="37772" spans="25:25" x14ac:dyDescent="0.2">
      <c r="Y37772" s="97"/>
    </row>
    <row r="37773" spans="25:25" x14ac:dyDescent="0.2">
      <c r="Y37773" s="97"/>
    </row>
    <row r="37774" spans="25:25" x14ac:dyDescent="0.2">
      <c r="Y37774" s="97"/>
    </row>
    <row r="37775" spans="25:25" x14ac:dyDescent="0.2">
      <c r="Y37775" s="97"/>
    </row>
    <row r="37776" spans="25:25" x14ac:dyDescent="0.2">
      <c r="Y37776" s="97"/>
    </row>
    <row r="37777" spans="25:25" x14ac:dyDescent="0.2">
      <c r="Y37777" s="97"/>
    </row>
    <row r="37778" spans="25:25" x14ac:dyDescent="0.2">
      <c r="Y37778" s="97"/>
    </row>
    <row r="37779" spans="25:25" x14ac:dyDescent="0.2">
      <c r="Y37779" s="97"/>
    </row>
    <row r="37780" spans="25:25" x14ac:dyDescent="0.2">
      <c r="Y37780" s="97"/>
    </row>
    <row r="37781" spans="25:25" x14ac:dyDescent="0.2">
      <c r="Y37781" s="97"/>
    </row>
    <row r="37782" spans="25:25" x14ac:dyDescent="0.2">
      <c r="Y37782" s="97"/>
    </row>
    <row r="37783" spans="25:25" x14ac:dyDescent="0.2">
      <c r="Y37783" s="97"/>
    </row>
    <row r="37784" spans="25:25" x14ac:dyDescent="0.2">
      <c r="Y37784" s="97"/>
    </row>
    <row r="37785" spans="25:25" x14ac:dyDescent="0.2">
      <c r="Y37785" s="97"/>
    </row>
    <row r="37786" spans="25:25" x14ac:dyDescent="0.2">
      <c r="Y37786" s="97"/>
    </row>
    <row r="37787" spans="25:25" x14ac:dyDescent="0.2">
      <c r="Y37787" s="97"/>
    </row>
    <row r="37788" spans="25:25" x14ac:dyDescent="0.2">
      <c r="Y37788" s="97"/>
    </row>
    <row r="37789" spans="25:25" x14ac:dyDescent="0.2">
      <c r="Y37789" s="97"/>
    </row>
    <row r="37790" spans="25:25" x14ac:dyDescent="0.2">
      <c r="Y37790" s="97"/>
    </row>
    <row r="37791" spans="25:25" x14ac:dyDescent="0.2">
      <c r="Y37791" s="97"/>
    </row>
    <row r="37792" spans="25:25" x14ac:dyDescent="0.2">
      <c r="Y37792" s="97"/>
    </row>
    <row r="37793" spans="25:25" x14ac:dyDescent="0.2">
      <c r="Y37793" s="97"/>
    </row>
    <row r="37794" spans="25:25" x14ac:dyDescent="0.2">
      <c r="Y37794" s="97"/>
    </row>
    <row r="37795" spans="25:25" x14ac:dyDescent="0.2">
      <c r="Y37795" s="97"/>
    </row>
    <row r="37796" spans="25:25" x14ac:dyDescent="0.2">
      <c r="Y37796" s="97"/>
    </row>
    <row r="37797" spans="25:25" x14ac:dyDescent="0.2">
      <c r="Y37797" s="97"/>
    </row>
    <row r="37798" spans="25:25" x14ac:dyDescent="0.2">
      <c r="Y37798" s="97"/>
    </row>
    <row r="37799" spans="25:25" x14ac:dyDescent="0.2">
      <c r="Y37799" s="97"/>
    </row>
    <row r="37800" spans="25:25" x14ac:dyDescent="0.2">
      <c r="Y37800" s="97"/>
    </row>
    <row r="37801" spans="25:25" x14ac:dyDescent="0.2">
      <c r="Y37801" s="97"/>
    </row>
    <row r="37802" spans="25:25" x14ac:dyDescent="0.2">
      <c r="Y37802" s="97"/>
    </row>
    <row r="37803" spans="25:25" x14ac:dyDescent="0.2">
      <c r="Y37803" s="97"/>
    </row>
    <row r="37804" spans="25:25" x14ac:dyDescent="0.2">
      <c r="Y37804" s="97"/>
    </row>
    <row r="37805" spans="25:25" x14ac:dyDescent="0.2">
      <c r="Y37805" s="97"/>
    </row>
    <row r="37806" spans="25:25" x14ac:dyDescent="0.2">
      <c r="Y37806" s="97"/>
    </row>
    <row r="37807" spans="25:25" x14ac:dyDescent="0.2">
      <c r="Y37807" s="97"/>
    </row>
    <row r="37808" spans="25:25" x14ac:dyDescent="0.2">
      <c r="Y37808" s="97"/>
    </row>
    <row r="37809" spans="25:25" x14ac:dyDescent="0.2">
      <c r="Y37809" s="97"/>
    </row>
    <row r="37810" spans="25:25" x14ac:dyDescent="0.2">
      <c r="Y37810" s="97"/>
    </row>
    <row r="37811" spans="25:25" x14ac:dyDescent="0.2">
      <c r="Y37811" s="97"/>
    </row>
    <row r="37812" spans="25:25" x14ac:dyDescent="0.2">
      <c r="Y37812" s="97"/>
    </row>
    <row r="37813" spans="25:25" x14ac:dyDescent="0.2">
      <c r="Y37813" s="97"/>
    </row>
    <row r="37814" spans="25:25" x14ac:dyDescent="0.2">
      <c r="Y37814" s="97"/>
    </row>
    <row r="37815" spans="25:25" x14ac:dyDescent="0.2">
      <c r="Y37815" s="97"/>
    </row>
    <row r="37816" spans="25:25" x14ac:dyDescent="0.2">
      <c r="Y37816" s="97"/>
    </row>
    <row r="37817" spans="25:25" x14ac:dyDescent="0.2">
      <c r="Y37817" s="97"/>
    </row>
    <row r="37818" spans="25:25" x14ac:dyDescent="0.2">
      <c r="Y37818" s="97"/>
    </row>
    <row r="37819" spans="25:25" x14ac:dyDescent="0.2">
      <c r="Y37819" s="97"/>
    </row>
    <row r="37820" spans="25:25" x14ac:dyDescent="0.2">
      <c r="Y37820" s="97"/>
    </row>
    <row r="37821" spans="25:25" x14ac:dyDescent="0.2">
      <c r="Y37821" s="97"/>
    </row>
    <row r="37822" spans="25:25" x14ac:dyDescent="0.2">
      <c r="Y37822" s="97"/>
    </row>
    <row r="37823" spans="25:25" x14ac:dyDescent="0.2">
      <c r="Y37823" s="97"/>
    </row>
    <row r="37824" spans="25:25" x14ac:dyDescent="0.2">
      <c r="Y37824" s="97"/>
    </row>
    <row r="37825" spans="25:25" x14ac:dyDescent="0.2">
      <c r="Y37825" s="97"/>
    </row>
    <row r="37826" spans="25:25" x14ac:dyDescent="0.2">
      <c r="Y37826" s="97"/>
    </row>
    <row r="37827" spans="25:25" x14ac:dyDescent="0.2">
      <c r="Y37827" s="97"/>
    </row>
    <row r="37828" spans="25:25" x14ac:dyDescent="0.2">
      <c r="Y37828" s="97"/>
    </row>
    <row r="37829" spans="25:25" x14ac:dyDescent="0.2">
      <c r="Y37829" s="97"/>
    </row>
    <row r="37830" spans="25:25" x14ac:dyDescent="0.2">
      <c r="Y37830" s="97"/>
    </row>
    <row r="37831" spans="25:25" x14ac:dyDescent="0.2">
      <c r="Y37831" s="97"/>
    </row>
    <row r="37832" spans="25:25" x14ac:dyDescent="0.2">
      <c r="Y37832" s="97"/>
    </row>
    <row r="37833" spans="25:25" x14ac:dyDescent="0.2">
      <c r="Y37833" s="97"/>
    </row>
    <row r="37834" spans="25:25" x14ac:dyDescent="0.2">
      <c r="Y37834" s="97"/>
    </row>
    <row r="37835" spans="25:25" x14ac:dyDescent="0.2">
      <c r="Y37835" s="97"/>
    </row>
    <row r="37836" spans="25:25" x14ac:dyDescent="0.2">
      <c r="Y37836" s="97"/>
    </row>
    <row r="37837" spans="25:25" x14ac:dyDescent="0.2">
      <c r="Y37837" s="97"/>
    </row>
    <row r="37838" spans="25:25" x14ac:dyDescent="0.2">
      <c r="Y37838" s="97"/>
    </row>
    <row r="37839" spans="25:25" x14ac:dyDescent="0.2">
      <c r="Y37839" s="97"/>
    </row>
    <row r="37840" spans="25:25" x14ac:dyDescent="0.2">
      <c r="Y37840" s="97"/>
    </row>
    <row r="37841" spans="25:25" x14ac:dyDescent="0.2">
      <c r="Y37841" s="97"/>
    </row>
    <row r="37842" spans="25:25" x14ac:dyDescent="0.2">
      <c r="Y37842" s="97"/>
    </row>
    <row r="37843" spans="25:25" x14ac:dyDescent="0.2">
      <c r="Y37843" s="97"/>
    </row>
    <row r="37844" spans="25:25" x14ac:dyDescent="0.2">
      <c r="Y37844" s="97"/>
    </row>
    <row r="37845" spans="25:25" x14ac:dyDescent="0.2">
      <c r="Y37845" s="97"/>
    </row>
    <row r="37846" spans="25:25" x14ac:dyDescent="0.2">
      <c r="Y37846" s="97"/>
    </row>
    <row r="37847" spans="25:25" x14ac:dyDescent="0.2">
      <c r="Y37847" s="97"/>
    </row>
    <row r="37848" spans="25:25" x14ac:dyDescent="0.2">
      <c r="Y37848" s="97"/>
    </row>
    <row r="37849" spans="25:25" x14ac:dyDescent="0.2">
      <c r="Y37849" s="97"/>
    </row>
    <row r="37850" spans="25:25" x14ac:dyDescent="0.2">
      <c r="Y37850" s="97"/>
    </row>
    <row r="37851" spans="25:25" x14ac:dyDescent="0.2">
      <c r="Y37851" s="97"/>
    </row>
    <row r="37852" spans="25:25" x14ac:dyDescent="0.2">
      <c r="Y37852" s="97"/>
    </row>
    <row r="37853" spans="25:25" x14ac:dyDescent="0.2">
      <c r="Y37853" s="97"/>
    </row>
    <row r="37854" spans="25:25" x14ac:dyDescent="0.2">
      <c r="Y37854" s="97"/>
    </row>
    <row r="37855" spans="25:25" x14ac:dyDescent="0.2">
      <c r="Y37855" s="97"/>
    </row>
    <row r="37856" spans="25:25" x14ac:dyDescent="0.2">
      <c r="Y37856" s="97"/>
    </row>
    <row r="37857" spans="25:25" x14ac:dyDescent="0.2">
      <c r="Y37857" s="97"/>
    </row>
    <row r="37858" spans="25:25" x14ac:dyDescent="0.2">
      <c r="Y37858" s="97"/>
    </row>
    <row r="37859" spans="25:25" x14ac:dyDescent="0.2">
      <c r="Y37859" s="97"/>
    </row>
    <row r="37860" spans="25:25" x14ac:dyDescent="0.2">
      <c r="Y37860" s="97"/>
    </row>
    <row r="37861" spans="25:25" x14ac:dyDescent="0.2">
      <c r="Y37861" s="97"/>
    </row>
    <row r="37862" spans="25:25" x14ac:dyDescent="0.2">
      <c r="Y37862" s="97"/>
    </row>
    <row r="37863" spans="25:25" x14ac:dyDescent="0.2">
      <c r="Y37863" s="97"/>
    </row>
    <row r="37864" spans="25:25" x14ac:dyDescent="0.2">
      <c r="Y37864" s="97"/>
    </row>
    <row r="37865" spans="25:25" x14ac:dyDescent="0.2">
      <c r="Y37865" s="97"/>
    </row>
    <row r="37866" spans="25:25" x14ac:dyDescent="0.2">
      <c r="Y37866" s="97"/>
    </row>
    <row r="37867" spans="25:25" x14ac:dyDescent="0.2">
      <c r="Y37867" s="97"/>
    </row>
    <row r="37868" spans="25:25" x14ac:dyDescent="0.2">
      <c r="Y37868" s="97"/>
    </row>
    <row r="37869" spans="25:25" x14ac:dyDescent="0.2">
      <c r="Y37869" s="97"/>
    </row>
    <row r="37870" spans="25:25" x14ac:dyDescent="0.2">
      <c r="Y37870" s="97"/>
    </row>
    <row r="37871" spans="25:25" x14ac:dyDescent="0.2">
      <c r="Y37871" s="97"/>
    </row>
    <row r="37872" spans="25:25" x14ac:dyDescent="0.2">
      <c r="Y37872" s="97"/>
    </row>
    <row r="37873" spans="25:25" x14ac:dyDescent="0.2">
      <c r="Y37873" s="97"/>
    </row>
    <row r="37874" spans="25:25" x14ac:dyDescent="0.2">
      <c r="Y37874" s="97"/>
    </row>
    <row r="37875" spans="25:25" x14ac:dyDescent="0.2">
      <c r="Y37875" s="97"/>
    </row>
    <row r="37876" spans="25:25" x14ac:dyDescent="0.2">
      <c r="Y37876" s="97"/>
    </row>
    <row r="37877" spans="25:25" x14ac:dyDescent="0.2">
      <c r="Y37877" s="97"/>
    </row>
    <row r="37878" spans="25:25" x14ac:dyDescent="0.2">
      <c r="Y37878" s="97"/>
    </row>
    <row r="37879" spans="25:25" x14ac:dyDescent="0.2">
      <c r="Y37879" s="97"/>
    </row>
    <row r="37880" spans="25:25" x14ac:dyDescent="0.2">
      <c r="Y37880" s="97"/>
    </row>
    <row r="37881" spans="25:25" x14ac:dyDescent="0.2">
      <c r="Y37881" s="97"/>
    </row>
    <row r="37882" spans="25:25" x14ac:dyDescent="0.2">
      <c r="Y37882" s="97"/>
    </row>
    <row r="37883" spans="25:25" x14ac:dyDescent="0.2">
      <c r="Y37883" s="97"/>
    </row>
    <row r="37884" spans="25:25" x14ac:dyDescent="0.2">
      <c r="Y37884" s="97"/>
    </row>
    <row r="37885" spans="25:25" x14ac:dyDescent="0.2">
      <c r="Y37885" s="97"/>
    </row>
    <row r="37886" spans="25:25" x14ac:dyDescent="0.2">
      <c r="Y37886" s="97"/>
    </row>
    <row r="37887" spans="25:25" x14ac:dyDescent="0.2">
      <c r="Y37887" s="97"/>
    </row>
    <row r="37888" spans="25:25" x14ac:dyDescent="0.2">
      <c r="Y37888" s="97"/>
    </row>
    <row r="37889" spans="25:25" x14ac:dyDescent="0.2">
      <c r="Y37889" s="97"/>
    </row>
    <row r="37890" spans="25:25" x14ac:dyDescent="0.2">
      <c r="Y37890" s="97"/>
    </row>
    <row r="37891" spans="25:25" x14ac:dyDescent="0.2">
      <c r="Y37891" s="97"/>
    </row>
    <row r="37892" spans="25:25" x14ac:dyDescent="0.2">
      <c r="Y37892" s="97"/>
    </row>
    <row r="37893" spans="25:25" x14ac:dyDescent="0.2">
      <c r="Y37893" s="97"/>
    </row>
    <row r="37894" spans="25:25" x14ac:dyDescent="0.2">
      <c r="Y37894" s="97"/>
    </row>
    <row r="37895" spans="25:25" x14ac:dyDescent="0.2">
      <c r="Y37895" s="97"/>
    </row>
    <row r="37896" spans="25:25" x14ac:dyDescent="0.2">
      <c r="Y37896" s="97"/>
    </row>
    <row r="37897" spans="25:25" x14ac:dyDescent="0.2">
      <c r="Y37897" s="97"/>
    </row>
    <row r="37898" spans="25:25" x14ac:dyDescent="0.2">
      <c r="Y37898" s="97"/>
    </row>
    <row r="37899" spans="25:25" x14ac:dyDescent="0.2">
      <c r="Y37899" s="97"/>
    </row>
    <row r="37900" spans="25:25" x14ac:dyDescent="0.2">
      <c r="Y37900" s="97"/>
    </row>
    <row r="37901" spans="25:25" x14ac:dyDescent="0.2">
      <c r="Y37901" s="97"/>
    </row>
    <row r="37902" spans="25:25" x14ac:dyDescent="0.2">
      <c r="Y37902" s="97"/>
    </row>
    <row r="37903" spans="25:25" x14ac:dyDescent="0.2">
      <c r="Y37903" s="97"/>
    </row>
    <row r="37904" spans="25:25" x14ac:dyDescent="0.2">
      <c r="Y37904" s="97"/>
    </row>
    <row r="37905" spans="25:25" x14ac:dyDescent="0.2">
      <c r="Y37905" s="97"/>
    </row>
    <row r="37906" spans="25:25" x14ac:dyDescent="0.2">
      <c r="Y37906" s="97"/>
    </row>
    <row r="37907" spans="25:25" x14ac:dyDescent="0.2">
      <c r="Y37907" s="97"/>
    </row>
    <row r="37908" spans="25:25" x14ac:dyDescent="0.2">
      <c r="Y37908" s="97"/>
    </row>
    <row r="37909" spans="25:25" x14ac:dyDescent="0.2">
      <c r="Y37909" s="97"/>
    </row>
    <row r="37910" spans="25:25" x14ac:dyDescent="0.2">
      <c r="Y37910" s="97"/>
    </row>
    <row r="37911" spans="25:25" x14ac:dyDescent="0.2">
      <c r="Y37911" s="97"/>
    </row>
    <row r="37912" spans="25:25" x14ac:dyDescent="0.2">
      <c r="Y37912" s="97"/>
    </row>
    <row r="37913" spans="25:25" x14ac:dyDescent="0.2">
      <c r="Y37913" s="97"/>
    </row>
    <row r="37914" spans="25:25" x14ac:dyDescent="0.2">
      <c r="Y37914" s="97"/>
    </row>
    <row r="37915" spans="25:25" x14ac:dyDescent="0.2">
      <c r="Y37915" s="97"/>
    </row>
    <row r="37916" spans="25:25" x14ac:dyDescent="0.2">
      <c r="Y37916" s="97"/>
    </row>
    <row r="37917" spans="25:25" x14ac:dyDescent="0.2">
      <c r="Y37917" s="97"/>
    </row>
    <row r="37918" spans="25:25" x14ac:dyDescent="0.2">
      <c r="Y37918" s="97"/>
    </row>
    <row r="37919" spans="25:25" x14ac:dyDescent="0.2">
      <c r="Y37919" s="97"/>
    </row>
    <row r="37920" spans="25:25" x14ac:dyDescent="0.2">
      <c r="Y37920" s="97"/>
    </row>
    <row r="37921" spans="25:25" x14ac:dyDescent="0.2">
      <c r="Y37921" s="97"/>
    </row>
    <row r="37922" spans="25:25" x14ac:dyDescent="0.2">
      <c r="Y37922" s="97"/>
    </row>
    <row r="37923" spans="25:25" x14ac:dyDescent="0.2">
      <c r="Y37923" s="97"/>
    </row>
    <row r="37924" spans="25:25" x14ac:dyDescent="0.2">
      <c r="Y37924" s="97"/>
    </row>
    <row r="37925" spans="25:25" x14ac:dyDescent="0.2">
      <c r="Y37925" s="97"/>
    </row>
    <row r="37926" spans="25:25" x14ac:dyDescent="0.2">
      <c r="Y37926" s="97"/>
    </row>
    <row r="37927" spans="25:25" x14ac:dyDescent="0.2">
      <c r="Y37927" s="97"/>
    </row>
    <row r="37928" spans="25:25" x14ac:dyDescent="0.2">
      <c r="Y37928" s="97"/>
    </row>
    <row r="37929" spans="25:25" x14ac:dyDescent="0.2">
      <c r="Y37929" s="97"/>
    </row>
    <row r="37930" spans="25:25" x14ac:dyDescent="0.2">
      <c r="Y37930" s="97"/>
    </row>
    <row r="37931" spans="25:25" x14ac:dyDescent="0.2">
      <c r="Y37931" s="97"/>
    </row>
    <row r="37932" spans="25:25" x14ac:dyDescent="0.2">
      <c r="Y37932" s="97"/>
    </row>
    <row r="37933" spans="25:25" x14ac:dyDescent="0.2">
      <c r="Y37933" s="97"/>
    </row>
    <row r="37934" spans="25:25" x14ac:dyDescent="0.2">
      <c r="Y37934" s="97"/>
    </row>
    <row r="37935" spans="25:25" x14ac:dyDescent="0.2">
      <c r="Y37935" s="97"/>
    </row>
    <row r="37936" spans="25:25" x14ac:dyDescent="0.2">
      <c r="Y37936" s="97"/>
    </row>
    <row r="37937" spans="25:25" x14ac:dyDescent="0.2">
      <c r="Y37937" s="97"/>
    </row>
    <row r="37938" spans="25:25" x14ac:dyDescent="0.2">
      <c r="Y37938" s="97"/>
    </row>
    <row r="37939" spans="25:25" x14ac:dyDescent="0.2">
      <c r="Y37939" s="97"/>
    </row>
    <row r="37940" spans="25:25" x14ac:dyDescent="0.2">
      <c r="Y37940" s="97"/>
    </row>
    <row r="37941" spans="25:25" x14ac:dyDescent="0.2">
      <c r="Y37941" s="97"/>
    </row>
    <row r="37942" spans="25:25" x14ac:dyDescent="0.2">
      <c r="Y37942" s="97"/>
    </row>
    <row r="37943" spans="25:25" x14ac:dyDescent="0.2">
      <c r="Y37943" s="97"/>
    </row>
    <row r="37944" spans="25:25" x14ac:dyDescent="0.2">
      <c r="Y37944" s="97"/>
    </row>
    <row r="37945" spans="25:25" x14ac:dyDescent="0.2">
      <c r="Y37945" s="97"/>
    </row>
    <row r="37946" spans="25:25" x14ac:dyDescent="0.2">
      <c r="Y37946" s="97"/>
    </row>
    <row r="37947" spans="25:25" x14ac:dyDescent="0.2">
      <c r="Y37947" s="97"/>
    </row>
    <row r="37948" spans="25:25" x14ac:dyDescent="0.2">
      <c r="Y37948" s="97"/>
    </row>
    <row r="37949" spans="25:25" x14ac:dyDescent="0.2">
      <c r="Y37949" s="97"/>
    </row>
    <row r="37950" spans="25:25" x14ac:dyDescent="0.2">
      <c r="Y37950" s="97"/>
    </row>
    <row r="37951" spans="25:25" x14ac:dyDescent="0.2">
      <c r="Y37951" s="97"/>
    </row>
    <row r="37952" spans="25:25" x14ac:dyDescent="0.2">
      <c r="Y37952" s="97"/>
    </row>
    <row r="37953" spans="25:25" x14ac:dyDescent="0.2">
      <c r="Y37953" s="97"/>
    </row>
    <row r="37954" spans="25:25" x14ac:dyDescent="0.2">
      <c r="Y37954" s="97"/>
    </row>
    <row r="37955" spans="25:25" x14ac:dyDescent="0.2">
      <c r="Y37955" s="97"/>
    </row>
    <row r="37956" spans="25:25" x14ac:dyDescent="0.2">
      <c r="Y37956" s="97"/>
    </row>
    <row r="37957" spans="25:25" x14ac:dyDescent="0.2">
      <c r="Y37957" s="97"/>
    </row>
    <row r="37958" spans="25:25" x14ac:dyDescent="0.2">
      <c r="Y37958" s="97"/>
    </row>
    <row r="37959" spans="25:25" x14ac:dyDescent="0.2">
      <c r="Y37959" s="97"/>
    </row>
    <row r="37960" spans="25:25" x14ac:dyDescent="0.2">
      <c r="Y37960" s="97"/>
    </row>
    <row r="37961" spans="25:25" x14ac:dyDescent="0.2">
      <c r="Y37961" s="97"/>
    </row>
    <row r="37962" spans="25:25" x14ac:dyDescent="0.2">
      <c r="Y37962" s="97"/>
    </row>
    <row r="37963" spans="25:25" x14ac:dyDescent="0.2">
      <c r="Y37963" s="97"/>
    </row>
    <row r="37964" spans="25:25" x14ac:dyDescent="0.2">
      <c r="Y37964" s="97"/>
    </row>
    <row r="37965" spans="25:25" x14ac:dyDescent="0.2">
      <c r="Y37965" s="97"/>
    </row>
    <row r="37966" spans="25:25" x14ac:dyDescent="0.2">
      <c r="Y37966" s="97"/>
    </row>
    <row r="37967" spans="25:25" x14ac:dyDescent="0.2">
      <c r="Y37967" s="97"/>
    </row>
    <row r="37968" spans="25:25" x14ac:dyDescent="0.2">
      <c r="Y37968" s="97"/>
    </row>
    <row r="37969" spans="25:25" x14ac:dyDescent="0.2">
      <c r="Y37969" s="97"/>
    </row>
    <row r="37970" spans="25:25" x14ac:dyDescent="0.2">
      <c r="Y37970" s="97"/>
    </row>
    <row r="37971" spans="25:25" x14ac:dyDescent="0.2">
      <c r="Y37971" s="97"/>
    </row>
    <row r="37972" spans="25:25" x14ac:dyDescent="0.2">
      <c r="Y37972" s="97"/>
    </row>
    <row r="37973" spans="25:25" x14ac:dyDescent="0.2">
      <c r="Y37973" s="97"/>
    </row>
    <row r="37974" spans="25:25" x14ac:dyDescent="0.2">
      <c r="Y37974" s="97"/>
    </row>
    <row r="37975" spans="25:25" x14ac:dyDescent="0.2">
      <c r="Y37975" s="97"/>
    </row>
    <row r="37976" spans="25:25" x14ac:dyDescent="0.2">
      <c r="Y37976" s="97"/>
    </row>
    <row r="37977" spans="25:25" x14ac:dyDescent="0.2">
      <c r="Y37977" s="97"/>
    </row>
    <row r="37978" spans="25:25" x14ac:dyDescent="0.2">
      <c r="Y37978" s="97"/>
    </row>
    <row r="37979" spans="25:25" x14ac:dyDescent="0.2">
      <c r="Y37979" s="97"/>
    </row>
    <row r="37980" spans="25:25" x14ac:dyDescent="0.2">
      <c r="Y37980" s="97"/>
    </row>
    <row r="37981" spans="25:25" x14ac:dyDescent="0.2">
      <c r="Y37981" s="97"/>
    </row>
    <row r="37982" spans="25:25" x14ac:dyDescent="0.2">
      <c r="Y37982" s="97"/>
    </row>
    <row r="37983" spans="25:25" x14ac:dyDescent="0.2">
      <c r="Y37983" s="97"/>
    </row>
    <row r="37984" spans="25:25" x14ac:dyDescent="0.2">
      <c r="Y37984" s="97"/>
    </row>
    <row r="37985" spans="25:25" x14ac:dyDescent="0.2">
      <c r="Y37985" s="97"/>
    </row>
    <row r="37986" spans="25:25" x14ac:dyDescent="0.2">
      <c r="Y37986" s="97"/>
    </row>
    <row r="37987" spans="25:25" x14ac:dyDescent="0.2">
      <c r="Y37987" s="97"/>
    </row>
    <row r="37988" spans="25:25" x14ac:dyDescent="0.2">
      <c r="Y37988" s="97"/>
    </row>
    <row r="37989" spans="25:25" x14ac:dyDescent="0.2">
      <c r="Y37989" s="97"/>
    </row>
    <row r="37990" spans="25:25" x14ac:dyDescent="0.2">
      <c r="Y37990" s="97"/>
    </row>
    <row r="37991" spans="25:25" x14ac:dyDescent="0.2">
      <c r="Y37991" s="97"/>
    </row>
    <row r="37992" spans="25:25" x14ac:dyDescent="0.2">
      <c r="Y37992" s="97"/>
    </row>
    <row r="37993" spans="25:25" x14ac:dyDescent="0.2">
      <c r="Y37993" s="97"/>
    </row>
    <row r="37994" spans="25:25" x14ac:dyDescent="0.2">
      <c r="Y37994" s="97"/>
    </row>
    <row r="37995" spans="25:25" x14ac:dyDescent="0.2">
      <c r="Y37995" s="97"/>
    </row>
    <row r="37996" spans="25:25" x14ac:dyDescent="0.2">
      <c r="Y37996" s="97"/>
    </row>
    <row r="37997" spans="25:25" x14ac:dyDescent="0.2">
      <c r="Y37997" s="97"/>
    </row>
    <row r="37998" spans="25:25" x14ac:dyDescent="0.2">
      <c r="Y37998" s="97"/>
    </row>
    <row r="37999" spans="25:25" x14ac:dyDescent="0.2">
      <c r="Y37999" s="97"/>
    </row>
    <row r="38000" spans="25:25" x14ac:dyDescent="0.2">
      <c r="Y38000" s="97"/>
    </row>
    <row r="38001" spans="25:25" x14ac:dyDescent="0.2">
      <c r="Y38001" s="97"/>
    </row>
    <row r="38002" spans="25:25" x14ac:dyDescent="0.2">
      <c r="Y38002" s="97"/>
    </row>
    <row r="38003" spans="25:25" x14ac:dyDescent="0.2">
      <c r="Y38003" s="97"/>
    </row>
    <row r="38004" spans="25:25" x14ac:dyDescent="0.2">
      <c r="Y38004" s="97"/>
    </row>
    <row r="38005" spans="25:25" x14ac:dyDescent="0.2">
      <c r="Y38005" s="97"/>
    </row>
    <row r="38006" spans="25:25" x14ac:dyDescent="0.2">
      <c r="Y38006" s="97"/>
    </row>
    <row r="38007" spans="25:25" x14ac:dyDescent="0.2">
      <c r="Y38007" s="97"/>
    </row>
    <row r="38008" spans="25:25" x14ac:dyDescent="0.2">
      <c r="Y38008" s="97"/>
    </row>
    <row r="38009" spans="25:25" x14ac:dyDescent="0.2">
      <c r="Y38009" s="97"/>
    </row>
    <row r="38010" spans="25:25" x14ac:dyDescent="0.2">
      <c r="Y38010" s="97"/>
    </row>
    <row r="38011" spans="25:25" x14ac:dyDescent="0.2">
      <c r="Y38011" s="97"/>
    </row>
    <row r="38012" spans="25:25" x14ac:dyDescent="0.2">
      <c r="Y38012" s="97"/>
    </row>
    <row r="38013" spans="25:25" x14ac:dyDescent="0.2">
      <c r="Y38013" s="97"/>
    </row>
    <row r="38014" spans="25:25" x14ac:dyDescent="0.2">
      <c r="Y38014" s="97"/>
    </row>
    <row r="38015" spans="25:25" x14ac:dyDescent="0.2">
      <c r="Y38015" s="97"/>
    </row>
    <row r="38016" spans="25:25" x14ac:dyDescent="0.2">
      <c r="Y38016" s="97"/>
    </row>
    <row r="38017" spans="25:25" x14ac:dyDescent="0.2">
      <c r="Y38017" s="97"/>
    </row>
    <row r="38018" spans="25:25" x14ac:dyDescent="0.2">
      <c r="Y38018" s="97"/>
    </row>
    <row r="38019" spans="25:25" x14ac:dyDescent="0.2">
      <c r="Y38019" s="97"/>
    </row>
    <row r="38020" spans="25:25" x14ac:dyDescent="0.2">
      <c r="Y38020" s="97"/>
    </row>
    <row r="38021" spans="25:25" x14ac:dyDescent="0.2">
      <c r="Y38021" s="97"/>
    </row>
    <row r="38022" spans="25:25" x14ac:dyDescent="0.2">
      <c r="Y38022" s="97"/>
    </row>
    <row r="38023" spans="25:25" x14ac:dyDescent="0.2">
      <c r="Y38023" s="97"/>
    </row>
    <row r="38024" spans="25:25" x14ac:dyDescent="0.2">
      <c r="Y38024" s="97"/>
    </row>
    <row r="38025" spans="25:25" x14ac:dyDescent="0.2">
      <c r="Y38025" s="97"/>
    </row>
    <row r="38026" spans="25:25" x14ac:dyDescent="0.2">
      <c r="Y38026" s="97"/>
    </row>
    <row r="38027" spans="25:25" x14ac:dyDescent="0.2">
      <c r="Y38027" s="97"/>
    </row>
    <row r="38028" spans="25:25" x14ac:dyDescent="0.2">
      <c r="Y38028" s="97"/>
    </row>
    <row r="38029" spans="25:25" x14ac:dyDescent="0.2">
      <c r="Y38029" s="97"/>
    </row>
    <row r="38030" spans="25:25" x14ac:dyDescent="0.2">
      <c r="Y38030" s="97"/>
    </row>
    <row r="38031" spans="25:25" x14ac:dyDescent="0.2">
      <c r="Y38031" s="97"/>
    </row>
    <row r="38032" spans="25:25" x14ac:dyDescent="0.2">
      <c r="Y38032" s="97"/>
    </row>
    <row r="38033" spans="25:25" x14ac:dyDescent="0.2">
      <c r="Y38033" s="97"/>
    </row>
    <row r="38034" spans="25:25" x14ac:dyDescent="0.2">
      <c r="Y38034" s="97"/>
    </row>
    <row r="38035" spans="25:25" x14ac:dyDescent="0.2">
      <c r="Y38035" s="97"/>
    </row>
    <row r="38036" spans="25:25" x14ac:dyDescent="0.2">
      <c r="Y38036" s="97"/>
    </row>
    <row r="38037" spans="25:25" x14ac:dyDescent="0.2">
      <c r="Y38037" s="97"/>
    </row>
    <row r="38038" spans="25:25" x14ac:dyDescent="0.2">
      <c r="Y38038" s="97"/>
    </row>
    <row r="38039" spans="25:25" x14ac:dyDescent="0.2">
      <c r="Y38039" s="97"/>
    </row>
    <row r="38040" spans="25:25" x14ac:dyDescent="0.2">
      <c r="Y38040" s="97"/>
    </row>
    <row r="38041" spans="25:25" x14ac:dyDescent="0.2">
      <c r="Y38041" s="97"/>
    </row>
    <row r="38042" spans="25:25" x14ac:dyDescent="0.2">
      <c r="Y38042" s="97"/>
    </row>
    <row r="38043" spans="25:25" x14ac:dyDescent="0.2">
      <c r="Y38043" s="97"/>
    </row>
    <row r="38044" spans="25:25" x14ac:dyDescent="0.2">
      <c r="Y38044" s="97"/>
    </row>
    <row r="38045" spans="25:25" x14ac:dyDescent="0.2">
      <c r="Y38045" s="97"/>
    </row>
    <row r="38046" spans="25:25" x14ac:dyDescent="0.2">
      <c r="Y38046" s="97"/>
    </row>
    <row r="38047" spans="25:25" x14ac:dyDescent="0.2">
      <c r="Y38047" s="97"/>
    </row>
    <row r="38048" spans="25:25" x14ac:dyDescent="0.2">
      <c r="Y38048" s="97"/>
    </row>
    <row r="38049" spans="25:25" x14ac:dyDescent="0.2">
      <c r="Y38049" s="97"/>
    </row>
    <row r="38050" spans="25:25" x14ac:dyDescent="0.2">
      <c r="Y38050" s="97"/>
    </row>
    <row r="38051" spans="25:25" x14ac:dyDescent="0.2">
      <c r="Y38051" s="97"/>
    </row>
    <row r="38052" spans="25:25" x14ac:dyDescent="0.2">
      <c r="Y38052" s="97"/>
    </row>
    <row r="38053" spans="25:25" x14ac:dyDescent="0.2">
      <c r="Y38053" s="97"/>
    </row>
    <row r="38054" spans="25:25" x14ac:dyDescent="0.2">
      <c r="Y38054" s="97"/>
    </row>
    <row r="38055" spans="25:25" x14ac:dyDescent="0.2">
      <c r="Y38055" s="97"/>
    </row>
    <row r="38056" spans="25:25" x14ac:dyDescent="0.2">
      <c r="Y38056" s="97"/>
    </row>
    <row r="38057" spans="25:25" x14ac:dyDescent="0.2">
      <c r="Y38057" s="97"/>
    </row>
    <row r="38058" spans="25:25" x14ac:dyDescent="0.2">
      <c r="Y38058" s="97"/>
    </row>
    <row r="38059" spans="25:25" x14ac:dyDescent="0.2">
      <c r="Y38059" s="97"/>
    </row>
    <row r="38060" spans="25:25" x14ac:dyDescent="0.2">
      <c r="Y38060" s="97"/>
    </row>
    <row r="38061" spans="25:25" x14ac:dyDescent="0.2">
      <c r="Y38061" s="97"/>
    </row>
    <row r="38062" spans="25:25" x14ac:dyDescent="0.2">
      <c r="Y38062" s="97"/>
    </row>
    <row r="38063" spans="25:25" x14ac:dyDescent="0.2">
      <c r="Y38063" s="97"/>
    </row>
    <row r="38064" spans="25:25" x14ac:dyDescent="0.2">
      <c r="Y38064" s="97"/>
    </row>
    <row r="38065" spans="25:25" x14ac:dyDescent="0.2">
      <c r="Y38065" s="97"/>
    </row>
    <row r="38066" spans="25:25" x14ac:dyDescent="0.2">
      <c r="Y38066" s="97"/>
    </row>
    <row r="38067" spans="25:25" x14ac:dyDescent="0.2">
      <c r="Y38067" s="97"/>
    </row>
    <row r="38068" spans="25:25" x14ac:dyDescent="0.2">
      <c r="Y38068" s="97"/>
    </row>
    <row r="38069" spans="25:25" x14ac:dyDescent="0.2">
      <c r="Y38069" s="97"/>
    </row>
    <row r="38070" spans="25:25" x14ac:dyDescent="0.2">
      <c r="Y38070" s="97"/>
    </row>
    <row r="38071" spans="25:25" x14ac:dyDescent="0.2">
      <c r="Y38071" s="97"/>
    </row>
    <row r="38072" spans="25:25" x14ac:dyDescent="0.2">
      <c r="Y38072" s="97"/>
    </row>
    <row r="38073" spans="25:25" x14ac:dyDescent="0.2">
      <c r="Y38073" s="97"/>
    </row>
    <row r="38074" spans="25:25" x14ac:dyDescent="0.2">
      <c r="Y38074" s="97"/>
    </row>
    <row r="38075" spans="25:25" x14ac:dyDescent="0.2">
      <c r="Y38075" s="97"/>
    </row>
    <row r="38076" spans="25:25" x14ac:dyDescent="0.2">
      <c r="Y38076" s="97"/>
    </row>
    <row r="38077" spans="25:25" x14ac:dyDescent="0.2">
      <c r="Y38077" s="97"/>
    </row>
    <row r="38078" spans="25:25" x14ac:dyDescent="0.2">
      <c r="Y38078" s="97"/>
    </row>
    <row r="38079" spans="25:25" x14ac:dyDescent="0.2">
      <c r="Y38079" s="97"/>
    </row>
    <row r="38080" spans="25:25" x14ac:dyDescent="0.2">
      <c r="Y38080" s="97"/>
    </row>
    <row r="38081" spans="25:25" x14ac:dyDescent="0.2">
      <c r="Y38081" s="97"/>
    </row>
    <row r="38082" spans="25:25" x14ac:dyDescent="0.2">
      <c r="Y38082" s="97"/>
    </row>
    <row r="38083" spans="25:25" x14ac:dyDescent="0.2">
      <c r="Y38083" s="97"/>
    </row>
    <row r="38084" spans="25:25" x14ac:dyDescent="0.2">
      <c r="Y38084" s="97"/>
    </row>
    <row r="38085" spans="25:25" x14ac:dyDescent="0.2">
      <c r="Y38085" s="97"/>
    </row>
    <row r="38086" spans="25:25" x14ac:dyDescent="0.2">
      <c r="Y38086" s="97"/>
    </row>
    <row r="38087" spans="25:25" x14ac:dyDescent="0.2">
      <c r="Y38087" s="97"/>
    </row>
    <row r="38088" spans="25:25" x14ac:dyDescent="0.2">
      <c r="Y38088" s="97"/>
    </row>
    <row r="38089" spans="25:25" x14ac:dyDescent="0.2">
      <c r="Y38089" s="97"/>
    </row>
    <row r="38090" spans="25:25" x14ac:dyDescent="0.2">
      <c r="Y38090" s="97"/>
    </row>
    <row r="38091" spans="25:25" x14ac:dyDescent="0.2">
      <c r="Y38091" s="97"/>
    </row>
    <row r="38092" spans="25:25" x14ac:dyDescent="0.2">
      <c r="Y38092" s="97"/>
    </row>
    <row r="38093" spans="25:25" x14ac:dyDescent="0.2">
      <c r="Y38093" s="97"/>
    </row>
    <row r="38094" spans="25:25" x14ac:dyDescent="0.2">
      <c r="Y38094" s="97"/>
    </row>
    <row r="38095" spans="25:25" x14ac:dyDescent="0.2">
      <c r="Y38095" s="97"/>
    </row>
    <row r="38096" spans="25:25" x14ac:dyDescent="0.2">
      <c r="Y38096" s="97"/>
    </row>
    <row r="38097" spans="25:25" x14ac:dyDescent="0.2">
      <c r="Y38097" s="97"/>
    </row>
    <row r="38098" spans="25:25" x14ac:dyDescent="0.2">
      <c r="Y38098" s="97"/>
    </row>
    <row r="38099" spans="25:25" x14ac:dyDescent="0.2">
      <c r="Y38099" s="97"/>
    </row>
    <row r="38100" spans="25:25" x14ac:dyDescent="0.2">
      <c r="Y38100" s="97"/>
    </row>
    <row r="38101" spans="25:25" x14ac:dyDescent="0.2">
      <c r="Y38101" s="97"/>
    </row>
    <row r="38102" spans="25:25" x14ac:dyDescent="0.2">
      <c r="Y38102" s="97"/>
    </row>
    <row r="38103" spans="25:25" x14ac:dyDescent="0.2">
      <c r="Y38103" s="97"/>
    </row>
    <row r="38104" spans="25:25" x14ac:dyDescent="0.2">
      <c r="Y38104" s="97"/>
    </row>
    <row r="38105" spans="25:25" x14ac:dyDescent="0.2">
      <c r="Y38105" s="97"/>
    </row>
    <row r="38106" spans="25:25" x14ac:dyDescent="0.2">
      <c r="Y38106" s="97"/>
    </row>
    <row r="38107" spans="25:25" x14ac:dyDescent="0.2">
      <c r="Y38107" s="97"/>
    </row>
    <row r="38108" spans="25:25" x14ac:dyDescent="0.2">
      <c r="Y38108" s="97"/>
    </row>
    <row r="38109" spans="25:25" x14ac:dyDescent="0.2">
      <c r="Y38109" s="97"/>
    </row>
    <row r="38110" spans="25:25" x14ac:dyDescent="0.2">
      <c r="Y38110" s="97"/>
    </row>
    <row r="38111" spans="25:25" x14ac:dyDescent="0.2">
      <c r="Y38111" s="97"/>
    </row>
    <row r="38112" spans="25:25" x14ac:dyDescent="0.2">
      <c r="Y38112" s="97"/>
    </row>
    <row r="38113" spans="25:25" x14ac:dyDescent="0.2">
      <c r="Y38113" s="97"/>
    </row>
    <row r="38114" spans="25:25" x14ac:dyDescent="0.2">
      <c r="Y38114" s="97"/>
    </row>
    <row r="38115" spans="25:25" x14ac:dyDescent="0.2">
      <c r="Y38115" s="97"/>
    </row>
    <row r="38116" spans="25:25" x14ac:dyDescent="0.2">
      <c r="Y38116" s="97"/>
    </row>
    <row r="38117" spans="25:25" x14ac:dyDescent="0.2">
      <c r="Y38117" s="97"/>
    </row>
    <row r="38118" spans="25:25" x14ac:dyDescent="0.2">
      <c r="Y38118" s="97"/>
    </row>
    <row r="38119" spans="25:25" x14ac:dyDescent="0.2">
      <c r="Y38119" s="97"/>
    </row>
    <row r="38120" spans="25:25" x14ac:dyDescent="0.2">
      <c r="Y38120" s="97"/>
    </row>
    <row r="38121" spans="25:25" x14ac:dyDescent="0.2">
      <c r="Y38121" s="97"/>
    </row>
    <row r="38122" spans="25:25" x14ac:dyDescent="0.2">
      <c r="Y38122" s="97"/>
    </row>
    <row r="38123" spans="25:25" x14ac:dyDescent="0.2">
      <c r="Y38123" s="97"/>
    </row>
    <row r="38124" spans="25:25" x14ac:dyDescent="0.2">
      <c r="Y38124" s="97"/>
    </row>
    <row r="38125" spans="25:25" x14ac:dyDescent="0.2">
      <c r="Y38125" s="97"/>
    </row>
    <row r="38126" spans="25:25" x14ac:dyDescent="0.2">
      <c r="Y38126" s="97"/>
    </row>
    <row r="38127" spans="25:25" x14ac:dyDescent="0.2">
      <c r="Y38127" s="97"/>
    </row>
    <row r="38128" spans="25:25" x14ac:dyDescent="0.2">
      <c r="Y38128" s="97"/>
    </row>
    <row r="38129" spans="25:25" x14ac:dyDescent="0.2">
      <c r="Y38129" s="97"/>
    </row>
    <row r="38130" spans="25:25" x14ac:dyDescent="0.2">
      <c r="Y38130" s="97"/>
    </row>
    <row r="38131" spans="25:25" x14ac:dyDescent="0.2">
      <c r="Y38131" s="97"/>
    </row>
    <row r="38132" spans="25:25" x14ac:dyDescent="0.2">
      <c r="Y38132" s="97"/>
    </row>
    <row r="38133" spans="25:25" x14ac:dyDescent="0.2">
      <c r="Y38133" s="97"/>
    </row>
    <row r="38134" spans="25:25" x14ac:dyDescent="0.2">
      <c r="Y38134" s="97"/>
    </row>
    <row r="38135" spans="25:25" x14ac:dyDescent="0.2">
      <c r="Y38135" s="97"/>
    </row>
    <row r="38136" spans="25:25" x14ac:dyDescent="0.2">
      <c r="Y38136" s="97"/>
    </row>
    <row r="38137" spans="25:25" x14ac:dyDescent="0.2">
      <c r="Y38137" s="97"/>
    </row>
    <row r="38138" spans="25:25" x14ac:dyDescent="0.2">
      <c r="Y38138" s="97"/>
    </row>
    <row r="38139" spans="25:25" x14ac:dyDescent="0.2">
      <c r="Y38139" s="97"/>
    </row>
    <row r="38140" spans="25:25" x14ac:dyDescent="0.2">
      <c r="Y38140" s="97"/>
    </row>
    <row r="38141" spans="25:25" x14ac:dyDescent="0.2">
      <c r="Y38141" s="97"/>
    </row>
    <row r="38142" spans="25:25" x14ac:dyDescent="0.2">
      <c r="Y38142" s="97"/>
    </row>
    <row r="38143" spans="25:25" x14ac:dyDescent="0.2">
      <c r="Y38143" s="97"/>
    </row>
    <row r="38144" spans="25:25" x14ac:dyDescent="0.2">
      <c r="Y38144" s="97"/>
    </row>
    <row r="38145" spans="25:25" x14ac:dyDescent="0.2">
      <c r="Y38145" s="97"/>
    </row>
    <row r="38146" spans="25:25" x14ac:dyDescent="0.2">
      <c r="Y38146" s="97"/>
    </row>
    <row r="38147" spans="25:25" x14ac:dyDescent="0.2">
      <c r="Y38147" s="97"/>
    </row>
    <row r="38148" spans="25:25" x14ac:dyDescent="0.2">
      <c r="Y38148" s="97"/>
    </row>
    <row r="38149" spans="25:25" x14ac:dyDescent="0.2">
      <c r="Y38149" s="97"/>
    </row>
    <row r="38150" spans="25:25" x14ac:dyDescent="0.2">
      <c r="Y38150" s="97"/>
    </row>
    <row r="38151" spans="25:25" x14ac:dyDescent="0.2">
      <c r="Y38151" s="97"/>
    </row>
    <row r="38152" spans="25:25" x14ac:dyDescent="0.2">
      <c r="Y38152" s="97"/>
    </row>
    <row r="38153" spans="25:25" x14ac:dyDescent="0.2">
      <c r="Y38153" s="97"/>
    </row>
    <row r="38154" spans="25:25" x14ac:dyDescent="0.2">
      <c r="Y38154" s="97"/>
    </row>
    <row r="38155" spans="25:25" x14ac:dyDescent="0.2">
      <c r="Y38155" s="97"/>
    </row>
    <row r="38156" spans="25:25" x14ac:dyDescent="0.2">
      <c r="Y38156" s="97"/>
    </row>
    <row r="38157" spans="25:25" x14ac:dyDescent="0.2">
      <c r="Y38157" s="97"/>
    </row>
    <row r="38158" spans="25:25" x14ac:dyDescent="0.2">
      <c r="Y38158" s="97"/>
    </row>
    <row r="38159" spans="25:25" x14ac:dyDescent="0.2">
      <c r="Y38159" s="97"/>
    </row>
    <row r="38160" spans="25:25" x14ac:dyDescent="0.2">
      <c r="Y38160" s="97"/>
    </row>
    <row r="38161" spans="25:25" x14ac:dyDescent="0.2">
      <c r="Y38161" s="97"/>
    </row>
    <row r="38162" spans="25:25" x14ac:dyDescent="0.2">
      <c r="Y38162" s="97"/>
    </row>
    <row r="38163" spans="25:25" x14ac:dyDescent="0.2">
      <c r="Y38163" s="97"/>
    </row>
    <row r="38164" spans="25:25" x14ac:dyDescent="0.2">
      <c r="Y38164" s="97"/>
    </row>
    <row r="38165" spans="25:25" x14ac:dyDescent="0.2">
      <c r="Y38165" s="97"/>
    </row>
    <row r="38166" spans="25:25" x14ac:dyDescent="0.2">
      <c r="Y38166" s="97"/>
    </row>
    <row r="38167" spans="25:25" x14ac:dyDescent="0.2">
      <c r="Y38167" s="97"/>
    </row>
    <row r="38168" spans="25:25" x14ac:dyDescent="0.2">
      <c r="Y38168" s="97"/>
    </row>
    <row r="38169" spans="25:25" x14ac:dyDescent="0.2">
      <c r="Y38169" s="97"/>
    </row>
    <row r="38170" spans="25:25" x14ac:dyDescent="0.2">
      <c r="Y38170" s="97"/>
    </row>
    <row r="38171" spans="25:25" x14ac:dyDescent="0.2">
      <c r="Y38171" s="97"/>
    </row>
    <row r="38172" spans="25:25" x14ac:dyDescent="0.2">
      <c r="Y38172" s="97"/>
    </row>
    <row r="38173" spans="25:25" x14ac:dyDescent="0.2">
      <c r="Y38173" s="97"/>
    </row>
    <row r="38174" spans="25:25" x14ac:dyDescent="0.2">
      <c r="Y38174" s="97"/>
    </row>
    <row r="38175" spans="25:25" x14ac:dyDescent="0.2">
      <c r="Y38175" s="97"/>
    </row>
    <row r="38176" spans="25:25" x14ac:dyDescent="0.2">
      <c r="Y38176" s="97"/>
    </row>
    <row r="38177" spans="25:25" x14ac:dyDescent="0.2">
      <c r="Y38177" s="97"/>
    </row>
    <row r="38178" spans="25:25" x14ac:dyDescent="0.2">
      <c r="Y38178" s="97"/>
    </row>
    <row r="38179" spans="25:25" x14ac:dyDescent="0.2">
      <c r="Y38179" s="97"/>
    </row>
    <row r="38180" spans="25:25" x14ac:dyDescent="0.2">
      <c r="Y38180" s="97"/>
    </row>
    <row r="38181" spans="25:25" x14ac:dyDescent="0.2">
      <c r="Y38181" s="97"/>
    </row>
    <row r="38182" spans="25:25" x14ac:dyDescent="0.2">
      <c r="Y38182" s="97"/>
    </row>
    <row r="38183" spans="25:25" x14ac:dyDescent="0.2">
      <c r="Y38183" s="97"/>
    </row>
    <row r="38184" spans="25:25" x14ac:dyDescent="0.2">
      <c r="Y38184" s="97"/>
    </row>
    <row r="38185" spans="25:25" x14ac:dyDescent="0.2">
      <c r="Y38185" s="97"/>
    </row>
    <row r="38186" spans="25:25" x14ac:dyDescent="0.2">
      <c r="Y38186" s="97"/>
    </row>
    <row r="38187" spans="25:25" x14ac:dyDescent="0.2">
      <c r="Y38187" s="97"/>
    </row>
    <row r="38188" spans="25:25" x14ac:dyDescent="0.2">
      <c r="Y38188" s="97"/>
    </row>
    <row r="38189" spans="25:25" x14ac:dyDescent="0.2">
      <c r="Y38189" s="97"/>
    </row>
    <row r="38190" spans="25:25" x14ac:dyDescent="0.2">
      <c r="Y38190" s="97"/>
    </row>
    <row r="38191" spans="25:25" x14ac:dyDescent="0.2">
      <c r="Y38191" s="97"/>
    </row>
    <row r="38192" spans="25:25" x14ac:dyDescent="0.2">
      <c r="Y38192" s="97"/>
    </row>
    <row r="38193" spans="25:25" x14ac:dyDescent="0.2">
      <c r="Y38193" s="97"/>
    </row>
    <row r="38194" spans="25:25" x14ac:dyDescent="0.2">
      <c r="Y38194" s="97"/>
    </row>
    <row r="38195" spans="25:25" x14ac:dyDescent="0.2">
      <c r="Y38195" s="97"/>
    </row>
    <row r="38196" spans="25:25" x14ac:dyDescent="0.2">
      <c r="Y38196" s="97"/>
    </row>
    <row r="38197" spans="25:25" x14ac:dyDescent="0.2">
      <c r="Y38197" s="97"/>
    </row>
    <row r="38198" spans="25:25" x14ac:dyDescent="0.2">
      <c r="Y38198" s="97"/>
    </row>
    <row r="38199" spans="25:25" x14ac:dyDescent="0.2">
      <c r="Y38199" s="97"/>
    </row>
    <row r="38200" spans="25:25" x14ac:dyDescent="0.2">
      <c r="Y38200" s="97"/>
    </row>
    <row r="38201" spans="25:25" x14ac:dyDescent="0.2">
      <c r="Y38201" s="97"/>
    </row>
    <row r="38202" spans="25:25" x14ac:dyDescent="0.2">
      <c r="Y38202" s="97"/>
    </row>
    <row r="38203" spans="25:25" x14ac:dyDescent="0.2">
      <c r="Y38203" s="97"/>
    </row>
    <row r="38204" spans="25:25" x14ac:dyDescent="0.2">
      <c r="Y38204" s="97"/>
    </row>
    <row r="38205" spans="25:25" x14ac:dyDescent="0.2">
      <c r="Y38205" s="97"/>
    </row>
    <row r="38206" spans="25:25" x14ac:dyDescent="0.2">
      <c r="Y38206" s="97"/>
    </row>
    <row r="38207" spans="25:25" x14ac:dyDescent="0.2">
      <c r="Y38207" s="97"/>
    </row>
    <row r="38208" spans="25:25" x14ac:dyDescent="0.2">
      <c r="Y38208" s="97"/>
    </row>
    <row r="38209" spans="25:25" x14ac:dyDescent="0.2">
      <c r="Y38209" s="97"/>
    </row>
    <row r="38210" spans="25:25" x14ac:dyDescent="0.2">
      <c r="Y38210" s="97"/>
    </row>
    <row r="38211" spans="25:25" x14ac:dyDescent="0.2">
      <c r="Y38211" s="97"/>
    </row>
    <row r="38212" spans="25:25" x14ac:dyDescent="0.2">
      <c r="Y38212" s="97"/>
    </row>
    <row r="38213" spans="25:25" x14ac:dyDescent="0.2">
      <c r="Y38213" s="97"/>
    </row>
    <row r="38214" spans="25:25" x14ac:dyDescent="0.2">
      <c r="Y38214" s="97"/>
    </row>
    <row r="38215" spans="25:25" x14ac:dyDescent="0.2">
      <c r="Y38215" s="97"/>
    </row>
    <row r="38216" spans="25:25" x14ac:dyDescent="0.2">
      <c r="Y38216" s="97"/>
    </row>
    <row r="38217" spans="25:25" x14ac:dyDescent="0.2">
      <c r="Y38217" s="97"/>
    </row>
    <row r="38218" spans="25:25" x14ac:dyDescent="0.2">
      <c r="Y38218" s="97"/>
    </row>
    <row r="38219" spans="25:25" x14ac:dyDescent="0.2">
      <c r="Y38219" s="97"/>
    </row>
    <row r="38220" spans="25:25" x14ac:dyDescent="0.2">
      <c r="Y38220" s="97"/>
    </row>
    <row r="38221" spans="25:25" x14ac:dyDescent="0.2">
      <c r="Y38221" s="97"/>
    </row>
    <row r="38222" spans="25:25" x14ac:dyDescent="0.2">
      <c r="Y38222" s="97"/>
    </row>
    <row r="38223" spans="25:25" x14ac:dyDescent="0.2">
      <c r="Y38223" s="97"/>
    </row>
    <row r="38224" spans="25:25" x14ac:dyDescent="0.2">
      <c r="Y38224" s="97"/>
    </row>
    <row r="38225" spans="25:25" x14ac:dyDescent="0.2">
      <c r="Y38225" s="97"/>
    </row>
    <row r="38226" spans="25:25" x14ac:dyDescent="0.2">
      <c r="Y38226" s="97"/>
    </row>
    <row r="38227" spans="25:25" x14ac:dyDescent="0.2">
      <c r="Y38227" s="97"/>
    </row>
    <row r="38228" spans="25:25" x14ac:dyDescent="0.2">
      <c r="Y38228" s="97"/>
    </row>
    <row r="38229" spans="25:25" x14ac:dyDescent="0.2">
      <c r="Y38229" s="97"/>
    </row>
    <row r="38230" spans="25:25" x14ac:dyDescent="0.2">
      <c r="Y38230" s="97"/>
    </row>
    <row r="38231" spans="25:25" x14ac:dyDescent="0.2">
      <c r="Y38231" s="97"/>
    </row>
    <row r="38232" spans="25:25" x14ac:dyDescent="0.2">
      <c r="Y38232" s="97"/>
    </row>
    <row r="38233" spans="25:25" x14ac:dyDescent="0.2">
      <c r="Y38233" s="97"/>
    </row>
    <row r="38234" spans="25:25" x14ac:dyDescent="0.2">
      <c r="Y38234" s="97"/>
    </row>
    <row r="38235" spans="25:25" x14ac:dyDescent="0.2">
      <c r="Y38235" s="97"/>
    </row>
    <row r="38236" spans="25:25" x14ac:dyDescent="0.2">
      <c r="Y38236" s="97"/>
    </row>
    <row r="38237" spans="25:25" x14ac:dyDescent="0.2">
      <c r="Y38237" s="97"/>
    </row>
    <row r="38238" spans="25:25" x14ac:dyDescent="0.2">
      <c r="Y38238" s="97"/>
    </row>
    <row r="38239" spans="25:25" x14ac:dyDescent="0.2">
      <c r="Y38239" s="97"/>
    </row>
    <row r="38240" spans="25:25" x14ac:dyDescent="0.2">
      <c r="Y38240" s="97"/>
    </row>
    <row r="38241" spans="25:25" x14ac:dyDescent="0.2">
      <c r="Y38241" s="97"/>
    </row>
    <row r="38242" spans="25:25" x14ac:dyDescent="0.2">
      <c r="Y38242" s="97"/>
    </row>
    <row r="38243" spans="25:25" x14ac:dyDescent="0.2">
      <c r="Y38243" s="97"/>
    </row>
    <row r="38244" spans="25:25" x14ac:dyDescent="0.2">
      <c r="Y38244" s="97"/>
    </row>
    <row r="38245" spans="25:25" x14ac:dyDescent="0.2">
      <c r="Y38245" s="97"/>
    </row>
    <row r="38246" spans="25:25" x14ac:dyDescent="0.2">
      <c r="Y38246" s="97"/>
    </row>
    <row r="38247" spans="25:25" x14ac:dyDescent="0.2">
      <c r="Y38247" s="97"/>
    </row>
    <row r="38248" spans="25:25" x14ac:dyDescent="0.2">
      <c r="Y38248" s="97"/>
    </row>
    <row r="38249" spans="25:25" x14ac:dyDescent="0.2">
      <c r="Y38249" s="97"/>
    </row>
    <row r="38250" spans="25:25" x14ac:dyDescent="0.2">
      <c r="Y38250" s="97"/>
    </row>
    <row r="38251" spans="25:25" x14ac:dyDescent="0.2">
      <c r="Y38251" s="97"/>
    </row>
    <row r="38252" spans="25:25" x14ac:dyDescent="0.2">
      <c r="Y38252" s="97"/>
    </row>
    <row r="38253" spans="25:25" x14ac:dyDescent="0.2">
      <c r="Y38253" s="97"/>
    </row>
    <row r="38254" spans="25:25" x14ac:dyDescent="0.2">
      <c r="Y38254" s="97"/>
    </row>
    <row r="38255" spans="25:25" x14ac:dyDescent="0.2">
      <c r="Y38255" s="97"/>
    </row>
    <row r="38256" spans="25:25" x14ac:dyDescent="0.2">
      <c r="Y38256" s="97"/>
    </row>
    <row r="38257" spans="25:25" x14ac:dyDescent="0.2">
      <c r="Y38257" s="97"/>
    </row>
    <row r="38258" spans="25:25" x14ac:dyDescent="0.2">
      <c r="Y38258" s="97"/>
    </row>
    <row r="38259" spans="25:25" x14ac:dyDescent="0.2">
      <c r="Y38259" s="97"/>
    </row>
    <row r="38260" spans="25:25" x14ac:dyDescent="0.2">
      <c r="Y38260" s="97"/>
    </row>
    <row r="38261" spans="25:25" x14ac:dyDescent="0.2">
      <c r="Y38261" s="97"/>
    </row>
    <row r="38262" spans="25:25" x14ac:dyDescent="0.2">
      <c r="Y38262" s="97"/>
    </row>
    <row r="38263" spans="25:25" x14ac:dyDescent="0.2">
      <c r="Y38263" s="97"/>
    </row>
    <row r="38264" spans="25:25" x14ac:dyDescent="0.2">
      <c r="Y38264" s="97"/>
    </row>
    <row r="38265" spans="25:25" x14ac:dyDescent="0.2">
      <c r="Y38265" s="97"/>
    </row>
    <row r="38266" spans="25:25" x14ac:dyDescent="0.2">
      <c r="Y38266" s="97"/>
    </row>
    <row r="38267" spans="25:25" x14ac:dyDescent="0.2">
      <c r="Y38267" s="97"/>
    </row>
    <row r="38268" spans="25:25" x14ac:dyDescent="0.2">
      <c r="Y38268" s="97"/>
    </row>
    <row r="38269" spans="25:25" x14ac:dyDescent="0.2">
      <c r="Y38269" s="97"/>
    </row>
    <row r="38270" spans="25:25" x14ac:dyDescent="0.2">
      <c r="Y38270" s="97"/>
    </row>
    <row r="38271" spans="25:25" x14ac:dyDescent="0.2">
      <c r="Y38271" s="97"/>
    </row>
    <row r="38272" spans="25:25" x14ac:dyDescent="0.2">
      <c r="Y38272" s="97"/>
    </row>
    <row r="38273" spans="25:25" x14ac:dyDescent="0.2">
      <c r="Y38273" s="97"/>
    </row>
    <row r="38274" spans="25:25" x14ac:dyDescent="0.2">
      <c r="Y38274" s="97"/>
    </row>
    <row r="38275" spans="25:25" x14ac:dyDescent="0.2">
      <c r="Y38275" s="97"/>
    </row>
    <row r="38276" spans="25:25" x14ac:dyDescent="0.2">
      <c r="Y38276" s="97"/>
    </row>
    <row r="38277" spans="25:25" x14ac:dyDescent="0.2">
      <c r="Y38277" s="97"/>
    </row>
    <row r="38278" spans="25:25" x14ac:dyDescent="0.2">
      <c r="Y38278" s="97"/>
    </row>
    <row r="38279" spans="25:25" x14ac:dyDescent="0.2">
      <c r="Y38279" s="97"/>
    </row>
    <row r="38280" spans="25:25" x14ac:dyDescent="0.2">
      <c r="Y38280" s="97"/>
    </row>
    <row r="38281" spans="25:25" x14ac:dyDescent="0.2">
      <c r="Y38281" s="97"/>
    </row>
    <row r="38282" spans="25:25" x14ac:dyDescent="0.2">
      <c r="Y38282" s="97"/>
    </row>
    <row r="38283" spans="25:25" x14ac:dyDescent="0.2">
      <c r="Y38283" s="97"/>
    </row>
    <row r="38284" spans="25:25" x14ac:dyDescent="0.2">
      <c r="Y38284" s="97"/>
    </row>
    <row r="38285" spans="25:25" x14ac:dyDescent="0.2">
      <c r="Y38285" s="97"/>
    </row>
    <row r="38286" spans="25:25" x14ac:dyDescent="0.2">
      <c r="Y38286" s="97"/>
    </row>
    <row r="38287" spans="25:25" x14ac:dyDescent="0.2">
      <c r="Y38287" s="97"/>
    </row>
    <row r="38288" spans="25:25" x14ac:dyDescent="0.2">
      <c r="Y38288" s="97"/>
    </row>
    <row r="38289" spans="25:25" x14ac:dyDescent="0.2">
      <c r="Y38289" s="97"/>
    </row>
    <row r="38290" spans="25:25" x14ac:dyDescent="0.2">
      <c r="Y38290" s="97"/>
    </row>
    <row r="38291" spans="25:25" x14ac:dyDescent="0.2">
      <c r="Y38291" s="97"/>
    </row>
    <row r="38292" spans="25:25" x14ac:dyDescent="0.2">
      <c r="Y38292" s="97"/>
    </row>
    <row r="38293" spans="25:25" x14ac:dyDescent="0.2">
      <c r="Y38293" s="97"/>
    </row>
    <row r="38294" spans="25:25" x14ac:dyDescent="0.2">
      <c r="Y38294" s="97"/>
    </row>
    <row r="38295" spans="25:25" x14ac:dyDescent="0.2">
      <c r="Y38295" s="97"/>
    </row>
    <row r="38296" spans="25:25" x14ac:dyDescent="0.2">
      <c r="Y38296" s="97"/>
    </row>
    <row r="38297" spans="25:25" x14ac:dyDescent="0.2">
      <c r="Y38297" s="97"/>
    </row>
    <row r="38298" spans="25:25" x14ac:dyDescent="0.2">
      <c r="Y38298" s="97"/>
    </row>
    <row r="38299" spans="25:25" x14ac:dyDescent="0.2">
      <c r="Y38299" s="97"/>
    </row>
    <row r="38300" spans="25:25" x14ac:dyDescent="0.2">
      <c r="Y38300" s="97"/>
    </row>
    <row r="38301" spans="25:25" x14ac:dyDescent="0.2">
      <c r="Y38301" s="97"/>
    </row>
    <row r="38302" spans="25:25" x14ac:dyDescent="0.2">
      <c r="Y38302" s="97"/>
    </row>
    <row r="38303" spans="25:25" x14ac:dyDescent="0.2">
      <c r="Y38303" s="97"/>
    </row>
    <row r="38304" spans="25:25" x14ac:dyDescent="0.2">
      <c r="Y38304" s="97"/>
    </row>
    <row r="38305" spans="25:25" x14ac:dyDescent="0.2">
      <c r="Y38305" s="97"/>
    </row>
    <row r="38306" spans="25:25" x14ac:dyDescent="0.2">
      <c r="Y38306" s="97"/>
    </row>
    <row r="38307" spans="25:25" x14ac:dyDescent="0.2">
      <c r="Y38307" s="97"/>
    </row>
    <row r="38308" spans="25:25" x14ac:dyDescent="0.2">
      <c r="Y38308" s="97"/>
    </row>
    <row r="38309" spans="25:25" x14ac:dyDescent="0.2">
      <c r="Y38309" s="97"/>
    </row>
    <row r="38310" spans="25:25" x14ac:dyDescent="0.2">
      <c r="Y38310" s="97"/>
    </row>
    <row r="38311" spans="25:25" x14ac:dyDescent="0.2">
      <c r="Y38311" s="97"/>
    </row>
    <row r="38312" spans="25:25" x14ac:dyDescent="0.2">
      <c r="Y38312" s="97"/>
    </row>
    <row r="38313" spans="25:25" x14ac:dyDescent="0.2">
      <c r="Y38313" s="97"/>
    </row>
    <row r="38314" spans="25:25" x14ac:dyDescent="0.2">
      <c r="Y38314" s="97"/>
    </row>
    <row r="38315" spans="25:25" x14ac:dyDescent="0.2">
      <c r="Y38315" s="97"/>
    </row>
    <row r="38316" spans="25:25" x14ac:dyDescent="0.2">
      <c r="Y38316" s="97"/>
    </row>
    <row r="38317" spans="25:25" x14ac:dyDescent="0.2">
      <c r="Y38317" s="97"/>
    </row>
    <row r="38318" spans="25:25" x14ac:dyDescent="0.2">
      <c r="Y38318" s="97"/>
    </row>
    <row r="38319" spans="25:25" x14ac:dyDescent="0.2">
      <c r="Y38319" s="97"/>
    </row>
    <row r="38320" spans="25:25" x14ac:dyDescent="0.2">
      <c r="Y38320" s="97"/>
    </row>
    <row r="38321" spans="25:25" x14ac:dyDescent="0.2">
      <c r="Y38321" s="97"/>
    </row>
    <row r="38322" spans="25:25" x14ac:dyDescent="0.2">
      <c r="Y38322" s="97"/>
    </row>
    <row r="38323" spans="25:25" x14ac:dyDescent="0.2">
      <c r="Y38323" s="97"/>
    </row>
    <row r="38324" spans="25:25" x14ac:dyDescent="0.2">
      <c r="Y38324" s="97"/>
    </row>
    <row r="38325" spans="25:25" x14ac:dyDescent="0.2">
      <c r="Y38325" s="97"/>
    </row>
    <row r="38326" spans="25:25" x14ac:dyDescent="0.2">
      <c r="Y38326" s="97"/>
    </row>
    <row r="38327" spans="25:25" x14ac:dyDescent="0.2">
      <c r="Y38327" s="97"/>
    </row>
    <row r="38328" spans="25:25" x14ac:dyDescent="0.2">
      <c r="Y38328" s="97"/>
    </row>
    <row r="38329" spans="25:25" x14ac:dyDescent="0.2">
      <c r="Y38329" s="97"/>
    </row>
    <row r="38330" spans="25:25" x14ac:dyDescent="0.2">
      <c r="Y38330" s="97"/>
    </row>
    <row r="38331" spans="25:25" x14ac:dyDescent="0.2">
      <c r="Y38331" s="97"/>
    </row>
    <row r="38332" spans="25:25" x14ac:dyDescent="0.2">
      <c r="Y38332" s="97"/>
    </row>
    <row r="38333" spans="25:25" x14ac:dyDescent="0.2">
      <c r="Y38333" s="97"/>
    </row>
    <row r="38334" spans="25:25" x14ac:dyDescent="0.2">
      <c r="Y38334" s="97"/>
    </row>
    <row r="38335" spans="25:25" x14ac:dyDescent="0.2">
      <c r="Y38335" s="97"/>
    </row>
    <row r="38336" spans="25:25" x14ac:dyDescent="0.2">
      <c r="Y38336" s="97"/>
    </row>
    <row r="38337" spans="25:25" x14ac:dyDescent="0.2">
      <c r="Y38337" s="97"/>
    </row>
    <row r="38338" spans="25:25" x14ac:dyDescent="0.2">
      <c r="Y38338" s="97"/>
    </row>
    <row r="38339" spans="25:25" x14ac:dyDescent="0.2">
      <c r="Y38339" s="97"/>
    </row>
    <row r="38340" spans="25:25" x14ac:dyDescent="0.2">
      <c r="Y38340" s="97"/>
    </row>
    <row r="38341" spans="25:25" x14ac:dyDescent="0.2">
      <c r="Y38341" s="97"/>
    </row>
    <row r="38342" spans="25:25" x14ac:dyDescent="0.2">
      <c r="Y38342" s="97"/>
    </row>
    <row r="38343" spans="25:25" x14ac:dyDescent="0.2">
      <c r="Y38343" s="97"/>
    </row>
    <row r="38344" spans="25:25" x14ac:dyDescent="0.2">
      <c r="Y38344" s="97"/>
    </row>
    <row r="38345" spans="25:25" x14ac:dyDescent="0.2">
      <c r="Y38345" s="97"/>
    </row>
    <row r="38346" spans="25:25" x14ac:dyDescent="0.2">
      <c r="Y38346" s="97"/>
    </row>
    <row r="38347" spans="25:25" x14ac:dyDescent="0.2">
      <c r="Y38347" s="97"/>
    </row>
    <row r="38348" spans="25:25" x14ac:dyDescent="0.2">
      <c r="Y38348" s="97"/>
    </row>
    <row r="38349" spans="25:25" x14ac:dyDescent="0.2">
      <c r="Y38349" s="97"/>
    </row>
    <row r="38350" spans="25:25" x14ac:dyDescent="0.2">
      <c r="Y38350" s="97"/>
    </row>
    <row r="38351" spans="25:25" x14ac:dyDescent="0.2">
      <c r="Y38351" s="97"/>
    </row>
    <row r="38352" spans="25:25" x14ac:dyDescent="0.2">
      <c r="Y38352" s="97"/>
    </row>
    <row r="38353" spans="25:25" x14ac:dyDescent="0.2">
      <c r="Y38353" s="97"/>
    </row>
    <row r="38354" spans="25:25" x14ac:dyDescent="0.2">
      <c r="Y38354" s="97"/>
    </row>
    <row r="38355" spans="25:25" x14ac:dyDescent="0.2">
      <c r="Y38355" s="97"/>
    </row>
    <row r="38356" spans="25:25" x14ac:dyDescent="0.2">
      <c r="Y38356" s="97"/>
    </row>
    <row r="38357" spans="25:25" x14ac:dyDescent="0.2">
      <c r="Y38357" s="97"/>
    </row>
    <row r="38358" spans="25:25" x14ac:dyDescent="0.2">
      <c r="Y38358" s="97"/>
    </row>
    <row r="38359" spans="25:25" x14ac:dyDescent="0.2">
      <c r="Y38359" s="97"/>
    </row>
    <row r="38360" spans="25:25" x14ac:dyDescent="0.2">
      <c r="Y38360" s="97"/>
    </row>
    <row r="38361" spans="25:25" x14ac:dyDescent="0.2">
      <c r="Y38361" s="97"/>
    </row>
    <row r="38362" spans="25:25" x14ac:dyDescent="0.2">
      <c r="Y38362" s="97"/>
    </row>
    <row r="38363" spans="25:25" x14ac:dyDescent="0.2">
      <c r="Y38363" s="97"/>
    </row>
    <row r="38364" spans="25:25" x14ac:dyDescent="0.2">
      <c r="Y38364" s="97"/>
    </row>
    <row r="38365" spans="25:25" x14ac:dyDescent="0.2">
      <c r="Y38365" s="97"/>
    </row>
    <row r="38366" spans="25:25" x14ac:dyDescent="0.2">
      <c r="Y38366" s="97"/>
    </row>
    <row r="38367" spans="25:25" x14ac:dyDescent="0.2">
      <c r="Y38367" s="97"/>
    </row>
    <row r="38368" spans="25:25" x14ac:dyDescent="0.2">
      <c r="Y38368" s="97"/>
    </row>
    <row r="38369" spans="25:25" x14ac:dyDescent="0.2">
      <c r="Y38369" s="97"/>
    </row>
    <row r="38370" spans="25:25" x14ac:dyDescent="0.2">
      <c r="Y38370" s="97"/>
    </row>
    <row r="38371" spans="25:25" x14ac:dyDescent="0.2">
      <c r="Y38371" s="97"/>
    </row>
    <row r="38372" spans="25:25" x14ac:dyDescent="0.2">
      <c r="Y38372" s="97"/>
    </row>
    <row r="38373" spans="25:25" x14ac:dyDescent="0.2">
      <c r="Y38373" s="97"/>
    </row>
    <row r="38374" spans="25:25" x14ac:dyDescent="0.2">
      <c r="Y38374" s="97"/>
    </row>
    <row r="38375" spans="25:25" x14ac:dyDescent="0.2">
      <c r="Y38375" s="97"/>
    </row>
    <row r="38376" spans="25:25" x14ac:dyDescent="0.2">
      <c r="Y38376" s="97"/>
    </row>
    <row r="38377" spans="25:25" x14ac:dyDescent="0.2">
      <c r="Y38377" s="97"/>
    </row>
    <row r="38378" spans="25:25" x14ac:dyDescent="0.2">
      <c r="Y38378" s="97"/>
    </row>
    <row r="38379" spans="25:25" x14ac:dyDescent="0.2">
      <c r="Y38379" s="97"/>
    </row>
    <row r="38380" spans="25:25" x14ac:dyDescent="0.2">
      <c r="Y38380" s="97"/>
    </row>
    <row r="38381" spans="25:25" x14ac:dyDescent="0.2">
      <c r="Y38381" s="97"/>
    </row>
    <row r="38382" spans="25:25" x14ac:dyDescent="0.2">
      <c r="Y38382" s="97"/>
    </row>
    <row r="38383" spans="25:25" x14ac:dyDescent="0.2">
      <c r="Y38383" s="97"/>
    </row>
    <row r="38384" spans="25:25" x14ac:dyDescent="0.2">
      <c r="Y38384" s="97"/>
    </row>
    <row r="38385" spans="25:25" x14ac:dyDescent="0.2">
      <c r="Y38385" s="97"/>
    </row>
    <row r="38386" spans="25:25" x14ac:dyDescent="0.2">
      <c r="Y38386" s="97"/>
    </row>
    <row r="38387" spans="25:25" x14ac:dyDescent="0.2">
      <c r="Y38387" s="97"/>
    </row>
    <row r="38388" spans="25:25" x14ac:dyDescent="0.2">
      <c r="Y38388" s="97"/>
    </row>
    <row r="38389" spans="25:25" x14ac:dyDescent="0.2">
      <c r="Y38389" s="97"/>
    </row>
    <row r="38390" spans="25:25" x14ac:dyDescent="0.2">
      <c r="Y38390" s="97"/>
    </row>
    <row r="38391" spans="25:25" x14ac:dyDescent="0.2">
      <c r="Y38391" s="97"/>
    </row>
    <row r="38392" spans="25:25" x14ac:dyDescent="0.2">
      <c r="Y38392" s="97"/>
    </row>
    <row r="38393" spans="25:25" x14ac:dyDescent="0.2">
      <c r="Y38393" s="97"/>
    </row>
    <row r="38394" spans="25:25" x14ac:dyDescent="0.2">
      <c r="Y38394" s="97"/>
    </row>
    <row r="38395" spans="25:25" x14ac:dyDescent="0.2">
      <c r="Y38395" s="97"/>
    </row>
    <row r="38396" spans="25:25" x14ac:dyDescent="0.2">
      <c r="Y38396" s="97"/>
    </row>
    <row r="38397" spans="25:25" x14ac:dyDescent="0.2">
      <c r="Y38397" s="97"/>
    </row>
    <row r="38398" spans="25:25" x14ac:dyDescent="0.2">
      <c r="Y38398" s="97"/>
    </row>
    <row r="38399" spans="25:25" x14ac:dyDescent="0.2">
      <c r="Y38399" s="97"/>
    </row>
    <row r="38400" spans="25:25" x14ac:dyDescent="0.2">
      <c r="Y38400" s="97"/>
    </row>
    <row r="38401" spans="25:25" x14ac:dyDescent="0.2">
      <c r="Y38401" s="97"/>
    </row>
    <row r="38402" spans="25:25" x14ac:dyDescent="0.2">
      <c r="Y38402" s="97"/>
    </row>
    <row r="38403" spans="25:25" x14ac:dyDescent="0.2">
      <c r="Y38403" s="97"/>
    </row>
    <row r="38404" spans="25:25" x14ac:dyDescent="0.2">
      <c r="Y38404" s="97"/>
    </row>
    <row r="38405" spans="25:25" x14ac:dyDescent="0.2">
      <c r="Y38405" s="97"/>
    </row>
    <row r="38406" spans="25:25" x14ac:dyDescent="0.2">
      <c r="Y38406" s="97"/>
    </row>
    <row r="38407" spans="25:25" x14ac:dyDescent="0.2">
      <c r="Y38407" s="97"/>
    </row>
    <row r="38408" spans="25:25" x14ac:dyDescent="0.2">
      <c r="Y38408" s="97"/>
    </row>
    <row r="38409" spans="25:25" x14ac:dyDescent="0.2">
      <c r="Y38409" s="97"/>
    </row>
    <row r="38410" spans="25:25" x14ac:dyDescent="0.2">
      <c r="Y38410" s="97"/>
    </row>
    <row r="38411" spans="25:25" x14ac:dyDescent="0.2">
      <c r="Y38411" s="97"/>
    </row>
    <row r="38412" spans="25:25" x14ac:dyDescent="0.2">
      <c r="Y38412" s="97"/>
    </row>
    <row r="38413" spans="25:25" x14ac:dyDescent="0.2">
      <c r="Y38413" s="97"/>
    </row>
    <row r="38414" spans="25:25" x14ac:dyDescent="0.2">
      <c r="Y38414" s="97"/>
    </row>
    <row r="38415" spans="25:25" x14ac:dyDescent="0.2">
      <c r="Y38415" s="97"/>
    </row>
    <row r="38416" spans="25:25" x14ac:dyDescent="0.2">
      <c r="Y38416" s="97"/>
    </row>
    <row r="38417" spans="25:25" x14ac:dyDescent="0.2">
      <c r="Y38417" s="97"/>
    </row>
    <row r="38418" spans="25:25" x14ac:dyDescent="0.2">
      <c r="Y38418" s="97"/>
    </row>
    <row r="38419" spans="25:25" x14ac:dyDescent="0.2">
      <c r="Y38419" s="97"/>
    </row>
    <row r="38420" spans="25:25" x14ac:dyDescent="0.2">
      <c r="Y38420" s="97"/>
    </row>
    <row r="38421" spans="25:25" x14ac:dyDescent="0.2">
      <c r="Y38421" s="97"/>
    </row>
    <row r="38422" spans="25:25" x14ac:dyDescent="0.2">
      <c r="Y38422" s="97"/>
    </row>
    <row r="38423" spans="25:25" x14ac:dyDescent="0.2">
      <c r="Y38423" s="97"/>
    </row>
    <row r="38424" spans="25:25" x14ac:dyDescent="0.2">
      <c r="Y38424" s="97"/>
    </row>
    <row r="38425" spans="25:25" x14ac:dyDescent="0.2">
      <c r="Y38425" s="97"/>
    </row>
    <row r="38426" spans="25:25" x14ac:dyDescent="0.2">
      <c r="Y38426" s="97"/>
    </row>
    <row r="38427" spans="25:25" x14ac:dyDescent="0.2">
      <c r="Y38427" s="97"/>
    </row>
    <row r="38428" spans="25:25" x14ac:dyDescent="0.2">
      <c r="Y38428" s="97"/>
    </row>
    <row r="38429" spans="25:25" x14ac:dyDescent="0.2">
      <c r="Y38429" s="97"/>
    </row>
    <row r="38430" spans="25:25" x14ac:dyDescent="0.2">
      <c r="Y38430" s="97"/>
    </row>
    <row r="38431" spans="25:25" x14ac:dyDescent="0.2">
      <c r="Y38431" s="97"/>
    </row>
    <row r="38432" spans="25:25" x14ac:dyDescent="0.2">
      <c r="Y38432" s="97"/>
    </row>
    <row r="38433" spans="25:25" x14ac:dyDescent="0.2">
      <c r="Y38433" s="97"/>
    </row>
    <row r="38434" spans="25:25" x14ac:dyDescent="0.2">
      <c r="Y38434" s="97"/>
    </row>
    <row r="38435" spans="25:25" x14ac:dyDescent="0.2">
      <c r="Y38435" s="97"/>
    </row>
    <row r="38436" spans="25:25" x14ac:dyDescent="0.2">
      <c r="Y38436" s="97"/>
    </row>
    <row r="38437" spans="25:25" x14ac:dyDescent="0.2">
      <c r="Y38437" s="97"/>
    </row>
    <row r="38438" spans="25:25" x14ac:dyDescent="0.2">
      <c r="Y38438" s="97"/>
    </row>
    <row r="38439" spans="25:25" x14ac:dyDescent="0.2">
      <c r="Y38439" s="97"/>
    </row>
    <row r="38440" spans="25:25" x14ac:dyDescent="0.2">
      <c r="Y38440" s="97"/>
    </row>
    <row r="38441" spans="25:25" x14ac:dyDescent="0.2">
      <c r="Y38441" s="97"/>
    </row>
    <row r="38442" spans="25:25" x14ac:dyDescent="0.2">
      <c r="Y38442" s="97"/>
    </row>
    <row r="38443" spans="25:25" x14ac:dyDescent="0.2">
      <c r="Y38443" s="97"/>
    </row>
    <row r="38444" spans="25:25" x14ac:dyDescent="0.2">
      <c r="Y38444" s="97"/>
    </row>
    <row r="38445" spans="25:25" x14ac:dyDescent="0.2">
      <c r="Y38445" s="97"/>
    </row>
    <row r="38446" spans="25:25" x14ac:dyDescent="0.2">
      <c r="Y38446" s="97"/>
    </row>
    <row r="38447" spans="25:25" x14ac:dyDescent="0.2">
      <c r="Y38447" s="97"/>
    </row>
    <row r="38448" spans="25:25" x14ac:dyDescent="0.2">
      <c r="Y38448" s="97"/>
    </row>
    <row r="38449" spans="25:25" x14ac:dyDescent="0.2">
      <c r="Y38449" s="97"/>
    </row>
    <row r="38450" spans="25:25" x14ac:dyDescent="0.2">
      <c r="Y38450" s="97"/>
    </row>
    <row r="38451" spans="25:25" x14ac:dyDescent="0.2">
      <c r="Y38451" s="97"/>
    </row>
    <row r="38452" spans="25:25" x14ac:dyDescent="0.2">
      <c r="Y38452" s="97"/>
    </row>
    <row r="38453" spans="25:25" x14ac:dyDescent="0.2">
      <c r="Y38453" s="97"/>
    </row>
    <row r="38454" spans="25:25" x14ac:dyDescent="0.2">
      <c r="Y38454" s="97"/>
    </row>
    <row r="38455" spans="25:25" x14ac:dyDescent="0.2">
      <c r="Y38455" s="97"/>
    </row>
    <row r="38456" spans="25:25" x14ac:dyDescent="0.2">
      <c r="Y38456" s="97"/>
    </row>
    <row r="38457" spans="25:25" x14ac:dyDescent="0.2">
      <c r="Y38457" s="97"/>
    </row>
    <row r="38458" spans="25:25" x14ac:dyDescent="0.2">
      <c r="Y38458" s="97"/>
    </row>
    <row r="38459" spans="25:25" x14ac:dyDescent="0.2">
      <c r="Y38459" s="97"/>
    </row>
    <row r="38460" spans="25:25" x14ac:dyDescent="0.2">
      <c r="Y38460" s="97"/>
    </row>
    <row r="38461" spans="25:25" x14ac:dyDescent="0.2">
      <c r="Y38461" s="97"/>
    </row>
    <row r="38462" spans="25:25" x14ac:dyDescent="0.2">
      <c r="Y38462" s="97"/>
    </row>
    <row r="38463" spans="25:25" x14ac:dyDescent="0.2">
      <c r="Y38463" s="97"/>
    </row>
    <row r="38464" spans="25:25" x14ac:dyDescent="0.2">
      <c r="Y38464" s="97"/>
    </row>
    <row r="38465" spans="25:25" x14ac:dyDescent="0.2">
      <c r="Y38465" s="97"/>
    </row>
    <row r="38466" spans="25:25" x14ac:dyDescent="0.2">
      <c r="Y38466" s="97"/>
    </row>
    <row r="38467" spans="25:25" x14ac:dyDescent="0.2">
      <c r="Y38467" s="97"/>
    </row>
    <row r="38468" spans="25:25" x14ac:dyDescent="0.2">
      <c r="Y38468" s="97"/>
    </row>
    <row r="38469" spans="25:25" x14ac:dyDescent="0.2">
      <c r="Y38469" s="97"/>
    </row>
    <row r="38470" spans="25:25" x14ac:dyDescent="0.2">
      <c r="Y38470" s="97"/>
    </row>
    <row r="38471" spans="25:25" x14ac:dyDescent="0.2">
      <c r="Y38471" s="97"/>
    </row>
    <row r="38472" spans="25:25" x14ac:dyDescent="0.2">
      <c r="Y38472" s="97"/>
    </row>
    <row r="38473" spans="25:25" x14ac:dyDescent="0.2">
      <c r="Y38473" s="97"/>
    </row>
    <row r="38474" spans="25:25" x14ac:dyDescent="0.2">
      <c r="Y38474" s="97"/>
    </row>
    <row r="38475" spans="25:25" x14ac:dyDescent="0.2">
      <c r="Y38475" s="97"/>
    </row>
    <row r="38476" spans="25:25" x14ac:dyDescent="0.2">
      <c r="Y38476" s="97"/>
    </row>
    <row r="38477" spans="25:25" x14ac:dyDescent="0.2">
      <c r="Y38477" s="97"/>
    </row>
    <row r="38478" spans="25:25" x14ac:dyDescent="0.2">
      <c r="Y38478" s="97"/>
    </row>
    <row r="38479" spans="25:25" x14ac:dyDescent="0.2">
      <c r="Y38479" s="97"/>
    </row>
    <row r="38480" spans="25:25" x14ac:dyDescent="0.2">
      <c r="Y38480" s="97"/>
    </row>
    <row r="38481" spans="25:25" x14ac:dyDescent="0.2">
      <c r="Y38481" s="97"/>
    </row>
    <row r="38482" spans="25:25" x14ac:dyDescent="0.2">
      <c r="Y38482" s="97"/>
    </row>
    <row r="38483" spans="25:25" x14ac:dyDescent="0.2">
      <c r="Y38483" s="97"/>
    </row>
    <row r="38484" spans="25:25" x14ac:dyDescent="0.2">
      <c r="Y38484" s="97"/>
    </row>
    <row r="38485" spans="25:25" x14ac:dyDescent="0.2">
      <c r="Y38485" s="97"/>
    </row>
    <row r="38486" spans="25:25" x14ac:dyDescent="0.2">
      <c r="Y38486" s="97"/>
    </row>
    <row r="38487" spans="25:25" x14ac:dyDescent="0.2">
      <c r="Y38487" s="97"/>
    </row>
    <row r="38488" spans="25:25" x14ac:dyDescent="0.2">
      <c r="Y38488" s="97"/>
    </row>
    <row r="38489" spans="25:25" x14ac:dyDescent="0.2">
      <c r="Y38489" s="97"/>
    </row>
    <row r="38490" spans="25:25" x14ac:dyDescent="0.2">
      <c r="Y38490" s="97"/>
    </row>
    <row r="38491" spans="25:25" x14ac:dyDescent="0.2">
      <c r="Y38491" s="97"/>
    </row>
    <row r="38492" spans="25:25" x14ac:dyDescent="0.2">
      <c r="Y38492" s="97"/>
    </row>
    <row r="38493" spans="25:25" x14ac:dyDescent="0.2">
      <c r="Y38493" s="97"/>
    </row>
    <row r="38494" spans="25:25" x14ac:dyDescent="0.2">
      <c r="Y38494" s="97"/>
    </row>
    <row r="38495" spans="25:25" x14ac:dyDescent="0.2">
      <c r="Y38495" s="97"/>
    </row>
    <row r="38496" spans="25:25" x14ac:dyDescent="0.2">
      <c r="Y38496" s="97"/>
    </row>
    <row r="38497" spans="25:25" x14ac:dyDescent="0.2">
      <c r="Y38497" s="97"/>
    </row>
    <row r="38498" spans="25:25" x14ac:dyDescent="0.2">
      <c r="Y38498" s="97"/>
    </row>
    <row r="38499" spans="25:25" x14ac:dyDescent="0.2">
      <c r="Y38499" s="97"/>
    </row>
    <row r="38500" spans="25:25" x14ac:dyDescent="0.2">
      <c r="Y38500" s="97"/>
    </row>
    <row r="38501" spans="25:25" x14ac:dyDescent="0.2">
      <c r="Y38501" s="97"/>
    </row>
    <row r="38502" spans="25:25" x14ac:dyDescent="0.2">
      <c r="Y38502" s="97"/>
    </row>
    <row r="38503" spans="25:25" x14ac:dyDescent="0.2">
      <c r="Y38503" s="97"/>
    </row>
    <row r="38504" spans="25:25" x14ac:dyDescent="0.2">
      <c r="Y38504" s="97"/>
    </row>
    <row r="38505" spans="25:25" x14ac:dyDescent="0.2">
      <c r="Y38505" s="97"/>
    </row>
    <row r="38506" spans="25:25" x14ac:dyDescent="0.2">
      <c r="Y38506" s="97"/>
    </row>
    <row r="38507" spans="25:25" x14ac:dyDescent="0.2">
      <c r="Y38507" s="97"/>
    </row>
    <row r="38508" spans="25:25" x14ac:dyDescent="0.2">
      <c r="Y38508" s="97"/>
    </row>
    <row r="38509" spans="25:25" x14ac:dyDescent="0.2">
      <c r="Y38509" s="97"/>
    </row>
    <row r="38510" spans="25:25" x14ac:dyDescent="0.2">
      <c r="Y38510" s="97"/>
    </row>
    <row r="38511" spans="25:25" x14ac:dyDescent="0.2">
      <c r="Y38511" s="97"/>
    </row>
    <row r="38512" spans="25:25" x14ac:dyDescent="0.2">
      <c r="Y38512" s="97"/>
    </row>
    <row r="38513" spans="25:25" x14ac:dyDescent="0.2">
      <c r="Y38513" s="97"/>
    </row>
    <row r="38514" spans="25:25" x14ac:dyDescent="0.2">
      <c r="Y38514" s="97"/>
    </row>
    <row r="38515" spans="25:25" x14ac:dyDescent="0.2">
      <c r="Y38515" s="97"/>
    </row>
    <row r="38516" spans="25:25" x14ac:dyDescent="0.2">
      <c r="Y38516" s="97"/>
    </row>
    <row r="38517" spans="25:25" x14ac:dyDescent="0.2">
      <c r="Y38517" s="97"/>
    </row>
    <row r="38518" spans="25:25" x14ac:dyDescent="0.2">
      <c r="Y38518" s="97"/>
    </row>
    <row r="38519" spans="25:25" x14ac:dyDescent="0.2">
      <c r="Y38519" s="97"/>
    </row>
    <row r="38520" spans="25:25" x14ac:dyDescent="0.2">
      <c r="Y38520" s="97"/>
    </row>
    <row r="38521" spans="25:25" x14ac:dyDescent="0.2">
      <c r="Y38521" s="97"/>
    </row>
    <row r="38522" spans="25:25" x14ac:dyDescent="0.2">
      <c r="Y38522" s="97"/>
    </row>
    <row r="38523" spans="25:25" x14ac:dyDescent="0.2">
      <c r="Y38523" s="97"/>
    </row>
    <row r="38524" spans="25:25" x14ac:dyDescent="0.2">
      <c r="Y38524" s="97"/>
    </row>
    <row r="38525" spans="25:25" x14ac:dyDescent="0.2">
      <c r="Y38525" s="97"/>
    </row>
    <row r="38526" spans="25:25" x14ac:dyDescent="0.2">
      <c r="Y38526" s="97"/>
    </row>
    <row r="38527" spans="25:25" x14ac:dyDescent="0.2">
      <c r="Y38527" s="97"/>
    </row>
    <row r="38528" spans="25:25" x14ac:dyDescent="0.2">
      <c r="Y38528" s="97"/>
    </row>
    <row r="38529" spans="25:25" x14ac:dyDescent="0.2">
      <c r="Y38529" s="97"/>
    </row>
    <row r="38530" spans="25:25" x14ac:dyDescent="0.2">
      <c r="Y38530" s="97"/>
    </row>
    <row r="38531" spans="25:25" x14ac:dyDescent="0.2">
      <c r="Y38531" s="97"/>
    </row>
    <row r="38532" spans="25:25" x14ac:dyDescent="0.2">
      <c r="Y38532" s="97"/>
    </row>
    <row r="38533" spans="25:25" x14ac:dyDescent="0.2">
      <c r="Y38533" s="97"/>
    </row>
    <row r="38534" spans="25:25" x14ac:dyDescent="0.2">
      <c r="Y38534" s="97"/>
    </row>
    <row r="38535" spans="25:25" x14ac:dyDescent="0.2">
      <c r="Y38535" s="97"/>
    </row>
    <row r="38536" spans="25:25" x14ac:dyDescent="0.2">
      <c r="Y38536" s="97"/>
    </row>
    <row r="38537" spans="25:25" x14ac:dyDescent="0.2">
      <c r="Y38537" s="97"/>
    </row>
    <row r="38538" spans="25:25" x14ac:dyDescent="0.2">
      <c r="Y38538" s="97"/>
    </row>
    <row r="38539" spans="25:25" x14ac:dyDescent="0.2">
      <c r="Y38539" s="97"/>
    </row>
    <row r="38540" spans="25:25" x14ac:dyDescent="0.2">
      <c r="Y38540" s="97"/>
    </row>
    <row r="38541" spans="25:25" x14ac:dyDescent="0.2">
      <c r="Y38541" s="97"/>
    </row>
    <row r="38542" spans="25:25" x14ac:dyDescent="0.2">
      <c r="Y38542" s="97"/>
    </row>
    <row r="38543" spans="25:25" x14ac:dyDescent="0.2">
      <c r="Y38543" s="97"/>
    </row>
    <row r="38544" spans="25:25" x14ac:dyDescent="0.2">
      <c r="Y38544" s="97"/>
    </row>
    <row r="38545" spans="25:25" x14ac:dyDescent="0.2">
      <c r="Y38545" s="97"/>
    </row>
    <row r="38546" spans="25:25" x14ac:dyDescent="0.2">
      <c r="Y38546" s="97"/>
    </row>
    <row r="38547" spans="25:25" x14ac:dyDescent="0.2">
      <c r="Y38547" s="97"/>
    </row>
    <row r="38548" spans="25:25" x14ac:dyDescent="0.2">
      <c r="Y38548" s="97"/>
    </row>
    <row r="38549" spans="25:25" x14ac:dyDescent="0.2">
      <c r="Y38549" s="97"/>
    </row>
    <row r="38550" spans="25:25" x14ac:dyDescent="0.2">
      <c r="Y38550" s="97"/>
    </row>
    <row r="38551" spans="25:25" x14ac:dyDescent="0.2">
      <c r="Y38551" s="97"/>
    </row>
    <row r="38552" spans="25:25" x14ac:dyDescent="0.2">
      <c r="Y38552" s="97"/>
    </row>
    <row r="38553" spans="25:25" x14ac:dyDescent="0.2">
      <c r="Y38553" s="97"/>
    </row>
    <row r="38554" spans="25:25" x14ac:dyDescent="0.2">
      <c r="Y38554" s="97"/>
    </row>
    <row r="38555" spans="25:25" x14ac:dyDescent="0.2">
      <c r="Y38555" s="97"/>
    </row>
    <row r="38556" spans="25:25" x14ac:dyDescent="0.2">
      <c r="Y38556" s="97"/>
    </row>
    <row r="38557" spans="25:25" x14ac:dyDescent="0.2">
      <c r="Y38557" s="97"/>
    </row>
    <row r="38558" spans="25:25" x14ac:dyDescent="0.2">
      <c r="Y38558" s="97"/>
    </row>
    <row r="38559" spans="25:25" x14ac:dyDescent="0.2">
      <c r="Y38559" s="97"/>
    </row>
    <row r="38560" spans="25:25" x14ac:dyDescent="0.2">
      <c r="Y38560" s="97"/>
    </row>
    <row r="38561" spans="25:25" x14ac:dyDescent="0.2">
      <c r="Y38561" s="97"/>
    </row>
    <row r="38562" spans="25:25" x14ac:dyDescent="0.2">
      <c r="Y38562" s="97"/>
    </row>
    <row r="38563" spans="25:25" x14ac:dyDescent="0.2">
      <c r="Y38563" s="97"/>
    </row>
    <row r="38564" spans="25:25" x14ac:dyDescent="0.2">
      <c r="Y38564" s="97"/>
    </row>
    <row r="38565" spans="25:25" x14ac:dyDescent="0.2">
      <c r="Y38565" s="97"/>
    </row>
    <row r="38566" spans="25:25" x14ac:dyDescent="0.2">
      <c r="Y38566" s="97"/>
    </row>
    <row r="38567" spans="25:25" x14ac:dyDescent="0.2">
      <c r="Y38567" s="97"/>
    </row>
    <row r="38568" spans="25:25" x14ac:dyDescent="0.2">
      <c r="Y38568" s="97"/>
    </row>
    <row r="38569" spans="25:25" x14ac:dyDescent="0.2">
      <c r="Y38569" s="97"/>
    </row>
    <row r="38570" spans="25:25" x14ac:dyDescent="0.2">
      <c r="Y38570" s="97"/>
    </row>
    <row r="38571" spans="25:25" x14ac:dyDescent="0.2">
      <c r="Y38571" s="97"/>
    </row>
    <row r="38572" spans="25:25" x14ac:dyDescent="0.2">
      <c r="Y38572" s="97"/>
    </row>
    <row r="38573" spans="25:25" x14ac:dyDescent="0.2">
      <c r="Y38573" s="97"/>
    </row>
    <row r="38574" spans="25:25" x14ac:dyDescent="0.2">
      <c r="Y38574" s="97"/>
    </row>
    <row r="38575" spans="25:25" x14ac:dyDescent="0.2">
      <c r="Y38575" s="97"/>
    </row>
    <row r="38576" spans="25:25" x14ac:dyDescent="0.2">
      <c r="Y38576" s="97"/>
    </row>
    <row r="38577" spans="25:25" x14ac:dyDescent="0.2">
      <c r="Y38577" s="97"/>
    </row>
    <row r="38578" spans="25:25" x14ac:dyDescent="0.2">
      <c r="Y38578" s="97"/>
    </row>
    <row r="38579" spans="25:25" x14ac:dyDescent="0.2">
      <c r="Y38579" s="97"/>
    </row>
    <row r="38580" spans="25:25" x14ac:dyDescent="0.2">
      <c r="Y38580" s="97"/>
    </row>
    <row r="38581" spans="25:25" x14ac:dyDescent="0.2">
      <c r="Y38581" s="97"/>
    </row>
    <row r="38582" spans="25:25" x14ac:dyDescent="0.2">
      <c r="Y38582" s="97"/>
    </row>
    <row r="38583" spans="25:25" x14ac:dyDescent="0.2">
      <c r="Y38583" s="97"/>
    </row>
    <row r="38584" spans="25:25" x14ac:dyDescent="0.2">
      <c r="Y38584" s="97"/>
    </row>
    <row r="38585" spans="25:25" x14ac:dyDescent="0.2">
      <c r="Y38585" s="97"/>
    </row>
    <row r="38586" spans="25:25" x14ac:dyDescent="0.2">
      <c r="Y38586" s="97"/>
    </row>
    <row r="38587" spans="25:25" x14ac:dyDescent="0.2">
      <c r="Y38587" s="97"/>
    </row>
    <row r="38588" spans="25:25" x14ac:dyDescent="0.2">
      <c r="Y38588" s="97"/>
    </row>
    <row r="38589" spans="25:25" x14ac:dyDescent="0.2">
      <c r="Y38589" s="97"/>
    </row>
    <row r="38590" spans="25:25" x14ac:dyDescent="0.2">
      <c r="Y38590" s="97"/>
    </row>
    <row r="38591" spans="25:25" x14ac:dyDescent="0.2">
      <c r="Y38591" s="97"/>
    </row>
    <row r="38592" spans="25:25" x14ac:dyDescent="0.2">
      <c r="Y38592" s="97"/>
    </row>
    <row r="38593" spans="25:25" x14ac:dyDescent="0.2">
      <c r="Y38593" s="97"/>
    </row>
    <row r="38594" spans="25:25" x14ac:dyDescent="0.2">
      <c r="Y38594" s="97"/>
    </row>
    <row r="38595" spans="25:25" x14ac:dyDescent="0.2">
      <c r="Y38595" s="97"/>
    </row>
    <row r="38596" spans="25:25" x14ac:dyDescent="0.2">
      <c r="Y38596" s="97"/>
    </row>
    <row r="38597" spans="25:25" x14ac:dyDescent="0.2">
      <c r="Y38597" s="97"/>
    </row>
    <row r="38598" spans="25:25" x14ac:dyDescent="0.2">
      <c r="Y38598" s="97"/>
    </row>
    <row r="38599" spans="25:25" x14ac:dyDescent="0.2">
      <c r="Y38599" s="97"/>
    </row>
    <row r="38600" spans="25:25" x14ac:dyDescent="0.2">
      <c r="Y38600" s="97"/>
    </row>
    <row r="38601" spans="25:25" x14ac:dyDescent="0.2">
      <c r="Y38601" s="97"/>
    </row>
    <row r="38602" spans="25:25" x14ac:dyDescent="0.2">
      <c r="Y38602" s="97"/>
    </row>
    <row r="38603" spans="25:25" x14ac:dyDescent="0.2">
      <c r="Y38603" s="97"/>
    </row>
    <row r="38604" spans="25:25" x14ac:dyDescent="0.2">
      <c r="Y38604" s="97"/>
    </row>
    <row r="38605" spans="25:25" x14ac:dyDescent="0.2">
      <c r="Y38605" s="97"/>
    </row>
    <row r="38606" spans="25:25" x14ac:dyDescent="0.2">
      <c r="Y38606" s="97"/>
    </row>
    <row r="38607" spans="25:25" x14ac:dyDescent="0.2">
      <c r="Y38607" s="97"/>
    </row>
    <row r="38608" spans="25:25" x14ac:dyDescent="0.2">
      <c r="Y38608" s="97"/>
    </row>
    <row r="38609" spans="25:25" x14ac:dyDescent="0.2">
      <c r="Y38609" s="97"/>
    </row>
    <row r="38610" spans="25:25" x14ac:dyDescent="0.2">
      <c r="Y38610" s="97"/>
    </row>
    <row r="38611" spans="25:25" x14ac:dyDescent="0.2">
      <c r="Y38611" s="97"/>
    </row>
    <row r="38612" spans="25:25" x14ac:dyDescent="0.2">
      <c r="Y38612" s="97"/>
    </row>
    <row r="38613" spans="25:25" x14ac:dyDescent="0.2">
      <c r="Y38613" s="97"/>
    </row>
    <row r="38614" spans="25:25" x14ac:dyDescent="0.2">
      <c r="Y38614" s="97"/>
    </row>
    <row r="38615" spans="25:25" x14ac:dyDescent="0.2">
      <c r="Y38615" s="97"/>
    </row>
    <row r="38616" spans="25:25" x14ac:dyDescent="0.2">
      <c r="Y38616" s="97"/>
    </row>
    <row r="38617" spans="25:25" x14ac:dyDescent="0.2">
      <c r="Y38617" s="97"/>
    </row>
    <row r="38618" spans="25:25" x14ac:dyDescent="0.2">
      <c r="Y38618" s="97"/>
    </row>
    <row r="38619" spans="25:25" x14ac:dyDescent="0.2">
      <c r="Y38619" s="97"/>
    </row>
    <row r="38620" spans="25:25" x14ac:dyDescent="0.2">
      <c r="Y38620" s="97"/>
    </row>
    <row r="38621" spans="25:25" x14ac:dyDescent="0.2">
      <c r="Y38621" s="97"/>
    </row>
    <row r="38622" spans="25:25" x14ac:dyDescent="0.2">
      <c r="Y38622" s="97"/>
    </row>
    <row r="38623" spans="25:25" x14ac:dyDescent="0.2">
      <c r="Y38623" s="97"/>
    </row>
    <row r="38624" spans="25:25" x14ac:dyDescent="0.2">
      <c r="Y38624" s="97"/>
    </row>
    <row r="38625" spans="25:25" x14ac:dyDescent="0.2">
      <c r="Y38625" s="97"/>
    </row>
    <row r="38626" spans="25:25" x14ac:dyDescent="0.2">
      <c r="Y38626" s="97"/>
    </row>
    <row r="38627" spans="25:25" x14ac:dyDescent="0.2">
      <c r="Y38627" s="97"/>
    </row>
    <row r="38628" spans="25:25" x14ac:dyDescent="0.2">
      <c r="Y38628" s="97"/>
    </row>
    <row r="38629" spans="25:25" x14ac:dyDescent="0.2">
      <c r="Y38629" s="97"/>
    </row>
    <row r="38630" spans="25:25" x14ac:dyDescent="0.2">
      <c r="Y38630" s="97"/>
    </row>
    <row r="38631" spans="25:25" x14ac:dyDescent="0.2">
      <c r="Y38631" s="97"/>
    </row>
    <row r="38632" spans="25:25" x14ac:dyDescent="0.2">
      <c r="Y38632" s="97"/>
    </row>
    <row r="38633" spans="25:25" x14ac:dyDescent="0.2">
      <c r="Y38633" s="97"/>
    </row>
    <row r="38634" spans="25:25" x14ac:dyDescent="0.2">
      <c r="Y38634" s="97"/>
    </row>
    <row r="38635" spans="25:25" x14ac:dyDescent="0.2">
      <c r="Y38635" s="97"/>
    </row>
    <row r="38636" spans="25:25" x14ac:dyDescent="0.2">
      <c r="Y38636" s="97"/>
    </row>
    <row r="38637" spans="25:25" x14ac:dyDescent="0.2">
      <c r="Y38637" s="97"/>
    </row>
    <row r="38638" spans="25:25" x14ac:dyDescent="0.2">
      <c r="Y38638" s="97"/>
    </row>
    <row r="38639" spans="25:25" x14ac:dyDescent="0.2">
      <c r="Y38639" s="97"/>
    </row>
    <row r="38640" spans="25:25" x14ac:dyDescent="0.2">
      <c r="Y38640" s="97"/>
    </row>
    <row r="38641" spans="25:25" x14ac:dyDescent="0.2">
      <c r="Y38641" s="97"/>
    </row>
    <row r="38642" spans="25:25" x14ac:dyDescent="0.2">
      <c r="Y38642" s="97"/>
    </row>
    <row r="38643" spans="25:25" x14ac:dyDescent="0.2">
      <c r="Y38643" s="97"/>
    </row>
    <row r="38644" spans="25:25" x14ac:dyDescent="0.2">
      <c r="Y38644" s="97"/>
    </row>
    <row r="38645" spans="25:25" x14ac:dyDescent="0.2">
      <c r="Y38645" s="97"/>
    </row>
    <row r="38646" spans="25:25" x14ac:dyDescent="0.2">
      <c r="Y38646" s="97"/>
    </row>
    <row r="38647" spans="25:25" x14ac:dyDescent="0.2">
      <c r="Y38647" s="97"/>
    </row>
    <row r="38648" spans="25:25" x14ac:dyDescent="0.2">
      <c r="Y38648" s="97"/>
    </row>
    <row r="38649" spans="25:25" x14ac:dyDescent="0.2">
      <c r="Y38649" s="97"/>
    </row>
    <row r="38650" spans="25:25" x14ac:dyDescent="0.2">
      <c r="Y38650" s="97"/>
    </row>
    <row r="38651" spans="25:25" x14ac:dyDescent="0.2">
      <c r="Y38651" s="97"/>
    </row>
    <row r="38652" spans="25:25" x14ac:dyDescent="0.2">
      <c r="Y38652" s="97"/>
    </row>
    <row r="38653" spans="25:25" x14ac:dyDescent="0.2">
      <c r="Y38653" s="97"/>
    </row>
    <row r="38654" spans="25:25" x14ac:dyDescent="0.2">
      <c r="Y38654" s="97"/>
    </row>
    <row r="38655" spans="25:25" x14ac:dyDescent="0.2">
      <c r="Y38655" s="97"/>
    </row>
    <row r="38656" spans="25:25" x14ac:dyDescent="0.2">
      <c r="Y38656" s="97"/>
    </row>
    <row r="38657" spans="25:25" x14ac:dyDescent="0.2">
      <c r="Y38657" s="97"/>
    </row>
    <row r="38658" spans="25:25" x14ac:dyDescent="0.2">
      <c r="Y38658" s="97"/>
    </row>
    <row r="38659" spans="25:25" x14ac:dyDescent="0.2">
      <c r="Y38659" s="97"/>
    </row>
    <row r="38660" spans="25:25" x14ac:dyDescent="0.2">
      <c r="Y38660" s="97"/>
    </row>
    <row r="38661" spans="25:25" x14ac:dyDescent="0.2">
      <c r="Y38661" s="97"/>
    </row>
    <row r="38662" spans="25:25" x14ac:dyDescent="0.2">
      <c r="Y38662" s="97"/>
    </row>
    <row r="38663" spans="25:25" x14ac:dyDescent="0.2">
      <c r="Y38663" s="97"/>
    </row>
    <row r="38664" spans="25:25" x14ac:dyDescent="0.2">
      <c r="Y38664" s="97"/>
    </row>
    <row r="38665" spans="25:25" x14ac:dyDescent="0.2">
      <c r="Y38665" s="97"/>
    </row>
    <row r="38666" spans="25:25" x14ac:dyDescent="0.2">
      <c r="Y38666" s="97"/>
    </row>
    <row r="38667" spans="25:25" x14ac:dyDescent="0.2">
      <c r="Y38667" s="97"/>
    </row>
    <row r="38668" spans="25:25" x14ac:dyDescent="0.2">
      <c r="Y38668" s="97"/>
    </row>
    <row r="38669" spans="25:25" x14ac:dyDescent="0.2">
      <c r="Y38669" s="97"/>
    </row>
    <row r="38670" spans="25:25" x14ac:dyDescent="0.2">
      <c r="Y38670" s="97"/>
    </row>
    <row r="38671" spans="25:25" x14ac:dyDescent="0.2">
      <c r="Y38671" s="97"/>
    </row>
    <row r="38672" spans="25:25" x14ac:dyDescent="0.2">
      <c r="Y38672" s="97"/>
    </row>
    <row r="38673" spans="25:25" x14ac:dyDescent="0.2">
      <c r="Y38673" s="97"/>
    </row>
    <row r="38674" spans="25:25" x14ac:dyDescent="0.2">
      <c r="Y38674" s="97"/>
    </row>
    <row r="38675" spans="25:25" x14ac:dyDescent="0.2">
      <c r="Y38675" s="97"/>
    </row>
    <row r="38676" spans="25:25" x14ac:dyDescent="0.2">
      <c r="Y38676" s="97"/>
    </row>
    <row r="38677" spans="25:25" x14ac:dyDescent="0.2">
      <c r="Y38677" s="97"/>
    </row>
    <row r="38678" spans="25:25" x14ac:dyDescent="0.2">
      <c r="Y38678" s="97"/>
    </row>
    <row r="38679" spans="25:25" x14ac:dyDescent="0.2">
      <c r="Y38679" s="97"/>
    </row>
    <row r="38680" spans="25:25" x14ac:dyDescent="0.2">
      <c r="Y38680" s="97"/>
    </row>
    <row r="38681" spans="25:25" x14ac:dyDescent="0.2">
      <c r="Y38681" s="97"/>
    </row>
    <row r="38682" spans="25:25" x14ac:dyDescent="0.2">
      <c r="Y38682" s="97"/>
    </row>
    <row r="38683" spans="25:25" x14ac:dyDescent="0.2">
      <c r="Y38683" s="97"/>
    </row>
    <row r="38684" spans="25:25" x14ac:dyDescent="0.2">
      <c r="Y38684" s="97"/>
    </row>
    <row r="38685" spans="25:25" x14ac:dyDescent="0.2">
      <c r="Y38685" s="97"/>
    </row>
    <row r="38686" spans="25:25" x14ac:dyDescent="0.2">
      <c r="Y38686" s="97"/>
    </row>
    <row r="38687" spans="25:25" x14ac:dyDescent="0.2">
      <c r="Y38687" s="97"/>
    </row>
    <row r="38688" spans="25:25" x14ac:dyDescent="0.2">
      <c r="Y38688" s="97"/>
    </row>
    <row r="38689" spans="25:25" x14ac:dyDescent="0.2">
      <c r="Y38689" s="97"/>
    </row>
    <row r="38690" spans="25:25" x14ac:dyDescent="0.2">
      <c r="Y38690" s="97"/>
    </row>
    <row r="38691" spans="25:25" x14ac:dyDescent="0.2">
      <c r="Y38691" s="97"/>
    </row>
    <row r="38692" spans="25:25" x14ac:dyDescent="0.2">
      <c r="Y38692" s="97"/>
    </row>
    <row r="38693" spans="25:25" x14ac:dyDescent="0.2">
      <c r="Y38693" s="97"/>
    </row>
    <row r="38694" spans="25:25" x14ac:dyDescent="0.2">
      <c r="Y38694" s="97"/>
    </row>
    <row r="38695" spans="25:25" x14ac:dyDescent="0.2">
      <c r="Y38695" s="97"/>
    </row>
    <row r="38696" spans="25:25" x14ac:dyDescent="0.2">
      <c r="Y38696" s="97"/>
    </row>
    <row r="38697" spans="25:25" x14ac:dyDescent="0.2">
      <c r="Y38697" s="97"/>
    </row>
    <row r="38698" spans="25:25" x14ac:dyDescent="0.2">
      <c r="Y38698" s="97"/>
    </row>
    <row r="38699" spans="25:25" x14ac:dyDescent="0.2">
      <c r="Y38699" s="97"/>
    </row>
    <row r="38700" spans="25:25" x14ac:dyDescent="0.2">
      <c r="Y38700" s="97"/>
    </row>
    <row r="38701" spans="25:25" x14ac:dyDescent="0.2">
      <c r="Y38701" s="97"/>
    </row>
    <row r="38702" spans="25:25" x14ac:dyDescent="0.2">
      <c r="Y38702" s="97"/>
    </row>
    <row r="38703" spans="25:25" x14ac:dyDescent="0.2">
      <c r="Y38703" s="97"/>
    </row>
    <row r="38704" spans="25:25" x14ac:dyDescent="0.2">
      <c r="Y38704" s="97"/>
    </row>
    <row r="38705" spans="25:25" x14ac:dyDescent="0.2">
      <c r="Y38705" s="97"/>
    </row>
    <row r="38706" spans="25:25" x14ac:dyDescent="0.2">
      <c r="Y38706" s="97"/>
    </row>
    <row r="38707" spans="25:25" x14ac:dyDescent="0.2">
      <c r="Y38707" s="97"/>
    </row>
    <row r="38708" spans="25:25" x14ac:dyDescent="0.2">
      <c r="Y38708" s="97"/>
    </row>
    <row r="38709" spans="25:25" x14ac:dyDescent="0.2">
      <c r="Y38709" s="97"/>
    </row>
    <row r="38710" spans="25:25" x14ac:dyDescent="0.2">
      <c r="Y38710" s="97"/>
    </row>
    <row r="38711" spans="25:25" x14ac:dyDescent="0.2">
      <c r="Y38711" s="97"/>
    </row>
    <row r="38712" spans="25:25" x14ac:dyDescent="0.2">
      <c r="Y38712" s="97"/>
    </row>
    <row r="38713" spans="25:25" x14ac:dyDescent="0.2">
      <c r="Y38713" s="97"/>
    </row>
    <row r="38714" spans="25:25" x14ac:dyDescent="0.2">
      <c r="Y38714" s="97"/>
    </row>
    <row r="38715" spans="25:25" x14ac:dyDescent="0.2">
      <c r="Y38715" s="97"/>
    </row>
    <row r="38716" spans="25:25" x14ac:dyDescent="0.2">
      <c r="Y38716" s="97"/>
    </row>
    <row r="38717" spans="25:25" x14ac:dyDescent="0.2">
      <c r="Y38717" s="97"/>
    </row>
    <row r="38718" spans="25:25" x14ac:dyDescent="0.2">
      <c r="Y38718" s="97"/>
    </row>
    <row r="38719" spans="25:25" x14ac:dyDescent="0.2">
      <c r="Y38719" s="97"/>
    </row>
    <row r="38720" spans="25:25" x14ac:dyDescent="0.2">
      <c r="Y38720" s="97"/>
    </row>
    <row r="38721" spans="25:25" x14ac:dyDescent="0.2">
      <c r="Y38721" s="97"/>
    </row>
    <row r="38722" spans="25:25" x14ac:dyDescent="0.2">
      <c r="Y38722" s="97"/>
    </row>
    <row r="38723" spans="25:25" x14ac:dyDescent="0.2">
      <c r="Y38723" s="97"/>
    </row>
    <row r="38724" spans="25:25" x14ac:dyDescent="0.2">
      <c r="Y38724" s="97"/>
    </row>
    <row r="38725" spans="25:25" x14ac:dyDescent="0.2">
      <c r="Y38725" s="97"/>
    </row>
    <row r="38726" spans="25:25" x14ac:dyDescent="0.2">
      <c r="Y38726" s="97"/>
    </row>
    <row r="38727" spans="25:25" x14ac:dyDescent="0.2">
      <c r="Y38727" s="97"/>
    </row>
    <row r="38728" spans="25:25" x14ac:dyDescent="0.2">
      <c r="Y38728" s="97"/>
    </row>
    <row r="38729" spans="25:25" x14ac:dyDescent="0.2">
      <c r="Y38729" s="97"/>
    </row>
    <row r="38730" spans="25:25" x14ac:dyDescent="0.2">
      <c r="Y38730" s="97"/>
    </row>
    <row r="38731" spans="25:25" x14ac:dyDescent="0.2">
      <c r="Y38731" s="97"/>
    </row>
    <row r="38732" spans="25:25" x14ac:dyDescent="0.2">
      <c r="Y38732" s="97"/>
    </row>
    <row r="38733" spans="25:25" x14ac:dyDescent="0.2">
      <c r="Y38733" s="97"/>
    </row>
    <row r="38734" spans="25:25" x14ac:dyDescent="0.2">
      <c r="Y38734" s="97"/>
    </row>
    <row r="38735" spans="25:25" x14ac:dyDescent="0.2">
      <c r="Y38735" s="97"/>
    </row>
    <row r="38736" spans="25:25" x14ac:dyDescent="0.2">
      <c r="Y38736" s="97"/>
    </row>
    <row r="38737" spans="25:25" x14ac:dyDescent="0.2">
      <c r="Y38737" s="97"/>
    </row>
    <row r="38738" spans="25:25" x14ac:dyDescent="0.2">
      <c r="Y38738" s="97"/>
    </row>
    <row r="38739" spans="25:25" x14ac:dyDescent="0.2">
      <c r="Y38739" s="97"/>
    </row>
    <row r="38740" spans="25:25" x14ac:dyDescent="0.2">
      <c r="Y38740" s="97"/>
    </row>
    <row r="38741" spans="25:25" x14ac:dyDescent="0.2">
      <c r="Y38741" s="97"/>
    </row>
    <row r="38742" spans="25:25" x14ac:dyDescent="0.2">
      <c r="Y38742" s="97"/>
    </row>
    <row r="38743" spans="25:25" x14ac:dyDescent="0.2">
      <c r="Y38743" s="97"/>
    </row>
    <row r="38744" spans="25:25" x14ac:dyDescent="0.2">
      <c r="Y38744" s="97"/>
    </row>
    <row r="38745" spans="25:25" x14ac:dyDescent="0.2">
      <c r="Y38745" s="97"/>
    </row>
    <row r="38746" spans="25:25" x14ac:dyDescent="0.2">
      <c r="Y38746" s="97"/>
    </row>
    <row r="38747" spans="25:25" x14ac:dyDescent="0.2">
      <c r="Y38747" s="97"/>
    </row>
    <row r="38748" spans="25:25" x14ac:dyDescent="0.2">
      <c r="Y38748" s="97"/>
    </row>
    <row r="38749" spans="25:25" x14ac:dyDescent="0.2">
      <c r="Y38749" s="97"/>
    </row>
    <row r="38750" spans="25:25" x14ac:dyDescent="0.2">
      <c r="Y38750" s="97"/>
    </row>
    <row r="38751" spans="25:25" x14ac:dyDescent="0.2">
      <c r="Y38751" s="97"/>
    </row>
    <row r="38752" spans="25:25" x14ac:dyDescent="0.2">
      <c r="Y38752" s="97"/>
    </row>
    <row r="38753" spans="25:25" x14ac:dyDescent="0.2">
      <c r="Y38753" s="97"/>
    </row>
    <row r="38754" spans="25:25" x14ac:dyDescent="0.2">
      <c r="Y38754" s="97"/>
    </row>
    <row r="38755" spans="25:25" x14ac:dyDescent="0.2">
      <c r="Y38755" s="97"/>
    </row>
    <row r="38756" spans="25:25" x14ac:dyDescent="0.2">
      <c r="Y38756" s="97"/>
    </row>
    <row r="38757" spans="25:25" x14ac:dyDescent="0.2">
      <c r="Y38757" s="97"/>
    </row>
    <row r="38758" spans="25:25" x14ac:dyDescent="0.2">
      <c r="Y38758" s="97"/>
    </row>
    <row r="38759" spans="25:25" x14ac:dyDescent="0.2">
      <c r="Y38759" s="97"/>
    </row>
    <row r="38760" spans="25:25" x14ac:dyDescent="0.2">
      <c r="Y38760" s="97"/>
    </row>
    <row r="38761" spans="25:25" x14ac:dyDescent="0.2">
      <c r="Y38761" s="97"/>
    </row>
    <row r="38762" spans="25:25" x14ac:dyDescent="0.2">
      <c r="Y38762" s="97"/>
    </row>
    <row r="38763" spans="25:25" x14ac:dyDescent="0.2">
      <c r="Y38763" s="97"/>
    </row>
    <row r="38764" spans="25:25" x14ac:dyDescent="0.2">
      <c r="Y38764" s="97"/>
    </row>
    <row r="38765" spans="25:25" x14ac:dyDescent="0.2">
      <c r="Y38765" s="97"/>
    </row>
    <row r="38766" spans="25:25" x14ac:dyDescent="0.2">
      <c r="Y38766" s="97"/>
    </row>
    <row r="38767" spans="25:25" x14ac:dyDescent="0.2">
      <c r="Y38767" s="97"/>
    </row>
    <row r="38768" spans="25:25" x14ac:dyDescent="0.2">
      <c r="Y38768" s="97"/>
    </row>
    <row r="38769" spans="25:25" x14ac:dyDescent="0.2">
      <c r="Y38769" s="97"/>
    </row>
    <row r="38770" spans="25:25" x14ac:dyDescent="0.2">
      <c r="Y38770" s="97"/>
    </row>
    <row r="38771" spans="25:25" x14ac:dyDescent="0.2">
      <c r="Y38771" s="97"/>
    </row>
    <row r="38772" spans="25:25" x14ac:dyDescent="0.2">
      <c r="Y38772" s="97"/>
    </row>
    <row r="38773" spans="25:25" x14ac:dyDescent="0.2">
      <c r="Y38773" s="97"/>
    </row>
    <row r="38774" spans="25:25" x14ac:dyDescent="0.2">
      <c r="Y38774" s="97"/>
    </row>
    <row r="38775" spans="25:25" x14ac:dyDescent="0.2">
      <c r="Y38775" s="97"/>
    </row>
    <row r="38776" spans="25:25" x14ac:dyDescent="0.2">
      <c r="Y38776" s="97"/>
    </row>
    <row r="38777" spans="25:25" x14ac:dyDescent="0.2">
      <c r="Y38777" s="97"/>
    </row>
    <row r="38778" spans="25:25" x14ac:dyDescent="0.2">
      <c r="Y38778" s="97"/>
    </row>
    <row r="38779" spans="25:25" x14ac:dyDescent="0.2">
      <c r="Y38779" s="97"/>
    </row>
    <row r="38780" spans="25:25" x14ac:dyDescent="0.2">
      <c r="Y38780" s="97"/>
    </row>
    <row r="38781" spans="25:25" x14ac:dyDescent="0.2">
      <c r="Y38781" s="97"/>
    </row>
    <row r="38782" spans="25:25" x14ac:dyDescent="0.2">
      <c r="Y38782" s="97"/>
    </row>
    <row r="38783" spans="25:25" x14ac:dyDescent="0.2">
      <c r="Y38783" s="97"/>
    </row>
    <row r="38784" spans="25:25" x14ac:dyDescent="0.2">
      <c r="Y38784" s="97"/>
    </row>
    <row r="38785" spans="25:25" x14ac:dyDescent="0.2">
      <c r="Y38785" s="97"/>
    </row>
    <row r="38786" spans="25:25" x14ac:dyDescent="0.2">
      <c r="Y38786" s="97"/>
    </row>
    <row r="38787" spans="25:25" x14ac:dyDescent="0.2">
      <c r="Y38787" s="97"/>
    </row>
    <row r="38788" spans="25:25" x14ac:dyDescent="0.2">
      <c r="Y38788" s="97"/>
    </row>
    <row r="38789" spans="25:25" x14ac:dyDescent="0.2">
      <c r="Y38789" s="97"/>
    </row>
    <row r="38790" spans="25:25" x14ac:dyDescent="0.2">
      <c r="Y38790" s="97"/>
    </row>
    <row r="38791" spans="25:25" x14ac:dyDescent="0.2">
      <c r="Y38791" s="97"/>
    </row>
    <row r="38792" spans="25:25" x14ac:dyDescent="0.2">
      <c r="Y38792" s="97"/>
    </row>
    <row r="38793" spans="25:25" x14ac:dyDescent="0.2">
      <c r="Y38793" s="97"/>
    </row>
    <row r="38794" spans="25:25" x14ac:dyDescent="0.2">
      <c r="Y38794" s="97"/>
    </row>
    <row r="38795" spans="25:25" x14ac:dyDescent="0.2">
      <c r="Y38795" s="97"/>
    </row>
    <row r="38796" spans="25:25" x14ac:dyDescent="0.2">
      <c r="Y38796" s="97"/>
    </row>
    <row r="38797" spans="25:25" x14ac:dyDescent="0.2">
      <c r="Y38797" s="97"/>
    </row>
    <row r="38798" spans="25:25" x14ac:dyDescent="0.2">
      <c r="Y38798" s="97"/>
    </row>
    <row r="38799" spans="25:25" x14ac:dyDescent="0.2">
      <c r="Y38799" s="97"/>
    </row>
    <row r="38800" spans="25:25" x14ac:dyDescent="0.2">
      <c r="Y38800" s="97"/>
    </row>
    <row r="38801" spans="25:25" x14ac:dyDescent="0.2">
      <c r="Y38801" s="97"/>
    </row>
    <row r="38802" spans="25:25" x14ac:dyDescent="0.2">
      <c r="Y38802" s="97"/>
    </row>
    <row r="38803" spans="25:25" x14ac:dyDescent="0.2">
      <c r="Y38803" s="97"/>
    </row>
    <row r="38804" spans="25:25" x14ac:dyDescent="0.2">
      <c r="Y38804" s="97"/>
    </row>
    <row r="38805" spans="25:25" x14ac:dyDescent="0.2">
      <c r="Y38805" s="97"/>
    </row>
    <row r="38806" spans="25:25" x14ac:dyDescent="0.2">
      <c r="Y38806" s="97"/>
    </row>
    <row r="38807" spans="25:25" x14ac:dyDescent="0.2">
      <c r="Y38807" s="97"/>
    </row>
    <row r="38808" spans="25:25" x14ac:dyDescent="0.2">
      <c r="Y38808" s="97"/>
    </row>
    <row r="38809" spans="25:25" x14ac:dyDescent="0.2">
      <c r="Y38809" s="97"/>
    </row>
    <row r="38810" spans="25:25" x14ac:dyDescent="0.2">
      <c r="Y38810" s="97"/>
    </row>
    <row r="38811" spans="25:25" x14ac:dyDescent="0.2">
      <c r="Y38811" s="97"/>
    </row>
    <row r="38812" spans="25:25" x14ac:dyDescent="0.2">
      <c r="Y38812" s="97"/>
    </row>
    <row r="38813" spans="25:25" x14ac:dyDescent="0.2">
      <c r="Y38813" s="97"/>
    </row>
    <row r="38814" spans="25:25" x14ac:dyDescent="0.2">
      <c r="Y38814" s="97"/>
    </row>
    <row r="38815" spans="25:25" x14ac:dyDescent="0.2">
      <c r="Y38815" s="97"/>
    </row>
    <row r="38816" spans="25:25" x14ac:dyDescent="0.2">
      <c r="Y38816" s="97"/>
    </row>
    <row r="38817" spans="25:25" x14ac:dyDescent="0.2">
      <c r="Y38817" s="97"/>
    </row>
    <row r="38818" spans="25:25" x14ac:dyDescent="0.2">
      <c r="Y38818" s="97"/>
    </row>
    <row r="38819" spans="25:25" x14ac:dyDescent="0.2">
      <c r="Y38819" s="97"/>
    </row>
    <row r="38820" spans="25:25" x14ac:dyDescent="0.2">
      <c r="Y38820" s="97"/>
    </row>
    <row r="38821" spans="25:25" x14ac:dyDescent="0.2">
      <c r="Y38821" s="97"/>
    </row>
    <row r="38822" spans="25:25" x14ac:dyDescent="0.2">
      <c r="Y38822" s="97"/>
    </row>
    <row r="38823" spans="25:25" x14ac:dyDescent="0.2">
      <c r="Y38823" s="97"/>
    </row>
    <row r="38824" spans="25:25" x14ac:dyDescent="0.2">
      <c r="Y38824" s="97"/>
    </row>
    <row r="38825" spans="25:25" x14ac:dyDescent="0.2">
      <c r="Y38825" s="97"/>
    </row>
    <row r="38826" spans="25:25" x14ac:dyDescent="0.2">
      <c r="Y38826" s="97"/>
    </row>
    <row r="38827" spans="25:25" x14ac:dyDescent="0.2">
      <c r="Y38827" s="97"/>
    </row>
    <row r="38828" spans="25:25" x14ac:dyDescent="0.2">
      <c r="Y38828" s="97"/>
    </row>
    <row r="38829" spans="25:25" x14ac:dyDescent="0.2">
      <c r="Y38829" s="97"/>
    </row>
    <row r="38830" spans="25:25" x14ac:dyDescent="0.2">
      <c r="Y38830" s="97"/>
    </row>
    <row r="38831" spans="25:25" x14ac:dyDescent="0.2">
      <c r="Y38831" s="97"/>
    </row>
    <row r="38832" spans="25:25" x14ac:dyDescent="0.2">
      <c r="Y38832" s="97"/>
    </row>
    <row r="38833" spans="25:25" x14ac:dyDescent="0.2">
      <c r="Y38833" s="97"/>
    </row>
    <row r="38834" spans="25:25" x14ac:dyDescent="0.2">
      <c r="Y38834" s="97"/>
    </row>
    <row r="38835" spans="25:25" x14ac:dyDescent="0.2">
      <c r="Y38835" s="97"/>
    </row>
    <row r="38836" spans="25:25" x14ac:dyDescent="0.2">
      <c r="Y38836" s="97"/>
    </row>
    <row r="38837" spans="25:25" x14ac:dyDescent="0.2">
      <c r="Y38837" s="97"/>
    </row>
    <row r="38838" spans="25:25" x14ac:dyDescent="0.2">
      <c r="Y38838" s="97"/>
    </row>
    <row r="38839" spans="25:25" x14ac:dyDescent="0.2">
      <c r="Y38839" s="97"/>
    </row>
    <row r="38840" spans="25:25" x14ac:dyDescent="0.2">
      <c r="Y38840" s="97"/>
    </row>
    <row r="38841" spans="25:25" x14ac:dyDescent="0.2">
      <c r="Y38841" s="97"/>
    </row>
    <row r="38842" spans="25:25" x14ac:dyDescent="0.2">
      <c r="Y38842" s="97"/>
    </row>
    <row r="38843" spans="25:25" x14ac:dyDescent="0.2">
      <c r="Y38843" s="97"/>
    </row>
    <row r="38844" spans="25:25" x14ac:dyDescent="0.2">
      <c r="Y38844" s="97"/>
    </row>
    <row r="38845" spans="25:25" x14ac:dyDescent="0.2">
      <c r="Y38845" s="97"/>
    </row>
    <row r="38846" spans="25:25" x14ac:dyDescent="0.2">
      <c r="Y38846" s="97"/>
    </row>
    <row r="38847" spans="25:25" x14ac:dyDescent="0.2">
      <c r="Y38847" s="97"/>
    </row>
    <row r="38848" spans="25:25" x14ac:dyDescent="0.2">
      <c r="Y38848" s="97"/>
    </row>
    <row r="38849" spans="25:25" x14ac:dyDescent="0.2">
      <c r="Y38849" s="97"/>
    </row>
    <row r="38850" spans="25:25" x14ac:dyDescent="0.2">
      <c r="Y38850" s="97"/>
    </row>
    <row r="38851" spans="25:25" x14ac:dyDescent="0.2">
      <c r="Y38851" s="97"/>
    </row>
    <row r="38852" spans="25:25" x14ac:dyDescent="0.2">
      <c r="Y38852" s="97"/>
    </row>
    <row r="38853" spans="25:25" x14ac:dyDescent="0.2">
      <c r="Y38853" s="97"/>
    </row>
    <row r="38854" spans="25:25" x14ac:dyDescent="0.2">
      <c r="Y38854" s="97"/>
    </row>
    <row r="38855" spans="25:25" x14ac:dyDescent="0.2">
      <c r="Y38855" s="97"/>
    </row>
    <row r="38856" spans="25:25" x14ac:dyDescent="0.2">
      <c r="Y38856" s="97"/>
    </row>
    <row r="38857" spans="25:25" x14ac:dyDescent="0.2">
      <c r="Y38857" s="97"/>
    </row>
    <row r="38858" spans="25:25" x14ac:dyDescent="0.2">
      <c r="Y38858" s="97"/>
    </row>
    <row r="38859" spans="25:25" x14ac:dyDescent="0.2">
      <c r="Y38859" s="97"/>
    </row>
    <row r="38860" spans="25:25" x14ac:dyDescent="0.2">
      <c r="Y38860" s="97"/>
    </row>
    <row r="38861" spans="25:25" x14ac:dyDescent="0.2">
      <c r="Y38861" s="97"/>
    </row>
    <row r="38862" spans="25:25" x14ac:dyDescent="0.2">
      <c r="Y38862" s="97"/>
    </row>
    <row r="38863" spans="25:25" x14ac:dyDescent="0.2">
      <c r="Y38863" s="97"/>
    </row>
    <row r="38864" spans="25:25" x14ac:dyDescent="0.2">
      <c r="Y38864" s="97"/>
    </row>
    <row r="38865" spans="25:25" x14ac:dyDescent="0.2">
      <c r="Y38865" s="97"/>
    </row>
    <row r="38866" spans="25:25" x14ac:dyDescent="0.2">
      <c r="Y38866" s="97"/>
    </row>
    <row r="38867" spans="25:25" x14ac:dyDescent="0.2">
      <c r="Y38867" s="97"/>
    </row>
    <row r="38868" spans="25:25" x14ac:dyDescent="0.2">
      <c r="Y38868" s="97"/>
    </row>
    <row r="38869" spans="25:25" x14ac:dyDescent="0.2">
      <c r="Y38869" s="97"/>
    </row>
    <row r="38870" spans="25:25" x14ac:dyDescent="0.2">
      <c r="Y38870" s="97"/>
    </row>
    <row r="38871" spans="25:25" x14ac:dyDescent="0.2">
      <c r="Y38871" s="97"/>
    </row>
    <row r="38872" spans="25:25" x14ac:dyDescent="0.2">
      <c r="Y38872" s="97"/>
    </row>
    <row r="38873" spans="25:25" x14ac:dyDescent="0.2">
      <c r="Y38873" s="97"/>
    </row>
    <row r="38874" spans="25:25" x14ac:dyDescent="0.2">
      <c r="Y38874" s="97"/>
    </row>
    <row r="38875" spans="25:25" x14ac:dyDescent="0.2">
      <c r="Y38875" s="97"/>
    </row>
    <row r="38876" spans="25:25" x14ac:dyDescent="0.2">
      <c r="Y38876" s="97"/>
    </row>
    <row r="38877" spans="25:25" x14ac:dyDescent="0.2">
      <c r="Y38877" s="97"/>
    </row>
    <row r="38878" spans="25:25" x14ac:dyDescent="0.2">
      <c r="Y38878" s="97"/>
    </row>
    <row r="38879" spans="25:25" x14ac:dyDescent="0.2">
      <c r="Y38879" s="97"/>
    </row>
    <row r="38880" spans="25:25" x14ac:dyDescent="0.2">
      <c r="Y38880" s="97"/>
    </row>
    <row r="38881" spans="25:25" x14ac:dyDescent="0.2">
      <c r="Y38881" s="97"/>
    </row>
    <row r="38882" spans="25:25" x14ac:dyDescent="0.2">
      <c r="Y38882" s="97"/>
    </row>
    <row r="38883" spans="25:25" x14ac:dyDescent="0.2">
      <c r="Y38883" s="97"/>
    </row>
    <row r="38884" spans="25:25" x14ac:dyDescent="0.2">
      <c r="Y38884" s="97"/>
    </row>
    <row r="38885" spans="25:25" x14ac:dyDescent="0.2">
      <c r="Y38885" s="97"/>
    </row>
    <row r="38886" spans="25:25" x14ac:dyDescent="0.2">
      <c r="Y38886" s="97"/>
    </row>
    <row r="38887" spans="25:25" x14ac:dyDescent="0.2">
      <c r="Y38887" s="97"/>
    </row>
    <row r="38888" spans="25:25" x14ac:dyDescent="0.2">
      <c r="Y38888" s="97"/>
    </row>
    <row r="38889" spans="25:25" x14ac:dyDescent="0.2">
      <c r="Y38889" s="97"/>
    </row>
    <row r="38890" spans="25:25" x14ac:dyDescent="0.2">
      <c r="Y38890" s="97"/>
    </row>
    <row r="38891" spans="25:25" x14ac:dyDescent="0.2">
      <c r="Y38891" s="97"/>
    </row>
    <row r="38892" spans="25:25" x14ac:dyDescent="0.2">
      <c r="Y38892" s="97"/>
    </row>
    <row r="38893" spans="25:25" x14ac:dyDescent="0.2">
      <c r="Y38893" s="97"/>
    </row>
    <row r="38894" spans="25:25" x14ac:dyDescent="0.2">
      <c r="Y38894" s="97"/>
    </row>
    <row r="38895" spans="25:25" x14ac:dyDescent="0.2">
      <c r="Y38895" s="97"/>
    </row>
    <row r="38896" spans="25:25" x14ac:dyDescent="0.2">
      <c r="Y38896" s="97"/>
    </row>
    <row r="38897" spans="25:25" x14ac:dyDescent="0.2">
      <c r="Y38897" s="97"/>
    </row>
    <row r="38898" spans="25:25" x14ac:dyDescent="0.2">
      <c r="Y38898" s="97"/>
    </row>
    <row r="38899" spans="25:25" x14ac:dyDescent="0.2">
      <c r="Y38899" s="97"/>
    </row>
    <row r="38900" spans="25:25" x14ac:dyDescent="0.2">
      <c r="Y38900" s="97"/>
    </row>
    <row r="38901" spans="25:25" x14ac:dyDescent="0.2">
      <c r="Y38901" s="97"/>
    </row>
    <row r="38902" spans="25:25" x14ac:dyDescent="0.2">
      <c r="Y38902" s="97"/>
    </row>
    <row r="38903" spans="25:25" x14ac:dyDescent="0.2">
      <c r="Y38903" s="97"/>
    </row>
    <row r="38904" spans="25:25" x14ac:dyDescent="0.2">
      <c r="Y38904" s="97"/>
    </row>
    <row r="38905" spans="25:25" x14ac:dyDescent="0.2">
      <c r="Y38905" s="97"/>
    </row>
    <row r="38906" spans="25:25" x14ac:dyDescent="0.2">
      <c r="Y38906" s="97"/>
    </row>
    <row r="38907" spans="25:25" x14ac:dyDescent="0.2">
      <c r="Y38907" s="97"/>
    </row>
    <row r="38908" spans="25:25" x14ac:dyDescent="0.2">
      <c r="Y38908" s="97"/>
    </row>
    <row r="38909" spans="25:25" x14ac:dyDescent="0.2">
      <c r="Y38909" s="97"/>
    </row>
    <row r="38910" spans="25:25" x14ac:dyDescent="0.2">
      <c r="Y38910" s="97"/>
    </row>
    <row r="38911" spans="25:25" x14ac:dyDescent="0.2">
      <c r="Y38911" s="97"/>
    </row>
    <row r="38912" spans="25:25" x14ac:dyDescent="0.2">
      <c r="Y38912" s="97"/>
    </row>
    <row r="38913" spans="25:25" x14ac:dyDescent="0.2">
      <c r="Y38913" s="97"/>
    </row>
    <row r="38914" spans="25:25" x14ac:dyDescent="0.2">
      <c r="Y38914" s="97"/>
    </row>
    <row r="38915" spans="25:25" x14ac:dyDescent="0.2">
      <c r="Y38915" s="97"/>
    </row>
    <row r="38916" spans="25:25" x14ac:dyDescent="0.2">
      <c r="Y38916" s="97"/>
    </row>
    <row r="38917" spans="25:25" x14ac:dyDescent="0.2">
      <c r="Y38917" s="97"/>
    </row>
    <row r="38918" spans="25:25" x14ac:dyDescent="0.2">
      <c r="Y38918" s="97"/>
    </row>
    <row r="38919" spans="25:25" x14ac:dyDescent="0.2">
      <c r="Y38919" s="97"/>
    </row>
    <row r="38920" spans="25:25" x14ac:dyDescent="0.2">
      <c r="Y38920" s="97"/>
    </row>
    <row r="38921" spans="25:25" x14ac:dyDescent="0.2">
      <c r="Y38921" s="97"/>
    </row>
    <row r="38922" spans="25:25" x14ac:dyDescent="0.2">
      <c r="Y38922" s="97"/>
    </row>
    <row r="38923" spans="25:25" x14ac:dyDescent="0.2">
      <c r="Y38923" s="97"/>
    </row>
    <row r="38924" spans="25:25" x14ac:dyDescent="0.2">
      <c r="Y38924" s="97"/>
    </row>
    <row r="38925" spans="25:25" x14ac:dyDescent="0.2">
      <c r="Y38925" s="97"/>
    </row>
    <row r="38926" spans="25:25" x14ac:dyDescent="0.2">
      <c r="Y38926" s="97"/>
    </row>
    <row r="38927" spans="25:25" x14ac:dyDescent="0.2">
      <c r="Y38927" s="97"/>
    </row>
    <row r="38928" spans="25:25" x14ac:dyDescent="0.2">
      <c r="Y38928" s="97"/>
    </row>
    <row r="38929" spans="25:25" x14ac:dyDescent="0.2">
      <c r="Y38929" s="97"/>
    </row>
    <row r="38930" spans="25:25" x14ac:dyDescent="0.2">
      <c r="Y38930" s="97"/>
    </row>
    <row r="38931" spans="25:25" x14ac:dyDescent="0.2">
      <c r="Y38931" s="97"/>
    </row>
    <row r="38932" spans="25:25" x14ac:dyDescent="0.2">
      <c r="Y38932" s="97"/>
    </row>
    <row r="38933" spans="25:25" x14ac:dyDescent="0.2">
      <c r="Y38933" s="97"/>
    </row>
    <row r="38934" spans="25:25" x14ac:dyDescent="0.2">
      <c r="Y38934" s="97"/>
    </row>
    <row r="38935" spans="25:25" x14ac:dyDescent="0.2">
      <c r="Y38935" s="97"/>
    </row>
    <row r="38936" spans="25:25" x14ac:dyDescent="0.2">
      <c r="Y38936" s="97"/>
    </row>
    <row r="38937" spans="25:25" x14ac:dyDescent="0.2">
      <c r="Y38937" s="97"/>
    </row>
    <row r="38938" spans="25:25" x14ac:dyDescent="0.2">
      <c r="Y38938" s="97"/>
    </row>
    <row r="38939" spans="25:25" x14ac:dyDescent="0.2">
      <c r="Y38939" s="97"/>
    </row>
    <row r="38940" spans="25:25" x14ac:dyDescent="0.2">
      <c r="Y38940" s="97"/>
    </row>
    <row r="38941" spans="25:25" x14ac:dyDescent="0.2">
      <c r="Y38941" s="97"/>
    </row>
    <row r="38942" spans="25:25" x14ac:dyDescent="0.2">
      <c r="Y38942" s="97"/>
    </row>
    <row r="38943" spans="25:25" x14ac:dyDescent="0.2">
      <c r="Y38943" s="97"/>
    </row>
    <row r="38944" spans="25:25" x14ac:dyDescent="0.2">
      <c r="Y38944" s="97"/>
    </row>
    <row r="38945" spans="25:25" x14ac:dyDescent="0.2">
      <c r="Y38945" s="97"/>
    </row>
    <row r="38946" spans="25:25" x14ac:dyDescent="0.2">
      <c r="Y38946" s="97"/>
    </row>
    <row r="38947" spans="25:25" x14ac:dyDescent="0.2">
      <c r="Y38947" s="97"/>
    </row>
    <row r="38948" spans="25:25" x14ac:dyDescent="0.2">
      <c r="Y38948" s="97"/>
    </row>
    <row r="38949" spans="25:25" x14ac:dyDescent="0.2">
      <c r="Y38949" s="97"/>
    </row>
    <row r="38950" spans="25:25" x14ac:dyDescent="0.2">
      <c r="Y38950" s="97"/>
    </row>
    <row r="38951" spans="25:25" x14ac:dyDescent="0.2">
      <c r="Y38951" s="97"/>
    </row>
    <row r="38952" spans="25:25" x14ac:dyDescent="0.2">
      <c r="Y38952" s="97"/>
    </row>
    <row r="38953" spans="25:25" x14ac:dyDescent="0.2">
      <c r="Y38953" s="97"/>
    </row>
    <row r="38954" spans="25:25" x14ac:dyDescent="0.2">
      <c r="Y38954" s="97"/>
    </row>
    <row r="38955" spans="25:25" x14ac:dyDescent="0.2">
      <c r="Y38955" s="97"/>
    </row>
    <row r="38956" spans="25:25" x14ac:dyDescent="0.2">
      <c r="Y38956" s="97"/>
    </row>
    <row r="38957" spans="25:25" x14ac:dyDescent="0.2">
      <c r="Y38957" s="97"/>
    </row>
    <row r="38958" spans="25:25" x14ac:dyDescent="0.2">
      <c r="Y38958" s="97"/>
    </row>
    <row r="38959" spans="25:25" x14ac:dyDescent="0.2">
      <c r="Y38959" s="97"/>
    </row>
    <row r="38960" spans="25:25" x14ac:dyDescent="0.2">
      <c r="Y38960" s="97"/>
    </row>
    <row r="38961" spans="25:25" x14ac:dyDescent="0.2">
      <c r="Y38961" s="97"/>
    </row>
    <row r="38962" spans="25:25" x14ac:dyDescent="0.2">
      <c r="Y38962" s="97"/>
    </row>
    <row r="38963" spans="25:25" x14ac:dyDescent="0.2">
      <c r="Y38963" s="97"/>
    </row>
    <row r="38964" spans="25:25" x14ac:dyDescent="0.2">
      <c r="Y38964" s="97"/>
    </row>
    <row r="38965" spans="25:25" x14ac:dyDescent="0.2">
      <c r="Y38965" s="97"/>
    </row>
    <row r="38966" spans="25:25" x14ac:dyDescent="0.2">
      <c r="Y38966" s="97"/>
    </row>
    <row r="38967" spans="25:25" x14ac:dyDescent="0.2">
      <c r="Y38967" s="97"/>
    </row>
    <row r="38968" spans="25:25" x14ac:dyDescent="0.2">
      <c r="Y38968" s="97"/>
    </row>
    <row r="38969" spans="25:25" x14ac:dyDescent="0.2">
      <c r="Y38969" s="97"/>
    </row>
    <row r="38970" spans="25:25" x14ac:dyDescent="0.2">
      <c r="Y38970" s="97"/>
    </row>
    <row r="38971" spans="25:25" x14ac:dyDescent="0.2">
      <c r="Y38971" s="97"/>
    </row>
    <row r="38972" spans="25:25" x14ac:dyDescent="0.2">
      <c r="Y38972" s="97"/>
    </row>
    <row r="38973" spans="25:25" x14ac:dyDescent="0.2">
      <c r="Y38973" s="97"/>
    </row>
    <row r="38974" spans="25:25" x14ac:dyDescent="0.2">
      <c r="Y38974" s="97"/>
    </row>
    <row r="38975" spans="25:25" x14ac:dyDescent="0.2">
      <c r="Y38975" s="97"/>
    </row>
    <row r="38976" spans="25:25" x14ac:dyDescent="0.2">
      <c r="Y38976" s="97"/>
    </row>
    <row r="38977" spans="25:25" x14ac:dyDescent="0.2">
      <c r="Y38977" s="97"/>
    </row>
    <row r="38978" spans="25:25" x14ac:dyDescent="0.2">
      <c r="Y38978" s="97"/>
    </row>
    <row r="38979" spans="25:25" x14ac:dyDescent="0.2">
      <c r="Y38979" s="97"/>
    </row>
    <row r="38980" spans="25:25" x14ac:dyDescent="0.2">
      <c r="Y38980" s="97"/>
    </row>
    <row r="38981" spans="25:25" x14ac:dyDescent="0.2">
      <c r="Y38981" s="97"/>
    </row>
    <row r="38982" spans="25:25" x14ac:dyDescent="0.2">
      <c r="Y38982" s="97"/>
    </row>
    <row r="38983" spans="25:25" x14ac:dyDescent="0.2">
      <c r="Y38983" s="97"/>
    </row>
    <row r="38984" spans="25:25" x14ac:dyDescent="0.2">
      <c r="Y38984" s="97"/>
    </row>
    <row r="38985" spans="25:25" x14ac:dyDescent="0.2">
      <c r="Y38985" s="97"/>
    </row>
    <row r="38986" spans="25:25" x14ac:dyDescent="0.2">
      <c r="Y38986" s="97"/>
    </row>
    <row r="38987" spans="25:25" x14ac:dyDescent="0.2">
      <c r="Y38987" s="97"/>
    </row>
    <row r="38988" spans="25:25" x14ac:dyDescent="0.2">
      <c r="Y38988" s="97"/>
    </row>
    <row r="38989" spans="25:25" x14ac:dyDescent="0.2">
      <c r="Y38989" s="97"/>
    </row>
    <row r="38990" spans="25:25" x14ac:dyDescent="0.2">
      <c r="Y38990" s="97"/>
    </row>
    <row r="38991" spans="25:25" x14ac:dyDescent="0.2">
      <c r="Y38991" s="97"/>
    </row>
    <row r="38992" spans="25:25" x14ac:dyDescent="0.2">
      <c r="Y38992" s="97"/>
    </row>
    <row r="38993" spans="25:25" x14ac:dyDescent="0.2">
      <c r="Y38993" s="97"/>
    </row>
    <row r="38994" spans="25:25" x14ac:dyDescent="0.2">
      <c r="Y38994" s="97"/>
    </row>
    <row r="38995" spans="25:25" x14ac:dyDescent="0.2">
      <c r="Y38995" s="97"/>
    </row>
    <row r="38996" spans="25:25" x14ac:dyDescent="0.2">
      <c r="Y38996" s="97"/>
    </row>
    <row r="38997" spans="25:25" x14ac:dyDescent="0.2">
      <c r="Y38997" s="97"/>
    </row>
    <row r="38998" spans="25:25" x14ac:dyDescent="0.2">
      <c r="Y38998" s="97"/>
    </row>
    <row r="38999" spans="25:25" x14ac:dyDescent="0.2">
      <c r="Y38999" s="97"/>
    </row>
    <row r="39000" spans="25:25" x14ac:dyDescent="0.2">
      <c r="Y39000" s="97"/>
    </row>
    <row r="39001" spans="25:25" x14ac:dyDescent="0.2">
      <c r="Y39001" s="97"/>
    </row>
    <row r="39002" spans="25:25" x14ac:dyDescent="0.2">
      <c r="Y39002" s="97"/>
    </row>
    <row r="39003" spans="25:25" x14ac:dyDescent="0.2">
      <c r="Y39003" s="97"/>
    </row>
    <row r="39004" spans="25:25" x14ac:dyDescent="0.2">
      <c r="Y39004" s="97"/>
    </row>
    <row r="39005" spans="25:25" x14ac:dyDescent="0.2">
      <c r="Y39005" s="97"/>
    </row>
    <row r="39006" spans="25:25" x14ac:dyDescent="0.2">
      <c r="Y39006" s="97"/>
    </row>
    <row r="39007" spans="25:25" x14ac:dyDescent="0.2">
      <c r="Y39007" s="97"/>
    </row>
    <row r="39008" spans="25:25" x14ac:dyDescent="0.2">
      <c r="Y39008" s="97"/>
    </row>
    <row r="39009" spans="25:25" x14ac:dyDescent="0.2">
      <c r="Y39009" s="97"/>
    </row>
    <row r="39010" spans="25:25" x14ac:dyDescent="0.2">
      <c r="Y39010" s="97"/>
    </row>
    <row r="39011" spans="25:25" x14ac:dyDescent="0.2">
      <c r="Y39011" s="97"/>
    </row>
    <row r="39012" spans="25:25" x14ac:dyDescent="0.2">
      <c r="Y39012" s="97"/>
    </row>
    <row r="39013" spans="25:25" x14ac:dyDescent="0.2">
      <c r="Y39013" s="97"/>
    </row>
    <row r="39014" spans="25:25" x14ac:dyDescent="0.2">
      <c r="Y39014" s="97"/>
    </row>
    <row r="39015" spans="25:25" x14ac:dyDescent="0.2">
      <c r="Y39015" s="97"/>
    </row>
    <row r="39016" spans="25:25" x14ac:dyDescent="0.2">
      <c r="Y39016" s="97"/>
    </row>
    <row r="39017" spans="25:25" x14ac:dyDescent="0.2">
      <c r="Y39017" s="97"/>
    </row>
    <row r="39018" spans="25:25" x14ac:dyDescent="0.2">
      <c r="Y39018" s="97"/>
    </row>
    <row r="39019" spans="25:25" x14ac:dyDescent="0.2">
      <c r="Y39019" s="97"/>
    </row>
    <row r="39020" spans="25:25" x14ac:dyDescent="0.2">
      <c r="Y39020" s="97"/>
    </row>
    <row r="39021" spans="25:25" x14ac:dyDescent="0.2">
      <c r="Y39021" s="97"/>
    </row>
    <row r="39022" spans="25:25" x14ac:dyDescent="0.2">
      <c r="Y39022" s="97"/>
    </row>
    <row r="39023" spans="25:25" x14ac:dyDescent="0.2">
      <c r="Y39023" s="97"/>
    </row>
    <row r="39024" spans="25:25" x14ac:dyDescent="0.2">
      <c r="Y39024" s="97"/>
    </row>
    <row r="39025" spans="25:25" x14ac:dyDescent="0.2">
      <c r="Y39025" s="97"/>
    </row>
    <row r="39026" spans="25:25" x14ac:dyDescent="0.2">
      <c r="Y39026" s="97"/>
    </row>
    <row r="39027" spans="25:25" x14ac:dyDescent="0.2">
      <c r="Y39027" s="97"/>
    </row>
    <row r="39028" spans="25:25" x14ac:dyDescent="0.2">
      <c r="Y39028" s="97"/>
    </row>
    <row r="39029" spans="25:25" x14ac:dyDescent="0.2">
      <c r="Y39029" s="97"/>
    </row>
    <row r="39030" spans="25:25" x14ac:dyDescent="0.2">
      <c r="Y39030" s="97"/>
    </row>
    <row r="39031" spans="25:25" x14ac:dyDescent="0.2">
      <c r="Y39031" s="97"/>
    </row>
    <row r="39032" spans="25:25" x14ac:dyDescent="0.2">
      <c r="Y39032" s="97"/>
    </row>
    <row r="39033" spans="25:25" x14ac:dyDescent="0.2">
      <c r="Y39033" s="97"/>
    </row>
    <row r="39034" spans="25:25" x14ac:dyDescent="0.2">
      <c r="Y39034" s="97"/>
    </row>
    <row r="39035" spans="25:25" x14ac:dyDescent="0.2">
      <c r="Y39035" s="97"/>
    </row>
    <row r="39036" spans="25:25" x14ac:dyDescent="0.2">
      <c r="Y39036" s="97"/>
    </row>
    <row r="39037" spans="25:25" x14ac:dyDescent="0.2">
      <c r="Y39037" s="97"/>
    </row>
    <row r="39038" spans="25:25" x14ac:dyDescent="0.2">
      <c r="Y39038" s="97"/>
    </row>
    <row r="39039" spans="25:25" x14ac:dyDescent="0.2">
      <c r="Y39039" s="97"/>
    </row>
    <row r="39040" spans="25:25" x14ac:dyDescent="0.2">
      <c r="Y39040" s="97"/>
    </row>
    <row r="39041" spans="25:25" x14ac:dyDescent="0.2">
      <c r="Y39041" s="97"/>
    </row>
    <row r="39042" spans="25:25" x14ac:dyDescent="0.2">
      <c r="Y39042" s="97"/>
    </row>
    <row r="39043" spans="25:25" x14ac:dyDescent="0.2">
      <c r="Y39043" s="97"/>
    </row>
    <row r="39044" spans="25:25" x14ac:dyDescent="0.2">
      <c r="Y39044" s="97"/>
    </row>
    <row r="39045" spans="25:25" x14ac:dyDescent="0.2">
      <c r="Y39045" s="97"/>
    </row>
    <row r="39046" spans="25:25" x14ac:dyDescent="0.2">
      <c r="Y39046" s="97"/>
    </row>
    <row r="39047" spans="25:25" x14ac:dyDescent="0.2">
      <c r="Y39047" s="97"/>
    </row>
    <row r="39048" spans="25:25" x14ac:dyDescent="0.2">
      <c r="Y39048" s="97"/>
    </row>
    <row r="39049" spans="25:25" x14ac:dyDescent="0.2">
      <c r="Y39049" s="97"/>
    </row>
    <row r="39050" spans="25:25" x14ac:dyDescent="0.2">
      <c r="Y39050" s="97"/>
    </row>
    <row r="39051" spans="25:25" x14ac:dyDescent="0.2">
      <c r="Y39051" s="97"/>
    </row>
    <row r="39052" spans="25:25" x14ac:dyDescent="0.2">
      <c r="Y39052" s="97"/>
    </row>
    <row r="39053" spans="25:25" x14ac:dyDescent="0.2">
      <c r="Y39053" s="97"/>
    </row>
    <row r="39054" spans="25:25" x14ac:dyDescent="0.2">
      <c r="Y39054" s="97"/>
    </row>
    <row r="39055" spans="25:25" x14ac:dyDescent="0.2">
      <c r="Y39055" s="97"/>
    </row>
    <row r="39056" spans="25:25" x14ac:dyDescent="0.2">
      <c r="Y39056" s="97"/>
    </row>
    <row r="39057" spans="25:25" x14ac:dyDescent="0.2">
      <c r="Y39057" s="97"/>
    </row>
    <row r="39058" spans="25:25" x14ac:dyDescent="0.2">
      <c r="Y39058" s="97"/>
    </row>
    <row r="39059" spans="25:25" x14ac:dyDescent="0.2">
      <c r="Y39059" s="97"/>
    </row>
    <row r="39060" spans="25:25" x14ac:dyDescent="0.2">
      <c r="Y39060" s="97"/>
    </row>
    <row r="39061" spans="25:25" x14ac:dyDescent="0.2">
      <c r="Y39061" s="97"/>
    </row>
    <row r="39062" spans="25:25" x14ac:dyDescent="0.2">
      <c r="Y39062" s="97"/>
    </row>
    <row r="39063" spans="25:25" x14ac:dyDescent="0.2">
      <c r="Y39063" s="97"/>
    </row>
    <row r="39064" spans="25:25" x14ac:dyDescent="0.2">
      <c r="Y39064" s="97"/>
    </row>
    <row r="39065" spans="25:25" x14ac:dyDescent="0.2">
      <c r="Y39065" s="97"/>
    </row>
    <row r="39066" spans="25:25" x14ac:dyDescent="0.2">
      <c r="Y39066" s="97"/>
    </row>
    <row r="39067" spans="25:25" x14ac:dyDescent="0.2">
      <c r="Y39067" s="97"/>
    </row>
    <row r="39068" spans="25:25" x14ac:dyDescent="0.2">
      <c r="Y39068" s="97"/>
    </row>
    <row r="39069" spans="25:25" x14ac:dyDescent="0.2">
      <c r="Y39069" s="97"/>
    </row>
    <row r="39070" spans="25:25" x14ac:dyDescent="0.2">
      <c r="Y39070" s="97"/>
    </row>
    <row r="39071" spans="25:25" x14ac:dyDescent="0.2">
      <c r="Y39071" s="97"/>
    </row>
    <row r="39072" spans="25:25" x14ac:dyDescent="0.2">
      <c r="Y39072" s="97"/>
    </row>
    <row r="39073" spans="25:25" x14ac:dyDescent="0.2">
      <c r="Y39073" s="97"/>
    </row>
    <row r="39074" spans="25:25" x14ac:dyDescent="0.2">
      <c r="Y39074" s="97"/>
    </row>
    <row r="39075" spans="25:25" x14ac:dyDescent="0.2">
      <c r="Y39075" s="97"/>
    </row>
    <row r="39076" spans="25:25" x14ac:dyDescent="0.2">
      <c r="Y39076" s="97"/>
    </row>
    <row r="39077" spans="25:25" x14ac:dyDescent="0.2">
      <c r="Y39077" s="97"/>
    </row>
    <row r="39078" spans="25:25" x14ac:dyDescent="0.2">
      <c r="Y39078" s="97"/>
    </row>
    <row r="39079" spans="25:25" x14ac:dyDescent="0.2">
      <c r="Y39079" s="97"/>
    </row>
    <row r="39080" spans="25:25" x14ac:dyDescent="0.2">
      <c r="Y39080" s="97"/>
    </row>
    <row r="39081" spans="25:25" x14ac:dyDescent="0.2">
      <c r="Y39081" s="97"/>
    </row>
    <row r="39082" spans="25:25" x14ac:dyDescent="0.2">
      <c r="Y39082" s="97"/>
    </row>
    <row r="39083" spans="25:25" x14ac:dyDescent="0.2">
      <c r="Y39083" s="97"/>
    </row>
    <row r="39084" spans="25:25" x14ac:dyDescent="0.2">
      <c r="Y39084" s="97"/>
    </row>
    <row r="39085" spans="25:25" x14ac:dyDescent="0.2">
      <c r="Y39085" s="97"/>
    </row>
    <row r="39086" spans="25:25" x14ac:dyDescent="0.2">
      <c r="Y39086" s="97"/>
    </row>
    <row r="39087" spans="25:25" x14ac:dyDescent="0.2">
      <c r="Y39087" s="97"/>
    </row>
    <row r="39088" spans="25:25" x14ac:dyDescent="0.2">
      <c r="Y39088" s="97"/>
    </row>
    <row r="39089" spans="25:25" x14ac:dyDescent="0.2">
      <c r="Y39089" s="97"/>
    </row>
    <row r="39090" spans="25:25" x14ac:dyDescent="0.2">
      <c r="Y39090" s="97"/>
    </row>
    <row r="39091" spans="25:25" x14ac:dyDescent="0.2">
      <c r="Y39091" s="97"/>
    </row>
    <row r="39092" spans="25:25" x14ac:dyDescent="0.2">
      <c r="Y39092" s="97"/>
    </row>
    <row r="39093" spans="25:25" x14ac:dyDescent="0.2">
      <c r="Y39093" s="97"/>
    </row>
    <row r="39094" spans="25:25" x14ac:dyDescent="0.2">
      <c r="Y39094" s="97"/>
    </row>
    <row r="39095" spans="25:25" x14ac:dyDescent="0.2">
      <c r="Y39095" s="97"/>
    </row>
    <row r="39096" spans="25:25" x14ac:dyDescent="0.2">
      <c r="Y39096" s="97"/>
    </row>
    <row r="39097" spans="25:25" x14ac:dyDescent="0.2">
      <c r="Y39097" s="97"/>
    </row>
    <row r="39098" spans="25:25" x14ac:dyDescent="0.2">
      <c r="Y39098" s="97"/>
    </row>
    <row r="39099" spans="25:25" x14ac:dyDescent="0.2">
      <c r="Y39099" s="97"/>
    </row>
    <row r="39100" spans="25:25" x14ac:dyDescent="0.2">
      <c r="Y39100" s="97"/>
    </row>
    <row r="39101" spans="25:25" x14ac:dyDescent="0.2">
      <c r="Y39101" s="97"/>
    </row>
    <row r="39102" spans="25:25" x14ac:dyDescent="0.2">
      <c r="Y39102" s="97"/>
    </row>
    <row r="39103" spans="25:25" x14ac:dyDescent="0.2">
      <c r="Y39103" s="97"/>
    </row>
    <row r="39104" spans="25:25" x14ac:dyDescent="0.2">
      <c r="Y39104" s="97"/>
    </row>
    <row r="39105" spans="25:25" x14ac:dyDescent="0.2">
      <c r="Y39105" s="97"/>
    </row>
    <row r="39106" spans="25:25" x14ac:dyDescent="0.2">
      <c r="Y39106" s="97"/>
    </row>
    <row r="39107" spans="25:25" x14ac:dyDescent="0.2">
      <c r="Y39107" s="97"/>
    </row>
    <row r="39108" spans="25:25" x14ac:dyDescent="0.2">
      <c r="Y39108" s="97"/>
    </row>
    <row r="39109" spans="25:25" x14ac:dyDescent="0.2">
      <c r="Y39109" s="97"/>
    </row>
    <row r="39110" spans="25:25" x14ac:dyDescent="0.2">
      <c r="Y39110" s="97"/>
    </row>
    <row r="39111" spans="25:25" x14ac:dyDescent="0.2">
      <c r="Y39111" s="97"/>
    </row>
    <row r="39112" spans="25:25" x14ac:dyDescent="0.2">
      <c r="Y39112" s="97"/>
    </row>
    <row r="39113" spans="25:25" x14ac:dyDescent="0.2">
      <c r="Y39113" s="97"/>
    </row>
    <row r="39114" spans="25:25" x14ac:dyDescent="0.2">
      <c r="Y39114" s="97"/>
    </row>
    <row r="39115" spans="25:25" x14ac:dyDescent="0.2">
      <c r="Y39115" s="97"/>
    </row>
    <row r="39116" spans="25:25" x14ac:dyDescent="0.2">
      <c r="Y39116" s="97"/>
    </row>
    <row r="39117" spans="25:25" x14ac:dyDescent="0.2">
      <c r="Y39117" s="97"/>
    </row>
    <row r="39118" spans="25:25" x14ac:dyDescent="0.2">
      <c r="Y39118" s="97"/>
    </row>
    <row r="39119" spans="25:25" x14ac:dyDescent="0.2">
      <c r="Y39119" s="97"/>
    </row>
    <row r="39120" spans="25:25" x14ac:dyDescent="0.2">
      <c r="Y39120" s="97"/>
    </row>
    <row r="39121" spans="25:25" x14ac:dyDescent="0.2">
      <c r="Y39121" s="97"/>
    </row>
    <row r="39122" spans="25:25" x14ac:dyDescent="0.2">
      <c r="Y39122" s="97"/>
    </row>
    <row r="39123" spans="25:25" x14ac:dyDescent="0.2">
      <c r="Y39123" s="97"/>
    </row>
    <row r="39124" spans="25:25" x14ac:dyDescent="0.2">
      <c r="Y39124" s="97"/>
    </row>
    <row r="39125" spans="25:25" x14ac:dyDescent="0.2">
      <c r="Y39125" s="97"/>
    </row>
    <row r="39126" spans="25:25" x14ac:dyDescent="0.2">
      <c r="Y39126" s="97"/>
    </row>
    <row r="39127" spans="25:25" x14ac:dyDescent="0.2">
      <c r="Y39127" s="97"/>
    </row>
    <row r="39128" spans="25:25" x14ac:dyDescent="0.2">
      <c r="Y39128" s="97"/>
    </row>
    <row r="39129" spans="25:25" x14ac:dyDescent="0.2">
      <c r="Y39129" s="97"/>
    </row>
    <row r="39130" spans="25:25" x14ac:dyDescent="0.2">
      <c r="Y39130" s="97"/>
    </row>
    <row r="39131" spans="25:25" x14ac:dyDescent="0.2">
      <c r="Y39131" s="97"/>
    </row>
    <row r="39132" spans="25:25" x14ac:dyDescent="0.2">
      <c r="Y39132" s="97"/>
    </row>
    <row r="39133" spans="25:25" x14ac:dyDescent="0.2">
      <c r="Y39133" s="97"/>
    </row>
    <row r="39134" spans="25:25" x14ac:dyDescent="0.2">
      <c r="Y39134" s="97"/>
    </row>
    <row r="39135" spans="25:25" x14ac:dyDescent="0.2">
      <c r="Y39135" s="97"/>
    </row>
    <row r="39136" spans="25:25" x14ac:dyDescent="0.2">
      <c r="Y39136" s="97"/>
    </row>
    <row r="39137" spans="25:25" x14ac:dyDescent="0.2">
      <c r="Y39137" s="97"/>
    </row>
    <row r="39138" spans="25:25" x14ac:dyDescent="0.2">
      <c r="Y39138" s="97"/>
    </row>
    <row r="39139" spans="25:25" x14ac:dyDescent="0.2">
      <c r="Y39139" s="97"/>
    </row>
    <row r="39140" spans="25:25" x14ac:dyDescent="0.2">
      <c r="Y39140" s="97"/>
    </row>
    <row r="39141" spans="25:25" x14ac:dyDescent="0.2">
      <c r="Y39141" s="97"/>
    </row>
    <row r="39142" spans="25:25" x14ac:dyDescent="0.2">
      <c r="Y39142" s="97"/>
    </row>
    <row r="39143" spans="25:25" x14ac:dyDescent="0.2">
      <c r="Y39143" s="97"/>
    </row>
    <row r="39144" spans="25:25" x14ac:dyDescent="0.2">
      <c r="Y39144" s="97"/>
    </row>
    <row r="39145" spans="25:25" x14ac:dyDescent="0.2">
      <c r="Y39145" s="97"/>
    </row>
    <row r="39146" spans="25:25" x14ac:dyDescent="0.2">
      <c r="Y39146" s="97"/>
    </row>
    <row r="39147" spans="25:25" x14ac:dyDescent="0.2">
      <c r="Y39147" s="97"/>
    </row>
    <row r="39148" spans="25:25" x14ac:dyDescent="0.2">
      <c r="Y39148" s="97"/>
    </row>
    <row r="39149" spans="25:25" x14ac:dyDescent="0.2">
      <c r="Y39149" s="97"/>
    </row>
    <row r="39150" spans="25:25" x14ac:dyDescent="0.2">
      <c r="Y39150" s="97"/>
    </row>
    <row r="39151" spans="25:25" x14ac:dyDescent="0.2">
      <c r="Y39151" s="97"/>
    </row>
    <row r="39152" spans="25:25" x14ac:dyDescent="0.2">
      <c r="Y39152" s="97"/>
    </row>
    <row r="39153" spans="25:25" x14ac:dyDescent="0.2">
      <c r="Y39153" s="97"/>
    </row>
    <row r="39154" spans="25:25" x14ac:dyDescent="0.2">
      <c r="Y39154" s="97"/>
    </row>
    <row r="39155" spans="25:25" x14ac:dyDescent="0.2">
      <c r="Y39155" s="97"/>
    </row>
    <row r="39156" spans="25:25" x14ac:dyDescent="0.2">
      <c r="Y39156" s="97"/>
    </row>
    <row r="39157" spans="25:25" x14ac:dyDescent="0.2">
      <c r="Y39157" s="97"/>
    </row>
    <row r="39158" spans="25:25" x14ac:dyDescent="0.2">
      <c r="Y39158" s="97"/>
    </row>
    <row r="39159" spans="25:25" x14ac:dyDescent="0.2">
      <c r="Y39159" s="97"/>
    </row>
    <row r="39160" spans="25:25" x14ac:dyDescent="0.2">
      <c r="Y39160" s="97"/>
    </row>
    <row r="39161" spans="25:25" x14ac:dyDescent="0.2">
      <c r="Y39161" s="97"/>
    </row>
    <row r="39162" spans="25:25" x14ac:dyDescent="0.2">
      <c r="Y39162" s="97"/>
    </row>
    <row r="39163" spans="25:25" x14ac:dyDescent="0.2">
      <c r="Y39163" s="97"/>
    </row>
    <row r="39164" spans="25:25" x14ac:dyDescent="0.2">
      <c r="Y39164" s="97"/>
    </row>
    <row r="39165" spans="25:25" x14ac:dyDescent="0.2">
      <c r="Y39165" s="97"/>
    </row>
    <row r="39166" spans="25:25" x14ac:dyDescent="0.2">
      <c r="Y39166" s="97"/>
    </row>
    <row r="39167" spans="25:25" x14ac:dyDescent="0.2">
      <c r="Y39167" s="97"/>
    </row>
    <row r="39168" spans="25:25" x14ac:dyDescent="0.2">
      <c r="Y39168" s="97"/>
    </row>
    <row r="39169" spans="25:25" x14ac:dyDescent="0.2">
      <c r="Y39169" s="97"/>
    </row>
    <row r="39170" spans="25:25" x14ac:dyDescent="0.2">
      <c r="Y39170" s="97"/>
    </row>
    <row r="39171" spans="25:25" x14ac:dyDescent="0.2">
      <c r="Y39171" s="97"/>
    </row>
    <row r="39172" spans="25:25" x14ac:dyDescent="0.2">
      <c r="Y39172" s="97"/>
    </row>
    <row r="39173" spans="25:25" x14ac:dyDescent="0.2">
      <c r="Y39173" s="97"/>
    </row>
    <row r="39174" spans="25:25" x14ac:dyDescent="0.2">
      <c r="Y39174" s="97"/>
    </row>
    <row r="39175" spans="25:25" x14ac:dyDescent="0.2">
      <c r="Y39175" s="97"/>
    </row>
    <row r="39176" spans="25:25" x14ac:dyDescent="0.2">
      <c r="Y39176" s="97"/>
    </row>
    <row r="39177" spans="25:25" x14ac:dyDescent="0.2">
      <c r="Y39177" s="97"/>
    </row>
    <row r="39178" spans="25:25" x14ac:dyDescent="0.2">
      <c r="Y39178" s="97"/>
    </row>
    <row r="39179" spans="25:25" x14ac:dyDescent="0.2">
      <c r="Y39179" s="97"/>
    </row>
    <row r="39180" spans="25:25" x14ac:dyDescent="0.2">
      <c r="Y39180" s="97"/>
    </row>
    <row r="39181" spans="25:25" x14ac:dyDescent="0.2">
      <c r="Y39181" s="97"/>
    </row>
    <row r="39182" spans="25:25" x14ac:dyDescent="0.2">
      <c r="Y39182" s="97"/>
    </row>
    <row r="39183" spans="25:25" x14ac:dyDescent="0.2">
      <c r="Y39183" s="97"/>
    </row>
    <row r="39184" spans="25:25" x14ac:dyDescent="0.2">
      <c r="Y39184" s="97"/>
    </row>
    <row r="39185" spans="25:25" x14ac:dyDescent="0.2">
      <c r="Y39185" s="97"/>
    </row>
    <row r="39186" spans="25:25" x14ac:dyDescent="0.2">
      <c r="Y39186" s="97"/>
    </row>
    <row r="39187" spans="25:25" x14ac:dyDescent="0.2">
      <c r="Y39187" s="97"/>
    </row>
    <row r="39188" spans="25:25" x14ac:dyDescent="0.2">
      <c r="Y39188" s="97"/>
    </row>
    <row r="39189" spans="25:25" x14ac:dyDescent="0.2">
      <c r="Y39189" s="97"/>
    </row>
    <row r="39190" spans="25:25" x14ac:dyDescent="0.2">
      <c r="Y39190" s="97"/>
    </row>
    <row r="39191" spans="25:25" x14ac:dyDescent="0.2">
      <c r="Y39191" s="97"/>
    </row>
    <row r="39192" spans="25:25" x14ac:dyDescent="0.2">
      <c r="Y39192" s="97"/>
    </row>
    <row r="39193" spans="25:25" x14ac:dyDescent="0.2">
      <c r="Y39193" s="97"/>
    </row>
    <row r="39194" spans="25:25" x14ac:dyDescent="0.2">
      <c r="Y39194" s="97"/>
    </row>
    <row r="39195" spans="25:25" x14ac:dyDescent="0.2">
      <c r="Y39195" s="97"/>
    </row>
    <row r="39196" spans="25:25" x14ac:dyDescent="0.2">
      <c r="Y39196" s="97"/>
    </row>
    <row r="39197" spans="25:25" x14ac:dyDescent="0.2">
      <c r="Y39197" s="97"/>
    </row>
    <row r="39198" spans="25:25" x14ac:dyDescent="0.2">
      <c r="Y39198" s="97"/>
    </row>
    <row r="39199" spans="25:25" x14ac:dyDescent="0.2">
      <c r="Y39199" s="97"/>
    </row>
    <row r="39200" spans="25:25" x14ac:dyDescent="0.2">
      <c r="Y39200" s="97"/>
    </row>
    <row r="39201" spans="25:25" x14ac:dyDescent="0.2">
      <c r="Y39201" s="97"/>
    </row>
    <row r="39202" spans="25:25" x14ac:dyDescent="0.2">
      <c r="Y39202" s="97"/>
    </row>
    <row r="39203" spans="25:25" x14ac:dyDescent="0.2">
      <c r="Y39203" s="97"/>
    </row>
    <row r="39204" spans="25:25" x14ac:dyDescent="0.2">
      <c r="Y39204" s="97"/>
    </row>
    <row r="39205" spans="25:25" x14ac:dyDescent="0.2">
      <c r="Y39205" s="97"/>
    </row>
    <row r="39206" spans="25:25" x14ac:dyDescent="0.2">
      <c r="Y39206" s="97"/>
    </row>
    <row r="39207" spans="25:25" x14ac:dyDescent="0.2">
      <c r="Y39207" s="97"/>
    </row>
    <row r="39208" spans="25:25" x14ac:dyDescent="0.2">
      <c r="Y39208" s="97"/>
    </row>
    <row r="39209" spans="25:25" x14ac:dyDescent="0.2">
      <c r="Y39209" s="97"/>
    </row>
    <row r="39210" spans="25:25" x14ac:dyDescent="0.2">
      <c r="Y39210" s="97"/>
    </row>
    <row r="39211" spans="25:25" x14ac:dyDescent="0.2">
      <c r="Y39211" s="97"/>
    </row>
    <row r="39212" spans="25:25" x14ac:dyDescent="0.2">
      <c r="Y39212" s="97"/>
    </row>
    <row r="39213" spans="25:25" x14ac:dyDescent="0.2">
      <c r="Y39213" s="97"/>
    </row>
    <row r="39214" spans="25:25" x14ac:dyDescent="0.2">
      <c r="Y39214" s="97"/>
    </row>
    <row r="39215" spans="25:25" x14ac:dyDescent="0.2">
      <c r="Y39215" s="97"/>
    </row>
    <row r="39216" spans="25:25" x14ac:dyDescent="0.2">
      <c r="Y39216" s="97"/>
    </row>
    <row r="39217" spans="25:25" x14ac:dyDescent="0.2">
      <c r="Y39217" s="97"/>
    </row>
    <row r="39218" spans="25:25" x14ac:dyDescent="0.2">
      <c r="Y39218" s="97"/>
    </row>
    <row r="39219" spans="25:25" x14ac:dyDescent="0.2">
      <c r="Y39219" s="97"/>
    </row>
    <row r="39220" spans="25:25" x14ac:dyDescent="0.2">
      <c r="Y39220" s="97"/>
    </row>
    <row r="39221" spans="25:25" x14ac:dyDescent="0.2">
      <c r="Y39221" s="97"/>
    </row>
    <row r="39222" spans="25:25" x14ac:dyDescent="0.2">
      <c r="Y39222" s="97"/>
    </row>
    <row r="39223" spans="25:25" x14ac:dyDescent="0.2">
      <c r="Y39223" s="97"/>
    </row>
    <row r="39224" spans="25:25" x14ac:dyDescent="0.2">
      <c r="Y39224" s="97"/>
    </row>
    <row r="39225" spans="25:25" x14ac:dyDescent="0.2">
      <c r="Y39225" s="97"/>
    </row>
    <row r="39226" spans="25:25" x14ac:dyDescent="0.2">
      <c r="Y39226" s="97"/>
    </row>
    <row r="39227" spans="25:25" x14ac:dyDescent="0.2">
      <c r="Y39227" s="97"/>
    </row>
    <row r="39228" spans="25:25" x14ac:dyDescent="0.2">
      <c r="Y39228" s="97"/>
    </row>
    <row r="39229" spans="25:25" x14ac:dyDescent="0.2">
      <c r="Y39229" s="97"/>
    </row>
    <row r="39230" spans="25:25" x14ac:dyDescent="0.2">
      <c r="Y39230" s="97"/>
    </row>
    <row r="39231" spans="25:25" x14ac:dyDescent="0.2">
      <c r="Y39231" s="97"/>
    </row>
    <row r="39232" spans="25:25" x14ac:dyDescent="0.2">
      <c r="Y39232" s="97"/>
    </row>
    <row r="39233" spans="25:25" x14ac:dyDescent="0.2">
      <c r="Y39233" s="97"/>
    </row>
    <row r="39234" spans="25:25" x14ac:dyDescent="0.2">
      <c r="Y39234" s="97"/>
    </row>
    <row r="39235" spans="25:25" x14ac:dyDescent="0.2">
      <c r="Y39235" s="97"/>
    </row>
    <row r="39236" spans="25:25" x14ac:dyDescent="0.2">
      <c r="Y39236" s="97"/>
    </row>
    <row r="39237" spans="25:25" x14ac:dyDescent="0.2">
      <c r="Y39237" s="97"/>
    </row>
    <row r="39238" spans="25:25" x14ac:dyDescent="0.2">
      <c r="Y39238" s="97"/>
    </row>
    <row r="39239" spans="25:25" x14ac:dyDescent="0.2">
      <c r="Y39239" s="97"/>
    </row>
    <row r="39240" spans="25:25" x14ac:dyDescent="0.2">
      <c r="Y39240" s="97"/>
    </row>
    <row r="39241" spans="25:25" x14ac:dyDescent="0.2">
      <c r="Y39241" s="97"/>
    </row>
    <row r="39242" spans="25:25" x14ac:dyDescent="0.2">
      <c r="Y39242" s="97"/>
    </row>
    <row r="39243" spans="25:25" x14ac:dyDescent="0.2">
      <c r="Y39243" s="97"/>
    </row>
    <row r="39244" spans="25:25" x14ac:dyDescent="0.2">
      <c r="Y39244" s="97"/>
    </row>
    <row r="39245" spans="25:25" x14ac:dyDescent="0.2">
      <c r="Y39245" s="97"/>
    </row>
    <row r="39246" spans="25:25" x14ac:dyDescent="0.2">
      <c r="Y39246" s="97"/>
    </row>
    <row r="39247" spans="25:25" x14ac:dyDescent="0.2">
      <c r="Y39247" s="97"/>
    </row>
    <row r="39248" spans="25:25" x14ac:dyDescent="0.2">
      <c r="Y39248" s="97"/>
    </row>
    <row r="39249" spans="25:25" x14ac:dyDescent="0.2">
      <c r="Y39249" s="97"/>
    </row>
    <row r="39250" spans="25:25" x14ac:dyDescent="0.2">
      <c r="Y39250" s="97"/>
    </row>
    <row r="39251" spans="25:25" x14ac:dyDescent="0.2">
      <c r="Y39251" s="97"/>
    </row>
    <row r="39252" spans="25:25" x14ac:dyDescent="0.2">
      <c r="Y39252" s="97"/>
    </row>
    <row r="39253" spans="25:25" x14ac:dyDescent="0.2">
      <c r="Y39253" s="97"/>
    </row>
    <row r="39254" spans="25:25" x14ac:dyDescent="0.2">
      <c r="Y39254" s="97"/>
    </row>
    <row r="39255" spans="25:25" x14ac:dyDescent="0.2">
      <c r="Y39255" s="97"/>
    </row>
    <row r="39256" spans="25:25" x14ac:dyDescent="0.2">
      <c r="Y39256" s="97"/>
    </row>
    <row r="39257" spans="25:25" x14ac:dyDescent="0.2">
      <c r="Y39257" s="97"/>
    </row>
    <row r="39258" spans="25:25" x14ac:dyDescent="0.2">
      <c r="Y39258" s="97"/>
    </row>
    <row r="39259" spans="25:25" x14ac:dyDescent="0.2">
      <c r="Y39259" s="97"/>
    </row>
    <row r="39260" spans="25:25" x14ac:dyDescent="0.2">
      <c r="Y39260" s="97"/>
    </row>
    <row r="39261" spans="25:25" x14ac:dyDescent="0.2">
      <c r="Y39261" s="97"/>
    </row>
    <row r="39262" spans="25:25" x14ac:dyDescent="0.2">
      <c r="Y39262" s="97"/>
    </row>
    <row r="39263" spans="25:25" x14ac:dyDescent="0.2">
      <c r="Y39263" s="97"/>
    </row>
    <row r="39264" spans="25:25" x14ac:dyDescent="0.2">
      <c r="Y39264" s="97"/>
    </row>
    <row r="39265" spans="25:25" x14ac:dyDescent="0.2">
      <c r="Y39265" s="97"/>
    </row>
    <row r="39266" spans="25:25" x14ac:dyDescent="0.2">
      <c r="Y39266" s="97"/>
    </row>
    <row r="39267" spans="25:25" x14ac:dyDescent="0.2">
      <c r="Y39267" s="97"/>
    </row>
    <row r="39268" spans="25:25" x14ac:dyDescent="0.2">
      <c r="Y39268" s="97"/>
    </row>
    <row r="39269" spans="25:25" x14ac:dyDescent="0.2">
      <c r="Y39269" s="97"/>
    </row>
    <row r="39270" spans="25:25" x14ac:dyDescent="0.2">
      <c r="Y39270" s="97"/>
    </row>
    <row r="39271" spans="25:25" x14ac:dyDescent="0.2">
      <c r="Y39271" s="97"/>
    </row>
    <row r="39272" spans="25:25" x14ac:dyDescent="0.2">
      <c r="Y39272" s="97"/>
    </row>
    <row r="39273" spans="25:25" x14ac:dyDescent="0.2">
      <c r="Y39273" s="97"/>
    </row>
    <row r="39274" spans="25:25" x14ac:dyDescent="0.2">
      <c r="Y39274" s="97"/>
    </row>
    <row r="39275" spans="25:25" x14ac:dyDescent="0.2">
      <c r="Y39275" s="97"/>
    </row>
    <row r="39276" spans="25:25" x14ac:dyDescent="0.2">
      <c r="Y39276" s="97"/>
    </row>
    <row r="39277" spans="25:25" x14ac:dyDescent="0.2">
      <c r="Y39277" s="97"/>
    </row>
    <row r="39278" spans="25:25" x14ac:dyDescent="0.2">
      <c r="Y39278" s="97"/>
    </row>
    <row r="39279" spans="25:25" x14ac:dyDescent="0.2">
      <c r="Y39279" s="97"/>
    </row>
    <row r="39280" spans="25:25" x14ac:dyDescent="0.2">
      <c r="Y39280" s="97"/>
    </row>
    <row r="39281" spans="25:25" x14ac:dyDescent="0.2">
      <c r="Y39281" s="97"/>
    </row>
    <row r="39282" spans="25:25" x14ac:dyDescent="0.2">
      <c r="Y39282" s="97"/>
    </row>
    <row r="39283" spans="25:25" x14ac:dyDescent="0.2">
      <c r="Y39283" s="97"/>
    </row>
    <row r="39284" spans="25:25" x14ac:dyDescent="0.2">
      <c r="Y39284" s="97"/>
    </row>
    <row r="39285" spans="25:25" x14ac:dyDescent="0.2">
      <c r="Y39285" s="97"/>
    </row>
    <row r="39286" spans="25:25" x14ac:dyDescent="0.2">
      <c r="Y39286" s="97"/>
    </row>
    <row r="39287" spans="25:25" x14ac:dyDescent="0.2">
      <c r="Y39287" s="97"/>
    </row>
    <row r="39288" spans="25:25" x14ac:dyDescent="0.2">
      <c r="Y39288" s="97"/>
    </row>
    <row r="39289" spans="25:25" x14ac:dyDescent="0.2">
      <c r="Y39289" s="97"/>
    </row>
    <row r="39290" spans="25:25" x14ac:dyDescent="0.2">
      <c r="Y39290" s="97"/>
    </row>
    <row r="39291" spans="25:25" x14ac:dyDescent="0.2">
      <c r="Y39291" s="97"/>
    </row>
    <row r="39292" spans="25:25" x14ac:dyDescent="0.2">
      <c r="Y39292" s="97"/>
    </row>
    <row r="39293" spans="25:25" x14ac:dyDescent="0.2">
      <c r="Y39293" s="97"/>
    </row>
    <row r="39294" spans="25:25" x14ac:dyDescent="0.2">
      <c r="Y39294" s="97"/>
    </row>
    <row r="39295" spans="25:25" x14ac:dyDescent="0.2">
      <c r="Y39295" s="97"/>
    </row>
    <row r="39296" spans="25:25" x14ac:dyDescent="0.2">
      <c r="Y39296" s="97"/>
    </row>
    <row r="39297" spans="25:25" x14ac:dyDescent="0.2">
      <c r="Y39297" s="97"/>
    </row>
    <row r="39298" spans="25:25" x14ac:dyDescent="0.2">
      <c r="Y39298" s="97"/>
    </row>
    <row r="39299" spans="25:25" x14ac:dyDescent="0.2">
      <c r="Y39299" s="97"/>
    </row>
    <row r="39300" spans="25:25" x14ac:dyDescent="0.2">
      <c r="Y39300" s="97"/>
    </row>
    <row r="39301" spans="25:25" x14ac:dyDescent="0.2">
      <c r="Y39301" s="97"/>
    </row>
    <row r="39302" spans="25:25" x14ac:dyDescent="0.2">
      <c r="Y39302" s="97"/>
    </row>
    <row r="39303" spans="25:25" x14ac:dyDescent="0.2">
      <c r="Y39303" s="97"/>
    </row>
    <row r="39304" spans="25:25" x14ac:dyDescent="0.2">
      <c r="Y39304" s="97"/>
    </row>
    <row r="39305" spans="25:25" x14ac:dyDescent="0.2">
      <c r="Y39305" s="97"/>
    </row>
    <row r="39306" spans="25:25" x14ac:dyDescent="0.2">
      <c r="Y39306" s="97"/>
    </row>
    <row r="39307" spans="25:25" x14ac:dyDescent="0.2">
      <c r="Y39307" s="97"/>
    </row>
    <row r="39308" spans="25:25" x14ac:dyDescent="0.2">
      <c r="Y39308" s="97"/>
    </row>
    <row r="39309" spans="25:25" x14ac:dyDescent="0.2">
      <c r="Y39309" s="97"/>
    </row>
    <row r="39310" spans="25:25" x14ac:dyDescent="0.2">
      <c r="Y39310" s="97"/>
    </row>
    <row r="39311" spans="25:25" x14ac:dyDescent="0.2">
      <c r="Y39311" s="97"/>
    </row>
    <row r="39312" spans="25:25" x14ac:dyDescent="0.2">
      <c r="Y39312" s="97"/>
    </row>
    <row r="39313" spans="25:25" x14ac:dyDescent="0.2">
      <c r="Y39313" s="97"/>
    </row>
    <row r="39314" spans="25:25" x14ac:dyDescent="0.2">
      <c r="Y39314" s="97"/>
    </row>
    <row r="39315" spans="25:25" x14ac:dyDescent="0.2">
      <c r="Y39315" s="97"/>
    </row>
    <row r="39316" spans="25:25" x14ac:dyDescent="0.2">
      <c r="Y39316" s="97"/>
    </row>
    <row r="39317" spans="25:25" x14ac:dyDescent="0.2">
      <c r="Y39317" s="97"/>
    </row>
    <row r="39318" spans="25:25" x14ac:dyDescent="0.2">
      <c r="Y39318" s="97"/>
    </row>
    <row r="39319" spans="25:25" x14ac:dyDescent="0.2">
      <c r="Y39319" s="97"/>
    </row>
    <row r="39320" spans="25:25" x14ac:dyDescent="0.2">
      <c r="Y39320" s="97"/>
    </row>
    <row r="39321" spans="25:25" x14ac:dyDescent="0.2">
      <c r="Y39321" s="97"/>
    </row>
    <row r="39322" spans="25:25" x14ac:dyDescent="0.2">
      <c r="Y39322" s="97"/>
    </row>
    <row r="39323" spans="25:25" x14ac:dyDescent="0.2">
      <c r="Y39323" s="97"/>
    </row>
    <row r="39324" spans="25:25" x14ac:dyDescent="0.2">
      <c r="Y39324" s="97"/>
    </row>
    <row r="39325" spans="25:25" x14ac:dyDescent="0.2">
      <c r="Y39325" s="97"/>
    </row>
    <row r="39326" spans="25:25" x14ac:dyDescent="0.2">
      <c r="Y39326" s="97"/>
    </row>
    <row r="39327" spans="25:25" x14ac:dyDescent="0.2">
      <c r="Y39327" s="97"/>
    </row>
    <row r="39328" spans="25:25" x14ac:dyDescent="0.2">
      <c r="Y39328" s="97"/>
    </row>
    <row r="39329" spans="25:25" x14ac:dyDescent="0.2">
      <c r="Y39329" s="97"/>
    </row>
    <row r="39330" spans="25:25" x14ac:dyDescent="0.2">
      <c r="Y39330" s="97"/>
    </row>
    <row r="39331" spans="25:25" x14ac:dyDescent="0.2">
      <c r="Y39331" s="97"/>
    </row>
    <row r="39332" spans="25:25" x14ac:dyDescent="0.2">
      <c r="Y39332" s="97"/>
    </row>
    <row r="39333" spans="25:25" x14ac:dyDescent="0.2">
      <c r="Y39333" s="97"/>
    </row>
    <row r="39334" spans="25:25" x14ac:dyDescent="0.2">
      <c r="Y39334" s="97"/>
    </row>
    <row r="39335" spans="25:25" x14ac:dyDescent="0.2">
      <c r="Y39335" s="97"/>
    </row>
    <row r="39336" spans="25:25" x14ac:dyDescent="0.2">
      <c r="Y39336" s="97"/>
    </row>
    <row r="39337" spans="25:25" x14ac:dyDescent="0.2">
      <c r="Y39337" s="97"/>
    </row>
    <row r="39338" spans="25:25" x14ac:dyDescent="0.2">
      <c r="Y39338" s="97"/>
    </row>
    <row r="39339" spans="25:25" x14ac:dyDescent="0.2">
      <c r="Y39339" s="97"/>
    </row>
    <row r="39340" spans="25:25" x14ac:dyDescent="0.2">
      <c r="Y39340" s="97"/>
    </row>
    <row r="39341" spans="25:25" x14ac:dyDescent="0.2">
      <c r="Y39341" s="97"/>
    </row>
    <row r="39342" spans="25:25" x14ac:dyDescent="0.2">
      <c r="Y39342" s="97"/>
    </row>
    <row r="39343" spans="25:25" x14ac:dyDescent="0.2">
      <c r="Y39343" s="97"/>
    </row>
    <row r="39344" spans="25:25" x14ac:dyDescent="0.2">
      <c r="Y39344" s="97"/>
    </row>
    <row r="39345" spans="25:25" x14ac:dyDescent="0.2">
      <c r="Y39345" s="97"/>
    </row>
    <row r="39346" spans="25:25" x14ac:dyDescent="0.2">
      <c r="Y39346" s="97"/>
    </row>
    <row r="39347" spans="25:25" x14ac:dyDescent="0.2">
      <c r="Y39347" s="97"/>
    </row>
    <row r="39348" spans="25:25" x14ac:dyDescent="0.2">
      <c r="Y39348" s="97"/>
    </row>
    <row r="39349" spans="25:25" x14ac:dyDescent="0.2">
      <c r="Y39349" s="97"/>
    </row>
    <row r="39350" spans="25:25" x14ac:dyDescent="0.2">
      <c r="Y39350" s="97"/>
    </row>
    <row r="39351" spans="25:25" x14ac:dyDescent="0.2">
      <c r="Y39351" s="97"/>
    </row>
    <row r="39352" spans="25:25" x14ac:dyDescent="0.2">
      <c r="Y39352" s="97"/>
    </row>
    <row r="39353" spans="25:25" x14ac:dyDescent="0.2">
      <c r="Y39353" s="97"/>
    </row>
    <row r="39354" spans="25:25" x14ac:dyDescent="0.2">
      <c r="Y39354" s="97"/>
    </row>
    <row r="39355" spans="25:25" x14ac:dyDescent="0.2">
      <c r="Y39355" s="97"/>
    </row>
    <row r="39356" spans="25:25" x14ac:dyDescent="0.2">
      <c r="Y39356" s="97"/>
    </row>
    <row r="39357" spans="25:25" x14ac:dyDescent="0.2">
      <c r="Y39357" s="97"/>
    </row>
    <row r="39358" spans="25:25" x14ac:dyDescent="0.2">
      <c r="Y39358" s="97"/>
    </row>
    <row r="39359" spans="25:25" x14ac:dyDescent="0.2">
      <c r="Y39359" s="97"/>
    </row>
    <row r="39360" spans="25:25" x14ac:dyDescent="0.2">
      <c r="Y39360" s="97"/>
    </row>
    <row r="39361" spans="25:25" x14ac:dyDescent="0.2">
      <c r="Y39361" s="97"/>
    </row>
    <row r="39362" spans="25:25" x14ac:dyDescent="0.2">
      <c r="Y39362" s="97"/>
    </row>
    <row r="39363" spans="25:25" x14ac:dyDescent="0.2">
      <c r="Y39363" s="97"/>
    </row>
    <row r="39364" spans="25:25" x14ac:dyDescent="0.2">
      <c r="Y39364" s="97"/>
    </row>
    <row r="39365" spans="25:25" x14ac:dyDescent="0.2">
      <c r="Y39365" s="97"/>
    </row>
    <row r="39366" spans="25:25" x14ac:dyDescent="0.2">
      <c r="Y39366" s="97"/>
    </row>
    <row r="39367" spans="25:25" x14ac:dyDescent="0.2">
      <c r="Y39367" s="97"/>
    </row>
    <row r="39368" spans="25:25" x14ac:dyDescent="0.2">
      <c r="Y39368" s="97"/>
    </row>
    <row r="39369" spans="25:25" x14ac:dyDescent="0.2">
      <c r="Y39369" s="97"/>
    </row>
    <row r="39370" spans="25:25" x14ac:dyDescent="0.2">
      <c r="Y39370" s="97"/>
    </row>
    <row r="39371" spans="25:25" x14ac:dyDescent="0.2">
      <c r="Y39371" s="97"/>
    </row>
    <row r="39372" spans="25:25" x14ac:dyDescent="0.2">
      <c r="Y39372" s="97"/>
    </row>
    <row r="39373" spans="25:25" x14ac:dyDescent="0.2">
      <c r="Y39373" s="97"/>
    </row>
    <row r="39374" spans="25:25" x14ac:dyDescent="0.2">
      <c r="Y39374" s="97"/>
    </row>
    <row r="39375" spans="25:25" x14ac:dyDescent="0.2">
      <c r="Y39375" s="97"/>
    </row>
    <row r="39376" spans="25:25" x14ac:dyDescent="0.2">
      <c r="Y39376" s="97"/>
    </row>
    <row r="39377" spans="25:25" x14ac:dyDescent="0.2">
      <c r="Y39377" s="97"/>
    </row>
    <row r="39378" spans="25:25" x14ac:dyDescent="0.2">
      <c r="Y39378" s="97"/>
    </row>
    <row r="39379" spans="25:25" x14ac:dyDescent="0.2">
      <c r="Y39379" s="97"/>
    </row>
    <row r="39380" spans="25:25" x14ac:dyDescent="0.2">
      <c r="Y39380" s="97"/>
    </row>
    <row r="39381" spans="25:25" x14ac:dyDescent="0.2">
      <c r="Y39381" s="97"/>
    </row>
    <row r="39382" spans="25:25" x14ac:dyDescent="0.2">
      <c r="Y39382" s="97"/>
    </row>
    <row r="39383" spans="25:25" x14ac:dyDescent="0.2">
      <c r="Y39383" s="97"/>
    </row>
    <row r="39384" spans="25:25" x14ac:dyDescent="0.2">
      <c r="Y39384" s="97"/>
    </row>
    <row r="39385" spans="25:25" x14ac:dyDescent="0.2">
      <c r="Y39385" s="97"/>
    </row>
    <row r="39386" spans="25:25" x14ac:dyDescent="0.2">
      <c r="Y39386" s="97"/>
    </row>
    <row r="39387" spans="25:25" x14ac:dyDescent="0.2">
      <c r="Y39387" s="97"/>
    </row>
    <row r="39388" spans="25:25" x14ac:dyDescent="0.2">
      <c r="Y39388" s="97"/>
    </row>
    <row r="39389" spans="25:25" x14ac:dyDescent="0.2">
      <c r="Y39389" s="97"/>
    </row>
    <row r="39390" spans="25:25" x14ac:dyDescent="0.2">
      <c r="Y39390" s="97"/>
    </row>
    <row r="39391" spans="25:25" x14ac:dyDescent="0.2">
      <c r="Y39391" s="97"/>
    </row>
    <row r="39392" spans="25:25" x14ac:dyDescent="0.2">
      <c r="Y39392" s="97"/>
    </row>
    <row r="39393" spans="25:25" x14ac:dyDescent="0.2">
      <c r="Y39393" s="97"/>
    </row>
    <row r="39394" spans="25:25" x14ac:dyDescent="0.2">
      <c r="Y39394" s="97"/>
    </row>
    <row r="39395" spans="25:25" x14ac:dyDescent="0.2">
      <c r="Y39395" s="97"/>
    </row>
    <row r="39396" spans="25:25" x14ac:dyDescent="0.2">
      <c r="Y39396" s="97"/>
    </row>
    <row r="39397" spans="25:25" x14ac:dyDescent="0.2">
      <c r="Y39397" s="97"/>
    </row>
    <row r="39398" spans="25:25" x14ac:dyDescent="0.2">
      <c r="Y39398" s="97"/>
    </row>
    <row r="39399" spans="25:25" x14ac:dyDescent="0.2">
      <c r="Y39399" s="97"/>
    </row>
    <row r="39400" spans="25:25" x14ac:dyDescent="0.2">
      <c r="Y39400" s="97"/>
    </row>
    <row r="39401" spans="25:25" x14ac:dyDescent="0.2">
      <c r="Y39401" s="97"/>
    </row>
    <row r="39402" spans="25:25" x14ac:dyDescent="0.2">
      <c r="Y39402" s="97"/>
    </row>
    <row r="39403" spans="25:25" x14ac:dyDescent="0.2">
      <c r="Y39403" s="97"/>
    </row>
    <row r="39404" spans="25:25" x14ac:dyDescent="0.2">
      <c r="Y39404" s="97"/>
    </row>
    <row r="39405" spans="25:25" x14ac:dyDescent="0.2">
      <c r="Y39405" s="97"/>
    </row>
    <row r="39406" spans="25:25" x14ac:dyDescent="0.2">
      <c r="Y39406" s="97"/>
    </row>
    <row r="39407" spans="25:25" x14ac:dyDescent="0.2">
      <c r="Y39407" s="97"/>
    </row>
    <row r="39408" spans="25:25" x14ac:dyDescent="0.2">
      <c r="Y39408" s="97"/>
    </row>
    <row r="39409" spans="25:25" x14ac:dyDescent="0.2">
      <c r="Y39409" s="97"/>
    </row>
    <row r="39410" spans="25:25" x14ac:dyDescent="0.2">
      <c r="Y39410" s="97"/>
    </row>
    <row r="39411" spans="25:25" x14ac:dyDescent="0.2">
      <c r="Y39411" s="97"/>
    </row>
    <row r="39412" spans="25:25" x14ac:dyDescent="0.2">
      <c r="Y39412" s="97"/>
    </row>
    <row r="39413" spans="25:25" x14ac:dyDescent="0.2">
      <c r="Y39413" s="97"/>
    </row>
    <row r="39414" spans="25:25" x14ac:dyDescent="0.2">
      <c r="Y39414" s="97"/>
    </row>
    <row r="39415" spans="25:25" x14ac:dyDescent="0.2">
      <c r="Y39415" s="97"/>
    </row>
    <row r="39416" spans="25:25" x14ac:dyDescent="0.2">
      <c r="Y39416" s="97"/>
    </row>
    <row r="39417" spans="25:25" x14ac:dyDescent="0.2">
      <c r="Y39417" s="97"/>
    </row>
    <row r="39418" spans="25:25" x14ac:dyDescent="0.2">
      <c r="Y39418" s="97"/>
    </row>
    <row r="39419" spans="25:25" x14ac:dyDescent="0.2">
      <c r="Y39419" s="97"/>
    </row>
    <row r="39420" spans="25:25" x14ac:dyDescent="0.2">
      <c r="Y39420" s="97"/>
    </row>
    <row r="39421" spans="25:25" x14ac:dyDescent="0.2">
      <c r="Y39421" s="97"/>
    </row>
    <row r="39422" spans="25:25" x14ac:dyDescent="0.2">
      <c r="Y39422" s="97"/>
    </row>
    <row r="39423" spans="25:25" x14ac:dyDescent="0.2">
      <c r="Y39423" s="97"/>
    </row>
    <row r="39424" spans="25:25" x14ac:dyDescent="0.2">
      <c r="Y39424" s="97"/>
    </row>
    <row r="39425" spans="25:25" x14ac:dyDescent="0.2">
      <c r="Y39425" s="97"/>
    </row>
    <row r="39426" spans="25:25" x14ac:dyDescent="0.2">
      <c r="Y39426" s="97"/>
    </row>
    <row r="39427" spans="25:25" x14ac:dyDescent="0.2">
      <c r="Y39427" s="97"/>
    </row>
    <row r="39428" spans="25:25" x14ac:dyDescent="0.2">
      <c r="Y39428" s="97"/>
    </row>
    <row r="39429" spans="25:25" x14ac:dyDescent="0.2">
      <c r="Y39429" s="97"/>
    </row>
    <row r="39430" spans="25:25" x14ac:dyDescent="0.2">
      <c r="Y39430" s="97"/>
    </row>
    <row r="39431" spans="25:25" x14ac:dyDescent="0.2">
      <c r="Y39431" s="97"/>
    </row>
    <row r="39432" spans="25:25" x14ac:dyDescent="0.2">
      <c r="Y39432" s="97"/>
    </row>
    <row r="39433" spans="25:25" x14ac:dyDescent="0.2">
      <c r="Y39433" s="97"/>
    </row>
    <row r="39434" spans="25:25" x14ac:dyDescent="0.2">
      <c r="Y39434" s="97"/>
    </row>
    <row r="39435" spans="25:25" x14ac:dyDescent="0.2">
      <c r="Y39435" s="97"/>
    </row>
    <row r="39436" spans="25:25" x14ac:dyDescent="0.2">
      <c r="Y39436" s="97"/>
    </row>
    <row r="39437" spans="25:25" x14ac:dyDescent="0.2">
      <c r="Y39437" s="97"/>
    </row>
    <row r="39438" spans="25:25" x14ac:dyDescent="0.2">
      <c r="Y39438" s="97"/>
    </row>
    <row r="39439" spans="25:25" x14ac:dyDescent="0.2">
      <c r="Y39439" s="97"/>
    </row>
    <row r="39440" spans="25:25" x14ac:dyDescent="0.2">
      <c r="Y39440" s="97"/>
    </row>
    <row r="39441" spans="25:25" x14ac:dyDescent="0.2">
      <c r="Y39441" s="97"/>
    </row>
    <row r="39442" spans="25:25" x14ac:dyDescent="0.2">
      <c r="Y39442" s="97"/>
    </row>
    <row r="39443" spans="25:25" x14ac:dyDescent="0.2">
      <c r="Y39443" s="97"/>
    </row>
    <row r="39444" spans="25:25" x14ac:dyDescent="0.2">
      <c r="Y39444" s="97"/>
    </row>
    <row r="39445" spans="25:25" x14ac:dyDescent="0.2">
      <c r="Y39445" s="97"/>
    </row>
    <row r="39446" spans="25:25" x14ac:dyDescent="0.2">
      <c r="Y39446" s="97"/>
    </row>
    <row r="39447" spans="25:25" x14ac:dyDescent="0.2">
      <c r="Y39447" s="97"/>
    </row>
    <row r="39448" spans="25:25" x14ac:dyDescent="0.2">
      <c r="Y39448" s="97"/>
    </row>
    <row r="39449" spans="25:25" x14ac:dyDescent="0.2">
      <c r="Y39449" s="97"/>
    </row>
    <row r="39450" spans="25:25" x14ac:dyDescent="0.2">
      <c r="Y39450" s="97"/>
    </row>
    <row r="39451" spans="25:25" x14ac:dyDescent="0.2">
      <c r="Y39451" s="97"/>
    </row>
    <row r="39452" spans="25:25" x14ac:dyDescent="0.2">
      <c r="Y39452" s="97"/>
    </row>
    <row r="39453" spans="25:25" x14ac:dyDescent="0.2">
      <c r="Y39453" s="97"/>
    </row>
    <row r="39454" spans="25:25" x14ac:dyDescent="0.2">
      <c r="Y39454" s="97"/>
    </row>
    <row r="39455" spans="25:25" x14ac:dyDescent="0.2">
      <c r="Y39455" s="97"/>
    </row>
    <row r="39456" spans="25:25" x14ac:dyDescent="0.2">
      <c r="Y39456" s="97"/>
    </row>
    <row r="39457" spans="25:25" x14ac:dyDescent="0.2">
      <c r="Y39457" s="97"/>
    </row>
    <row r="39458" spans="25:25" x14ac:dyDescent="0.2">
      <c r="Y39458" s="97"/>
    </row>
    <row r="39459" spans="25:25" x14ac:dyDescent="0.2">
      <c r="Y39459" s="97"/>
    </row>
    <row r="39460" spans="25:25" x14ac:dyDescent="0.2">
      <c r="Y39460" s="97"/>
    </row>
    <row r="39461" spans="25:25" x14ac:dyDescent="0.2">
      <c r="Y39461" s="97"/>
    </row>
    <row r="39462" spans="25:25" x14ac:dyDescent="0.2">
      <c r="Y39462" s="97"/>
    </row>
    <row r="39463" spans="25:25" x14ac:dyDescent="0.2">
      <c r="Y39463" s="97"/>
    </row>
    <row r="39464" spans="25:25" x14ac:dyDescent="0.2">
      <c r="Y39464" s="97"/>
    </row>
    <row r="39465" spans="25:25" x14ac:dyDescent="0.2">
      <c r="Y39465" s="97"/>
    </row>
    <row r="39466" spans="25:25" x14ac:dyDescent="0.2">
      <c r="Y39466" s="97"/>
    </row>
    <row r="39467" spans="25:25" x14ac:dyDescent="0.2">
      <c r="Y39467" s="97"/>
    </row>
    <row r="39468" spans="25:25" x14ac:dyDescent="0.2">
      <c r="Y39468" s="97"/>
    </row>
    <row r="39469" spans="25:25" x14ac:dyDescent="0.2">
      <c r="Y39469" s="97"/>
    </row>
    <row r="39470" spans="25:25" x14ac:dyDescent="0.2">
      <c r="Y39470" s="97"/>
    </row>
    <row r="39471" spans="25:25" x14ac:dyDescent="0.2">
      <c r="Y39471" s="97"/>
    </row>
    <row r="39472" spans="25:25" x14ac:dyDescent="0.2">
      <c r="Y39472" s="97"/>
    </row>
    <row r="39473" spans="25:25" x14ac:dyDescent="0.2">
      <c r="Y39473" s="97"/>
    </row>
    <row r="39474" spans="25:25" x14ac:dyDescent="0.2">
      <c r="Y39474" s="97"/>
    </row>
    <row r="39475" spans="25:25" x14ac:dyDescent="0.2">
      <c r="Y39475" s="97"/>
    </row>
    <row r="39476" spans="25:25" x14ac:dyDescent="0.2">
      <c r="Y39476" s="97"/>
    </row>
    <row r="39477" spans="25:25" x14ac:dyDescent="0.2">
      <c r="Y39477" s="97"/>
    </row>
    <row r="39478" spans="25:25" x14ac:dyDescent="0.2">
      <c r="Y39478" s="97"/>
    </row>
    <row r="39479" spans="25:25" x14ac:dyDescent="0.2">
      <c r="Y39479" s="97"/>
    </row>
    <row r="39480" spans="25:25" x14ac:dyDescent="0.2">
      <c r="Y39480" s="97"/>
    </row>
    <row r="39481" spans="25:25" x14ac:dyDescent="0.2">
      <c r="Y39481" s="97"/>
    </row>
    <row r="39482" spans="25:25" x14ac:dyDescent="0.2">
      <c r="Y39482" s="97"/>
    </row>
    <row r="39483" spans="25:25" x14ac:dyDescent="0.2">
      <c r="Y39483" s="97"/>
    </row>
    <row r="39484" spans="25:25" x14ac:dyDescent="0.2">
      <c r="Y39484" s="97"/>
    </row>
    <row r="39485" spans="25:25" x14ac:dyDescent="0.2">
      <c r="Y39485" s="97"/>
    </row>
    <row r="39486" spans="25:25" x14ac:dyDescent="0.2">
      <c r="Y39486" s="97"/>
    </row>
    <row r="39487" spans="25:25" x14ac:dyDescent="0.2">
      <c r="Y39487" s="97"/>
    </row>
    <row r="39488" spans="25:25" x14ac:dyDescent="0.2">
      <c r="Y39488" s="97"/>
    </row>
    <row r="39489" spans="25:25" x14ac:dyDescent="0.2">
      <c r="Y39489" s="97"/>
    </row>
    <row r="39490" spans="25:25" x14ac:dyDescent="0.2">
      <c r="Y39490" s="97"/>
    </row>
    <row r="39491" spans="25:25" x14ac:dyDescent="0.2">
      <c r="Y39491" s="97"/>
    </row>
    <row r="39492" spans="25:25" x14ac:dyDescent="0.2">
      <c r="Y39492" s="97"/>
    </row>
    <row r="39493" spans="25:25" x14ac:dyDescent="0.2">
      <c r="Y39493" s="97"/>
    </row>
    <row r="39494" spans="25:25" x14ac:dyDescent="0.2">
      <c r="Y39494" s="97"/>
    </row>
    <row r="39495" spans="25:25" x14ac:dyDescent="0.2">
      <c r="Y39495" s="97"/>
    </row>
    <row r="39496" spans="25:25" x14ac:dyDescent="0.2">
      <c r="Y39496" s="97"/>
    </row>
    <row r="39497" spans="25:25" x14ac:dyDescent="0.2">
      <c r="Y39497" s="97"/>
    </row>
    <row r="39498" spans="25:25" x14ac:dyDescent="0.2">
      <c r="Y39498" s="97"/>
    </row>
    <row r="39499" spans="25:25" x14ac:dyDescent="0.2">
      <c r="Y39499" s="97"/>
    </row>
    <row r="39500" spans="25:25" x14ac:dyDescent="0.2">
      <c r="Y39500" s="97"/>
    </row>
    <row r="39501" spans="25:25" x14ac:dyDescent="0.2">
      <c r="Y39501" s="97"/>
    </row>
    <row r="39502" spans="25:25" x14ac:dyDescent="0.2">
      <c r="Y39502" s="97"/>
    </row>
    <row r="39503" spans="25:25" x14ac:dyDescent="0.2">
      <c r="Y39503" s="97"/>
    </row>
    <row r="39504" spans="25:25" x14ac:dyDescent="0.2">
      <c r="Y39504" s="97"/>
    </row>
    <row r="39505" spans="25:25" x14ac:dyDescent="0.2">
      <c r="Y39505" s="97"/>
    </row>
    <row r="39506" spans="25:25" x14ac:dyDescent="0.2">
      <c r="Y39506" s="97"/>
    </row>
    <row r="39507" spans="25:25" x14ac:dyDescent="0.2">
      <c r="Y39507" s="97"/>
    </row>
    <row r="39508" spans="25:25" x14ac:dyDescent="0.2">
      <c r="Y39508" s="97"/>
    </row>
    <row r="39509" spans="25:25" x14ac:dyDescent="0.2">
      <c r="Y39509" s="97"/>
    </row>
    <row r="39510" spans="25:25" x14ac:dyDescent="0.2">
      <c r="Y39510" s="97"/>
    </row>
    <row r="39511" spans="25:25" x14ac:dyDescent="0.2">
      <c r="Y39511" s="97"/>
    </row>
    <row r="39512" spans="25:25" x14ac:dyDescent="0.2">
      <c r="Y39512" s="97"/>
    </row>
    <row r="39513" spans="25:25" x14ac:dyDescent="0.2">
      <c r="Y39513" s="97"/>
    </row>
    <row r="39514" spans="25:25" x14ac:dyDescent="0.2">
      <c r="Y39514" s="97"/>
    </row>
    <row r="39515" spans="25:25" x14ac:dyDescent="0.2">
      <c r="Y39515" s="97"/>
    </row>
    <row r="39516" spans="25:25" x14ac:dyDescent="0.2">
      <c r="Y39516" s="97"/>
    </row>
    <row r="39517" spans="25:25" x14ac:dyDescent="0.2">
      <c r="Y39517" s="97"/>
    </row>
    <row r="39518" spans="25:25" x14ac:dyDescent="0.2">
      <c r="Y39518" s="97"/>
    </row>
    <row r="39519" spans="25:25" x14ac:dyDescent="0.2">
      <c r="Y39519" s="97"/>
    </row>
    <row r="39520" spans="25:25" x14ac:dyDescent="0.2">
      <c r="Y39520" s="97"/>
    </row>
    <row r="39521" spans="25:25" x14ac:dyDescent="0.2">
      <c r="Y39521" s="97"/>
    </row>
    <row r="39522" spans="25:25" x14ac:dyDescent="0.2">
      <c r="Y39522" s="97"/>
    </row>
    <row r="39523" spans="25:25" x14ac:dyDescent="0.2">
      <c r="Y39523" s="97"/>
    </row>
    <row r="39524" spans="25:25" x14ac:dyDescent="0.2">
      <c r="Y39524" s="97"/>
    </row>
    <row r="39525" spans="25:25" x14ac:dyDescent="0.2">
      <c r="Y39525" s="97"/>
    </row>
    <row r="39526" spans="25:25" x14ac:dyDescent="0.2">
      <c r="Y39526" s="97"/>
    </row>
    <row r="39527" spans="25:25" x14ac:dyDescent="0.2">
      <c r="Y39527" s="97"/>
    </row>
    <row r="39528" spans="25:25" x14ac:dyDescent="0.2">
      <c r="Y39528" s="97"/>
    </row>
    <row r="39529" spans="25:25" x14ac:dyDescent="0.2">
      <c r="Y39529" s="97"/>
    </row>
    <row r="39530" spans="25:25" x14ac:dyDescent="0.2">
      <c r="Y39530" s="97"/>
    </row>
    <row r="39531" spans="25:25" x14ac:dyDescent="0.2">
      <c r="Y39531" s="97"/>
    </row>
    <row r="39532" spans="25:25" x14ac:dyDescent="0.2">
      <c r="Y39532" s="97"/>
    </row>
    <row r="39533" spans="25:25" x14ac:dyDescent="0.2">
      <c r="Y39533" s="97"/>
    </row>
    <row r="39534" spans="25:25" x14ac:dyDescent="0.2">
      <c r="Y39534" s="97"/>
    </row>
    <row r="39535" spans="25:25" x14ac:dyDescent="0.2">
      <c r="Y39535" s="97"/>
    </row>
    <row r="39536" spans="25:25" x14ac:dyDescent="0.2">
      <c r="Y39536" s="97"/>
    </row>
    <row r="39537" spans="25:25" x14ac:dyDescent="0.2">
      <c r="Y39537" s="97"/>
    </row>
    <row r="39538" spans="25:25" x14ac:dyDescent="0.2">
      <c r="Y39538" s="97"/>
    </row>
    <row r="39539" spans="25:25" x14ac:dyDescent="0.2">
      <c r="Y39539" s="97"/>
    </row>
    <row r="39540" spans="25:25" x14ac:dyDescent="0.2">
      <c r="Y39540" s="97"/>
    </row>
    <row r="39541" spans="25:25" x14ac:dyDescent="0.2">
      <c r="Y39541" s="97"/>
    </row>
    <row r="39542" spans="25:25" x14ac:dyDescent="0.2">
      <c r="Y39542" s="97"/>
    </row>
    <row r="39543" spans="25:25" x14ac:dyDescent="0.2">
      <c r="Y39543" s="97"/>
    </row>
    <row r="39544" spans="25:25" x14ac:dyDescent="0.2">
      <c r="Y39544" s="97"/>
    </row>
    <row r="39545" spans="25:25" x14ac:dyDescent="0.2">
      <c r="Y39545" s="97"/>
    </row>
    <row r="39546" spans="25:25" x14ac:dyDescent="0.2">
      <c r="Y39546" s="97"/>
    </row>
    <row r="39547" spans="25:25" x14ac:dyDescent="0.2">
      <c r="Y39547" s="97"/>
    </row>
    <row r="39548" spans="25:25" x14ac:dyDescent="0.2">
      <c r="Y39548" s="97"/>
    </row>
    <row r="39549" spans="25:25" x14ac:dyDescent="0.2">
      <c r="Y39549" s="97"/>
    </row>
    <row r="39550" spans="25:25" x14ac:dyDescent="0.2">
      <c r="Y39550" s="97"/>
    </row>
    <row r="39551" spans="25:25" x14ac:dyDescent="0.2">
      <c r="Y39551" s="97"/>
    </row>
    <row r="39552" spans="25:25" x14ac:dyDescent="0.2">
      <c r="Y39552" s="97"/>
    </row>
    <row r="39553" spans="25:25" x14ac:dyDescent="0.2">
      <c r="Y39553" s="97"/>
    </row>
    <row r="39554" spans="25:25" x14ac:dyDescent="0.2">
      <c r="Y39554" s="97"/>
    </row>
    <row r="39555" spans="25:25" x14ac:dyDescent="0.2">
      <c r="Y39555" s="97"/>
    </row>
    <row r="39556" spans="25:25" x14ac:dyDescent="0.2">
      <c r="Y39556" s="97"/>
    </row>
    <row r="39557" spans="25:25" x14ac:dyDescent="0.2">
      <c r="Y39557" s="97"/>
    </row>
    <row r="39558" spans="25:25" x14ac:dyDescent="0.2">
      <c r="Y39558" s="97"/>
    </row>
    <row r="39559" spans="25:25" x14ac:dyDescent="0.2">
      <c r="Y39559" s="97"/>
    </row>
    <row r="39560" spans="25:25" x14ac:dyDescent="0.2">
      <c r="Y39560" s="97"/>
    </row>
    <row r="39561" spans="25:25" x14ac:dyDescent="0.2">
      <c r="Y39561" s="97"/>
    </row>
    <row r="39562" spans="25:25" x14ac:dyDescent="0.2">
      <c r="Y39562" s="97"/>
    </row>
    <row r="39563" spans="25:25" x14ac:dyDescent="0.2">
      <c r="Y39563" s="97"/>
    </row>
    <row r="39564" spans="25:25" x14ac:dyDescent="0.2">
      <c r="Y39564" s="97"/>
    </row>
    <row r="39565" spans="25:25" x14ac:dyDescent="0.2">
      <c r="Y39565" s="97"/>
    </row>
    <row r="39566" spans="25:25" x14ac:dyDescent="0.2">
      <c r="Y39566" s="97"/>
    </row>
    <row r="39567" spans="25:25" x14ac:dyDescent="0.2">
      <c r="Y39567" s="97"/>
    </row>
    <row r="39568" spans="25:25" x14ac:dyDescent="0.2">
      <c r="Y39568" s="97"/>
    </row>
    <row r="39569" spans="25:25" x14ac:dyDescent="0.2">
      <c r="Y39569" s="97"/>
    </row>
    <row r="39570" spans="25:25" x14ac:dyDescent="0.2">
      <c r="Y39570" s="97"/>
    </row>
    <row r="39571" spans="25:25" x14ac:dyDescent="0.2">
      <c r="Y39571" s="97"/>
    </row>
    <row r="39572" spans="25:25" x14ac:dyDescent="0.2">
      <c r="Y39572" s="97"/>
    </row>
    <row r="39573" spans="25:25" x14ac:dyDescent="0.2">
      <c r="Y39573" s="97"/>
    </row>
    <row r="39574" spans="25:25" x14ac:dyDescent="0.2">
      <c r="Y39574" s="97"/>
    </row>
    <row r="39575" spans="25:25" x14ac:dyDescent="0.2">
      <c r="Y39575" s="97"/>
    </row>
    <row r="39576" spans="25:25" x14ac:dyDescent="0.2">
      <c r="Y39576" s="97"/>
    </row>
    <row r="39577" spans="25:25" x14ac:dyDescent="0.2">
      <c r="Y39577" s="97"/>
    </row>
    <row r="39578" spans="25:25" x14ac:dyDescent="0.2">
      <c r="Y39578" s="97"/>
    </row>
    <row r="39579" spans="25:25" x14ac:dyDescent="0.2">
      <c r="Y39579" s="97"/>
    </row>
    <row r="39580" spans="25:25" x14ac:dyDescent="0.2">
      <c r="Y39580" s="97"/>
    </row>
    <row r="39581" spans="25:25" x14ac:dyDescent="0.2">
      <c r="Y39581" s="97"/>
    </row>
    <row r="39582" spans="25:25" x14ac:dyDescent="0.2">
      <c r="Y39582" s="97"/>
    </row>
    <row r="39583" spans="25:25" x14ac:dyDescent="0.2">
      <c r="Y39583" s="97"/>
    </row>
    <row r="39584" spans="25:25" x14ac:dyDescent="0.2">
      <c r="Y39584" s="97"/>
    </row>
    <row r="39585" spans="25:25" x14ac:dyDescent="0.2">
      <c r="Y39585" s="97"/>
    </row>
    <row r="39586" spans="25:25" x14ac:dyDescent="0.2">
      <c r="Y39586" s="97"/>
    </row>
    <row r="39587" spans="25:25" x14ac:dyDescent="0.2">
      <c r="Y39587" s="97"/>
    </row>
    <row r="39588" spans="25:25" x14ac:dyDescent="0.2">
      <c r="Y39588" s="97"/>
    </row>
    <row r="39589" spans="25:25" x14ac:dyDescent="0.2">
      <c r="Y39589" s="97"/>
    </row>
    <row r="39590" spans="25:25" x14ac:dyDescent="0.2">
      <c r="Y39590" s="97"/>
    </row>
    <row r="39591" spans="25:25" x14ac:dyDescent="0.2">
      <c r="Y39591" s="97"/>
    </row>
    <row r="39592" spans="25:25" x14ac:dyDescent="0.2">
      <c r="Y39592" s="97"/>
    </row>
    <row r="39593" spans="25:25" x14ac:dyDescent="0.2">
      <c r="Y39593" s="97"/>
    </row>
    <row r="39594" spans="25:25" x14ac:dyDescent="0.2">
      <c r="Y39594" s="97"/>
    </row>
    <row r="39595" spans="25:25" x14ac:dyDescent="0.2">
      <c r="Y39595" s="97"/>
    </row>
    <row r="39596" spans="25:25" x14ac:dyDescent="0.2">
      <c r="Y39596" s="97"/>
    </row>
    <row r="39597" spans="25:25" x14ac:dyDescent="0.2">
      <c r="Y39597" s="97"/>
    </row>
    <row r="39598" spans="25:25" x14ac:dyDescent="0.2">
      <c r="Y39598" s="97"/>
    </row>
    <row r="39599" spans="25:25" x14ac:dyDescent="0.2">
      <c r="Y39599" s="97"/>
    </row>
    <row r="39600" spans="25:25" x14ac:dyDescent="0.2">
      <c r="Y39600" s="97"/>
    </row>
    <row r="39601" spans="25:25" x14ac:dyDescent="0.2">
      <c r="Y39601" s="97"/>
    </row>
    <row r="39602" spans="25:25" x14ac:dyDescent="0.2">
      <c r="Y39602" s="97"/>
    </row>
    <row r="39603" spans="25:25" x14ac:dyDescent="0.2">
      <c r="Y39603" s="97"/>
    </row>
    <row r="39604" spans="25:25" x14ac:dyDescent="0.2">
      <c r="Y39604" s="97"/>
    </row>
    <row r="39605" spans="25:25" x14ac:dyDescent="0.2">
      <c r="Y39605" s="97"/>
    </row>
    <row r="39606" spans="25:25" x14ac:dyDescent="0.2">
      <c r="Y39606" s="97"/>
    </row>
    <row r="39607" spans="25:25" x14ac:dyDescent="0.2">
      <c r="Y39607" s="97"/>
    </row>
    <row r="39608" spans="25:25" x14ac:dyDescent="0.2">
      <c r="Y39608" s="97"/>
    </row>
    <row r="39609" spans="25:25" x14ac:dyDescent="0.2">
      <c r="Y39609" s="97"/>
    </row>
    <row r="39610" spans="25:25" x14ac:dyDescent="0.2">
      <c r="Y39610" s="97"/>
    </row>
    <row r="39611" spans="25:25" x14ac:dyDescent="0.2">
      <c r="Y39611" s="97"/>
    </row>
    <row r="39612" spans="25:25" x14ac:dyDescent="0.2">
      <c r="Y39612" s="97"/>
    </row>
    <row r="39613" spans="25:25" x14ac:dyDescent="0.2">
      <c r="Y39613" s="97"/>
    </row>
    <row r="39614" spans="25:25" x14ac:dyDescent="0.2">
      <c r="Y39614" s="97"/>
    </row>
    <row r="39615" spans="25:25" x14ac:dyDescent="0.2">
      <c r="Y39615" s="97"/>
    </row>
    <row r="39616" spans="25:25" x14ac:dyDescent="0.2">
      <c r="Y39616" s="97"/>
    </row>
    <row r="39617" spans="25:25" x14ac:dyDescent="0.2">
      <c r="Y39617" s="97"/>
    </row>
    <row r="39618" spans="25:25" x14ac:dyDescent="0.2">
      <c r="Y39618" s="97"/>
    </row>
    <row r="39619" spans="25:25" x14ac:dyDescent="0.2">
      <c r="Y39619" s="97"/>
    </row>
    <row r="39620" spans="25:25" x14ac:dyDescent="0.2">
      <c r="Y39620" s="97"/>
    </row>
    <row r="39621" spans="25:25" x14ac:dyDescent="0.2">
      <c r="Y39621" s="97"/>
    </row>
    <row r="39622" spans="25:25" x14ac:dyDescent="0.2">
      <c r="Y39622" s="97"/>
    </row>
    <row r="39623" spans="25:25" x14ac:dyDescent="0.2">
      <c r="Y39623" s="97"/>
    </row>
    <row r="39624" spans="25:25" x14ac:dyDescent="0.2">
      <c r="Y39624" s="97"/>
    </row>
    <row r="39625" spans="25:25" x14ac:dyDescent="0.2">
      <c r="Y39625" s="97"/>
    </row>
    <row r="39626" spans="25:25" x14ac:dyDescent="0.2">
      <c r="Y39626" s="97"/>
    </row>
    <row r="39627" spans="25:25" x14ac:dyDescent="0.2">
      <c r="Y39627" s="97"/>
    </row>
    <row r="39628" spans="25:25" x14ac:dyDescent="0.2">
      <c r="Y39628" s="97"/>
    </row>
    <row r="39629" spans="25:25" x14ac:dyDescent="0.2">
      <c r="Y39629" s="97"/>
    </row>
    <row r="39630" spans="25:25" x14ac:dyDescent="0.2">
      <c r="Y39630" s="97"/>
    </row>
    <row r="39631" spans="25:25" x14ac:dyDescent="0.2">
      <c r="Y39631" s="97"/>
    </row>
    <row r="39632" spans="25:25" x14ac:dyDescent="0.2">
      <c r="Y39632" s="97"/>
    </row>
    <row r="39633" spans="25:25" x14ac:dyDescent="0.2">
      <c r="Y39633" s="97"/>
    </row>
    <row r="39634" spans="25:25" x14ac:dyDescent="0.2">
      <c r="Y39634" s="97"/>
    </row>
    <row r="39635" spans="25:25" x14ac:dyDescent="0.2">
      <c r="Y39635" s="97"/>
    </row>
    <row r="39636" spans="25:25" x14ac:dyDescent="0.2">
      <c r="Y39636" s="97"/>
    </row>
    <row r="39637" spans="25:25" x14ac:dyDescent="0.2">
      <c r="Y39637" s="97"/>
    </row>
    <row r="39638" spans="25:25" x14ac:dyDescent="0.2">
      <c r="Y39638" s="97"/>
    </row>
    <row r="39639" spans="25:25" x14ac:dyDescent="0.2">
      <c r="Y39639" s="97"/>
    </row>
    <row r="39640" spans="25:25" x14ac:dyDescent="0.2">
      <c r="Y39640" s="97"/>
    </row>
    <row r="39641" spans="25:25" x14ac:dyDescent="0.2">
      <c r="Y39641" s="97"/>
    </row>
    <row r="39642" spans="25:25" x14ac:dyDescent="0.2">
      <c r="Y39642" s="97"/>
    </row>
    <row r="39643" spans="25:25" x14ac:dyDescent="0.2">
      <c r="Y39643" s="97"/>
    </row>
    <row r="39644" spans="25:25" x14ac:dyDescent="0.2">
      <c r="Y39644" s="97"/>
    </row>
    <row r="39645" spans="25:25" x14ac:dyDescent="0.2">
      <c r="Y39645" s="97"/>
    </row>
    <row r="39646" spans="25:25" x14ac:dyDescent="0.2">
      <c r="Y39646" s="97"/>
    </row>
    <row r="39647" spans="25:25" x14ac:dyDescent="0.2">
      <c r="Y39647" s="97"/>
    </row>
    <row r="39648" spans="25:25" x14ac:dyDescent="0.2">
      <c r="Y39648" s="97"/>
    </row>
    <row r="39649" spans="25:25" x14ac:dyDescent="0.2">
      <c r="Y39649" s="97"/>
    </row>
    <row r="39650" spans="25:25" x14ac:dyDescent="0.2">
      <c r="Y39650" s="97"/>
    </row>
    <row r="39651" spans="25:25" x14ac:dyDescent="0.2">
      <c r="Y39651" s="97"/>
    </row>
    <row r="39652" spans="25:25" x14ac:dyDescent="0.2">
      <c r="Y39652" s="97"/>
    </row>
    <row r="39653" spans="25:25" x14ac:dyDescent="0.2">
      <c r="Y39653" s="97"/>
    </row>
    <row r="39654" spans="25:25" x14ac:dyDescent="0.2">
      <c r="Y39654" s="97"/>
    </row>
    <row r="39655" spans="25:25" x14ac:dyDescent="0.2">
      <c r="Y39655" s="97"/>
    </row>
    <row r="39656" spans="25:25" x14ac:dyDescent="0.2">
      <c r="Y39656" s="97"/>
    </row>
    <row r="39657" spans="25:25" x14ac:dyDescent="0.2">
      <c r="Y39657" s="97"/>
    </row>
    <row r="39658" spans="25:25" x14ac:dyDescent="0.2">
      <c r="Y39658" s="97"/>
    </row>
    <row r="39659" spans="25:25" x14ac:dyDescent="0.2">
      <c r="Y39659" s="97"/>
    </row>
    <row r="39660" spans="25:25" x14ac:dyDescent="0.2">
      <c r="Y39660" s="97"/>
    </row>
    <row r="39661" spans="25:25" x14ac:dyDescent="0.2">
      <c r="Y39661" s="97"/>
    </row>
    <row r="39662" spans="25:25" x14ac:dyDescent="0.2">
      <c r="Y39662" s="97"/>
    </row>
    <row r="39663" spans="25:25" x14ac:dyDescent="0.2">
      <c r="Y39663" s="97"/>
    </row>
    <row r="39664" spans="25:25" x14ac:dyDescent="0.2">
      <c r="Y39664" s="97"/>
    </row>
    <row r="39665" spans="25:25" x14ac:dyDescent="0.2">
      <c r="Y39665" s="97"/>
    </row>
    <row r="39666" spans="25:25" x14ac:dyDescent="0.2">
      <c r="Y39666" s="97"/>
    </row>
    <row r="39667" spans="25:25" x14ac:dyDescent="0.2">
      <c r="Y39667" s="97"/>
    </row>
    <row r="39668" spans="25:25" x14ac:dyDescent="0.2">
      <c r="Y39668" s="97"/>
    </row>
    <row r="39669" spans="25:25" x14ac:dyDescent="0.2">
      <c r="Y39669" s="97"/>
    </row>
    <row r="39670" spans="25:25" x14ac:dyDescent="0.2">
      <c r="Y39670" s="97"/>
    </row>
    <row r="39671" spans="25:25" x14ac:dyDescent="0.2">
      <c r="Y39671" s="97"/>
    </row>
    <row r="39672" spans="25:25" x14ac:dyDescent="0.2">
      <c r="Y39672" s="97"/>
    </row>
    <row r="39673" spans="25:25" x14ac:dyDescent="0.2">
      <c r="Y39673" s="97"/>
    </row>
    <row r="39674" spans="25:25" x14ac:dyDescent="0.2">
      <c r="Y39674" s="97"/>
    </row>
    <row r="39675" spans="25:25" x14ac:dyDescent="0.2">
      <c r="Y39675" s="97"/>
    </row>
    <row r="39676" spans="25:25" x14ac:dyDescent="0.2">
      <c r="Y39676" s="97"/>
    </row>
    <row r="39677" spans="25:25" x14ac:dyDescent="0.2">
      <c r="Y39677" s="97"/>
    </row>
    <row r="39678" spans="25:25" x14ac:dyDescent="0.2">
      <c r="Y39678" s="97"/>
    </row>
    <row r="39679" spans="25:25" x14ac:dyDescent="0.2">
      <c r="Y39679" s="97"/>
    </row>
    <row r="39680" spans="25:25" x14ac:dyDescent="0.2">
      <c r="Y39680" s="97"/>
    </row>
    <row r="39681" spans="25:25" x14ac:dyDescent="0.2">
      <c r="Y39681" s="97"/>
    </row>
    <row r="39682" spans="25:25" x14ac:dyDescent="0.2">
      <c r="Y39682" s="97"/>
    </row>
    <row r="39683" spans="25:25" x14ac:dyDescent="0.2">
      <c r="Y39683" s="97"/>
    </row>
    <row r="39684" spans="25:25" x14ac:dyDescent="0.2">
      <c r="Y39684" s="97"/>
    </row>
    <row r="39685" spans="25:25" x14ac:dyDescent="0.2">
      <c r="Y39685" s="97"/>
    </row>
    <row r="39686" spans="25:25" x14ac:dyDescent="0.2">
      <c r="Y39686" s="97"/>
    </row>
    <row r="39687" spans="25:25" x14ac:dyDescent="0.2">
      <c r="Y39687" s="97"/>
    </row>
    <row r="39688" spans="25:25" x14ac:dyDescent="0.2">
      <c r="Y39688" s="97"/>
    </row>
    <row r="39689" spans="25:25" x14ac:dyDescent="0.2">
      <c r="Y39689" s="97"/>
    </row>
    <row r="39690" spans="25:25" x14ac:dyDescent="0.2">
      <c r="Y39690" s="97"/>
    </row>
    <row r="39691" spans="25:25" x14ac:dyDescent="0.2">
      <c r="Y39691" s="97"/>
    </row>
    <row r="39692" spans="25:25" x14ac:dyDescent="0.2">
      <c r="Y39692" s="97"/>
    </row>
    <row r="39693" spans="25:25" x14ac:dyDescent="0.2">
      <c r="Y39693" s="97"/>
    </row>
    <row r="39694" spans="25:25" x14ac:dyDescent="0.2">
      <c r="Y39694" s="97"/>
    </row>
    <row r="39695" spans="25:25" x14ac:dyDescent="0.2">
      <c r="Y39695" s="97"/>
    </row>
    <row r="39696" spans="25:25" x14ac:dyDescent="0.2">
      <c r="Y39696" s="97"/>
    </row>
    <row r="39697" spans="25:25" x14ac:dyDescent="0.2">
      <c r="Y39697" s="97"/>
    </row>
    <row r="39698" spans="25:25" x14ac:dyDescent="0.2">
      <c r="Y39698" s="97"/>
    </row>
    <row r="39699" spans="25:25" x14ac:dyDescent="0.2">
      <c r="Y39699" s="97"/>
    </row>
    <row r="39700" spans="25:25" x14ac:dyDescent="0.2">
      <c r="Y39700" s="97"/>
    </row>
    <row r="39701" spans="25:25" x14ac:dyDescent="0.2">
      <c r="Y39701" s="97"/>
    </row>
    <row r="39702" spans="25:25" x14ac:dyDescent="0.2">
      <c r="Y39702" s="97"/>
    </row>
    <row r="39703" spans="25:25" x14ac:dyDescent="0.2">
      <c r="Y39703" s="97"/>
    </row>
    <row r="39704" spans="25:25" x14ac:dyDescent="0.2">
      <c r="Y39704" s="97"/>
    </row>
    <row r="39705" spans="25:25" x14ac:dyDescent="0.2">
      <c r="Y39705" s="97"/>
    </row>
    <row r="39706" spans="25:25" x14ac:dyDescent="0.2">
      <c r="Y39706" s="97"/>
    </row>
    <row r="39707" spans="25:25" x14ac:dyDescent="0.2">
      <c r="Y39707" s="97"/>
    </row>
    <row r="39708" spans="25:25" x14ac:dyDescent="0.2">
      <c r="Y39708" s="97"/>
    </row>
    <row r="39709" spans="25:25" x14ac:dyDescent="0.2">
      <c r="Y39709" s="97"/>
    </row>
    <row r="39710" spans="25:25" x14ac:dyDescent="0.2">
      <c r="Y39710" s="97"/>
    </row>
    <row r="39711" spans="25:25" x14ac:dyDescent="0.2">
      <c r="Y39711" s="97"/>
    </row>
    <row r="39712" spans="25:25" x14ac:dyDescent="0.2">
      <c r="Y39712" s="97"/>
    </row>
    <row r="39713" spans="25:25" x14ac:dyDescent="0.2">
      <c r="Y39713" s="97"/>
    </row>
    <row r="39714" spans="25:25" x14ac:dyDescent="0.2">
      <c r="Y39714" s="97"/>
    </row>
    <row r="39715" spans="25:25" x14ac:dyDescent="0.2">
      <c r="Y39715" s="97"/>
    </row>
    <row r="39716" spans="25:25" x14ac:dyDescent="0.2">
      <c r="Y39716" s="97"/>
    </row>
    <row r="39717" spans="25:25" x14ac:dyDescent="0.2">
      <c r="Y39717" s="97"/>
    </row>
    <row r="39718" spans="25:25" x14ac:dyDescent="0.2">
      <c r="Y39718" s="97"/>
    </row>
    <row r="39719" spans="25:25" x14ac:dyDescent="0.2">
      <c r="Y39719" s="97"/>
    </row>
    <row r="39720" spans="25:25" x14ac:dyDescent="0.2">
      <c r="Y39720" s="97"/>
    </row>
    <row r="39721" spans="25:25" x14ac:dyDescent="0.2">
      <c r="Y39721" s="97"/>
    </row>
    <row r="39722" spans="25:25" x14ac:dyDescent="0.2">
      <c r="Y39722" s="97"/>
    </row>
    <row r="39723" spans="25:25" x14ac:dyDescent="0.2">
      <c r="Y39723" s="97"/>
    </row>
    <row r="39724" spans="25:25" x14ac:dyDescent="0.2">
      <c r="Y39724" s="97"/>
    </row>
    <row r="39725" spans="25:25" x14ac:dyDescent="0.2">
      <c r="Y39725" s="97"/>
    </row>
    <row r="39726" spans="25:25" x14ac:dyDescent="0.2">
      <c r="Y39726" s="97"/>
    </row>
    <row r="39727" spans="25:25" x14ac:dyDescent="0.2">
      <c r="Y39727" s="97"/>
    </row>
    <row r="39728" spans="25:25" x14ac:dyDescent="0.2">
      <c r="Y39728" s="97"/>
    </row>
    <row r="39729" spans="25:25" x14ac:dyDescent="0.2">
      <c r="Y39729" s="97"/>
    </row>
    <row r="39730" spans="25:25" x14ac:dyDescent="0.2">
      <c r="Y39730" s="97"/>
    </row>
    <row r="39731" spans="25:25" x14ac:dyDescent="0.2">
      <c r="Y39731" s="97"/>
    </row>
    <row r="39732" spans="25:25" x14ac:dyDescent="0.2">
      <c r="Y39732" s="97"/>
    </row>
    <row r="39733" spans="25:25" x14ac:dyDescent="0.2">
      <c r="Y39733" s="97"/>
    </row>
    <row r="39734" spans="25:25" x14ac:dyDescent="0.2">
      <c r="Y39734" s="97"/>
    </row>
    <row r="39735" spans="25:25" x14ac:dyDescent="0.2">
      <c r="Y39735" s="97"/>
    </row>
    <row r="39736" spans="25:25" x14ac:dyDescent="0.2">
      <c r="Y39736" s="97"/>
    </row>
    <row r="39737" spans="25:25" x14ac:dyDescent="0.2">
      <c r="Y39737" s="97"/>
    </row>
    <row r="39738" spans="25:25" x14ac:dyDescent="0.2">
      <c r="Y39738" s="97"/>
    </row>
    <row r="39739" spans="25:25" x14ac:dyDescent="0.2">
      <c r="Y39739" s="97"/>
    </row>
    <row r="39740" spans="25:25" x14ac:dyDescent="0.2">
      <c r="Y39740" s="97"/>
    </row>
    <row r="39741" spans="25:25" x14ac:dyDescent="0.2">
      <c r="Y39741" s="97"/>
    </row>
    <row r="39742" spans="25:25" x14ac:dyDescent="0.2">
      <c r="Y39742" s="97"/>
    </row>
    <row r="39743" spans="25:25" x14ac:dyDescent="0.2">
      <c r="Y39743" s="97"/>
    </row>
    <row r="39744" spans="25:25" x14ac:dyDescent="0.2">
      <c r="Y39744" s="97"/>
    </row>
    <row r="39745" spans="25:25" x14ac:dyDescent="0.2">
      <c r="Y39745" s="97"/>
    </row>
    <row r="39746" spans="25:25" x14ac:dyDescent="0.2">
      <c r="Y39746" s="97"/>
    </row>
    <row r="39747" spans="25:25" x14ac:dyDescent="0.2">
      <c r="Y39747" s="97"/>
    </row>
    <row r="39748" spans="25:25" x14ac:dyDescent="0.2">
      <c r="Y39748" s="97"/>
    </row>
    <row r="39749" spans="25:25" x14ac:dyDescent="0.2">
      <c r="Y39749" s="97"/>
    </row>
    <row r="39750" spans="25:25" x14ac:dyDescent="0.2">
      <c r="Y39750" s="97"/>
    </row>
    <row r="39751" spans="25:25" x14ac:dyDescent="0.2">
      <c r="Y39751" s="97"/>
    </row>
    <row r="39752" spans="25:25" x14ac:dyDescent="0.2">
      <c r="Y39752" s="97"/>
    </row>
    <row r="39753" spans="25:25" x14ac:dyDescent="0.2">
      <c r="Y39753" s="97"/>
    </row>
    <row r="39754" spans="25:25" x14ac:dyDescent="0.2">
      <c r="Y39754" s="97"/>
    </row>
    <row r="39755" spans="25:25" x14ac:dyDescent="0.2">
      <c r="Y39755" s="97"/>
    </row>
    <row r="39756" spans="25:25" x14ac:dyDescent="0.2">
      <c r="Y39756" s="97"/>
    </row>
    <row r="39757" spans="25:25" x14ac:dyDescent="0.2">
      <c r="Y39757" s="97"/>
    </row>
    <row r="39758" spans="25:25" x14ac:dyDescent="0.2">
      <c r="Y39758" s="97"/>
    </row>
    <row r="39759" spans="25:25" x14ac:dyDescent="0.2">
      <c r="Y39759" s="97"/>
    </row>
    <row r="39760" spans="25:25" x14ac:dyDescent="0.2">
      <c r="Y39760" s="97"/>
    </row>
    <row r="39761" spans="25:25" x14ac:dyDescent="0.2">
      <c r="Y39761" s="97"/>
    </row>
    <row r="39762" spans="25:25" x14ac:dyDescent="0.2">
      <c r="Y39762" s="97"/>
    </row>
    <row r="39763" spans="25:25" x14ac:dyDescent="0.2">
      <c r="Y39763" s="97"/>
    </row>
    <row r="39764" spans="25:25" x14ac:dyDescent="0.2">
      <c r="Y39764" s="97"/>
    </row>
    <row r="39765" spans="25:25" x14ac:dyDescent="0.2">
      <c r="Y39765" s="97"/>
    </row>
    <row r="39766" spans="25:25" x14ac:dyDescent="0.2">
      <c r="Y39766" s="97"/>
    </row>
    <row r="39767" spans="25:25" x14ac:dyDescent="0.2">
      <c r="Y39767" s="97"/>
    </row>
    <row r="39768" spans="25:25" x14ac:dyDescent="0.2">
      <c r="Y39768" s="97"/>
    </row>
    <row r="39769" spans="25:25" x14ac:dyDescent="0.2">
      <c r="Y39769" s="97"/>
    </row>
    <row r="39770" spans="25:25" x14ac:dyDescent="0.2">
      <c r="Y39770" s="97"/>
    </row>
    <row r="39771" spans="25:25" x14ac:dyDescent="0.2">
      <c r="Y39771" s="97"/>
    </row>
    <row r="39772" spans="25:25" x14ac:dyDescent="0.2">
      <c r="Y39772" s="97"/>
    </row>
    <row r="39773" spans="25:25" x14ac:dyDescent="0.2">
      <c r="Y39773" s="97"/>
    </row>
    <row r="39774" spans="25:25" x14ac:dyDescent="0.2">
      <c r="Y39774" s="97"/>
    </row>
    <row r="39775" spans="25:25" x14ac:dyDescent="0.2">
      <c r="Y39775" s="97"/>
    </row>
    <row r="39776" spans="25:25" x14ac:dyDescent="0.2">
      <c r="Y39776" s="97"/>
    </row>
    <row r="39777" spans="25:25" x14ac:dyDescent="0.2">
      <c r="Y39777" s="97"/>
    </row>
    <row r="39778" spans="25:25" x14ac:dyDescent="0.2">
      <c r="Y39778" s="97"/>
    </row>
    <row r="39779" spans="25:25" x14ac:dyDescent="0.2">
      <c r="Y39779" s="97"/>
    </row>
    <row r="39780" spans="25:25" x14ac:dyDescent="0.2">
      <c r="Y39780" s="97"/>
    </row>
    <row r="39781" spans="25:25" x14ac:dyDescent="0.2">
      <c r="Y39781" s="97"/>
    </row>
    <row r="39782" spans="25:25" x14ac:dyDescent="0.2">
      <c r="Y39782" s="97"/>
    </row>
    <row r="39783" spans="25:25" x14ac:dyDescent="0.2">
      <c r="Y39783" s="97"/>
    </row>
    <row r="39784" spans="25:25" x14ac:dyDescent="0.2">
      <c r="Y39784" s="97"/>
    </row>
    <row r="39785" spans="25:25" x14ac:dyDescent="0.2">
      <c r="Y39785" s="97"/>
    </row>
    <row r="39786" spans="25:25" x14ac:dyDescent="0.2">
      <c r="Y39786" s="97"/>
    </row>
    <row r="39787" spans="25:25" x14ac:dyDescent="0.2">
      <c r="Y39787" s="97"/>
    </row>
    <row r="39788" spans="25:25" x14ac:dyDescent="0.2">
      <c r="Y39788" s="97"/>
    </row>
    <row r="39789" spans="25:25" x14ac:dyDescent="0.2">
      <c r="Y39789" s="97"/>
    </row>
    <row r="39790" spans="25:25" x14ac:dyDescent="0.2">
      <c r="Y39790" s="97"/>
    </row>
    <row r="39791" spans="25:25" x14ac:dyDescent="0.2">
      <c r="Y39791" s="97"/>
    </row>
    <row r="39792" spans="25:25" x14ac:dyDescent="0.2">
      <c r="Y39792" s="97"/>
    </row>
    <row r="39793" spans="25:25" x14ac:dyDescent="0.2">
      <c r="Y39793" s="97"/>
    </row>
    <row r="39794" spans="25:25" x14ac:dyDescent="0.2">
      <c r="Y39794" s="97"/>
    </row>
    <row r="39795" spans="25:25" x14ac:dyDescent="0.2">
      <c r="Y39795" s="97"/>
    </row>
    <row r="39796" spans="25:25" x14ac:dyDescent="0.2">
      <c r="Y39796" s="97"/>
    </row>
    <row r="39797" spans="25:25" x14ac:dyDescent="0.2">
      <c r="Y39797" s="97"/>
    </row>
    <row r="39798" spans="25:25" x14ac:dyDescent="0.2">
      <c r="Y39798" s="97"/>
    </row>
    <row r="39799" spans="25:25" x14ac:dyDescent="0.2">
      <c r="Y39799" s="97"/>
    </row>
    <row r="39800" spans="25:25" x14ac:dyDescent="0.2">
      <c r="Y39800" s="97"/>
    </row>
    <row r="39801" spans="25:25" x14ac:dyDescent="0.2">
      <c r="Y39801" s="97"/>
    </row>
    <row r="39802" spans="25:25" x14ac:dyDescent="0.2">
      <c r="Y39802" s="97"/>
    </row>
    <row r="39803" spans="25:25" x14ac:dyDescent="0.2">
      <c r="Y39803" s="97"/>
    </row>
    <row r="39804" spans="25:25" x14ac:dyDescent="0.2">
      <c r="Y39804" s="97"/>
    </row>
    <row r="39805" spans="25:25" x14ac:dyDescent="0.2">
      <c r="Y39805" s="97"/>
    </row>
    <row r="39806" spans="25:25" x14ac:dyDescent="0.2">
      <c r="Y39806" s="97"/>
    </row>
    <row r="39807" spans="25:25" x14ac:dyDescent="0.2">
      <c r="Y39807" s="97"/>
    </row>
    <row r="39808" spans="25:25" x14ac:dyDescent="0.2">
      <c r="Y39808" s="97"/>
    </row>
    <row r="39809" spans="25:25" x14ac:dyDescent="0.2">
      <c r="Y39809" s="97"/>
    </row>
    <row r="39810" spans="25:25" x14ac:dyDescent="0.2">
      <c r="Y39810" s="97"/>
    </row>
    <row r="39811" spans="25:25" x14ac:dyDescent="0.2">
      <c r="Y39811" s="97"/>
    </row>
    <row r="39812" spans="25:25" x14ac:dyDescent="0.2">
      <c r="Y39812" s="97"/>
    </row>
    <row r="39813" spans="25:25" x14ac:dyDescent="0.2">
      <c r="Y39813" s="97"/>
    </row>
    <row r="39814" spans="25:25" x14ac:dyDescent="0.2">
      <c r="Y39814" s="97"/>
    </row>
    <row r="39815" spans="25:25" x14ac:dyDescent="0.2">
      <c r="Y39815" s="97"/>
    </row>
    <row r="39816" spans="25:25" x14ac:dyDescent="0.2">
      <c r="Y39816" s="97"/>
    </row>
    <row r="39817" spans="25:25" x14ac:dyDescent="0.2">
      <c r="Y39817" s="97"/>
    </row>
    <row r="39818" spans="25:25" x14ac:dyDescent="0.2">
      <c r="Y39818" s="97"/>
    </row>
    <row r="39819" spans="25:25" x14ac:dyDescent="0.2">
      <c r="Y39819" s="97"/>
    </row>
    <row r="39820" spans="25:25" x14ac:dyDescent="0.2">
      <c r="Y39820" s="97"/>
    </row>
    <row r="39821" spans="25:25" x14ac:dyDescent="0.2">
      <c r="Y39821" s="97"/>
    </row>
    <row r="39822" spans="25:25" x14ac:dyDescent="0.2">
      <c r="Y39822" s="97"/>
    </row>
    <row r="39823" spans="25:25" x14ac:dyDescent="0.2">
      <c r="Y39823" s="97"/>
    </row>
    <row r="39824" spans="25:25" x14ac:dyDescent="0.2">
      <c r="Y39824" s="97"/>
    </row>
    <row r="39825" spans="25:25" x14ac:dyDescent="0.2">
      <c r="Y39825" s="97"/>
    </row>
    <row r="39826" spans="25:25" x14ac:dyDescent="0.2">
      <c r="Y39826" s="97"/>
    </row>
    <row r="39827" spans="25:25" x14ac:dyDescent="0.2">
      <c r="Y39827" s="97"/>
    </row>
    <row r="39828" spans="25:25" x14ac:dyDescent="0.2">
      <c r="Y39828" s="97"/>
    </row>
    <row r="39829" spans="25:25" x14ac:dyDescent="0.2">
      <c r="Y39829" s="97"/>
    </row>
    <row r="39830" spans="25:25" x14ac:dyDescent="0.2">
      <c r="Y39830" s="97"/>
    </row>
    <row r="39831" spans="25:25" x14ac:dyDescent="0.2">
      <c r="Y39831" s="97"/>
    </row>
    <row r="39832" spans="25:25" x14ac:dyDescent="0.2">
      <c r="Y39832" s="97"/>
    </row>
    <row r="39833" spans="25:25" x14ac:dyDescent="0.2">
      <c r="Y39833" s="97"/>
    </row>
    <row r="39834" spans="25:25" x14ac:dyDescent="0.2">
      <c r="Y39834" s="97"/>
    </row>
    <row r="39835" spans="25:25" x14ac:dyDescent="0.2">
      <c r="Y39835" s="97"/>
    </row>
    <row r="39836" spans="25:25" x14ac:dyDescent="0.2">
      <c r="Y39836" s="97"/>
    </row>
    <row r="39837" spans="25:25" x14ac:dyDescent="0.2">
      <c r="Y39837" s="97"/>
    </row>
    <row r="39838" spans="25:25" x14ac:dyDescent="0.2">
      <c r="Y39838" s="97"/>
    </row>
    <row r="39839" spans="25:25" x14ac:dyDescent="0.2">
      <c r="Y39839" s="97"/>
    </row>
    <row r="39840" spans="25:25" x14ac:dyDescent="0.2">
      <c r="Y39840" s="97"/>
    </row>
    <row r="39841" spans="25:25" x14ac:dyDescent="0.2">
      <c r="Y39841" s="97"/>
    </row>
    <row r="39842" spans="25:25" x14ac:dyDescent="0.2">
      <c r="Y39842" s="97"/>
    </row>
    <row r="39843" spans="25:25" x14ac:dyDescent="0.2">
      <c r="Y39843" s="97"/>
    </row>
    <row r="39844" spans="25:25" x14ac:dyDescent="0.2">
      <c r="Y39844" s="97"/>
    </row>
    <row r="39845" spans="25:25" x14ac:dyDescent="0.2">
      <c r="Y39845" s="97"/>
    </row>
    <row r="39846" spans="25:25" x14ac:dyDescent="0.2">
      <c r="Y39846" s="97"/>
    </row>
    <row r="39847" spans="25:25" x14ac:dyDescent="0.2">
      <c r="Y39847" s="97"/>
    </row>
    <row r="39848" spans="25:25" x14ac:dyDescent="0.2">
      <c r="Y39848" s="97"/>
    </row>
    <row r="39849" spans="25:25" x14ac:dyDescent="0.2">
      <c r="Y39849" s="97"/>
    </row>
    <row r="39850" spans="25:25" x14ac:dyDescent="0.2">
      <c r="Y39850" s="97"/>
    </row>
    <row r="39851" spans="25:25" x14ac:dyDescent="0.2">
      <c r="Y39851" s="97"/>
    </row>
    <row r="39852" spans="25:25" x14ac:dyDescent="0.2">
      <c r="Y39852" s="97"/>
    </row>
    <row r="39853" spans="25:25" x14ac:dyDescent="0.2">
      <c r="Y39853" s="97"/>
    </row>
    <row r="39854" spans="25:25" x14ac:dyDescent="0.2">
      <c r="Y39854" s="97"/>
    </row>
    <row r="39855" spans="25:25" x14ac:dyDescent="0.2">
      <c r="Y39855" s="97"/>
    </row>
    <row r="39856" spans="25:25" x14ac:dyDescent="0.2">
      <c r="Y39856" s="97"/>
    </row>
    <row r="39857" spans="25:25" x14ac:dyDescent="0.2">
      <c r="Y39857" s="97"/>
    </row>
    <row r="39858" spans="25:25" x14ac:dyDescent="0.2">
      <c r="Y39858" s="97"/>
    </row>
    <row r="39859" spans="25:25" x14ac:dyDescent="0.2">
      <c r="Y39859" s="97"/>
    </row>
    <row r="39860" spans="25:25" x14ac:dyDescent="0.2">
      <c r="Y39860" s="97"/>
    </row>
    <row r="39861" spans="25:25" x14ac:dyDescent="0.2">
      <c r="Y39861" s="97"/>
    </row>
    <row r="39862" spans="25:25" x14ac:dyDescent="0.2">
      <c r="Y39862" s="97"/>
    </row>
    <row r="39863" spans="25:25" x14ac:dyDescent="0.2">
      <c r="Y39863" s="97"/>
    </row>
    <row r="39864" spans="25:25" x14ac:dyDescent="0.2">
      <c r="Y39864" s="97"/>
    </row>
    <row r="39865" spans="25:25" x14ac:dyDescent="0.2">
      <c r="Y39865" s="97"/>
    </row>
    <row r="39866" spans="25:25" x14ac:dyDescent="0.2">
      <c r="Y39866" s="97"/>
    </row>
    <row r="39867" spans="25:25" x14ac:dyDescent="0.2">
      <c r="Y39867" s="97"/>
    </row>
    <row r="39868" spans="25:25" x14ac:dyDescent="0.2">
      <c r="Y39868" s="97"/>
    </row>
    <row r="39869" spans="25:25" x14ac:dyDescent="0.2">
      <c r="Y39869" s="97"/>
    </row>
    <row r="39870" spans="25:25" x14ac:dyDescent="0.2">
      <c r="Y39870" s="97"/>
    </row>
    <row r="39871" spans="25:25" x14ac:dyDescent="0.2">
      <c r="Y39871" s="97"/>
    </row>
    <row r="39872" spans="25:25" x14ac:dyDescent="0.2">
      <c r="Y39872" s="97"/>
    </row>
    <row r="39873" spans="25:25" x14ac:dyDescent="0.2">
      <c r="Y39873" s="97"/>
    </row>
    <row r="39874" spans="25:25" x14ac:dyDescent="0.2">
      <c r="Y39874" s="97"/>
    </row>
    <row r="39875" spans="25:25" x14ac:dyDescent="0.2">
      <c r="Y39875" s="97"/>
    </row>
    <row r="39876" spans="25:25" x14ac:dyDescent="0.2">
      <c r="Y39876" s="97"/>
    </row>
    <row r="39877" spans="25:25" x14ac:dyDescent="0.2">
      <c r="Y39877" s="97"/>
    </row>
    <row r="39878" spans="25:25" x14ac:dyDescent="0.2">
      <c r="Y39878" s="97"/>
    </row>
    <row r="39879" spans="25:25" x14ac:dyDescent="0.2">
      <c r="Y39879" s="97"/>
    </row>
    <row r="39880" spans="25:25" x14ac:dyDescent="0.2">
      <c r="Y39880" s="97"/>
    </row>
    <row r="39881" spans="25:25" x14ac:dyDescent="0.2">
      <c r="Y39881" s="97"/>
    </row>
    <row r="39882" spans="25:25" x14ac:dyDescent="0.2">
      <c r="Y39882" s="97"/>
    </row>
    <row r="39883" spans="25:25" x14ac:dyDescent="0.2">
      <c r="Y39883" s="97"/>
    </row>
    <row r="39884" spans="25:25" x14ac:dyDescent="0.2">
      <c r="Y39884" s="97"/>
    </row>
    <row r="39885" spans="25:25" x14ac:dyDescent="0.2">
      <c r="Y39885" s="97"/>
    </row>
    <row r="39886" spans="25:25" x14ac:dyDescent="0.2">
      <c r="Y39886" s="97"/>
    </row>
    <row r="39887" spans="25:25" x14ac:dyDescent="0.2">
      <c r="Y39887" s="97"/>
    </row>
    <row r="39888" spans="25:25" x14ac:dyDescent="0.2">
      <c r="Y39888" s="97"/>
    </row>
    <row r="39889" spans="25:25" x14ac:dyDescent="0.2">
      <c r="Y39889" s="97"/>
    </row>
    <row r="39890" spans="25:25" x14ac:dyDescent="0.2">
      <c r="Y39890" s="97"/>
    </row>
    <row r="39891" spans="25:25" x14ac:dyDescent="0.2">
      <c r="Y39891" s="97"/>
    </row>
    <row r="39892" spans="25:25" x14ac:dyDescent="0.2">
      <c r="Y39892" s="97"/>
    </row>
    <row r="39893" spans="25:25" x14ac:dyDescent="0.2">
      <c r="Y39893" s="97"/>
    </row>
    <row r="39894" spans="25:25" x14ac:dyDescent="0.2">
      <c r="Y39894" s="97"/>
    </row>
    <row r="39895" spans="25:25" x14ac:dyDescent="0.2">
      <c r="Y39895" s="97"/>
    </row>
    <row r="39896" spans="25:25" x14ac:dyDescent="0.2">
      <c r="Y39896" s="97"/>
    </row>
    <row r="39897" spans="25:25" x14ac:dyDescent="0.2">
      <c r="Y39897" s="97"/>
    </row>
    <row r="39898" spans="25:25" x14ac:dyDescent="0.2">
      <c r="Y39898" s="97"/>
    </row>
    <row r="39899" spans="25:25" x14ac:dyDescent="0.2">
      <c r="Y39899" s="97"/>
    </row>
    <row r="39900" spans="25:25" x14ac:dyDescent="0.2">
      <c r="Y39900" s="97"/>
    </row>
    <row r="39901" spans="25:25" x14ac:dyDescent="0.2">
      <c r="Y39901" s="97"/>
    </row>
    <row r="39902" spans="25:25" x14ac:dyDescent="0.2">
      <c r="Y39902" s="97"/>
    </row>
    <row r="39903" spans="25:25" x14ac:dyDescent="0.2">
      <c r="Y39903" s="97"/>
    </row>
    <row r="39904" spans="25:25" x14ac:dyDescent="0.2">
      <c r="Y39904" s="97"/>
    </row>
    <row r="39905" spans="25:25" x14ac:dyDescent="0.2">
      <c r="Y39905" s="97"/>
    </row>
    <row r="39906" spans="25:25" x14ac:dyDescent="0.2">
      <c r="Y39906" s="97"/>
    </row>
    <row r="39907" spans="25:25" x14ac:dyDescent="0.2">
      <c r="Y39907" s="97"/>
    </row>
    <row r="39908" spans="25:25" x14ac:dyDescent="0.2">
      <c r="Y39908" s="97"/>
    </row>
    <row r="39909" spans="25:25" x14ac:dyDescent="0.2">
      <c r="Y39909" s="97"/>
    </row>
    <row r="39910" spans="25:25" x14ac:dyDescent="0.2">
      <c r="Y39910" s="97"/>
    </row>
    <row r="39911" spans="25:25" x14ac:dyDescent="0.2">
      <c r="Y39911" s="97"/>
    </row>
    <row r="39912" spans="25:25" x14ac:dyDescent="0.2">
      <c r="Y39912" s="97"/>
    </row>
    <row r="39913" spans="25:25" x14ac:dyDescent="0.2">
      <c r="Y39913" s="97"/>
    </row>
    <row r="39914" spans="25:25" x14ac:dyDescent="0.2">
      <c r="Y39914" s="97"/>
    </row>
    <row r="39915" spans="25:25" x14ac:dyDescent="0.2">
      <c r="Y39915" s="97"/>
    </row>
    <row r="39916" spans="25:25" x14ac:dyDescent="0.2">
      <c r="Y39916" s="97"/>
    </row>
    <row r="39917" spans="25:25" x14ac:dyDescent="0.2">
      <c r="Y39917" s="97"/>
    </row>
    <row r="39918" spans="25:25" x14ac:dyDescent="0.2">
      <c r="Y39918" s="97"/>
    </row>
    <row r="39919" spans="25:25" x14ac:dyDescent="0.2">
      <c r="Y39919" s="97"/>
    </row>
    <row r="39920" spans="25:25" x14ac:dyDescent="0.2">
      <c r="Y39920" s="97"/>
    </row>
    <row r="39921" spans="25:25" x14ac:dyDescent="0.2">
      <c r="Y39921" s="97"/>
    </row>
    <row r="39922" spans="25:25" x14ac:dyDescent="0.2">
      <c r="Y39922" s="97"/>
    </row>
    <row r="39923" spans="25:25" x14ac:dyDescent="0.2">
      <c r="Y39923" s="97"/>
    </row>
    <row r="39924" spans="25:25" x14ac:dyDescent="0.2">
      <c r="Y39924" s="97"/>
    </row>
    <row r="39925" spans="25:25" x14ac:dyDescent="0.2">
      <c r="Y39925" s="97"/>
    </row>
    <row r="39926" spans="25:25" x14ac:dyDescent="0.2">
      <c r="Y39926" s="97"/>
    </row>
    <row r="39927" spans="25:25" x14ac:dyDescent="0.2">
      <c r="Y39927" s="97"/>
    </row>
    <row r="39928" spans="25:25" x14ac:dyDescent="0.2">
      <c r="Y39928" s="97"/>
    </row>
    <row r="39929" spans="25:25" x14ac:dyDescent="0.2">
      <c r="Y39929" s="97"/>
    </row>
    <row r="39930" spans="25:25" x14ac:dyDescent="0.2">
      <c r="Y39930" s="97"/>
    </row>
    <row r="39931" spans="25:25" x14ac:dyDescent="0.2">
      <c r="Y39931" s="97"/>
    </row>
    <row r="39932" spans="25:25" x14ac:dyDescent="0.2">
      <c r="Y39932" s="97"/>
    </row>
    <row r="39933" spans="25:25" x14ac:dyDescent="0.2">
      <c r="Y39933" s="97"/>
    </row>
    <row r="39934" spans="25:25" x14ac:dyDescent="0.2">
      <c r="Y39934" s="97"/>
    </row>
    <row r="39935" spans="25:25" x14ac:dyDescent="0.2">
      <c r="Y39935" s="97"/>
    </row>
    <row r="39936" spans="25:25" x14ac:dyDescent="0.2">
      <c r="Y39936" s="97"/>
    </row>
    <row r="39937" spans="25:25" x14ac:dyDescent="0.2">
      <c r="Y39937" s="97"/>
    </row>
    <row r="39938" spans="25:25" x14ac:dyDescent="0.2">
      <c r="Y39938" s="97"/>
    </row>
    <row r="39939" spans="25:25" x14ac:dyDescent="0.2">
      <c r="Y39939" s="97"/>
    </row>
    <row r="39940" spans="25:25" x14ac:dyDescent="0.2">
      <c r="Y39940" s="97"/>
    </row>
    <row r="39941" spans="25:25" x14ac:dyDescent="0.2">
      <c r="Y39941" s="97"/>
    </row>
    <row r="39942" spans="25:25" x14ac:dyDescent="0.2">
      <c r="Y39942" s="97"/>
    </row>
    <row r="39943" spans="25:25" x14ac:dyDescent="0.2">
      <c r="Y39943" s="97"/>
    </row>
    <row r="39944" spans="25:25" x14ac:dyDescent="0.2">
      <c r="Y39944" s="97"/>
    </row>
    <row r="39945" spans="25:25" x14ac:dyDescent="0.2">
      <c r="Y39945" s="97"/>
    </row>
    <row r="39946" spans="25:25" x14ac:dyDescent="0.2">
      <c r="Y39946" s="97"/>
    </row>
    <row r="39947" spans="25:25" x14ac:dyDescent="0.2">
      <c r="Y39947" s="97"/>
    </row>
    <row r="39948" spans="25:25" x14ac:dyDescent="0.2">
      <c r="Y39948" s="97"/>
    </row>
    <row r="39949" spans="25:25" x14ac:dyDescent="0.2">
      <c r="Y39949" s="97"/>
    </row>
    <row r="39950" spans="25:25" x14ac:dyDescent="0.2">
      <c r="Y39950" s="97"/>
    </row>
    <row r="39951" spans="25:25" x14ac:dyDescent="0.2">
      <c r="Y39951" s="97"/>
    </row>
    <row r="39952" spans="25:25" x14ac:dyDescent="0.2">
      <c r="Y39952" s="97"/>
    </row>
    <row r="39953" spans="25:25" x14ac:dyDescent="0.2">
      <c r="Y39953" s="97"/>
    </row>
    <row r="39954" spans="25:25" x14ac:dyDescent="0.2">
      <c r="Y39954" s="97"/>
    </row>
    <row r="39955" spans="25:25" x14ac:dyDescent="0.2">
      <c r="Y39955" s="97"/>
    </row>
    <row r="39956" spans="25:25" x14ac:dyDescent="0.2">
      <c r="Y39956" s="97"/>
    </row>
    <row r="39957" spans="25:25" x14ac:dyDescent="0.2">
      <c r="Y39957" s="97"/>
    </row>
    <row r="39958" spans="25:25" x14ac:dyDescent="0.2">
      <c r="Y39958" s="97"/>
    </row>
    <row r="39959" spans="25:25" x14ac:dyDescent="0.2">
      <c r="Y39959" s="97"/>
    </row>
    <row r="39960" spans="25:25" x14ac:dyDescent="0.2">
      <c r="Y39960" s="97"/>
    </row>
    <row r="39961" spans="25:25" x14ac:dyDescent="0.2">
      <c r="Y39961" s="97"/>
    </row>
    <row r="39962" spans="25:25" x14ac:dyDescent="0.2">
      <c r="Y39962" s="97"/>
    </row>
    <row r="39963" spans="25:25" x14ac:dyDescent="0.2">
      <c r="Y39963" s="97"/>
    </row>
    <row r="39964" spans="25:25" x14ac:dyDescent="0.2">
      <c r="Y39964" s="97"/>
    </row>
    <row r="39965" spans="25:25" x14ac:dyDescent="0.2">
      <c r="Y39965" s="97"/>
    </row>
    <row r="39966" spans="25:25" x14ac:dyDescent="0.2">
      <c r="Y39966" s="97"/>
    </row>
    <row r="39967" spans="25:25" x14ac:dyDescent="0.2">
      <c r="Y39967" s="97"/>
    </row>
    <row r="39968" spans="25:25" x14ac:dyDescent="0.2">
      <c r="Y39968" s="97"/>
    </row>
    <row r="39969" spans="25:25" x14ac:dyDescent="0.2">
      <c r="Y39969" s="97"/>
    </row>
    <row r="39970" spans="25:25" x14ac:dyDescent="0.2">
      <c r="Y39970" s="97"/>
    </row>
    <row r="39971" spans="25:25" x14ac:dyDescent="0.2">
      <c r="Y39971" s="97"/>
    </row>
    <row r="39972" spans="25:25" x14ac:dyDescent="0.2">
      <c r="Y39972" s="97"/>
    </row>
    <row r="39973" spans="25:25" x14ac:dyDescent="0.2">
      <c r="Y39973" s="97"/>
    </row>
    <row r="39974" spans="25:25" x14ac:dyDescent="0.2">
      <c r="Y39974" s="97"/>
    </row>
    <row r="39975" spans="25:25" x14ac:dyDescent="0.2">
      <c r="Y39975" s="97"/>
    </row>
    <row r="39976" spans="25:25" x14ac:dyDescent="0.2">
      <c r="Y39976" s="97"/>
    </row>
    <row r="39977" spans="25:25" x14ac:dyDescent="0.2">
      <c r="Y39977" s="97"/>
    </row>
    <row r="39978" spans="25:25" x14ac:dyDescent="0.2">
      <c r="Y39978" s="97"/>
    </row>
    <row r="39979" spans="25:25" x14ac:dyDescent="0.2">
      <c r="Y39979" s="97"/>
    </row>
    <row r="39980" spans="25:25" x14ac:dyDescent="0.2">
      <c r="Y39980" s="97"/>
    </row>
    <row r="39981" spans="25:25" x14ac:dyDescent="0.2">
      <c r="Y39981" s="97"/>
    </row>
    <row r="39982" spans="25:25" x14ac:dyDescent="0.2">
      <c r="Y39982" s="97"/>
    </row>
    <row r="39983" spans="25:25" x14ac:dyDescent="0.2">
      <c r="Y39983" s="97"/>
    </row>
    <row r="39984" spans="25:25" x14ac:dyDescent="0.2">
      <c r="Y39984" s="97"/>
    </row>
    <row r="39985" spans="25:25" x14ac:dyDescent="0.2">
      <c r="Y39985" s="97"/>
    </row>
    <row r="39986" spans="25:25" x14ac:dyDescent="0.2">
      <c r="Y39986" s="97"/>
    </row>
    <row r="39987" spans="25:25" x14ac:dyDescent="0.2">
      <c r="Y39987" s="97"/>
    </row>
    <row r="39988" spans="25:25" x14ac:dyDescent="0.2">
      <c r="Y39988" s="97"/>
    </row>
    <row r="39989" spans="25:25" x14ac:dyDescent="0.2">
      <c r="Y39989" s="97"/>
    </row>
    <row r="39990" spans="25:25" x14ac:dyDescent="0.2">
      <c r="Y39990" s="97"/>
    </row>
    <row r="39991" spans="25:25" x14ac:dyDescent="0.2">
      <c r="Y39991" s="97"/>
    </row>
    <row r="39992" spans="25:25" x14ac:dyDescent="0.2">
      <c r="Y39992" s="97"/>
    </row>
    <row r="39993" spans="25:25" x14ac:dyDescent="0.2">
      <c r="Y39993" s="97"/>
    </row>
    <row r="39994" spans="25:25" x14ac:dyDescent="0.2">
      <c r="Y39994" s="97"/>
    </row>
    <row r="39995" spans="25:25" x14ac:dyDescent="0.2">
      <c r="Y39995" s="97"/>
    </row>
    <row r="39996" spans="25:25" x14ac:dyDescent="0.2">
      <c r="Y39996" s="97"/>
    </row>
    <row r="39997" spans="25:25" x14ac:dyDescent="0.2">
      <c r="Y39997" s="97"/>
    </row>
    <row r="39998" spans="25:25" x14ac:dyDescent="0.2">
      <c r="Y39998" s="97"/>
    </row>
    <row r="39999" spans="25:25" x14ac:dyDescent="0.2">
      <c r="Y39999" s="97"/>
    </row>
    <row r="40000" spans="25:25" x14ac:dyDescent="0.2">
      <c r="Y40000" s="97"/>
    </row>
    <row r="40001" spans="25:25" x14ac:dyDescent="0.2">
      <c r="Y40001" s="97"/>
    </row>
    <row r="40002" spans="25:25" x14ac:dyDescent="0.2">
      <c r="Y40002" s="97"/>
    </row>
    <row r="40003" spans="25:25" x14ac:dyDescent="0.2">
      <c r="Y40003" s="97"/>
    </row>
    <row r="40004" spans="25:25" x14ac:dyDescent="0.2">
      <c r="Y40004" s="97"/>
    </row>
    <row r="40005" spans="25:25" x14ac:dyDescent="0.2">
      <c r="Y40005" s="97"/>
    </row>
    <row r="40006" spans="25:25" x14ac:dyDescent="0.2">
      <c r="Y40006" s="97"/>
    </row>
    <row r="40007" spans="25:25" x14ac:dyDescent="0.2">
      <c r="Y40007" s="97"/>
    </row>
    <row r="40008" spans="25:25" x14ac:dyDescent="0.2">
      <c r="Y40008" s="97"/>
    </row>
    <row r="40009" spans="25:25" x14ac:dyDescent="0.2">
      <c r="Y40009" s="97"/>
    </row>
    <row r="40010" spans="25:25" x14ac:dyDescent="0.2">
      <c r="Y40010" s="97"/>
    </row>
    <row r="40011" spans="25:25" x14ac:dyDescent="0.2">
      <c r="Y40011" s="97"/>
    </row>
    <row r="40012" spans="25:25" x14ac:dyDescent="0.2">
      <c r="Y40012" s="97"/>
    </row>
    <row r="40013" spans="25:25" x14ac:dyDescent="0.2">
      <c r="Y40013" s="97"/>
    </row>
    <row r="40014" spans="25:25" x14ac:dyDescent="0.2">
      <c r="Y40014" s="97"/>
    </row>
    <row r="40015" spans="25:25" x14ac:dyDescent="0.2">
      <c r="Y40015" s="97"/>
    </row>
    <row r="40016" spans="25:25" x14ac:dyDescent="0.2">
      <c r="Y40016" s="97"/>
    </row>
    <row r="40017" spans="25:25" x14ac:dyDescent="0.2">
      <c r="Y40017" s="97"/>
    </row>
    <row r="40018" spans="25:25" x14ac:dyDescent="0.2">
      <c r="Y40018" s="97"/>
    </row>
    <row r="40019" spans="25:25" x14ac:dyDescent="0.2">
      <c r="Y40019" s="97"/>
    </row>
    <row r="40020" spans="25:25" x14ac:dyDescent="0.2">
      <c r="Y40020" s="97"/>
    </row>
    <row r="40021" spans="25:25" x14ac:dyDescent="0.2">
      <c r="Y40021" s="97"/>
    </row>
    <row r="40022" spans="25:25" x14ac:dyDescent="0.2">
      <c r="Y40022" s="97"/>
    </row>
    <row r="40023" spans="25:25" x14ac:dyDescent="0.2">
      <c r="Y40023" s="97"/>
    </row>
    <row r="40024" spans="25:25" x14ac:dyDescent="0.2">
      <c r="Y40024" s="97"/>
    </row>
    <row r="40025" spans="25:25" x14ac:dyDescent="0.2">
      <c r="Y40025" s="97"/>
    </row>
    <row r="40026" spans="25:25" x14ac:dyDescent="0.2">
      <c r="Y40026" s="97"/>
    </row>
    <row r="40027" spans="25:25" x14ac:dyDescent="0.2">
      <c r="Y40027" s="97"/>
    </row>
    <row r="40028" spans="25:25" x14ac:dyDescent="0.2">
      <c r="Y40028" s="97"/>
    </row>
    <row r="40029" spans="25:25" x14ac:dyDescent="0.2">
      <c r="Y40029" s="97"/>
    </row>
    <row r="40030" spans="25:25" x14ac:dyDescent="0.2">
      <c r="Y40030" s="97"/>
    </row>
    <row r="40031" spans="25:25" x14ac:dyDescent="0.2">
      <c r="Y40031" s="97"/>
    </row>
    <row r="40032" spans="25:25" x14ac:dyDescent="0.2">
      <c r="Y40032" s="97"/>
    </row>
    <row r="40033" spans="25:25" x14ac:dyDescent="0.2">
      <c r="Y40033" s="97"/>
    </row>
    <row r="40034" spans="25:25" x14ac:dyDescent="0.2">
      <c r="Y40034" s="97"/>
    </row>
    <row r="40035" spans="25:25" x14ac:dyDescent="0.2">
      <c r="Y40035" s="97"/>
    </row>
    <row r="40036" spans="25:25" x14ac:dyDescent="0.2">
      <c r="Y40036" s="97"/>
    </row>
    <row r="40037" spans="25:25" x14ac:dyDescent="0.2">
      <c r="Y40037" s="97"/>
    </row>
    <row r="40038" spans="25:25" x14ac:dyDescent="0.2">
      <c r="Y40038" s="97"/>
    </row>
    <row r="40039" spans="25:25" x14ac:dyDescent="0.2">
      <c r="Y40039" s="97"/>
    </row>
    <row r="40040" spans="25:25" x14ac:dyDescent="0.2">
      <c r="Y40040" s="97"/>
    </row>
    <row r="40041" spans="25:25" x14ac:dyDescent="0.2">
      <c r="Y40041" s="97"/>
    </row>
    <row r="40042" spans="25:25" x14ac:dyDescent="0.2">
      <c r="Y40042" s="97"/>
    </row>
    <row r="40043" spans="25:25" x14ac:dyDescent="0.2">
      <c r="Y40043" s="97"/>
    </row>
    <row r="40044" spans="25:25" x14ac:dyDescent="0.2">
      <c r="Y40044" s="97"/>
    </row>
    <row r="40045" spans="25:25" x14ac:dyDescent="0.2">
      <c r="Y40045" s="97"/>
    </row>
    <row r="40046" spans="25:25" x14ac:dyDescent="0.2">
      <c r="Y40046" s="97"/>
    </row>
    <row r="40047" spans="25:25" x14ac:dyDescent="0.2">
      <c r="Y40047" s="97"/>
    </row>
    <row r="40048" spans="25:25" x14ac:dyDescent="0.2">
      <c r="Y40048" s="97"/>
    </row>
    <row r="40049" spans="25:25" x14ac:dyDescent="0.2">
      <c r="Y40049" s="97"/>
    </row>
    <row r="40050" spans="25:25" x14ac:dyDescent="0.2">
      <c r="Y40050" s="97"/>
    </row>
    <row r="40051" spans="25:25" x14ac:dyDescent="0.2">
      <c r="Y40051" s="97"/>
    </row>
    <row r="40052" spans="25:25" x14ac:dyDescent="0.2">
      <c r="Y40052" s="97"/>
    </row>
    <row r="40053" spans="25:25" x14ac:dyDescent="0.2">
      <c r="Y40053" s="97"/>
    </row>
    <row r="40054" spans="25:25" x14ac:dyDescent="0.2">
      <c r="Y40054" s="97"/>
    </row>
    <row r="40055" spans="25:25" x14ac:dyDescent="0.2">
      <c r="Y40055" s="97"/>
    </row>
    <row r="40056" spans="25:25" x14ac:dyDescent="0.2">
      <c r="Y40056" s="97"/>
    </row>
    <row r="40057" spans="25:25" x14ac:dyDescent="0.2">
      <c r="Y40057" s="97"/>
    </row>
    <row r="40058" spans="25:25" x14ac:dyDescent="0.2">
      <c r="Y40058" s="97"/>
    </row>
    <row r="40059" spans="25:25" x14ac:dyDescent="0.2">
      <c r="Y40059" s="97"/>
    </row>
    <row r="40060" spans="25:25" x14ac:dyDescent="0.2">
      <c r="Y40060" s="97"/>
    </row>
    <row r="40061" spans="25:25" x14ac:dyDescent="0.2">
      <c r="Y40061" s="97"/>
    </row>
    <row r="40062" spans="25:25" x14ac:dyDescent="0.2">
      <c r="Y40062" s="97"/>
    </row>
    <row r="40063" spans="25:25" x14ac:dyDescent="0.2">
      <c r="Y40063" s="97"/>
    </row>
    <row r="40064" spans="25:25" x14ac:dyDescent="0.2">
      <c r="Y40064" s="97"/>
    </row>
    <row r="40065" spans="25:25" x14ac:dyDescent="0.2">
      <c r="Y40065" s="97"/>
    </row>
    <row r="40066" spans="25:25" x14ac:dyDescent="0.2">
      <c r="Y40066" s="97"/>
    </row>
    <row r="40067" spans="25:25" x14ac:dyDescent="0.2">
      <c r="Y40067" s="97"/>
    </row>
    <row r="40068" spans="25:25" x14ac:dyDescent="0.2">
      <c r="Y40068" s="97"/>
    </row>
    <row r="40069" spans="25:25" x14ac:dyDescent="0.2">
      <c r="Y40069" s="97"/>
    </row>
    <row r="40070" spans="25:25" x14ac:dyDescent="0.2">
      <c r="Y40070" s="97"/>
    </row>
    <row r="40071" spans="25:25" x14ac:dyDescent="0.2">
      <c r="Y40071" s="97"/>
    </row>
    <row r="40072" spans="25:25" x14ac:dyDescent="0.2">
      <c r="Y40072" s="97"/>
    </row>
    <row r="40073" spans="25:25" x14ac:dyDescent="0.2">
      <c r="Y40073" s="97"/>
    </row>
    <row r="40074" spans="25:25" x14ac:dyDescent="0.2">
      <c r="Y40074" s="97"/>
    </row>
    <row r="40075" spans="25:25" x14ac:dyDescent="0.2">
      <c r="Y40075" s="97"/>
    </row>
    <row r="40076" spans="25:25" x14ac:dyDescent="0.2">
      <c r="Y40076" s="97"/>
    </row>
    <row r="40077" spans="25:25" x14ac:dyDescent="0.2">
      <c r="Y40077" s="97"/>
    </row>
    <row r="40078" spans="25:25" x14ac:dyDescent="0.2">
      <c r="Y40078" s="97"/>
    </row>
    <row r="40079" spans="25:25" x14ac:dyDescent="0.2">
      <c r="Y40079" s="97"/>
    </row>
    <row r="40080" spans="25:25" x14ac:dyDescent="0.2">
      <c r="Y40080" s="97"/>
    </row>
    <row r="40081" spans="25:25" x14ac:dyDescent="0.2">
      <c r="Y40081" s="97"/>
    </row>
    <row r="40082" spans="25:25" x14ac:dyDescent="0.2">
      <c r="Y40082" s="97"/>
    </row>
    <row r="40083" spans="25:25" x14ac:dyDescent="0.2">
      <c r="Y40083" s="97"/>
    </row>
    <row r="40084" spans="25:25" x14ac:dyDescent="0.2">
      <c r="Y40084" s="97"/>
    </row>
    <row r="40085" spans="25:25" x14ac:dyDescent="0.2">
      <c r="Y40085" s="97"/>
    </row>
    <row r="40086" spans="25:25" x14ac:dyDescent="0.2">
      <c r="Y40086" s="97"/>
    </row>
    <row r="40087" spans="25:25" x14ac:dyDescent="0.2">
      <c r="Y40087" s="97"/>
    </row>
    <row r="40088" spans="25:25" x14ac:dyDescent="0.2">
      <c r="Y40088" s="97"/>
    </row>
    <row r="40089" spans="25:25" x14ac:dyDescent="0.2">
      <c r="Y40089" s="97"/>
    </row>
    <row r="40090" spans="25:25" x14ac:dyDescent="0.2">
      <c r="Y40090" s="97"/>
    </row>
    <row r="40091" spans="25:25" x14ac:dyDescent="0.2">
      <c r="Y40091" s="97"/>
    </row>
    <row r="40092" spans="25:25" x14ac:dyDescent="0.2">
      <c r="Y40092" s="97"/>
    </row>
    <row r="40093" spans="25:25" x14ac:dyDescent="0.2">
      <c r="Y40093" s="97"/>
    </row>
    <row r="40094" spans="25:25" x14ac:dyDescent="0.2">
      <c r="Y40094" s="97"/>
    </row>
    <row r="40095" spans="25:25" x14ac:dyDescent="0.2">
      <c r="Y40095" s="97"/>
    </row>
    <row r="40096" spans="25:25" x14ac:dyDescent="0.2">
      <c r="Y40096" s="97"/>
    </row>
    <row r="40097" spans="25:25" x14ac:dyDescent="0.2">
      <c r="Y40097" s="97"/>
    </row>
    <row r="40098" spans="25:25" x14ac:dyDescent="0.2">
      <c r="Y40098" s="97"/>
    </row>
    <row r="40099" spans="25:25" x14ac:dyDescent="0.2">
      <c r="Y40099" s="97"/>
    </row>
    <row r="40100" spans="25:25" x14ac:dyDescent="0.2">
      <c r="Y40100" s="97"/>
    </row>
    <row r="40101" spans="25:25" x14ac:dyDescent="0.2">
      <c r="Y40101" s="97"/>
    </row>
    <row r="40102" spans="25:25" x14ac:dyDescent="0.2">
      <c r="Y40102" s="97"/>
    </row>
    <row r="40103" spans="25:25" x14ac:dyDescent="0.2">
      <c r="Y40103" s="97"/>
    </row>
    <row r="40104" spans="25:25" x14ac:dyDescent="0.2">
      <c r="Y40104" s="97"/>
    </row>
    <row r="40105" spans="25:25" x14ac:dyDescent="0.2">
      <c r="Y40105" s="97"/>
    </row>
    <row r="40106" spans="25:25" x14ac:dyDescent="0.2">
      <c r="Y40106" s="97"/>
    </row>
    <row r="40107" spans="25:25" x14ac:dyDescent="0.2">
      <c r="Y40107" s="97"/>
    </row>
    <row r="40108" spans="25:25" x14ac:dyDescent="0.2">
      <c r="Y40108" s="97"/>
    </row>
    <row r="40109" spans="25:25" x14ac:dyDescent="0.2">
      <c r="Y40109" s="97"/>
    </row>
    <row r="40110" spans="25:25" x14ac:dyDescent="0.2">
      <c r="Y40110" s="97"/>
    </row>
    <row r="40111" spans="25:25" x14ac:dyDescent="0.2">
      <c r="Y40111" s="97"/>
    </row>
    <row r="40112" spans="25:25" x14ac:dyDescent="0.2">
      <c r="Y40112" s="97"/>
    </row>
    <row r="40113" spans="25:25" x14ac:dyDescent="0.2">
      <c r="Y40113" s="97"/>
    </row>
    <row r="40114" spans="25:25" x14ac:dyDescent="0.2">
      <c r="Y40114" s="97"/>
    </row>
    <row r="40115" spans="25:25" x14ac:dyDescent="0.2">
      <c r="Y40115" s="97"/>
    </row>
    <row r="40116" spans="25:25" x14ac:dyDescent="0.2">
      <c r="Y40116" s="97"/>
    </row>
    <row r="40117" spans="25:25" x14ac:dyDescent="0.2">
      <c r="Y40117" s="97"/>
    </row>
    <row r="40118" spans="25:25" x14ac:dyDescent="0.2">
      <c r="Y40118" s="97"/>
    </row>
    <row r="40119" spans="25:25" x14ac:dyDescent="0.2">
      <c r="Y40119" s="97"/>
    </row>
    <row r="40120" spans="25:25" x14ac:dyDescent="0.2">
      <c r="Y40120" s="97"/>
    </row>
    <row r="40121" spans="25:25" x14ac:dyDescent="0.2">
      <c r="Y40121" s="97"/>
    </row>
    <row r="40122" spans="25:25" x14ac:dyDescent="0.2">
      <c r="Y40122" s="97"/>
    </row>
    <row r="40123" spans="25:25" x14ac:dyDescent="0.2">
      <c r="Y40123" s="97"/>
    </row>
    <row r="40124" spans="25:25" x14ac:dyDescent="0.2">
      <c r="Y40124" s="97"/>
    </row>
    <row r="40125" spans="25:25" x14ac:dyDescent="0.2">
      <c r="Y40125" s="97"/>
    </row>
    <row r="40126" spans="25:25" x14ac:dyDescent="0.2">
      <c r="Y40126" s="97"/>
    </row>
    <row r="40127" spans="25:25" x14ac:dyDescent="0.2">
      <c r="Y40127" s="97"/>
    </row>
    <row r="40128" spans="25:25" x14ac:dyDescent="0.2">
      <c r="Y40128" s="97"/>
    </row>
    <row r="40129" spans="25:25" x14ac:dyDescent="0.2">
      <c r="Y40129" s="97"/>
    </row>
    <row r="40130" spans="25:25" x14ac:dyDescent="0.2">
      <c r="Y40130" s="97"/>
    </row>
    <row r="40131" spans="25:25" x14ac:dyDescent="0.2">
      <c r="Y40131" s="97"/>
    </row>
    <row r="40132" spans="25:25" x14ac:dyDescent="0.2">
      <c r="Y40132" s="97"/>
    </row>
    <row r="40133" spans="25:25" x14ac:dyDescent="0.2">
      <c r="Y40133" s="97"/>
    </row>
    <row r="40134" spans="25:25" x14ac:dyDescent="0.2">
      <c r="Y40134" s="97"/>
    </row>
    <row r="40135" spans="25:25" x14ac:dyDescent="0.2">
      <c r="Y40135" s="97"/>
    </row>
    <row r="40136" spans="25:25" x14ac:dyDescent="0.2">
      <c r="Y40136" s="97"/>
    </row>
    <row r="40137" spans="25:25" x14ac:dyDescent="0.2">
      <c r="Y40137" s="97"/>
    </row>
    <row r="40138" spans="25:25" x14ac:dyDescent="0.2">
      <c r="Y40138" s="97"/>
    </row>
    <row r="40139" spans="25:25" x14ac:dyDescent="0.2">
      <c r="Y40139" s="97"/>
    </row>
    <row r="40140" spans="25:25" x14ac:dyDescent="0.2">
      <c r="Y40140" s="97"/>
    </row>
    <row r="40141" spans="25:25" x14ac:dyDescent="0.2">
      <c r="Y40141" s="97"/>
    </row>
    <row r="40142" spans="25:25" x14ac:dyDescent="0.2">
      <c r="Y40142" s="97"/>
    </row>
    <row r="40143" spans="25:25" x14ac:dyDescent="0.2">
      <c r="Y40143" s="97"/>
    </row>
    <row r="40144" spans="25:25" x14ac:dyDescent="0.2">
      <c r="Y40144" s="97"/>
    </row>
    <row r="40145" spans="25:25" x14ac:dyDescent="0.2">
      <c r="Y40145" s="97"/>
    </row>
    <row r="40146" spans="25:25" x14ac:dyDescent="0.2">
      <c r="Y40146" s="97"/>
    </row>
    <row r="40147" spans="25:25" x14ac:dyDescent="0.2">
      <c r="Y40147" s="97"/>
    </row>
    <row r="40148" spans="25:25" x14ac:dyDescent="0.2">
      <c r="Y40148" s="97"/>
    </row>
    <row r="40149" spans="25:25" x14ac:dyDescent="0.2">
      <c r="Y40149" s="97"/>
    </row>
    <row r="40150" spans="25:25" x14ac:dyDescent="0.2">
      <c r="Y40150" s="97"/>
    </row>
    <row r="40151" spans="25:25" x14ac:dyDescent="0.2">
      <c r="Y40151" s="97"/>
    </row>
    <row r="40152" spans="25:25" x14ac:dyDescent="0.2">
      <c r="Y40152" s="97"/>
    </row>
    <row r="40153" spans="25:25" x14ac:dyDescent="0.2">
      <c r="Y40153" s="97"/>
    </row>
    <row r="40154" spans="25:25" x14ac:dyDescent="0.2">
      <c r="Y40154" s="97"/>
    </row>
    <row r="40155" spans="25:25" x14ac:dyDescent="0.2">
      <c r="Y40155" s="97"/>
    </row>
    <row r="40156" spans="25:25" x14ac:dyDescent="0.2">
      <c r="Y40156" s="97"/>
    </row>
    <row r="40157" spans="25:25" x14ac:dyDescent="0.2">
      <c r="Y40157" s="97"/>
    </row>
    <row r="40158" spans="25:25" x14ac:dyDescent="0.2">
      <c r="Y40158" s="97"/>
    </row>
    <row r="40159" spans="25:25" x14ac:dyDescent="0.2">
      <c r="Y40159" s="97"/>
    </row>
    <row r="40160" spans="25:25" x14ac:dyDescent="0.2">
      <c r="Y40160" s="97"/>
    </row>
    <row r="40161" spans="25:25" x14ac:dyDescent="0.2">
      <c r="Y40161" s="97"/>
    </row>
    <row r="40162" spans="25:25" x14ac:dyDescent="0.2">
      <c r="Y40162" s="97"/>
    </row>
    <row r="40163" spans="25:25" x14ac:dyDescent="0.2">
      <c r="Y40163" s="97"/>
    </row>
    <row r="40164" spans="25:25" x14ac:dyDescent="0.2">
      <c r="Y40164" s="97"/>
    </row>
    <row r="40165" spans="25:25" x14ac:dyDescent="0.2">
      <c r="Y40165" s="97"/>
    </row>
    <row r="40166" spans="25:25" x14ac:dyDescent="0.2">
      <c r="Y40166" s="97"/>
    </row>
    <row r="40167" spans="25:25" x14ac:dyDescent="0.2">
      <c r="Y40167" s="97"/>
    </row>
    <row r="40168" spans="25:25" x14ac:dyDescent="0.2">
      <c r="Y40168" s="97"/>
    </row>
    <row r="40169" spans="25:25" x14ac:dyDescent="0.2">
      <c r="Y40169" s="97"/>
    </row>
    <row r="40170" spans="25:25" x14ac:dyDescent="0.2">
      <c r="Y40170" s="97"/>
    </row>
    <row r="40171" spans="25:25" x14ac:dyDescent="0.2">
      <c r="Y40171" s="97"/>
    </row>
    <row r="40172" spans="25:25" x14ac:dyDescent="0.2">
      <c r="Y40172" s="97"/>
    </row>
    <row r="40173" spans="25:25" x14ac:dyDescent="0.2">
      <c r="Y40173" s="97"/>
    </row>
    <row r="40174" spans="25:25" x14ac:dyDescent="0.2">
      <c r="Y40174" s="97"/>
    </row>
    <row r="40175" spans="25:25" x14ac:dyDescent="0.2">
      <c r="Y40175" s="97"/>
    </row>
    <row r="40176" spans="25:25" x14ac:dyDescent="0.2">
      <c r="Y40176" s="97"/>
    </row>
    <row r="40177" spans="25:25" x14ac:dyDescent="0.2">
      <c r="Y40177" s="97"/>
    </row>
    <row r="40178" spans="25:25" x14ac:dyDescent="0.2">
      <c r="Y40178" s="97"/>
    </row>
    <row r="40179" spans="25:25" x14ac:dyDescent="0.2">
      <c r="Y40179" s="97"/>
    </row>
    <row r="40180" spans="25:25" x14ac:dyDescent="0.2">
      <c r="Y40180" s="97"/>
    </row>
    <row r="40181" spans="25:25" x14ac:dyDescent="0.2">
      <c r="Y40181" s="97"/>
    </row>
    <row r="40182" spans="25:25" x14ac:dyDescent="0.2">
      <c r="Y40182" s="97"/>
    </row>
    <row r="40183" spans="25:25" x14ac:dyDescent="0.2">
      <c r="Y40183" s="97"/>
    </row>
    <row r="40184" spans="25:25" x14ac:dyDescent="0.2">
      <c r="Y40184" s="97"/>
    </row>
    <row r="40185" spans="25:25" x14ac:dyDescent="0.2">
      <c r="Y40185" s="97"/>
    </row>
    <row r="40186" spans="25:25" x14ac:dyDescent="0.2">
      <c r="Y40186" s="97"/>
    </row>
    <row r="40187" spans="25:25" x14ac:dyDescent="0.2">
      <c r="Y40187" s="97"/>
    </row>
    <row r="40188" spans="25:25" x14ac:dyDescent="0.2">
      <c r="Y40188" s="97"/>
    </row>
    <row r="40189" spans="25:25" x14ac:dyDescent="0.2">
      <c r="Y40189" s="97"/>
    </row>
    <row r="40190" spans="25:25" x14ac:dyDescent="0.2">
      <c r="Y40190" s="97"/>
    </row>
    <row r="40191" spans="25:25" x14ac:dyDescent="0.2">
      <c r="Y40191" s="97"/>
    </row>
    <row r="40192" spans="25:25" x14ac:dyDescent="0.2">
      <c r="Y40192" s="97"/>
    </row>
    <row r="40193" spans="25:25" x14ac:dyDescent="0.2">
      <c r="Y40193" s="97"/>
    </row>
    <row r="40194" spans="25:25" x14ac:dyDescent="0.2">
      <c r="Y40194" s="97"/>
    </row>
    <row r="40195" spans="25:25" x14ac:dyDescent="0.2">
      <c r="Y40195" s="97"/>
    </row>
    <row r="40196" spans="25:25" x14ac:dyDescent="0.2">
      <c r="Y40196" s="97"/>
    </row>
    <row r="40197" spans="25:25" x14ac:dyDescent="0.2">
      <c r="Y40197" s="97"/>
    </row>
    <row r="40198" spans="25:25" x14ac:dyDescent="0.2">
      <c r="Y40198" s="97"/>
    </row>
    <row r="40199" spans="25:25" x14ac:dyDescent="0.2">
      <c r="Y40199" s="97"/>
    </row>
    <row r="40200" spans="25:25" x14ac:dyDescent="0.2">
      <c r="Y40200" s="97"/>
    </row>
    <row r="40201" spans="25:25" x14ac:dyDescent="0.2">
      <c r="Y40201" s="97"/>
    </row>
    <row r="40202" spans="25:25" x14ac:dyDescent="0.2">
      <c r="Y40202" s="97"/>
    </row>
    <row r="40203" spans="25:25" x14ac:dyDescent="0.2">
      <c r="Y40203" s="97"/>
    </row>
    <row r="40204" spans="25:25" x14ac:dyDescent="0.2">
      <c r="Y40204" s="97"/>
    </row>
    <row r="40205" spans="25:25" x14ac:dyDescent="0.2">
      <c r="Y40205" s="97"/>
    </row>
    <row r="40206" spans="25:25" x14ac:dyDescent="0.2">
      <c r="Y40206" s="97"/>
    </row>
    <row r="40207" spans="25:25" x14ac:dyDescent="0.2">
      <c r="Y40207" s="97"/>
    </row>
    <row r="40208" spans="25:25" x14ac:dyDescent="0.2">
      <c r="Y40208" s="97"/>
    </row>
    <row r="40209" spans="25:25" x14ac:dyDescent="0.2">
      <c r="Y40209" s="97"/>
    </row>
    <row r="40210" spans="25:25" x14ac:dyDescent="0.2">
      <c r="Y40210" s="97"/>
    </row>
    <row r="40211" spans="25:25" x14ac:dyDescent="0.2">
      <c r="Y40211" s="97"/>
    </row>
    <row r="40212" spans="25:25" x14ac:dyDescent="0.2">
      <c r="Y40212" s="97"/>
    </row>
    <row r="40213" spans="25:25" x14ac:dyDescent="0.2">
      <c r="Y40213" s="97"/>
    </row>
    <row r="40214" spans="25:25" x14ac:dyDescent="0.2">
      <c r="Y40214" s="97"/>
    </row>
    <row r="40215" spans="25:25" x14ac:dyDescent="0.2">
      <c r="Y40215" s="97"/>
    </row>
    <row r="40216" spans="25:25" x14ac:dyDescent="0.2">
      <c r="Y40216" s="97"/>
    </row>
    <row r="40217" spans="25:25" x14ac:dyDescent="0.2">
      <c r="Y40217" s="97"/>
    </row>
    <row r="40218" spans="25:25" x14ac:dyDescent="0.2">
      <c r="Y40218" s="97"/>
    </row>
    <row r="40219" spans="25:25" x14ac:dyDescent="0.2">
      <c r="Y40219" s="97"/>
    </row>
    <row r="40220" spans="25:25" x14ac:dyDescent="0.2">
      <c r="Y40220" s="97"/>
    </row>
    <row r="40221" spans="25:25" x14ac:dyDescent="0.2">
      <c r="Y40221" s="97"/>
    </row>
    <row r="40222" spans="25:25" x14ac:dyDescent="0.2">
      <c r="Y40222" s="97"/>
    </row>
    <row r="40223" spans="25:25" x14ac:dyDescent="0.2">
      <c r="Y40223" s="97"/>
    </row>
    <row r="40224" spans="25:25" x14ac:dyDescent="0.2">
      <c r="Y40224" s="97"/>
    </row>
    <row r="40225" spans="25:25" x14ac:dyDescent="0.2">
      <c r="Y40225" s="97"/>
    </row>
    <row r="40226" spans="25:25" x14ac:dyDescent="0.2">
      <c r="Y40226" s="97"/>
    </row>
    <row r="40227" spans="25:25" x14ac:dyDescent="0.2">
      <c r="Y40227" s="97"/>
    </row>
    <row r="40228" spans="25:25" x14ac:dyDescent="0.2">
      <c r="Y40228" s="97"/>
    </row>
    <row r="40229" spans="25:25" x14ac:dyDescent="0.2">
      <c r="Y40229" s="97"/>
    </row>
    <row r="40230" spans="25:25" x14ac:dyDescent="0.2">
      <c r="Y40230" s="97"/>
    </row>
    <row r="40231" spans="25:25" x14ac:dyDescent="0.2">
      <c r="Y40231" s="97"/>
    </row>
    <row r="40232" spans="25:25" x14ac:dyDescent="0.2">
      <c r="Y40232" s="97"/>
    </row>
    <row r="40233" spans="25:25" x14ac:dyDescent="0.2">
      <c r="Y40233" s="97"/>
    </row>
    <row r="40234" spans="25:25" x14ac:dyDescent="0.2">
      <c r="Y40234" s="97"/>
    </row>
    <row r="40235" spans="25:25" x14ac:dyDescent="0.2">
      <c r="Y40235" s="97"/>
    </row>
    <row r="40236" spans="25:25" x14ac:dyDescent="0.2">
      <c r="Y40236" s="97"/>
    </row>
    <row r="40237" spans="25:25" x14ac:dyDescent="0.2">
      <c r="Y40237" s="97"/>
    </row>
    <row r="40238" spans="25:25" x14ac:dyDescent="0.2">
      <c r="Y40238" s="97"/>
    </row>
    <row r="40239" spans="25:25" x14ac:dyDescent="0.2">
      <c r="Y40239" s="97"/>
    </row>
    <row r="40240" spans="25:25" x14ac:dyDescent="0.2">
      <c r="Y40240" s="97"/>
    </row>
    <row r="40241" spans="25:25" x14ac:dyDescent="0.2">
      <c r="Y40241" s="97"/>
    </row>
    <row r="40242" spans="25:25" x14ac:dyDescent="0.2">
      <c r="Y40242" s="97"/>
    </row>
    <row r="40243" spans="25:25" x14ac:dyDescent="0.2">
      <c r="Y40243" s="97"/>
    </row>
    <row r="40244" spans="25:25" x14ac:dyDescent="0.2">
      <c r="Y40244" s="97"/>
    </row>
    <row r="40245" spans="25:25" x14ac:dyDescent="0.2">
      <c r="Y40245" s="97"/>
    </row>
    <row r="40246" spans="25:25" x14ac:dyDescent="0.2">
      <c r="Y40246" s="97"/>
    </row>
    <row r="40247" spans="25:25" x14ac:dyDescent="0.2">
      <c r="Y40247" s="97"/>
    </row>
    <row r="40248" spans="25:25" x14ac:dyDescent="0.2">
      <c r="Y40248" s="97"/>
    </row>
    <row r="40249" spans="25:25" x14ac:dyDescent="0.2">
      <c r="Y40249" s="97"/>
    </row>
    <row r="40250" spans="25:25" x14ac:dyDescent="0.2">
      <c r="Y40250" s="97"/>
    </row>
    <row r="40251" spans="25:25" x14ac:dyDescent="0.2">
      <c r="Y40251" s="97"/>
    </row>
    <row r="40252" spans="25:25" x14ac:dyDescent="0.2">
      <c r="Y40252" s="97"/>
    </row>
    <row r="40253" spans="25:25" x14ac:dyDescent="0.2">
      <c r="Y40253" s="97"/>
    </row>
    <row r="40254" spans="25:25" x14ac:dyDescent="0.2">
      <c r="Y40254" s="97"/>
    </row>
    <row r="40255" spans="25:25" x14ac:dyDescent="0.2">
      <c r="Y40255" s="97"/>
    </row>
    <row r="40256" spans="25:25" x14ac:dyDescent="0.2">
      <c r="Y40256" s="97"/>
    </row>
    <row r="40257" spans="25:25" x14ac:dyDescent="0.2">
      <c r="Y40257" s="97"/>
    </row>
    <row r="40258" spans="25:25" x14ac:dyDescent="0.2">
      <c r="Y40258" s="97"/>
    </row>
    <row r="40259" spans="25:25" x14ac:dyDescent="0.2">
      <c r="Y40259" s="97"/>
    </row>
    <row r="40260" spans="25:25" x14ac:dyDescent="0.2">
      <c r="Y40260" s="97"/>
    </row>
    <row r="40261" spans="25:25" x14ac:dyDescent="0.2">
      <c r="Y40261" s="97"/>
    </row>
    <row r="40262" spans="25:25" x14ac:dyDescent="0.2">
      <c r="Y40262" s="97"/>
    </row>
    <row r="40263" spans="25:25" x14ac:dyDescent="0.2">
      <c r="Y40263" s="97"/>
    </row>
    <row r="40264" spans="25:25" x14ac:dyDescent="0.2">
      <c r="Y40264" s="97"/>
    </row>
    <row r="40265" spans="25:25" x14ac:dyDescent="0.2">
      <c r="Y40265" s="97"/>
    </row>
    <row r="40266" spans="25:25" x14ac:dyDescent="0.2">
      <c r="Y40266" s="97"/>
    </row>
    <row r="40267" spans="25:25" x14ac:dyDescent="0.2">
      <c r="Y40267" s="97"/>
    </row>
    <row r="40268" spans="25:25" x14ac:dyDescent="0.2">
      <c r="Y40268" s="97"/>
    </row>
    <row r="40269" spans="25:25" x14ac:dyDescent="0.2">
      <c r="Y40269" s="97"/>
    </row>
    <row r="40270" spans="25:25" x14ac:dyDescent="0.2">
      <c r="Y40270" s="97"/>
    </row>
    <row r="40271" spans="25:25" x14ac:dyDescent="0.2">
      <c r="Y40271" s="97"/>
    </row>
    <row r="40272" spans="25:25" x14ac:dyDescent="0.2">
      <c r="Y40272" s="97"/>
    </row>
    <row r="40273" spans="25:25" x14ac:dyDescent="0.2">
      <c r="Y40273" s="97"/>
    </row>
    <row r="40274" spans="25:25" x14ac:dyDescent="0.2">
      <c r="Y40274" s="97"/>
    </row>
    <row r="40275" spans="25:25" x14ac:dyDescent="0.2">
      <c r="Y40275" s="97"/>
    </row>
    <row r="40276" spans="25:25" x14ac:dyDescent="0.2">
      <c r="Y40276" s="97"/>
    </row>
    <row r="40277" spans="25:25" x14ac:dyDescent="0.2">
      <c r="Y40277" s="97"/>
    </row>
    <row r="40278" spans="25:25" x14ac:dyDescent="0.2">
      <c r="Y40278" s="97"/>
    </row>
    <row r="40279" spans="25:25" x14ac:dyDescent="0.2">
      <c r="Y40279" s="97"/>
    </row>
    <row r="40280" spans="25:25" x14ac:dyDescent="0.2">
      <c r="Y40280" s="97"/>
    </row>
    <row r="40281" spans="25:25" x14ac:dyDescent="0.2">
      <c r="Y40281" s="97"/>
    </row>
    <row r="40282" spans="25:25" x14ac:dyDescent="0.2">
      <c r="Y40282" s="97"/>
    </row>
    <row r="40283" spans="25:25" x14ac:dyDescent="0.2">
      <c r="Y40283" s="97"/>
    </row>
    <row r="40284" spans="25:25" x14ac:dyDescent="0.2">
      <c r="Y40284" s="97"/>
    </row>
    <row r="40285" spans="25:25" x14ac:dyDescent="0.2">
      <c r="Y40285" s="97"/>
    </row>
    <row r="40286" spans="25:25" x14ac:dyDescent="0.2">
      <c r="Y40286" s="97"/>
    </row>
    <row r="40287" spans="25:25" x14ac:dyDescent="0.2">
      <c r="Y40287" s="97"/>
    </row>
    <row r="40288" spans="25:25" x14ac:dyDescent="0.2">
      <c r="Y40288" s="97"/>
    </row>
    <row r="40289" spans="25:25" x14ac:dyDescent="0.2">
      <c r="Y40289" s="97"/>
    </row>
    <row r="40290" spans="25:25" x14ac:dyDescent="0.2">
      <c r="Y40290" s="97"/>
    </row>
    <row r="40291" spans="25:25" x14ac:dyDescent="0.2">
      <c r="Y40291" s="97"/>
    </row>
    <row r="40292" spans="25:25" x14ac:dyDescent="0.2">
      <c r="Y40292" s="97"/>
    </row>
    <row r="40293" spans="25:25" x14ac:dyDescent="0.2">
      <c r="Y40293" s="97"/>
    </row>
    <row r="40294" spans="25:25" x14ac:dyDescent="0.2">
      <c r="Y40294" s="97"/>
    </row>
    <row r="40295" spans="25:25" x14ac:dyDescent="0.2">
      <c r="Y40295" s="97"/>
    </row>
    <row r="40296" spans="25:25" x14ac:dyDescent="0.2">
      <c r="Y40296" s="97"/>
    </row>
    <row r="40297" spans="25:25" x14ac:dyDescent="0.2">
      <c r="Y40297" s="97"/>
    </row>
    <row r="40298" spans="25:25" x14ac:dyDescent="0.2">
      <c r="Y40298" s="97"/>
    </row>
    <row r="40299" spans="25:25" x14ac:dyDescent="0.2">
      <c r="Y40299" s="97"/>
    </row>
    <row r="40300" spans="25:25" x14ac:dyDescent="0.2">
      <c r="Y40300" s="97"/>
    </row>
    <row r="40301" spans="25:25" x14ac:dyDescent="0.2">
      <c r="Y40301" s="97"/>
    </row>
    <row r="40302" spans="25:25" x14ac:dyDescent="0.2">
      <c r="Y40302" s="97"/>
    </row>
    <row r="40303" spans="25:25" x14ac:dyDescent="0.2">
      <c r="Y40303" s="97"/>
    </row>
    <row r="40304" spans="25:25" x14ac:dyDescent="0.2">
      <c r="Y40304" s="97"/>
    </row>
    <row r="40305" spans="25:25" x14ac:dyDescent="0.2">
      <c r="Y40305" s="97"/>
    </row>
    <row r="40306" spans="25:25" x14ac:dyDescent="0.2">
      <c r="Y40306" s="97"/>
    </row>
    <row r="40307" spans="25:25" x14ac:dyDescent="0.2">
      <c r="Y40307" s="97"/>
    </row>
    <row r="40308" spans="25:25" x14ac:dyDescent="0.2">
      <c r="Y40308" s="97"/>
    </row>
    <row r="40309" spans="25:25" x14ac:dyDescent="0.2">
      <c r="Y40309" s="97"/>
    </row>
    <row r="40310" spans="25:25" x14ac:dyDescent="0.2">
      <c r="Y40310" s="97"/>
    </row>
    <row r="40311" spans="25:25" x14ac:dyDescent="0.2">
      <c r="Y40311" s="97"/>
    </row>
    <row r="40312" spans="25:25" x14ac:dyDescent="0.2">
      <c r="Y40312" s="97"/>
    </row>
    <row r="40313" spans="25:25" x14ac:dyDescent="0.2">
      <c r="Y40313" s="97"/>
    </row>
    <row r="40314" spans="25:25" x14ac:dyDescent="0.2">
      <c r="Y40314" s="97"/>
    </row>
    <row r="40315" spans="25:25" x14ac:dyDescent="0.2">
      <c r="Y40315" s="97"/>
    </row>
    <row r="40316" spans="25:25" x14ac:dyDescent="0.2">
      <c r="Y40316" s="97"/>
    </row>
    <row r="40317" spans="25:25" x14ac:dyDescent="0.2">
      <c r="Y40317" s="97"/>
    </row>
    <row r="40318" spans="25:25" x14ac:dyDescent="0.2">
      <c r="Y40318" s="97"/>
    </row>
    <row r="40319" spans="25:25" x14ac:dyDescent="0.2">
      <c r="Y40319" s="97"/>
    </row>
    <row r="40320" spans="25:25" x14ac:dyDescent="0.2">
      <c r="Y40320" s="97"/>
    </row>
    <row r="40321" spans="25:25" x14ac:dyDescent="0.2">
      <c r="Y40321" s="97"/>
    </row>
    <row r="40322" spans="25:25" x14ac:dyDescent="0.2">
      <c r="Y40322" s="97"/>
    </row>
    <row r="40323" spans="25:25" x14ac:dyDescent="0.2">
      <c r="Y40323" s="97"/>
    </row>
    <row r="40324" spans="25:25" x14ac:dyDescent="0.2">
      <c r="Y40324" s="97"/>
    </row>
    <row r="40325" spans="25:25" x14ac:dyDescent="0.2">
      <c r="Y40325" s="97"/>
    </row>
    <row r="40326" spans="25:25" x14ac:dyDescent="0.2">
      <c r="Y40326" s="97"/>
    </row>
    <row r="40327" spans="25:25" x14ac:dyDescent="0.2">
      <c r="Y40327" s="97"/>
    </row>
    <row r="40328" spans="25:25" x14ac:dyDescent="0.2">
      <c r="Y40328" s="97"/>
    </row>
    <row r="40329" spans="25:25" x14ac:dyDescent="0.2">
      <c r="Y40329" s="97"/>
    </row>
    <row r="40330" spans="25:25" x14ac:dyDescent="0.2">
      <c r="Y40330" s="97"/>
    </row>
    <row r="40331" spans="25:25" x14ac:dyDescent="0.2">
      <c r="Y40331" s="97"/>
    </row>
    <row r="40332" spans="25:25" x14ac:dyDescent="0.2">
      <c r="Y40332" s="97"/>
    </row>
    <row r="40333" spans="25:25" x14ac:dyDescent="0.2">
      <c r="Y40333" s="97"/>
    </row>
    <row r="40334" spans="25:25" x14ac:dyDescent="0.2">
      <c r="Y40334" s="97"/>
    </row>
    <row r="40335" spans="25:25" x14ac:dyDescent="0.2">
      <c r="Y40335" s="97"/>
    </row>
    <row r="40336" spans="25:25" x14ac:dyDescent="0.2">
      <c r="Y40336" s="97"/>
    </row>
    <row r="40337" spans="25:25" x14ac:dyDescent="0.2">
      <c r="Y40337" s="97"/>
    </row>
    <row r="40338" spans="25:25" x14ac:dyDescent="0.2">
      <c r="Y40338" s="97"/>
    </row>
    <row r="40339" spans="25:25" x14ac:dyDescent="0.2">
      <c r="Y40339" s="97"/>
    </row>
    <row r="40340" spans="25:25" x14ac:dyDescent="0.2">
      <c r="Y40340" s="97"/>
    </row>
    <row r="40341" spans="25:25" x14ac:dyDescent="0.2">
      <c r="Y40341" s="97"/>
    </row>
    <row r="40342" spans="25:25" x14ac:dyDescent="0.2">
      <c r="Y40342" s="97"/>
    </row>
    <row r="40343" spans="25:25" x14ac:dyDescent="0.2">
      <c r="Y40343" s="97"/>
    </row>
    <row r="40344" spans="25:25" x14ac:dyDescent="0.2">
      <c r="Y40344" s="97"/>
    </row>
    <row r="40345" spans="25:25" x14ac:dyDescent="0.2">
      <c r="Y40345" s="97"/>
    </row>
    <row r="40346" spans="25:25" x14ac:dyDescent="0.2">
      <c r="Y40346" s="97"/>
    </row>
    <row r="40347" spans="25:25" x14ac:dyDescent="0.2">
      <c r="Y40347" s="97"/>
    </row>
    <row r="40348" spans="25:25" x14ac:dyDescent="0.2">
      <c r="Y40348" s="97"/>
    </row>
    <row r="40349" spans="25:25" x14ac:dyDescent="0.2">
      <c r="Y40349" s="97"/>
    </row>
    <row r="40350" spans="25:25" x14ac:dyDescent="0.2">
      <c r="Y40350" s="97"/>
    </row>
    <row r="40351" spans="25:25" x14ac:dyDescent="0.2">
      <c r="Y40351" s="97"/>
    </row>
    <row r="40352" spans="25:25" x14ac:dyDescent="0.2">
      <c r="Y40352" s="97"/>
    </row>
    <row r="40353" spans="25:25" x14ac:dyDescent="0.2">
      <c r="Y40353" s="97"/>
    </row>
    <row r="40354" spans="25:25" x14ac:dyDescent="0.2">
      <c r="Y40354" s="97"/>
    </row>
    <row r="40355" spans="25:25" x14ac:dyDescent="0.2">
      <c r="Y40355" s="97"/>
    </row>
    <row r="40356" spans="25:25" x14ac:dyDescent="0.2">
      <c r="Y40356" s="97"/>
    </row>
    <row r="40357" spans="25:25" x14ac:dyDescent="0.2">
      <c r="Y40357" s="97"/>
    </row>
    <row r="40358" spans="25:25" x14ac:dyDescent="0.2">
      <c r="Y40358" s="97"/>
    </row>
    <row r="40359" spans="25:25" x14ac:dyDescent="0.2">
      <c r="Y40359" s="97"/>
    </row>
    <row r="40360" spans="25:25" x14ac:dyDescent="0.2">
      <c r="Y40360" s="97"/>
    </row>
    <row r="40361" spans="25:25" x14ac:dyDescent="0.2">
      <c r="Y40361" s="97"/>
    </row>
    <row r="40362" spans="25:25" x14ac:dyDescent="0.2">
      <c r="Y40362" s="97"/>
    </row>
    <row r="40363" spans="25:25" x14ac:dyDescent="0.2">
      <c r="Y40363" s="97"/>
    </row>
    <row r="40364" spans="25:25" x14ac:dyDescent="0.2">
      <c r="Y40364" s="97"/>
    </row>
    <row r="40365" spans="25:25" x14ac:dyDescent="0.2">
      <c r="Y40365" s="97"/>
    </row>
    <row r="40366" spans="25:25" x14ac:dyDescent="0.2">
      <c r="Y40366" s="97"/>
    </row>
    <row r="40367" spans="25:25" x14ac:dyDescent="0.2">
      <c r="Y40367" s="97"/>
    </row>
    <row r="40368" spans="25:25" x14ac:dyDescent="0.2">
      <c r="Y40368" s="97"/>
    </row>
    <row r="40369" spans="25:25" x14ac:dyDescent="0.2">
      <c r="Y40369" s="97"/>
    </row>
    <row r="40370" spans="25:25" x14ac:dyDescent="0.2">
      <c r="Y40370" s="97"/>
    </row>
    <row r="40371" spans="25:25" x14ac:dyDescent="0.2">
      <c r="Y40371" s="97"/>
    </row>
    <row r="40372" spans="25:25" x14ac:dyDescent="0.2">
      <c r="Y40372" s="97"/>
    </row>
    <row r="40373" spans="25:25" x14ac:dyDescent="0.2">
      <c r="Y40373" s="97"/>
    </row>
    <row r="40374" spans="25:25" x14ac:dyDescent="0.2">
      <c r="Y40374" s="97"/>
    </row>
    <row r="40375" spans="25:25" x14ac:dyDescent="0.2">
      <c r="Y40375" s="97"/>
    </row>
    <row r="40376" spans="25:25" x14ac:dyDescent="0.2">
      <c r="Y40376" s="97"/>
    </row>
    <row r="40377" spans="25:25" x14ac:dyDescent="0.2">
      <c r="Y40377" s="97"/>
    </row>
    <row r="40378" spans="25:25" x14ac:dyDescent="0.2">
      <c r="Y40378" s="97"/>
    </row>
    <row r="40379" spans="25:25" x14ac:dyDescent="0.2">
      <c r="Y40379" s="97"/>
    </row>
    <row r="40380" spans="25:25" x14ac:dyDescent="0.2">
      <c r="Y40380" s="97"/>
    </row>
    <row r="40381" spans="25:25" x14ac:dyDescent="0.2">
      <c r="Y40381" s="97"/>
    </row>
    <row r="40382" spans="25:25" x14ac:dyDescent="0.2">
      <c r="Y40382" s="97"/>
    </row>
    <row r="40383" spans="25:25" x14ac:dyDescent="0.2">
      <c r="Y40383" s="97"/>
    </row>
    <row r="40384" spans="25:25" x14ac:dyDescent="0.2">
      <c r="Y40384" s="97"/>
    </row>
    <row r="40385" spans="25:25" x14ac:dyDescent="0.2">
      <c r="Y40385" s="97"/>
    </row>
    <row r="40386" spans="25:25" x14ac:dyDescent="0.2">
      <c r="Y40386" s="97"/>
    </row>
    <row r="40387" spans="25:25" x14ac:dyDescent="0.2">
      <c r="Y40387" s="97"/>
    </row>
    <row r="40388" spans="25:25" x14ac:dyDescent="0.2">
      <c r="Y40388" s="97"/>
    </row>
    <row r="40389" spans="25:25" x14ac:dyDescent="0.2">
      <c r="Y40389" s="97"/>
    </row>
    <row r="40390" spans="25:25" x14ac:dyDescent="0.2">
      <c r="Y40390" s="97"/>
    </row>
    <row r="40391" spans="25:25" x14ac:dyDescent="0.2">
      <c r="Y40391" s="97"/>
    </row>
    <row r="40392" spans="25:25" x14ac:dyDescent="0.2">
      <c r="Y40392" s="97"/>
    </row>
    <row r="40393" spans="25:25" x14ac:dyDescent="0.2">
      <c r="Y40393" s="97"/>
    </row>
    <row r="40394" spans="25:25" x14ac:dyDescent="0.2">
      <c r="Y40394" s="97"/>
    </row>
    <row r="40395" spans="25:25" x14ac:dyDescent="0.2">
      <c r="Y40395" s="97"/>
    </row>
    <row r="40396" spans="25:25" x14ac:dyDescent="0.2">
      <c r="Y40396" s="97"/>
    </row>
    <row r="40397" spans="25:25" x14ac:dyDescent="0.2">
      <c r="Y40397" s="97"/>
    </row>
    <row r="40398" spans="25:25" x14ac:dyDescent="0.2">
      <c r="Y40398" s="97"/>
    </row>
    <row r="40399" spans="25:25" x14ac:dyDescent="0.2">
      <c r="Y40399" s="97"/>
    </row>
    <row r="40400" spans="25:25" x14ac:dyDescent="0.2">
      <c r="Y40400" s="97"/>
    </row>
    <row r="40401" spans="25:25" x14ac:dyDescent="0.2">
      <c r="Y40401" s="97"/>
    </row>
    <row r="40402" spans="25:25" x14ac:dyDescent="0.2">
      <c r="Y40402" s="97"/>
    </row>
    <row r="40403" spans="25:25" x14ac:dyDescent="0.2">
      <c r="Y40403" s="97"/>
    </row>
    <row r="40404" spans="25:25" x14ac:dyDescent="0.2">
      <c r="Y40404" s="97"/>
    </row>
    <row r="40405" spans="25:25" x14ac:dyDescent="0.2">
      <c r="Y40405" s="97"/>
    </row>
    <row r="40406" spans="25:25" x14ac:dyDescent="0.2">
      <c r="Y40406" s="97"/>
    </row>
    <row r="40407" spans="25:25" x14ac:dyDescent="0.2">
      <c r="Y40407" s="97"/>
    </row>
    <row r="40408" spans="25:25" x14ac:dyDescent="0.2">
      <c r="Y40408" s="97"/>
    </row>
    <row r="40409" spans="25:25" x14ac:dyDescent="0.2">
      <c r="Y40409" s="97"/>
    </row>
    <row r="40410" spans="25:25" x14ac:dyDescent="0.2">
      <c r="Y40410" s="97"/>
    </row>
    <row r="40411" spans="25:25" x14ac:dyDescent="0.2">
      <c r="Y40411" s="97"/>
    </row>
    <row r="40412" spans="25:25" x14ac:dyDescent="0.2">
      <c r="Y40412" s="97"/>
    </row>
    <row r="40413" spans="25:25" x14ac:dyDescent="0.2">
      <c r="Y40413" s="97"/>
    </row>
    <row r="40414" spans="25:25" x14ac:dyDescent="0.2">
      <c r="Y40414" s="97"/>
    </row>
    <row r="40415" spans="25:25" x14ac:dyDescent="0.2">
      <c r="Y40415" s="97"/>
    </row>
    <row r="40416" spans="25:25" x14ac:dyDescent="0.2">
      <c r="Y40416" s="97"/>
    </row>
    <row r="40417" spans="25:25" x14ac:dyDescent="0.2">
      <c r="Y40417" s="97"/>
    </row>
    <row r="40418" spans="25:25" x14ac:dyDescent="0.2">
      <c r="Y40418" s="97"/>
    </row>
    <row r="40419" spans="25:25" x14ac:dyDescent="0.2">
      <c r="Y40419" s="97"/>
    </row>
    <row r="40420" spans="25:25" x14ac:dyDescent="0.2">
      <c r="Y40420" s="97"/>
    </row>
    <row r="40421" spans="25:25" x14ac:dyDescent="0.2">
      <c r="Y40421" s="97"/>
    </row>
    <row r="40422" spans="25:25" x14ac:dyDescent="0.2">
      <c r="Y40422" s="97"/>
    </row>
    <row r="40423" spans="25:25" x14ac:dyDescent="0.2">
      <c r="Y40423" s="97"/>
    </row>
    <row r="40424" spans="25:25" x14ac:dyDescent="0.2">
      <c r="Y40424" s="97"/>
    </row>
    <row r="40425" spans="25:25" x14ac:dyDescent="0.2">
      <c r="Y40425" s="97"/>
    </row>
    <row r="40426" spans="25:25" x14ac:dyDescent="0.2">
      <c r="Y40426" s="97"/>
    </row>
    <row r="40427" spans="25:25" x14ac:dyDescent="0.2">
      <c r="Y40427" s="97"/>
    </row>
    <row r="40428" spans="25:25" x14ac:dyDescent="0.2">
      <c r="Y40428" s="97"/>
    </row>
    <row r="40429" spans="25:25" x14ac:dyDescent="0.2">
      <c r="Y40429" s="97"/>
    </row>
    <row r="40430" spans="25:25" x14ac:dyDescent="0.2">
      <c r="Y40430" s="97"/>
    </row>
    <row r="40431" spans="25:25" x14ac:dyDescent="0.2">
      <c r="Y40431" s="97"/>
    </row>
    <row r="40432" spans="25:25" x14ac:dyDescent="0.2">
      <c r="Y40432" s="97"/>
    </row>
    <row r="40433" spans="25:25" x14ac:dyDescent="0.2">
      <c r="Y40433" s="97"/>
    </row>
    <row r="40434" spans="25:25" x14ac:dyDescent="0.2">
      <c r="Y40434" s="97"/>
    </row>
    <row r="40435" spans="25:25" x14ac:dyDescent="0.2">
      <c r="Y40435" s="97"/>
    </row>
    <row r="40436" spans="25:25" x14ac:dyDescent="0.2">
      <c r="Y40436" s="97"/>
    </row>
    <row r="40437" spans="25:25" x14ac:dyDescent="0.2">
      <c r="Y40437" s="97"/>
    </row>
    <row r="40438" spans="25:25" x14ac:dyDescent="0.2">
      <c r="Y40438" s="97"/>
    </row>
    <row r="40439" spans="25:25" x14ac:dyDescent="0.2">
      <c r="Y40439" s="97"/>
    </row>
    <row r="40440" spans="25:25" x14ac:dyDescent="0.2">
      <c r="Y40440" s="97"/>
    </row>
    <row r="40441" spans="25:25" x14ac:dyDescent="0.2">
      <c r="Y40441" s="97"/>
    </row>
    <row r="40442" spans="25:25" x14ac:dyDescent="0.2">
      <c r="Y40442" s="97"/>
    </row>
    <row r="40443" spans="25:25" x14ac:dyDescent="0.2">
      <c r="Y40443" s="97"/>
    </row>
    <row r="40444" spans="25:25" x14ac:dyDescent="0.2">
      <c r="Y40444" s="97"/>
    </row>
    <row r="40445" spans="25:25" x14ac:dyDescent="0.2">
      <c r="Y40445" s="97"/>
    </row>
    <row r="40446" spans="25:25" x14ac:dyDescent="0.2">
      <c r="Y40446" s="97"/>
    </row>
    <row r="40447" spans="25:25" x14ac:dyDescent="0.2">
      <c r="Y40447" s="97"/>
    </row>
    <row r="40448" spans="25:25" x14ac:dyDescent="0.2">
      <c r="Y40448" s="97"/>
    </row>
    <row r="40449" spans="25:25" x14ac:dyDescent="0.2">
      <c r="Y40449" s="97"/>
    </row>
    <row r="40450" spans="25:25" x14ac:dyDescent="0.2">
      <c r="Y40450" s="97"/>
    </row>
    <row r="40451" spans="25:25" x14ac:dyDescent="0.2">
      <c r="Y40451" s="97"/>
    </row>
    <row r="40452" spans="25:25" x14ac:dyDescent="0.2">
      <c r="Y40452" s="97"/>
    </row>
    <row r="40453" spans="25:25" x14ac:dyDescent="0.2">
      <c r="Y40453" s="97"/>
    </row>
    <row r="40454" spans="25:25" x14ac:dyDescent="0.2">
      <c r="Y40454" s="97"/>
    </row>
    <row r="40455" spans="25:25" x14ac:dyDescent="0.2">
      <c r="Y40455" s="97"/>
    </row>
    <row r="40456" spans="25:25" x14ac:dyDescent="0.2">
      <c r="Y40456" s="97"/>
    </row>
    <row r="40457" spans="25:25" x14ac:dyDescent="0.2">
      <c r="Y40457" s="97"/>
    </row>
    <row r="40458" spans="25:25" x14ac:dyDescent="0.2">
      <c r="Y40458" s="97"/>
    </row>
    <row r="40459" spans="25:25" x14ac:dyDescent="0.2">
      <c r="Y40459" s="97"/>
    </row>
    <row r="40460" spans="25:25" x14ac:dyDescent="0.2">
      <c r="Y40460" s="97"/>
    </row>
    <row r="40461" spans="25:25" x14ac:dyDescent="0.2">
      <c r="Y40461" s="97"/>
    </row>
    <row r="40462" spans="25:25" x14ac:dyDescent="0.2">
      <c r="Y40462" s="97"/>
    </row>
    <row r="40463" spans="25:25" x14ac:dyDescent="0.2">
      <c r="Y40463" s="97"/>
    </row>
    <row r="40464" spans="25:25" x14ac:dyDescent="0.2">
      <c r="Y40464" s="97"/>
    </row>
    <row r="40465" spans="25:25" x14ac:dyDescent="0.2">
      <c r="Y40465" s="97"/>
    </row>
    <row r="40466" spans="25:25" x14ac:dyDescent="0.2">
      <c r="Y40466" s="97"/>
    </row>
    <row r="40467" spans="25:25" x14ac:dyDescent="0.2">
      <c r="Y40467" s="97"/>
    </row>
    <row r="40468" spans="25:25" x14ac:dyDescent="0.2">
      <c r="Y40468" s="97"/>
    </row>
    <row r="40469" spans="25:25" x14ac:dyDescent="0.2">
      <c r="Y40469" s="97"/>
    </row>
    <row r="40470" spans="25:25" x14ac:dyDescent="0.2">
      <c r="Y40470" s="97"/>
    </row>
    <row r="40471" spans="25:25" x14ac:dyDescent="0.2">
      <c r="Y40471" s="97"/>
    </row>
    <row r="40472" spans="25:25" x14ac:dyDescent="0.2">
      <c r="Y40472" s="97"/>
    </row>
    <row r="40473" spans="25:25" x14ac:dyDescent="0.2">
      <c r="Y40473" s="97"/>
    </row>
    <row r="40474" spans="25:25" x14ac:dyDescent="0.2">
      <c r="Y40474" s="97"/>
    </row>
    <row r="40475" spans="25:25" x14ac:dyDescent="0.2">
      <c r="Y40475" s="97"/>
    </row>
    <row r="40476" spans="25:25" x14ac:dyDescent="0.2">
      <c r="Y40476" s="97"/>
    </row>
    <row r="40477" spans="25:25" x14ac:dyDescent="0.2">
      <c r="Y40477" s="97"/>
    </row>
    <row r="40478" spans="25:25" x14ac:dyDescent="0.2">
      <c r="Y40478" s="97"/>
    </row>
    <row r="40479" spans="25:25" x14ac:dyDescent="0.2">
      <c r="Y40479" s="97"/>
    </row>
    <row r="40480" spans="25:25" x14ac:dyDescent="0.2">
      <c r="Y40480" s="97"/>
    </row>
    <row r="40481" spans="25:25" x14ac:dyDescent="0.2">
      <c r="Y40481" s="97"/>
    </row>
    <row r="40482" spans="25:25" x14ac:dyDescent="0.2">
      <c r="Y40482" s="97"/>
    </row>
    <row r="40483" spans="25:25" x14ac:dyDescent="0.2">
      <c r="Y40483" s="97"/>
    </row>
    <row r="40484" spans="25:25" x14ac:dyDescent="0.2">
      <c r="Y40484" s="97"/>
    </row>
    <row r="40485" spans="25:25" x14ac:dyDescent="0.2">
      <c r="Y40485" s="97"/>
    </row>
    <row r="40486" spans="25:25" x14ac:dyDescent="0.2">
      <c r="Y40486" s="97"/>
    </row>
    <row r="40487" spans="25:25" x14ac:dyDescent="0.2">
      <c r="Y40487" s="97"/>
    </row>
    <row r="40488" spans="25:25" x14ac:dyDescent="0.2">
      <c r="Y40488" s="97"/>
    </row>
    <row r="40489" spans="25:25" x14ac:dyDescent="0.2">
      <c r="Y40489" s="97"/>
    </row>
    <row r="40490" spans="25:25" x14ac:dyDescent="0.2">
      <c r="Y40490" s="97"/>
    </row>
    <row r="40491" spans="25:25" x14ac:dyDescent="0.2">
      <c r="Y40491" s="97"/>
    </row>
    <row r="40492" spans="25:25" x14ac:dyDescent="0.2">
      <c r="Y40492" s="97"/>
    </row>
    <row r="40493" spans="25:25" x14ac:dyDescent="0.2">
      <c r="Y40493" s="97"/>
    </row>
    <row r="40494" spans="25:25" x14ac:dyDescent="0.2">
      <c r="Y40494" s="97"/>
    </row>
    <row r="40495" spans="25:25" x14ac:dyDescent="0.2">
      <c r="Y40495" s="97"/>
    </row>
    <row r="40496" spans="25:25" x14ac:dyDescent="0.2">
      <c r="Y40496" s="97"/>
    </row>
    <row r="40497" spans="25:25" x14ac:dyDescent="0.2">
      <c r="Y40497" s="97"/>
    </row>
    <row r="40498" spans="25:25" x14ac:dyDescent="0.2">
      <c r="Y40498" s="97"/>
    </row>
    <row r="40499" spans="25:25" x14ac:dyDescent="0.2">
      <c r="Y40499" s="97"/>
    </row>
    <row r="40500" spans="25:25" x14ac:dyDescent="0.2">
      <c r="Y40500" s="97"/>
    </row>
    <row r="40501" spans="25:25" x14ac:dyDescent="0.2">
      <c r="Y40501" s="97"/>
    </row>
    <row r="40502" spans="25:25" x14ac:dyDescent="0.2">
      <c r="Y40502" s="97"/>
    </row>
    <row r="40503" spans="25:25" x14ac:dyDescent="0.2">
      <c r="Y40503" s="97"/>
    </row>
    <row r="40504" spans="25:25" x14ac:dyDescent="0.2">
      <c r="Y40504" s="97"/>
    </row>
    <row r="40505" spans="25:25" x14ac:dyDescent="0.2">
      <c r="Y40505" s="97"/>
    </row>
    <row r="40506" spans="25:25" x14ac:dyDescent="0.2">
      <c r="Y40506" s="97"/>
    </row>
    <row r="40507" spans="25:25" x14ac:dyDescent="0.2">
      <c r="Y40507" s="97"/>
    </row>
    <row r="40508" spans="25:25" x14ac:dyDescent="0.2">
      <c r="Y40508" s="97"/>
    </row>
    <row r="40509" spans="25:25" x14ac:dyDescent="0.2">
      <c r="Y40509" s="97"/>
    </row>
    <row r="40510" spans="25:25" x14ac:dyDescent="0.2">
      <c r="Y40510" s="97"/>
    </row>
    <row r="40511" spans="25:25" x14ac:dyDescent="0.2">
      <c r="Y40511" s="97"/>
    </row>
    <row r="40512" spans="25:25" x14ac:dyDescent="0.2">
      <c r="Y40512" s="97"/>
    </row>
    <row r="40513" spans="25:25" x14ac:dyDescent="0.2">
      <c r="Y40513" s="97"/>
    </row>
    <row r="40514" spans="25:25" x14ac:dyDescent="0.2">
      <c r="Y40514" s="97"/>
    </row>
    <row r="40515" spans="25:25" x14ac:dyDescent="0.2">
      <c r="Y40515" s="97"/>
    </row>
    <row r="40516" spans="25:25" x14ac:dyDescent="0.2">
      <c r="Y40516" s="97"/>
    </row>
    <row r="40517" spans="25:25" x14ac:dyDescent="0.2">
      <c r="Y40517" s="97"/>
    </row>
    <row r="40518" spans="25:25" x14ac:dyDescent="0.2">
      <c r="Y40518" s="97"/>
    </row>
    <row r="40519" spans="25:25" x14ac:dyDescent="0.2">
      <c r="Y40519" s="97"/>
    </row>
    <row r="40520" spans="25:25" x14ac:dyDescent="0.2">
      <c r="Y40520" s="97"/>
    </row>
    <row r="40521" spans="25:25" x14ac:dyDescent="0.2">
      <c r="Y40521" s="97"/>
    </row>
    <row r="40522" spans="25:25" x14ac:dyDescent="0.2">
      <c r="Y40522" s="97"/>
    </row>
    <row r="40523" spans="25:25" x14ac:dyDescent="0.2">
      <c r="Y40523" s="97"/>
    </row>
    <row r="40524" spans="25:25" x14ac:dyDescent="0.2">
      <c r="Y40524" s="97"/>
    </row>
    <row r="40525" spans="25:25" x14ac:dyDescent="0.2">
      <c r="Y40525" s="97"/>
    </row>
    <row r="40526" spans="25:25" x14ac:dyDescent="0.2">
      <c r="Y40526" s="97"/>
    </row>
    <row r="40527" spans="25:25" x14ac:dyDescent="0.2">
      <c r="Y40527" s="97"/>
    </row>
    <row r="40528" spans="25:25" x14ac:dyDescent="0.2">
      <c r="Y40528" s="97"/>
    </row>
    <row r="40529" spans="25:25" x14ac:dyDescent="0.2">
      <c r="Y40529" s="97"/>
    </row>
    <row r="40530" spans="25:25" x14ac:dyDescent="0.2">
      <c r="Y40530" s="97"/>
    </row>
    <row r="40531" spans="25:25" x14ac:dyDescent="0.2">
      <c r="Y40531" s="97"/>
    </row>
    <row r="40532" spans="25:25" x14ac:dyDescent="0.2">
      <c r="Y40532" s="97"/>
    </row>
    <row r="40533" spans="25:25" x14ac:dyDescent="0.2">
      <c r="Y40533" s="97"/>
    </row>
    <row r="40534" spans="25:25" x14ac:dyDescent="0.2">
      <c r="Y40534" s="97"/>
    </row>
    <row r="40535" spans="25:25" x14ac:dyDescent="0.2">
      <c r="Y40535" s="97"/>
    </row>
    <row r="40536" spans="25:25" x14ac:dyDescent="0.2">
      <c r="Y40536" s="97"/>
    </row>
    <row r="40537" spans="25:25" x14ac:dyDescent="0.2">
      <c r="Y40537" s="97"/>
    </row>
    <row r="40538" spans="25:25" x14ac:dyDescent="0.2">
      <c r="Y40538" s="97"/>
    </row>
    <row r="40539" spans="25:25" x14ac:dyDescent="0.2">
      <c r="Y40539" s="97"/>
    </row>
    <row r="40540" spans="25:25" x14ac:dyDescent="0.2">
      <c r="Y40540" s="97"/>
    </row>
    <row r="40541" spans="25:25" x14ac:dyDescent="0.2">
      <c r="Y40541" s="97"/>
    </row>
    <row r="40542" spans="25:25" x14ac:dyDescent="0.2">
      <c r="Y40542" s="97"/>
    </row>
    <row r="40543" spans="25:25" x14ac:dyDescent="0.2">
      <c r="Y40543" s="97"/>
    </row>
    <row r="40544" spans="25:25" x14ac:dyDescent="0.2">
      <c r="Y40544" s="97"/>
    </row>
    <row r="40545" spans="25:25" x14ac:dyDescent="0.2">
      <c r="Y40545" s="97"/>
    </row>
    <row r="40546" spans="25:25" x14ac:dyDescent="0.2">
      <c r="Y40546" s="97"/>
    </row>
    <row r="40547" spans="25:25" x14ac:dyDescent="0.2">
      <c r="Y40547" s="97"/>
    </row>
    <row r="40548" spans="25:25" x14ac:dyDescent="0.2">
      <c r="Y40548" s="97"/>
    </row>
    <row r="40549" spans="25:25" x14ac:dyDescent="0.2">
      <c r="Y40549" s="97"/>
    </row>
    <row r="40550" spans="25:25" x14ac:dyDescent="0.2">
      <c r="Y40550" s="97"/>
    </row>
    <row r="40551" spans="25:25" x14ac:dyDescent="0.2">
      <c r="Y40551" s="97"/>
    </row>
    <row r="40552" spans="25:25" x14ac:dyDescent="0.2">
      <c r="Y40552" s="97"/>
    </row>
    <row r="40553" spans="25:25" x14ac:dyDescent="0.2">
      <c r="Y40553" s="97"/>
    </row>
    <row r="40554" spans="25:25" x14ac:dyDescent="0.2">
      <c r="Y40554" s="97"/>
    </row>
    <row r="40555" spans="25:25" x14ac:dyDescent="0.2">
      <c r="Y40555" s="97"/>
    </row>
    <row r="40556" spans="25:25" x14ac:dyDescent="0.2">
      <c r="Y40556" s="97"/>
    </row>
    <row r="40557" spans="25:25" x14ac:dyDescent="0.2">
      <c r="Y40557" s="97"/>
    </row>
    <row r="40558" spans="25:25" x14ac:dyDescent="0.2">
      <c r="Y40558" s="97"/>
    </row>
    <row r="40559" spans="25:25" x14ac:dyDescent="0.2">
      <c r="Y40559" s="97"/>
    </row>
    <row r="40560" spans="25:25" x14ac:dyDescent="0.2">
      <c r="Y40560" s="97"/>
    </row>
    <row r="40561" spans="25:25" x14ac:dyDescent="0.2">
      <c r="Y40561" s="97"/>
    </row>
    <row r="40562" spans="25:25" x14ac:dyDescent="0.2">
      <c r="Y40562" s="97"/>
    </row>
    <row r="40563" spans="25:25" x14ac:dyDescent="0.2">
      <c r="Y40563" s="97"/>
    </row>
    <row r="40564" spans="25:25" x14ac:dyDescent="0.2">
      <c r="Y40564" s="97"/>
    </row>
    <row r="40565" spans="25:25" x14ac:dyDescent="0.2">
      <c r="Y40565" s="97"/>
    </row>
    <row r="40566" spans="25:25" x14ac:dyDescent="0.2">
      <c r="Y40566" s="97"/>
    </row>
    <row r="40567" spans="25:25" x14ac:dyDescent="0.2">
      <c r="Y40567" s="97"/>
    </row>
    <row r="40568" spans="25:25" x14ac:dyDescent="0.2">
      <c r="Y40568" s="97"/>
    </row>
    <row r="40569" spans="25:25" x14ac:dyDescent="0.2">
      <c r="Y40569" s="97"/>
    </row>
    <row r="40570" spans="25:25" x14ac:dyDescent="0.2">
      <c r="Y40570" s="97"/>
    </row>
    <row r="40571" spans="25:25" x14ac:dyDescent="0.2">
      <c r="Y40571" s="97"/>
    </row>
    <row r="40572" spans="25:25" x14ac:dyDescent="0.2">
      <c r="Y40572" s="97"/>
    </row>
    <row r="40573" spans="25:25" x14ac:dyDescent="0.2">
      <c r="Y40573" s="97"/>
    </row>
    <row r="40574" spans="25:25" x14ac:dyDescent="0.2">
      <c r="Y40574" s="97"/>
    </row>
    <row r="40575" spans="25:25" x14ac:dyDescent="0.2">
      <c r="Y40575" s="97"/>
    </row>
    <row r="40576" spans="25:25" x14ac:dyDescent="0.2">
      <c r="Y40576" s="97"/>
    </row>
    <row r="40577" spans="25:25" x14ac:dyDescent="0.2">
      <c r="Y40577" s="97"/>
    </row>
    <row r="40578" spans="25:25" x14ac:dyDescent="0.2">
      <c r="Y40578" s="97"/>
    </row>
    <row r="40579" spans="25:25" x14ac:dyDescent="0.2">
      <c r="Y40579" s="97"/>
    </row>
    <row r="40580" spans="25:25" x14ac:dyDescent="0.2">
      <c r="Y40580" s="97"/>
    </row>
    <row r="40581" spans="25:25" x14ac:dyDescent="0.2">
      <c r="Y40581" s="97"/>
    </row>
    <row r="40582" spans="25:25" x14ac:dyDescent="0.2">
      <c r="Y40582" s="97"/>
    </row>
    <row r="40583" spans="25:25" x14ac:dyDescent="0.2">
      <c r="Y40583" s="97"/>
    </row>
    <row r="40584" spans="25:25" x14ac:dyDescent="0.2">
      <c r="Y40584" s="97"/>
    </row>
    <row r="40585" spans="25:25" x14ac:dyDescent="0.2">
      <c r="Y40585" s="97"/>
    </row>
    <row r="40586" spans="25:25" x14ac:dyDescent="0.2">
      <c r="Y40586" s="97"/>
    </row>
    <row r="40587" spans="25:25" x14ac:dyDescent="0.2">
      <c r="Y40587" s="97"/>
    </row>
    <row r="40588" spans="25:25" x14ac:dyDescent="0.2">
      <c r="Y40588" s="97"/>
    </row>
    <row r="40589" spans="25:25" x14ac:dyDescent="0.2">
      <c r="Y40589" s="97"/>
    </row>
    <row r="40590" spans="25:25" x14ac:dyDescent="0.2">
      <c r="Y40590" s="97"/>
    </row>
    <row r="40591" spans="25:25" x14ac:dyDescent="0.2">
      <c r="Y40591" s="97"/>
    </row>
    <row r="40592" spans="25:25" x14ac:dyDescent="0.2">
      <c r="Y40592" s="97"/>
    </row>
    <row r="40593" spans="25:25" x14ac:dyDescent="0.2">
      <c r="Y40593" s="97"/>
    </row>
    <row r="40594" spans="25:25" x14ac:dyDescent="0.2">
      <c r="Y40594" s="97"/>
    </row>
    <row r="40595" spans="25:25" x14ac:dyDescent="0.2">
      <c r="Y40595" s="97"/>
    </row>
    <row r="40596" spans="25:25" x14ac:dyDescent="0.2">
      <c r="Y40596" s="97"/>
    </row>
    <row r="40597" spans="25:25" x14ac:dyDescent="0.2">
      <c r="Y40597" s="97"/>
    </row>
    <row r="40598" spans="25:25" x14ac:dyDescent="0.2">
      <c r="Y40598" s="97"/>
    </row>
    <row r="40599" spans="25:25" x14ac:dyDescent="0.2">
      <c r="Y40599" s="97"/>
    </row>
    <row r="40600" spans="25:25" x14ac:dyDescent="0.2">
      <c r="Y40600" s="97"/>
    </row>
    <row r="40601" spans="25:25" x14ac:dyDescent="0.2">
      <c r="Y40601" s="97"/>
    </row>
    <row r="40602" spans="25:25" x14ac:dyDescent="0.2">
      <c r="Y40602" s="97"/>
    </row>
    <row r="40603" spans="25:25" x14ac:dyDescent="0.2">
      <c r="Y40603" s="97"/>
    </row>
    <row r="40604" spans="25:25" x14ac:dyDescent="0.2">
      <c r="Y40604" s="97"/>
    </row>
    <row r="40605" spans="25:25" x14ac:dyDescent="0.2">
      <c r="Y40605" s="97"/>
    </row>
    <row r="40606" spans="25:25" x14ac:dyDescent="0.2">
      <c r="Y40606" s="97"/>
    </row>
    <row r="40607" spans="25:25" x14ac:dyDescent="0.2">
      <c r="Y40607" s="97"/>
    </row>
    <row r="40608" spans="25:25" x14ac:dyDescent="0.2">
      <c r="Y40608" s="97"/>
    </row>
    <row r="40609" spans="25:25" x14ac:dyDescent="0.2">
      <c r="Y40609" s="97"/>
    </row>
    <row r="40610" spans="25:25" x14ac:dyDescent="0.2">
      <c r="Y40610" s="97"/>
    </row>
    <row r="40611" spans="25:25" x14ac:dyDescent="0.2">
      <c r="Y40611" s="97"/>
    </row>
    <row r="40612" spans="25:25" x14ac:dyDescent="0.2">
      <c r="Y40612" s="97"/>
    </row>
    <row r="40613" spans="25:25" x14ac:dyDescent="0.2">
      <c r="Y40613" s="97"/>
    </row>
    <row r="40614" spans="25:25" x14ac:dyDescent="0.2">
      <c r="Y40614" s="97"/>
    </row>
    <row r="40615" spans="25:25" x14ac:dyDescent="0.2">
      <c r="Y40615" s="97"/>
    </row>
    <row r="40616" spans="25:25" x14ac:dyDescent="0.2">
      <c r="Y40616" s="97"/>
    </row>
    <row r="40617" spans="25:25" x14ac:dyDescent="0.2">
      <c r="Y40617" s="97"/>
    </row>
    <row r="40618" spans="25:25" x14ac:dyDescent="0.2">
      <c r="Y40618" s="97"/>
    </row>
    <row r="40619" spans="25:25" x14ac:dyDescent="0.2">
      <c r="Y40619" s="97"/>
    </row>
    <row r="40620" spans="25:25" x14ac:dyDescent="0.2">
      <c r="Y40620" s="97"/>
    </row>
    <row r="40621" spans="25:25" x14ac:dyDescent="0.2">
      <c r="Y40621" s="97"/>
    </row>
    <row r="40622" spans="25:25" x14ac:dyDescent="0.2">
      <c r="Y40622" s="97"/>
    </row>
    <row r="40623" spans="25:25" x14ac:dyDescent="0.2">
      <c r="Y40623" s="97"/>
    </row>
    <row r="40624" spans="25:25" x14ac:dyDescent="0.2">
      <c r="Y40624" s="97"/>
    </row>
    <row r="40625" spans="25:25" x14ac:dyDescent="0.2">
      <c r="Y40625" s="97"/>
    </row>
    <row r="40626" spans="25:25" x14ac:dyDescent="0.2">
      <c r="Y40626" s="97"/>
    </row>
    <row r="40627" spans="25:25" x14ac:dyDescent="0.2">
      <c r="Y40627" s="97"/>
    </row>
    <row r="40628" spans="25:25" x14ac:dyDescent="0.2">
      <c r="Y40628" s="97"/>
    </row>
    <row r="40629" spans="25:25" x14ac:dyDescent="0.2">
      <c r="Y40629" s="97"/>
    </row>
    <row r="40630" spans="25:25" x14ac:dyDescent="0.2">
      <c r="Y40630" s="97"/>
    </row>
    <row r="40631" spans="25:25" x14ac:dyDescent="0.2">
      <c r="Y40631" s="97"/>
    </row>
    <row r="40632" spans="25:25" x14ac:dyDescent="0.2">
      <c r="Y40632" s="97"/>
    </row>
    <row r="40633" spans="25:25" x14ac:dyDescent="0.2">
      <c r="Y40633" s="97"/>
    </row>
    <row r="40634" spans="25:25" x14ac:dyDescent="0.2">
      <c r="Y40634" s="97"/>
    </row>
    <row r="40635" spans="25:25" x14ac:dyDescent="0.2">
      <c r="Y40635" s="97"/>
    </row>
    <row r="40636" spans="25:25" x14ac:dyDescent="0.2">
      <c r="Y40636" s="97"/>
    </row>
    <row r="40637" spans="25:25" x14ac:dyDescent="0.2">
      <c r="Y40637" s="97"/>
    </row>
    <row r="40638" spans="25:25" x14ac:dyDescent="0.2">
      <c r="Y40638" s="97"/>
    </row>
    <row r="40639" spans="25:25" x14ac:dyDescent="0.2">
      <c r="Y40639" s="97"/>
    </row>
    <row r="40640" spans="25:25" x14ac:dyDescent="0.2">
      <c r="Y40640" s="97"/>
    </row>
    <row r="40641" spans="25:25" x14ac:dyDescent="0.2">
      <c r="Y40641" s="97"/>
    </row>
    <row r="40642" spans="25:25" x14ac:dyDescent="0.2">
      <c r="Y40642" s="97"/>
    </row>
    <row r="40643" spans="25:25" x14ac:dyDescent="0.2">
      <c r="Y40643" s="97"/>
    </row>
    <row r="40644" spans="25:25" x14ac:dyDescent="0.2">
      <c r="Y40644" s="97"/>
    </row>
    <row r="40645" spans="25:25" x14ac:dyDescent="0.2">
      <c r="Y40645" s="97"/>
    </row>
    <row r="40646" spans="25:25" x14ac:dyDescent="0.2">
      <c r="Y40646" s="97"/>
    </row>
    <row r="40647" spans="25:25" x14ac:dyDescent="0.2">
      <c r="Y40647" s="97"/>
    </row>
    <row r="40648" spans="25:25" x14ac:dyDescent="0.2">
      <c r="Y40648" s="97"/>
    </row>
    <row r="40649" spans="25:25" x14ac:dyDescent="0.2">
      <c r="Y40649" s="97"/>
    </row>
    <row r="40650" spans="25:25" x14ac:dyDescent="0.2">
      <c r="Y40650" s="97"/>
    </row>
    <row r="40651" spans="25:25" x14ac:dyDescent="0.2">
      <c r="Y40651" s="97"/>
    </row>
    <row r="40652" spans="25:25" x14ac:dyDescent="0.2">
      <c r="Y40652" s="97"/>
    </row>
    <row r="40653" spans="25:25" x14ac:dyDescent="0.2">
      <c r="Y40653" s="97"/>
    </row>
    <row r="40654" spans="25:25" x14ac:dyDescent="0.2">
      <c r="Y40654" s="97"/>
    </row>
    <row r="40655" spans="25:25" x14ac:dyDescent="0.2">
      <c r="Y40655" s="97"/>
    </row>
    <row r="40656" spans="25:25" x14ac:dyDescent="0.2">
      <c r="Y40656" s="97"/>
    </row>
    <row r="40657" spans="25:25" x14ac:dyDescent="0.2">
      <c r="Y40657" s="97"/>
    </row>
    <row r="40658" spans="25:25" x14ac:dyDescent="0.2">
      <c r="Y40658" s="97"/>
    </row>
    <row r="40659" spans="25:25" x14ac:dyDescent="0.2">
      <c r="Y40659" s="97"/>
    </row>
    <row r="40660" spans="25:25" x14ac:dyDescent="0.2">
      <c r="Y40660" s="97"/>
    </row>
    <row r="40661" spans="25:25" x14ac:dyDescent="0.2">
      <c r="Y40661" s="97"/>
    </row>
    <row r="40662" spans="25:25" x14ac:dyDescent="0.2">
      <c r="Y40662" s="97"/>
    </row>
    <row r="40663" spans="25:25" x14ac:dyDescent="0.2">
      <c r="Y40663" s="97"/>
    </row>
    <row r="40664" spans="25:25" x14ac:dyDescent="0.2">
      <c r="Y40664" s="97"/>
    </row>
    <row r="40665" spans="25:25" x14ac:dyDescent="0.2">
      <c r="Y40665" s="97"/>
    </row>
    <row r="40666" spans="25:25" x14ac:dyDescent="0.2">
      <c r="Y40666" s="97"/>
    </row>
    <row r="40667" spans="25:25" x14ac:dyDescent="0.2">
      <c r="Y40667" s="97"/>
    </row>
    <row r="40668" spans="25:25" x14ac:dyDescent="0.2">
      <c r="Y40668" s="97"/>
    </row>
    <row r="40669" spans="25:25" x14ac:dyDescent="0.2">
      <c r="Y40669" s="97"/>
    </row>
    <row r="40670" spans="25:25" x14ac:dyDescent="0.2">
      <c r="Y40670" s="97"/>
    </row>
    <row r="40671" spans="25:25" x14ac:dyDescent="0.2">
      <c r="Y40671" s="97"/>
    </row>
    <row r="40672" spans="25:25" x14ac:dyDescent="0.2">
      <c r="Y40672" s="97"/>
    </row>
    <row r="40673" spans="25:25" x14ac:dyDescent="0.2">
      <c r="Y40673" s="97"/>
    </row>
    <row r="40674" spans="25:25" x14ac:dyDescent="0.2">
      <c r="Y40674" s="97"/>
    </row>
    <row r="40675" spans="25:25" x14ac:dyDescent="0.2">
      <c r="Y40675" s="97"/>
    </row>
    <row r="40676" spans="25:25" x14ac:dyDescent="0.2">
      <c r="Y40676" s="97"/>
    </row>
    <row r="40677" spans="25:25" x14ac:dyDescent="0.2">
      <c r="Y40677" s="97"/>
    </row>
    <row r="40678" spans="25:25" x14ac:dyDescent="0.2">
      <c r="Y40678" s="97"/>
    </row>
    <row r="40679" spans="25:25" x14ac:dyDescent="0.2">
      <c r="Y40679" s="97"/>
    </row>
    <row r="40680" spans="25:25" x14ac:dyDescent="0.2">
      <c r="Y40680" s="97"/>
    </row>
    <row r="40681" spans="25:25" x14ac:dyDescent="0.2">
      <c r="Y40681" s="97"/>
    </row>
    <row r="40682" spans="25:25" x14ac:dyDescent="0.2">
      <c r="Y40682" s="97"/>
    </row>
    <row r="40683" spans="25:25" x14ac:dyDescent="0.2">
      <c r="Y40683" s="97"/>
    </row>
    <row r="40684" spans="25:25" x14ac:dyDescent="0.2">
      <c r="Y40684" s="97"/>
    </row>
    <row r="40685" spans="25:25" x14ac:dyDescent="0.2">
      <c r="Y40685" s="97"/>
    </row>
    <row r="40686" spans="25:25" x14ac:dyDescent="0.2">
      <c r="Y40686" s="97"/>
    </row>
    <row r="40687" spans="25:25" x14ac:dyDescent="0.2">
      <c r="Y40687" s="97"/>
    </row>
    <row r="40688" spans="25:25" x14ac:dyDescent="0.2">
      <c r="Y40688" s="97"/>
    </row>
    <row r="40689" spans="25:25" x14ac:dyDescent="0.2">
      <c r="Y40689" s="97"/>
    </row>
    <row r="40690" spans="25:25" x14ac:dyDescent="0.2">
      <c r="Y40690" s="97"/>
    </row>
    <row r="40691" spans="25:25" x14ac:dyDescent="0.2">
      <c r="Y40691" s="97"/>
    </row>
    <row r="40692" spans="25:25" x14ac:dyDescent="0.2">
      <c r="Y40692" s="97"/>
    </row>
    <row r="40693" spans="25:25" x14ac:dyDescent="0.2">
      <c r="Y40693" s="97"/>
    </row>
    <row r="40694" spans="25:25" x14ac:dyDescent="0.2">
      <c r="Y40694" s="97"/>
    </row>
    <row r="40695" spans="25:25" x14ac:dyDescent="0.2">
      <c r="Y40695" s="97"/>
    </row>
    <row r="40696" spans="25:25" x14ac:dyDescent="0.2">
      <c r="Y40696" s="97"/>
    </row>
    <row r="40697" spans="25:25" x14ac:dyDescent="0.2">
      <c r="Y40697" s="97"/>
    </row>
    <row r="40698" spans="25:25" x14ac:dyDescent="0.2">
      <c r="Y40698" s="97"/>
    </row>
    <row r="40699" spans="25:25" x14ac:dyDescent="0.2">
      <c r="Y40699" s="97"/>
    </row>
    <row r="40700" spans="25:25" x14ac:dyDescent="0.2">
      <c r="Y40700" s="97"/>
    </row>
    <row r="40701" spans="25:25" x14ac:dyDescent="0.2">
      <c r="Y40701" s="97"/>
    </row>
    <row r="40702" spans="25:25" x14ac:dyDescent="0.2">
      <c r="Y40702" s="97"/>
    </row>
    <row r="40703" spans="25:25" x14ac:dyDescent="0.2">
      <c r="Y40703" s="97"/>
    </row>
    <row r="40704" spans="25:25" x14ac:dyDescent="0.2">
      <c r="Y40704" s="97"/>
    </row>
    <row r="40705" spans="25:25" x14ac:dyDescent="0.2">
      <c r="Y40705" s="97"/>
    </row>
    <row r="40706" spans="25:25" x14ac:dyDescent="0.2">
      <c r="Y40706" s="97"/>
    </row>
    <row r="40707" spans="25:25" x14ac:dyDescent="0.2">
      <c r="Y40707" s="97"/>
    </row>
    <row r="40708" spans="25:25" x14ac:dyDescent="0.2">
      <c r="Y40708" s="97"/>
    </row>
    <row r="40709" spans="25:25" x14ac:dyDescent="0.2">
      <c r="Y40709" s="97"/>
    </row>
    <row r="40710" spans="25:25" x14ac:dyDescent="0.2">
      <c r="Y40710" s="97"/>
    </row>
    <row r="40711" spans="25:25" x14ac:dyDescent="0.2">
      <c r="Y40711" s="97"/>
    </row>
    <row r="40712" spans="25:25" x14ac:dyDescent="0.2">
      <c r="Y40712" s="97"/>
    </row>
    <row r="40713" spans="25:25" x14ac:dyDescent="0.2">
      <c r="Y40713" s="97"/>
    </row>
    <row r="40714" spans="25:25" x14ac:dyDescent="0.2">
      <c r="Y40714" s="97"/>
    </row>
    <row r="40715" spans="25:25" x14ac:dyDescent="0.2">
      <c r="Y40715" s="97"/>
    </row>
    <row r="40716" spans="25:25" x14ac:dyDescent="0.2">
      <c r="Y40716" s="97"/>
    </row>
    <row r="40717" spans="25:25" x14ac:dyDescent="0.2">
      <c r="Y40717" s="97"/>
    </row>
    <row r="40718" spans="25:25" x14ac:dyDescent="0.2">
      <c r="Y40718" s="97"/>
    </row>
    <row r="40719" spans="25:25" x14ac:dyDescent="0.2">
      <c r="Y40719" s="97"/>
    </row>
    <row r="40720" spans="25:25" x14ac:dyDescent="0.2">
      <c r="Y40720" s="97"/>
    </row>
    <row r="40721" spans="25:25" x14ac:dyDescent="0.2">
      <c r="Y40721" s="97"/>
    </row>
    <row r="40722" spans="25:25" x14ac:dyDescent="0.2">
      <c r="Y40722" s="97"/>
    </row>
    <row r="40723" spans="25:25" x14ac:dyDescent="0.2">
      <c r="Y40723" s="97"/>
    </row>
    <row r="40724" spans="25:25" x14ac:dyDescent="0.2">
      <c r="Y40724" s="97"/>
    </row>
    <row r="40725" spans="25:25" x14ac:dyDescent="0.2">
      <c r="Y40725" s="97"/>
    </row>
    <row r="40726" spans="25:25" x14ac:dyDescent="0.2">
      <c r="Y40726" s="97"/>
    </row>
    <row r="40727" spans="25:25" x14ac:dyDescent="0.2">
      <c r="Y40727" s="97"/>
    </row>
    <row r="40728" spans="25:25" x14ac:dyDescent="0.2">
      <c r="Y40728" s="97"/>
    </row>
    <row r="40729" spans="25:25" x14ac:dyDescent="0.2">
      <c r="Y40729" s="97"/>
    </row>
    <row r="40730" spans="25:25" x14ac:dyDescent="0.2">
      <c r="Y40730" s="97"/>
    </row>
    <row r="40731" spans="25:25" x14ac:dyDescent="0.2">
      <c r="Y40731" s="97"/>
    </row>
    <row r="40732" spans="25:25" x14ac:dyDescent="0.2">
      <c r="Y40732" s="97"/>
    </row>
    <row r="40733" spans="25:25" x14ac:dyDescent="0.2">
      <c r="Y40733" s="97"/>
    </row>
    <row r="40734" spans="25:25" x14ac:dyDescent="0.2">
      <c r="Y40734" s="97"/>
    </row>
    <row r="40735" spans="25:25" x14ac:dyDescent="0.2">
      <c r="Y40735" s="97"/>
    </row>
    <row r="40736" spans="25:25" x14ac:dyDescent="0.2">
      <c r="Y40736" s="97"/>
    </row>
    <row r="40737" spans="25:25" x14ac:dyDescent="0.2">
      <c r="Y40737" s="97"/>
    </row>
    <row r="40738" spans="25:25" x14ac:dyDescent="0.2">
      <c r="Y40738" s="97"/>
    </row>
    <row r="40739" spans="25:25" x14ac:dyDescent="0.2">
      <c r="Y40739" s="97"/>
    </row>
    <row r="40740" spans="25:25" x14ac:dyDescent="0.2">
      <c r="Y40740" s="97"/>
    </row>
    <row r="40741" spans="25:25" x14ac:dyDescent="0.2">
      <c r="Y40741" s="97"/>
    </row>
    <row r="40742" spans="25:25" x14ac:dyDescent="0.2">
      <c r="Y40742" s="97"/>
    </row>
    <row r="40743" spans="25:25" x14ac:dyDescent="0.2">
      <c r="Y40743" s="97"/>
    </row>
    <row r="40744" spans="25:25" x14ac:dyDescent="0.2">
      <c r="Y40744" s="97"/>
    </row>
    <row r="40745" spans="25:25" x14ac:dyDescent="0.2">
      <c r="Y40745" s="97"/>
    </row>
    <row r="40746" spans="25:25" x14ac:dyDescent="0.2">
      <c r="Y40746" s="97"/>
    </row>
    <row r="40747" spans="25:25" x14ac:dyDescent="0.2">
      <c r="Y40747" s="97"/>
    </row>
    <row r="40748" spans="25:25" x14ac:dyDescent="0.2">
      <c r="Y40748" s="97"/>
    </row>
    <row r="40749" spans="25:25" x14ac:dyDescent="0.2">
      <c r="Y40749" s="97"/>
    </row>
    <row r="40750" spans="25:25" x14ac:dyDescent="0.2">
      <c r="Y40750" s="97"/>
    </row>
    <row r="40751" spans="25:25" x14ac:dyDescent="0.2">
      <c r="Y40751" s="97"/>
    </row>
    <row r="40752" spans="25:25" x14ac:dyDescent="0.2">
      <c r="Y40752" s="97"/>
    </row>
    <row r="40753" spans="25:25" x14ac:dyDescent="0.2">
      <c r="Y40753" s="97"/>
    </row>
    <row r="40754" spans="25:25" x14ac:dyDescent="0.2">
      <c r="Y40754" s="97"/>
    </row>
    <row r="40755" spans="25:25" x14ac:dyDescent="0.2">
      <c r="Y40755" s="97"/>
    </row>
    <row r="40756" spans="25:25" x14ac:dyDescent="0.2">
      <c r="Y40756" s="97"/>
    </row>
    <row r="40757" spans="25:25" x14ac:dyDescent="0.2">
      <c r="Y40757" s="97"/>
    </row>
    <row r="40758" spans="25:25" x14ac:dyDescent="0.2">
      <c r="Y40758" s="97"/>
    </row>
    <row r="40759" spans="25:25" x14ac:dyDescent="0.2">
      <c r="Y40759" s="97"/>
    </row>
    <row r="40760" spans="25:25" x14ac:dyDescent="0.2">
      <c r="Y40760" s="97"/>
    </row>
    <row r="40761" spans="25:25" x14ac:dyDescent="0.2">
      <c r="Y40761" s="97"/>
    </row>
    <row r="40762" spans="25:25" x14ac:dyDescent="0.2">
      <c r="Y40762" s="97"/>
    </row>
    <row r="40763" spans="25:25" x14ac:dyDescent="0.2">
      <c r="Y40763" s="97"/>
    </row>
    <row r="40764" spans="25:25" x14ac:dyDescent="0.2">
      <c r="Y40764" s="97"/>
    </row>
    <row r="40765" spans="25:25" x14ac:dyDescent="0.2">
      <c r="Y40765" s="97"/>
    </row>
    <row r="40766" spans="25:25" x14ac:dyDescent="0.2">
      <c r="Y40766" s="97"/>
    </row>
    <row r="40767" spans="25:25" x14ac:dyDescent="0.2">
      <c r="Y40767" s="97"/>
    </row>
    <row r="40768" spans="25:25" x14ac:dyDescent="0.2">
      <c r="Y40768" s="97"/>
    </row>
    <row r="40769" spans="25:25" x14ac:dyDescent="0.2">
      <c r="Y40769" s="97"/>
    </row>
    <row r="40770" spans="25:25" x14ac:dyDescent="0.2">
      <c r="Y40770" s="97"/>
    </row>
    <row r="40771" spans="25:25" x14ac:dyDescent="0.2">
      <c r="Y40771" s="97"/>
    </row>
    <row r="40772" spans="25:25" x14ac:dyDescent="0.2">
      <c r="Y40772" s="97"/>
    </row>
    <row r="40773" spans="25:25" x14ac:dyDescent="0.2">
      <c r="Y40773" s="97"/>
    </row>
    <row r="40774" spans="25:25" x14ac:dyDescent="0.2">
      <c r="Y40774" s="97"/>
    </row>
    <row r="40775" spans="25:25" x14ac:dyDescent="0.2">
      <c r="Y40775" s="97"/>
    </row>
    <row r="40776" spans="25:25" x14ac:dyDescent="0.2">
      <c r="Y40776" s="97"/>
    </row>
    <row r="40777" spans="25:25" x14ac:dyDescent="0.2">
      <c r="Y40777" s="97"/>
    </row>
    <row r="40778" spans="25:25" x14ac:dyDescent="0.2">
      <c r="Y40778" s="97"/>
    </row>
    <row r="40779" spans="25:25" x14ac:dyDescent="0.2">
      <c r="Y40779" s="97"/>
    </row>
    <row r="40780" spans="25:25" x14ac:dyDescent="0.2">
      <c r="Y40780" s="97"/>
    </row>
    <row r="40781" spans="25:25" x14ac:dyDescent="0.2">
      <c r="Y40781" s="97"/>
    </row>
    <row r="40782" spans="25:25" x14ac:dyDescent="0.2">
      <c r="Y40782" s="97"/>
    </row>
    <row r="40783" spans="25:25" x14ac:dyDescent="0.2">
      <c r="Y40783" s="97"/>
    </row>
    <row r="40784" spans="25:25" x14ac:dyDescent="0.2">
      <c r="Y40784" s="97"/>
    </row>
    <row r="40785" spans="25:25" x14ac:dyDescent="0.2">
      <c r="Y40785" s="97"/>
    </row>
    <row r="40786" spans="25:25" x14ac:dyDescent="0.2">
      <c r="Y40786" s="97"/>
    </row>
    <row r="40787" spans="25:25" x14ac:dyDescent="0.2">
      <c r="Y40787" s="97"/>
    </row>
    <row r="40788" spans="25:25" x14ac:dyDescent="0.2">
      <c r="Y40788" s="97"/>
    </row>
    <row r="40789" spans="25:25" x14ac:dyDescent="0.2">
      <c r="Y40789" s="97"/>
    </row>
    <row r="40790" spans="25:25" x14ac:dyDescent="0.2">
      <c r="Y40790" s="97"/>
    </row>
    <row r="40791" spans="25:25" x14ac:dyDescent="0.2">
      <c r="Y40791" s="97"/>
    </row>
    <row r="40792" spans="25:25" x14ac:dyDescent="0.2">
      <c r="Y40792" s="97"/>
    </row>
    <row r="40793" spans="25:25" x14ac:dyDescent="0.2">
      <c r="Y40793" s="97"/>
    </row>
    <row r="40794" spans="25:25" x14ac:dyDescent="0.2">
      <c r="Y40794" s="97"/>
    </row>
    <row r="40795" spans="25:25" x14ac:dyDescent="0.2">
      <c r="Y40795" s="97"/>
    </row>
    <row r="40796" spans="25:25" x14ac:dyDescent="0.2">
      <c r="Y40796" s="97"/>
    </row>
    <row r="40797" spans="25:25" x14ac:dyDescent="0.2">
      <c r="Y40797" s="97"/>
    </row>
    <row r="40798" spans="25:25" x14ac:dyDescent="0.2">
      <c r="Y40798" s="97"/>
    </row>
    <row r="40799" spans="25:25" x14ac:dyDescent="0.2">
      <c r="Y40799" s="97"/>
    </row>
    <row r="40800" spans="25:25" x14ac:dyDescent="0.2">
      <c r="Y40800" s="97"/>
    </row>
    <row r="40801" spans="25:25" x14ac:dyDescent="0.2">
      <c r="Y40801" s="97"/>
    </row>
    <row r="40802" spans="25:25" x14ac:dyDescent="0.2">
      <c r="Y40802" s="97"/>
    </row>
    <row r="40803" spans="25:25" x14ac:dyDescent="0.2">
      <c r="Y40803" s="97"/>
    </row>
    <row r="40804" spans="25:25" x14ac:dyDescent="0.2">
      <c r="Y40804" s="97"/>
    </row>
    <row r="40805" spans="25:25" x14ac:dyDescent="0.2">
      <c r="Y40805" s="97"/>
    </row>
    <row r="40806" spans="25:25" x14ac:dyDescent="0.2">
      <c r="Y40806" s="97"/>
    </row>
    <row r="40807" spans="25:25" x14ac:dyDescent="0.2">
      <c r="Y40807" s="97"/>
    </row>
    <row r="40808" spans="25:25" x14ac:dyDescent="0.2">
      <c r="Y40808" s="97"/>
    </row>
    <row r="40809" spans="25:25" x14ac:dyDescent="0.2">
      <c r="Y40809" s="97"/>
    </row>
    <row r="40810" spans="25:25" x14ac:dyDescent="0.2">
      <c r="Y40810" s="97"/>
    </row>
    <row r="40811" spans="25:25" x14ac:dyDescent="0.2">
      <c r="Y40811" s="97"/>
    </row>
    <row r="40812" spans="25:25" x14ac:dyDescent="0.2">
      <c r="Y40812" s="97"/>
    </row>
    <row r="40813" spans="25:25" x14ac:dyDescent="0.2">
      <c r="Y40813" s="97"/>
    </row>
    <row r="40814" spans="25:25" x14ac:dyDescent="0.2">
      <c r="Y40814" s="97"/>
    </row>
    <row r="40815" spans="25:25" x14ac:dyDescent="0.2">
      <c r="Y40815" s="97"/>
    </row>
    <row r="40816" spans="25:25" x14ac:dyDescent="0.2">
      <c r="Y40816" s="97"/>
    </row>
    <row r="40817" spans="25:25" x14ac:dyDescent="0.2">
      <c r="Y40817" s="97"/>
    </row>
    <row r="40818" spans="25:25" x14ac:dyDescent="0.2">
      <c r="Y40818" s="97"/>
    </row>
    <row r="40819" spans="25:25" x14ac:dyDescent="0.2">
      <c r="Y40819" s="97"/>
    </row>
    <row r="40820" spans="25:25" x14ac:dyDescent="0.2">
      <c r="Y40820" s="97"/>
    </row>
    <row r="40821" spans="25:25" x14ac:dyDescent="0.2">
      <c r="Y40821" s="97"/>
    </row>
    <row r="40822" spans="25:25" x14ac:dyDescent="0.2">
      <c r="Y40822" s="97"/>
    </row>
    <row r="40823" spans="25:25" x14ac:dyDescent="0.2">
      <c r="Y40823" s="97"/>
    </row>
    <row r="40824" spans="25:25" x14ac:dyDescent="0.2">
      <c r="Y40824" s="97"/>
    </row>
    <row r="40825" spans="25:25" x14ac:dyDescent="0.2">
      <c r="Y40825" s="97"/>
    </row>
    <row r="40826" spans="25:25" x14ac:dyDescent="0.2">
      <c r="Y40826" s="97"/>
    </row>
    <row r="40827" spans="25:25" x14ac:dyDescent="0.2">
      <c r="Y40827" s="97"/>
    </row>
    <row r="40828" spans="25:25" x14ac:dyDescent="0.2">
      <c r="Y40828" s="97"/>
    </row>
    <row r="40829" spans="25:25" x14ac:dyDescent="0.2">
      <c r="Y40829" s="97"/>
    </row>
    <row r="40830" spans="25:25" x14ac:dyDescent="0.2">
      <c r="Y40830" s="97"/>
    </row>
    <row r="40831" spans="25:25" x14ac:dyDescent="0.2">
      <c r="Y40831" s="97"/>
    </row>
    <row r="40832" spans="25:25" x14ac:dyDescent="0.2">
      <c r="Y40832" s="97"/>
    </row>
    <row r="40833" spans="25:25" x14ac:dyDescent="0.2">
      <c r="Y40833" s="97"/>
    </row>
    <row r="40834" spans="25:25" x14ac:dyDescent="0.2">
      <c r="Y40834" s="97"/>
    </row>
    <row r="40835" spans="25:25" x14ac:dyDescent="0.2">
      <c r="Y40835" s="97"/>
    </row>
    <row r="40836" spans="25:25" x14ac:dyDescent="0.2">
      <c r="Y40836" s="97"/>
    </row>
    <row r="40837" spans="25:25" x14ac:dyDescent="0.2">
      <c r="Y40837" s="97"/>
    </row>
    <row r="40838" spans="25:25" x14ac:dyDescent="0.2">
      <c r="Y40838" s="97"/>
    </row>
    <row r="40839" spans="25:25" x14ac:dyDescent="0.2">
      <c r="Y40839" s="97"/>
    </row>
    <row r="40840" spans="25:25" x14ac:dyDescent="0.2">
      <c r="Y40840" s="97"/>
    </row>
    <row r="40841" spans="25:25" x14ac:dyDescent="0.2">
      <c r="Y40841" s="97"/>
    </row>
    <row r="40842" spans="25:25" x14ac:dyDescent="0.2">
      <c r="Y40842" s="97"/>
    </row>
    <row r="40843" spans="25:25" x14ac:dyDescent="0.2">
      <c r="Y40843" s="97"/>
    </row>
    <row r="40844" spans="25:25" x14ac:dyDescent="0.2">
      <c r="Y40844" s="97"/>
    </row>
    <row r="40845" spans="25:25" x14ac:dyDescent="0.2">
      <c r="Y40845" s="97"/>
    </row>
    <row r="40846" spans="25:25" x14ac:dyDescent="0.2">
      <c r="Y40846" s="97"/>
    </row>
    <row r="40847" spans="25:25" x14ac:dyDescent="0.2">
      <c r="Y40847" s="97"/>
    </row>
    <row r="40848" spans="25:25" x14ac:dyDescent="0.2">
      <c r="Y40848" s="97"/>
    </row>
    <row r="40849" spans="25:25" x14ac:dyDescent="0.2">
      <c r="Y40849" s="97"/>
    </row>
    <row r="40850" spans="25:25" x14ac:dyDescent="0.2">
      <c r="Y40850" s="97"/>
    </row>
    <row r="40851" spans="25:25" x14ac:dyDescent="0.2">
      <c r="Y40851" s="97"/>
    </row>
    <row r="40852" spans="25:25" x14ac:dyDescent="0.2">
      <c r="Y40852" s="97"/>
    </row>
    <row r="40853" spans="25:25" x14ac:dyDescent="0.2">
      <c r="Y40853" s="97"/>
    </row>
    <row r="40854" spans="25:25" x14ac:dyDescent="0.2">
      <c r="Y40854" s="97"/>
    </row>
    <row r="40855" spans="25:25" x14ac:dyDescent="0.2">
      <c r="Y40855" s="97"/>
    </row>
    <row r="40856" spans="25:25" x14ac:dyDescent="0.2">
      <c r="Y40856" s="97"/>
    </row>
    <row r="40857" spans="25:25" x14ac:dyDescent="0.2">
      <c r="Y40857" s="97"/>
    </row>
    <row r="40858" spans="25:25" x14ac:dyDescent="0.2">
      <c r="Y40858" s="97"/>
    </row>
    <row r="40859" spans="25:25" x14ac:dyDescent="0.2">
      <c r="Y40859" s="97"/>
    </row>
    <row r="40860" spans="25:25" x14ac:dyDescent="0.2">
      <c r="Y40860" s="97"/>
    </row>
    <row r="40861" spans="25:25" x14ac:dyDescent="0.2">
      <c r="Y40861" s="97"/>
    </row>
    <row r="40862" spans="25:25" x14ac:dyDescent="0.2">
      <c r="Y40862" s="97"/>
    </row>
    <row r="40863" spans="25:25" x14ac:dyDescent="0.2">
      <c r="Y40863" s="97"/>
    </row>
    <row r="40864" spans="25:25" x14ac:dyDescent="0.2">
      <c r="Y40864" s="97"/>
    </row>
    <row r="40865" spans="25:25" x14ac:dyDescent="0.2">
      <c r="Y40865" s="97"/>
    </row>
    <row r="40866" spans="25:25" x14ac:dyDescent="0.2">
      <c r="Y40866" s="97"/>
    </row>
    <row r="40867" spans="25:25" x14ac:dyDescent="0.2">
      <c r="Y40867" s="97"/>
    </row>
    <row r="40868" spans="25:25" x14ac:dyDescent="0.2">
      <c r="Y40868" s="97"/>
    </row>
    <row r="40869" spans="25:25" x14ac:dyDescent="0.2">
      <c r="Y40869" s="97"/>
    </row>
    <row r="40870" spans="25:25" x14ac:dyDescent="0.2">
      <c r="Y40870" s="97"/>
    </row>
    <row r="40871" spans="25:25" x14ac:dyDescent="0.2">
      <c r="Y40871" s="97"/>
    </row>
    <row r="40872" spans="25:25" x14ac:dyDescent="0.2">
      <c r="Y40872" s="97"/>
    </row>
    <row r="40873" spans="25:25" x14ac:dyDescent="0.2">
      <c r="Y40873" s="97"/>
    </row>
    <row r="40874" spans="25:25" x14ac:dyDescent="0.2">
      <c r="Y40874" s="97"/>
    </row>
    <row r="40875" spans="25:25" x14ac:dyDescent="0.2">
      <c r="Y40875" s="97"/>
    </row>
    <row r="40876" spans="25:25" x14ac:dyDescent="0.2">
      <c r="Y40876" s="97"/>
    </row>
    <row r="40877" spans="25:25" x14ac:dyDescent="0.2">
      <c r="Y40877" s="97"/>
    </row>
    <row r="40878" spans="25:25" x14ac:dyDescent="0.2">
      <c r="Y40878" s="97"/>
    </row>
    <row r="40879" spans="25:25" x14ac:dyDescent="0.2">
      <c r="Y40879" s="97"/>
    </row>
    <row r="40880" spans="25:25" x14ac:dyDescent="0.2">
      <c r="Y40880" s="97"/>
    </row>
    <row r="40881" spans="25:25" x14ac:dyDescent="0.2">
      <c r="Y40881" s="97"/>
    </row>
    <row r="40882" spans="25:25" x14ac:dyDescent="0.2">
      <c r="Y40882" s="97"/>
    </row>
    <row r="40883" spans="25:25" x14ac:dyDescent="0.2">
      <c r="Y40883" s="97"/>
    </row>
    <row r="40884" spans="25:25" x14ac:dyDescent="0.2">
      <c r="Y40884" s="97"/>
    </row>
    <row r="40885" spans="25:25" x14ac:dyDescent="0.2">
      <c r="Y40885" s="97"/>
    </row>
    <row r="40886" spans="25:25" x14ac:dyDescent="0.2">
      <c r="Y40886" s="97"/>
    </row>
    <row r="40887" spans="25:25" x14ac:dyDescent="0.2">
      <c r="Y40887" s="97"/>
    </row>
    <row r="40888" spans="25:25" x14ac:dyDescent="0.2">
      <c r="Y40888" s="97"/>
    </row>
    <row r="40889" spans="25:25" x14ac:dyDescent="0.2">
      <c r="Y40889" s="97"/>
    </row>
    <row r="40890" spans="25:25" x14ac:dyDescent="0.2">
      <c r="Y40890" s="97"/>
    </row>
    <row r="40891" spans="25:25" x14ac:dyDescent="0.2">
      <c r="Y40891" s="97"/>
    </row>
    <row r="40892" spans="25:25" x14ac:dyDescent="0.2">
      <c r="Y40892" s="97"/>
    </row>
    <row r="40893" spans="25:25" x14ac:dyDescent="0.2">
      <c r="Y40893" s="97"/>
    </row>
    <row r="40894" spans="25:25" x14ac:dyDescent="0.2">
      <c r="Y40894" s="97"/>
    </row>
    <row r="40895" spans="25:25" x14ac:dyDescent="0.2">
      <c r="Y40895" s="97"/>
    </row>
    <row r="40896" spans="25:25" x14ac:dyDescent="0.2">
      <c r="Y40896" s="97"/>
    </row>
    <row r="40897" spans="25:25" x14ac:dyDescent="0.2">
      <c r="Y40897" s="97"/>
    </row>
    <row r="40898" spans="25:25" x14ac:dyDescent="0.2">
      <c r="Y40898" s="97"/>
    </row>
    <row r="40899" spans="25:25" x14ac:dyDescent="0.2">
      <c r="Y40899" s="97"/>
    </row>
    <row r="40900" spans="25:25" x14ac:dyDescent="0.2">
      <c r="Y40900" s="97"/>
    </row>
    <row r="40901" spans="25:25" x14ac:dyDescent="0.2">
      <c r="Y40901" s="97"/>
    </row>
    <row r="40902" spans="25:25" x14ac:dyDescent="0.2">
      <c r="Y40902" s="97"/>
    </row>
    <row r="40903" spans="25:25" x14ac:dyDescent="0.2">
      <c r="Y40903" s="97"/>
    </row>
    <row r="40904" spans="25:25" x14ac:dyDescent="0.2">
      <c r="Y40904" s="97"/>
    </row>
    <row r="40905" spans="25:25" x14ac:dyDescent="0.2">
      <c r="Y40905" s="97"/>
    </row>
    <row r="40906" spans="25:25" x14ac:dyDescent="0.2">
      <c r="Y40906" s="97"/>
    </row>
    <row r="40907" spans="25:25" x14ac:dyDescent="0.2">
      <c r="Y40907" s="97"/>
    </row>
    <row r="40908" spans="25:25" x14ac:dyDescent="0.2">
      <c r="Y40908" s="97"/>
    </row>
    <row r="40909" spans="25:25" x14ac:dyDescent="0.2">
      <c r="Y40909" s="97"/>
    </row>
    <row r="40910" spans="25:25" x14ac:dyDescent="0.2">
      <c r="Y40910" s="97"/>
    </row>
    <row r="40911" spans="25:25" x14ac:dyDescent="0.2">
      <c r="Y40911" s="97"/>
    </row>
    <row r="40912" spans="25:25" x14ac:dyDescent="0.2">
      <c r="Y40912" s="97"/>
    </row>
    <row r="40913" spans="25:25" x14ac:dyDescent="0.2">
      <c r="Y40913" s="97"/>
    </row>
    <row r="40914" spans="25:25" x14ac:dyDescent="0.2">
      <c r="Y40914" s="97"/>
    </row>
    <row r="40915" spans="25:25" x14ac:dyDescent="0.2">
      <c r="Y40915" s="97"/>
    </row>
    <row r="40916" spans="25:25" x14ac:dyDescent="0.2">
      <c r="Y40916" s="97"/>
    </row>
    <row r="40917" spans="25:25" x14ac:dyDescent="0.2">
      <c r="Y40917" s="97"/>
    </row>
    <row r="40918" spans="25:25" x14ac:dyDescent="0.2">
      <c r="Y40918" s="97"/>
    </row>
    <row r="40919" spans="25:25" x14ac:dyDescent="0.2">
      <c r="Y40919" s="97"/>
    </row>
    <row r="40920" spans="25:25" x14ac:dyDescent="0.2">
      <c r="Y40920" s="97"/>
    </row>
    <row r="40921" spans="25:25" x14ac:dyDescent="0.2">
      <c r="Y40921" s="97"/>
    </row>
    <row r="40922" spans="25:25" x14ac:dyDescent="0.2">
      <c r="Y40922" s="97"/>
    </row>
    <row r="40923" spans="25:25" x14ac:dyDescent="0.2">
      <c r="Y40923" s="97"/>
    </row>
    <row r="40924" spans="25:25" x14ac:dyDescent="0.2">
      <c r="Y40924" s="97"/>
    </row>
    <row r="40925" spans="25:25" x14ac:dyDescent="0.2">
      <c r="Y40925" s="97"/>
    </row>
    <row r="40926" spans="25:25" x14ac:dyDescent="0.2">
      <c r="Y40926" s="97"/>
    </row>
    <row r="40927" spans="25:25" x14ac:dyDescent="0.2">
      <c r="Y40927" s="97"/>
    </row>
    <row r="40928" spans="25:25" x14ac:dyDescent="0.2">
      <c r="Y40928" s="97"/>
    </row>
    <row r="40929" spans="25:25" x14ac:dyDescent="0.2">
      <c r="Y40929" s="97"/>
    </row>
    <row r="40930" spans="25:25" x14ac:dyDescent="0.2">
      <c r="Y40930" s="97"/>
    </row>
    <row r="40931" spans="25:25" x14ac:dyDescent="0.2">
      <c r="Y40931" s="97"/>
    </row>
    <row r="40932" spans="25:25" x14ac:dyDescent="0.2">
      <c r="Y40932" s="97"/>
    </row>
    <row r="40933" spans="25:25" x14ac:dyDescent="0.2">
      <c r="Y40933" s="97"/>
    </row>
    <row r="40934" spans="25:25" x14ac:dyDescent="0.2">
      <c r="Y40934" s="97"/>
    </row>
    <row r="40935" spans="25:25" x14ac:dyDescent="0.2">
      <c r="Y40935" s="97"/>
    </row>
    <row r="40936" spans="25:25" x14ac:dyDescent="0.2">
      <c r="Y40936" s="97"/>
    </row>
    <row r="40937" spans="25:25" x14ac:dyDescent="0.2">
      <c r="Y40937" s="97"/>
    </row>
    <row r="40938" spans="25:25" x14ac:dyDescent="0.2">
      <c r="Y40938" s="97"/>
    </row>
    <row r="40939" spans="25:25" x14ac:dyDescent="0.2">
      <c r="Y40939" s="97"/>
    </row>
    <row r="40940" spans="25:25" x14ac:dyDescent="0.2">
      <c r="Y40940" s="97"/>
    </row>
    <row r="40941" spans="25:25" x14ac:dyDescent="0.2">
      <c r="Y40941" s="97"/>
    </row>
    <row r="40942" spans="25:25" x14ac:dyDescent="0.2">
      <c r="Y40942" s="97"/>
    </row>
    <row r="40943" spans="25:25" x14ac:dyDescent="0.2">
      <c r="Y40943" s="97"/>
    </row>
    <row r="40944" spans="25:25" x14ac:dyDescent="0.2">
      <c r="Y40944" s="97"/>
    </row>
    <row r="40945" spans="25:25" x14ac:dyDescent="0.2">
      <c r="Y40945" s="97"/>
    </row>
    <row r="40946" spans="25:25" x14ac:dyDescent="0.2">
      <c r="Y40946" s="97"/>
    </row>
    <row r="40947" spans="25:25" x14ac:dyDescent="0.2">
      <c r="Y40947" s="97"/>
    </row>
    <row r="40948" spans="25:25" x14ac:dyDescent="0.2">
      <c r="Y40948" s="97"/>
    </row>
    <row r="40949" spans="25:25" x14ac:dyDescent="0.2">
      <c r="Y40949" s="97"/>
    </row>
    <row r="40950" spans="25:25" x14ac:dyDescent="0.2">
      <c r="Y40950" s="97"/>
    </row>
    <row r="40951" spans="25:25" x14ac:dyDescent="0.2">
      <c r="Y40951" s="97"/>
    </row>
    <row r="40952" spans="25:25" x14ac:dyDescent="0.2">
      <c r="Y40952" s="97"/>
    </row>
    <row r="40953" spans="25:25" x14ac:dyDescent="0.2">
      <c r="Y40953" s="97"/>
    </row>
    <row r="40954" spans="25:25" x14ac:dyDescent="0.2">
      <c r="Y40954" s="97"/>
    </row>
    <row r="40955" spans="25:25" x14ac:dyDescent="0.2">
      <c r="Y40955" s="97"/>
    </row>
    <row r="40956" spans="25:25" x14ac:dyDescent="0.2">
      <c r="Y40956" s="97"/>
    </row>
    <row r="40957" spans="25:25" x14ac:dyDescent="0.2">
      <c r="Y40957" s="97"/>
    </row>
    <row r="40958" spans="25:25" x14ac:dyDescent="0.2">
      <c r="Y40958" s="97"/>
    </row>
    <row r="40959" spans="25:25" x14ac:dyDescent="0.2">
      <c r="Y40959" s="97"/>
    </row>
    <row r="40960" spans="25:25" x14ac:dyDescent="0.2">
      <c r="Y40960" s="97"/>
    </row>
    <row r="40961" spans="25:25" x14ac:dyDescent="0.2">
      <c r="Y40961" s="97"/>
    </row>
    <row r="40962" spans="25:25" x14ac:dyDescent="0.2">
      <c r="Y40962" s="97"/>
    </row>
    <row r="40963" spans="25:25" x14ac:dyDescent="0.2">
      <c r="Y40963" s="97"/>
    </row>
    <row r="40964" spans="25:25" x14ac:dyDescent="0.2">
      <c r="Y40964" s="97"/>
    </row>
    <row r="40965" spans="25:25" x14ac:dyDescent="0.2">
      <c r="Y40965" s="97"/>
    </row>
    <row r="40966" spans="25:25" x14ac:dyDescent="0.2">
      <c r="Y40966" s="97"/>
    </row>
    <row r="40967" spans="25:25" x14ac:dyDescent="0.2">
      <c r="Y40967" s="97"/>
    </row>
    <row r="40968" spans="25:25" x14ac:dyDescent="0.2">
      <c r="Y40968" s="97"/>
    </row>
    <row r="40969" spans="25:25" x14ac:dyDescent="0.2">
      <c r="Y40969" s="97"/>
    </row>
    <row r="40970" spans="25:25" x14ac:dyDescent="0.2">
      <c r="Y40970" s="97"/>
    </row>
    <row r="40971" spans="25:25" x14ac:dyDescent="0.2">
      <c r="Y40971" s="97"/>
    </row>
    <row r="40972" spans="25:25" x14ac:dyDescent="0.2">
      <c r="Y40972" s="97"/>
    </row>
    <row r="40973" spans="25:25" x14ac:dyDescent="0.2">
      <c r="Y40973" s="97"/>
    </row>
    <row r="40974" spans="25:25" x14ac:dyDescent="0.2">
      <c r="Y40974" s="97"/>
    </row>
    <row r="40975" spans="25:25" x14ac:dyDescent="0.2">
      <c r="Y40975" s="97"/>
    </row>
    <row r="40976" spans="25:25" x14ac:dyDescent="0.2">
      <c r="Y40976" s="97"/>
    </row>
    <row r="40977" spans="25:25" x14ac:dyDescent="0.2">
      <c r="Y40977" s="97"/>
    </row>
    <row r="40978" spans="25:25" x14ac:dyDescent="0.2">
      <c r="Y40978" s="97"/>
    </row>
    <row r="40979" spans="25:25" x14ac:dyDescent="0.2">
      <c r="Y40979" s="97"/>
    </row>
    <row r="40980" spans="25:25" x14ac:dyDescent="0.2">
      <c r="Y40980" s="97"/>
    </row>
    <row r="40981" spans="25:25" x14ac:dyDescent="0.2">
      <c r="Y40981" s="97"/>
    </row>
    <row r="40982" spans="25:25" x14ac:dyDescent="0.2">
      <c r="Y40982" s="97"/>
    </row>
    <row r="40983" spans="25:25" x14ac:dyDescent="0.2">
      <c r="Y40983" s="97"/>
    </row>
    <row r="40984" spans="25:25" x14ac:dyDescent="0.2">
      <c r="Y40984" s="97"/>
    </row>
    <row r="40985" spans="25:25" x14ac:dyDescent="0.2">
      <c r="Y40985" s="97"/>
    </row>
    <row r="40986" spans="25:25" x14ac:dyDescent="0.2">
      <c r="Y40986" s="97"/>
    </row>
    <row r="40987" spans="25:25" x14ac:dyDescent="0.2">
      <c r="Y40987" s="97"/>
    </row>
    <row r="40988" spans="25:25" x14ac:dyDescent="0.2">
      <c r="Y40988" s="97"/>
    </row>
    <row r="40989" spans="25:25" x14ac:dyDescent="0.2">
      <c r="Y40989" s="97"/>
    </row>
    <row r="40990" spans="25:25" x14ac:dyDescent="0.2">
      <c r="Y40990" s="97"/>
    </row>
    <row r="40991" spans="25:25" x14ac:dyDescent="0.2">
      <c r="Y40991" s="97"/>
    </row>
    <row r="40992" spans="25:25" x14ac:dyDescent="0.2">
      <c r="Y40992" s="97"/>
    </row>
    <row r="40993" spans="25:25" x14ac:dyDescent="0.2">
      <c r="Y40993" s="97"/>
    </row>
    <row r="40994" spans="25:25" x14ac:dyDescent="0.2">
      <c r="Y40994" s="97"/>
    </row>
    <row r="40995" spans="25:25" x14ac:dyDescent="0.2">
      <c r="Y40995" s="97"/>
    </row>
    <row r="40996" spans="25:25" x14ac:dyDescent="0.2">
      <c r="Y40996" s="97"/>
    </row>
    <row r="40997" spans="25:25" x14ac:dyDescent="0.2">
      <c r="Y40997" s="97"/>
    </row>
    <row r="40998" spans="25:25" x14ac:dyDescent="0.2">
      <c r="Y40998" s="97"/>
    </row>
    <row r="40999" spans="25:25" x14ac:dyDescent="0.2">
      <c r="Y40999" s="97"/>
    </row>
    <row r="41000" spans="25:25" x14ac:dyDescent="0.2">
      <c r="Y41000" s="97"/>
    </row>
    <row r="41001" spans="25:25" x14ac:dyDescent="0.2">
      <c r="Y41001" s="97"/>
    </row>
    <row r="41002" spans="25:25" x14ac:dyDescent="0.2">
      <c r="Y41002" s="97"/>
    </row>
    <row r="41003" spans="25:25" x14ac:dyDescent="0.2">
      <c r="Y41003" s="97"/>
    </row>
    <row r="41004" spans="25:25" x14ac:dyDescent="0.2">
      <c r="Y41004" s="97"/>
    </row>
    <row r="41005" spans="25:25" x14ac:dyDescent="0.2">
      <c r="Y41005" s="97"/>
    </row>
    <row r="41006" spans="25:25" x14ac:dyDescent="0.2">
      <c r="Y41006" s="97"/>
    </row>
    <row r="41007" spans="25:25" x14ac:dyDescent="0.2">
      <c r="Y41007" s="97"/>
    </row>
    <row r="41008" spans="25:25" x14ac:dyDescent="0.2">
      <c r="Y41008" s="97"/>
    </row>
    <row r="41009" spans="25:25" x14ac:dyDescent="0.2">
      <c r="Y41009" s="97"/>
    </row>
    <row r="41010" spans="25:25" x14ac:dyDescent="0.2">
      <c r="Y41010" s="97"/>
    </row>
    <row r="41011" spans="25:25" x14ac:dyDescent="0.2">
      <c r="Y41011" s="97"/>
    </row>
    <row r="41012" spans="25:25" x14ac:dyDescent="0.2">
      <c r="Y41012" s="97"/>
    </row>
    <row r="41013" spans="25:25" x14ac:dyDescent="0.2">
      <c r="Y41013" s="97"/>
    </row>
    <row r="41014" spans="25:25" x14ac:dyDescent="0.2">
      <c r="Y41014" s="97"/>
    </row>
    <row r="41015" spans="25:25" x14ac:dyDescent="0.2">
      <c r="Y41015" s="97"/>
    </row>
    <row r="41016" spans="25:25" x14ac:dyDescent="0.2">
      <c r="Y41016" s="97"/>
    </row>
    <row r="41017" spans="25:25" x14ac:dyDescent="0.2">
      <c r="Y41017" s="97"/>
    </row>
    <row r="41018" spans="25:25" x14ac:dyDescent="0.2">
      <c r="Y41018" s="97"/>
    </row>
    <row r="41019" spans="25:25" x14ac:dyDescent="0.2">
      <c r="Y41019" s="97"/>
    </row>
    <row r="41020" spans="25:25" x14ac:dyDescent="0.2">
      <c r="Y41020" s="97"/>
    </row>
    <row r="41021" spans="25:25" x14ac:dyDescent="0.2">
      <c r="Y41021" s="97"/>
    </row>
    <row r="41022" spans="25:25" x14ac:dyDescent="0.2">
      <c r="Y41022" s="97"/>
    </row>
    <row r="41023" spans="25:25" x14ac:dyDescent="0.2">
      <c r="Y41023" s="97"/>
    </row>
    <row r="41024" spans="25:25" x14ac:dyDescent="0.2">
      <c r="Y41024" s="97"/>
    </row>
    <row r="41025" spans="25:25" x14ac:dyDescent="0.2">
      <c r="Y41025" s="97"/>
    </row>
    <row r="41026" spans="25:25" x14ac:dyDescent="0.2">
      <c r="Y41026" s="97"/>
    </row>
    <row r="41027" spans="25:25" x14ac:dyDescent="0.2">
      <c r="Y41027" s="97"/>
    </row>
    <row r="41028" spans="25:25" x14ac:dyDescent="0.2">
      <c r="Y41028" s="97"/>
    </row>
    <row r="41029" spans="25:25" x14ac:dyDescent="0.2">
      <c r="Y41029" s="97"/>
    </row>
    <row r="41030" spans="25:25" x14ac:dyDescent="0.2">
      <c r="Y41030" s="97"/>
    </row>
    <row r="41031" spans="25:25" x14ac:dyDescent="0.2">
      <c r="Y41031" s="97"/>
    </row>
    <row r="41032" spans="25:25" x14ac:dyDescent="0.2">
      <c r="Y41032" s="97"/>
    </row>
    <row r="41033" spans="25:25" x14ac:dyDescent="0.2">
      <c r="Y41033" s="97"/>
    </row>
    <row r="41034" spans="25:25" x14ac:dyDescent="0.2">
      <c r="Y41034" s="97"/>
    </row>
    <row r="41035" spans="25:25" x14ac:dyDescent="0.2">
      <c r="Y41035" s="97"/>
    </row>
    <row r="41036" spans="25:25" x14ac:dyDescent="0.2">
      <c r="Y41036" s="97"/>
    </row>
    <row r="41037" spans="25:25" x14ac:dyDescent="0.2">
      <c r="Y41037" s="97"/>
    </row>
    <row r="41038" spans="25:25" x14ac:dyDescent="0.2">
      <c r="Y41038" s="97"/>
    </row>
    <row r="41039" spans="25:25" x14ac:dyDescent="0.2">
      <c r="Y41039" s="97"/>
    </row>
    <row r="41040" spans="25:25" x14ac:dyDescent="0.2">
      <c r="Y41040" s="97"/>
    </row>
    <row r="41041" spans="25:25" x14ac:dyDescent="0.2">
      <c r="Y41041" s="97"/>
    </row>
    <row r="41042" spans="25:25" x14ac:dyDescent="0.2">
      <c r="Y41042" s="97"/>
    </row>
    <row r="41043" spans="25:25" x14ac:dyDescent="0.2">
      <c r="Y41043" s="97"/>
    </row>
    <row r="41044" spans="25:25" x14ac:dyDescent="0.2">
      <c r="Y41044" s="97"/>
    </row>
    <row r="41045" spans="25:25" x14ac:dyDescent="0.2">
      <c r="Y41045" s="97"/>
    </row>
    <row r="41046" spans="25:25" x14ac:dyDescent="0.2">
      <c r="Y41046" s="97"/>
    </row>
    <row r="41047" spans="25:25" x14ac:dyDescent="0.2">
      <c r="Y41047" s="97"/>
    </row>
    <row r="41048" spans="25:25" x14ac:dyDescent="0.2">
      <c r="Y41048" s="97"/>
    </row>
    <row r="41049" spans="25:25" x14ac:dyDescent="0.2">
      <c r="Y41049" s="97"/>
    </row>
    <row r="41050" spans="25:25" x14ac:dyDescent="0.2">
      <c r="Y41050" s="97"/>
    </row>
    <row r="41051" spans="25:25" x14ac:dyDescent="0.2">
      <c r="Y41051" s="97"/>
    </row>
    <row r="41052" spans="25:25" x14ac:dyDescent="0.2">
      <c r="Y41052" s="97"/>
    </row>
    <row r="41053" spans="25:25" x14ac:dyDescent="0.2">
      <c r="Y41053" s="97"/>
    </row>
    <row r="41054" spans="25:25" x14ac:dyDescent="0.2">
      <c r="Y41054" s="97"/>
    </row>
    <row r="41055" spans="25:25" x14ac:dyDescent="0.2">
      <c r="Y41055" s="97"/>
    </row>
    <row r="41056" spans="25:25" x14ac:dyDescent="0.2">
      <c r="Y41056" s="97"/>
    </row>
    <row r="41057" spans="25:25" x14ac:dyDescent="0.2">
      <c r="Y41057" s="97"/>
    </row>
    <row r="41058" spans="25:25" x14ac:dyDescent="0.2">
      <c r="Y41058" s="97"/>
    </row>
    <row r="41059" spans="25:25" x14ac:dyDescent="0.2">
      <c r="Y41059" s="97"/>
    </row>
    <row r="41060" spans="25:25" x14ac:dyDescent="0.2">
      <c r="Y41060" s="97"/>
    </row>
    <row r="41061" spans="25:25" x14ac:dyDescent="0.2">
      <c r="Y41061" s="97"/>
    </row>
    <row r="41062" spans="25:25" x14ac:dyDescent="0.2">
      <c r="Y41062" s="97"/>
    </row>
    <row r="41063" spans="25:25" x14ac:dyDescent="0.2">
      <c r="Y41063" s="97"/>
    </row>
    <row r="41064" spans="25:25" x14ac:dyDescent="0.2">
      <c r="Y41064" s="97"/>
    </row>
    <row r="41065" spans="25:25" x14ac:dyDescent="0.2">
      <c r="Y41065" s="97"/>
    </row>
    <row r="41066" spans="25:25" x14ac:dyDescent="0.2">
      <c r="Y41066" s="97"/>
    </row>
    <row r="41067" spans="25:25" x14ac:dyDescent="0.2">
      <c r="Y41067" s="97"/>
    </row>
    <row r="41068" spans="25:25" x14ac:dyDescent="0.2">
      <c r="Y41068" s="97"/>
    </row>
    <row r="41069" spans="25:25" x14ac:dyDescent="0.2">
      <c r="Y41069" s="97"/>
    </row>
    <row r="41070" spans="25:25" x14ac:dyDescent="0.2">
      <c r="Y41070" s="97"/>
    </row>
    <row r="41071" spans="25:25" x14ac:dyDescent="0.2">
      <c r="Y41071" s="97"/>
    </row>
    <row r="41072" spans="25:25" x14ac:dyDescent="0.2">
      <c r="Y41072" s="97"/>
    </row>
    <row r="41073" spans="25:25" x14ac:dyDescent="0.2">
      <c r="Y41073" s="97"/>
    </row>
    <row r="41074" spans="25:25" x14ac:dyDescent="0.2">
      <c r="Y41074" s="97"/>
    </row>
    <row r="41075" spans="25:25" x14ac:dyDescent="0.2">
      <c r="Y41075" s="97"/>
    </row>
    <row r="41076" spans="25:25" x14ac:dyDescent="0.2">
      <c r="Y41076" s="97"/>
    </row>
    <row r="41077" spans="25:25" x14ac:dyDescent="0.2">
      <c r="Y41077" s="97"/>
    </row>
    <row r="41078" spans="25:25" x14ac:dyDescent="0.2">
      <c r="Y41078" s="97"/>
    </row>
    <row r="41079" spans="25:25" x14ac:dyDescent="0.2">
      <c r="Y41079" s="97"/>
    </row>
    <row r="41080" spans="25:25" x14ac:dyDescent="0.2">
      <c r="Y41080" s="97"/>
    </row>
    <row r="41081" spans="25:25" x14ac:dyDescent="0.2">
      <c r="Y41081" s="97"/>
    </row>
    <row r="41082" spans="25:25" x14ac:dyDescent="0.2">
      <c r="Y41082" s="97"/>
    </row>
    <row r="41083" spans="25:25" x14ac:dyDescent="0.2">
      <c r="Y41083" s="97"/>
    </row>
    <row r="41084" spans="25:25" x14ac:dyDescent="0.2">
      <c r="Y41084" s="97"/>
    </row>
    <row r="41085" spans="25:25" x14ac:dyDescent="0.2">
      <c r="Y41085" s="97"/>
    </row>
    <row r="41086" spans="25:25" x14ac:dyDescent="0.2">
      <c r="Y41086" s="97"/>
    </row>
    <row r="41087" spans="25:25" x14ac:dyDescent="0.2">
      <c r="Y41087" s="97"/>
    </row>
    <row r="41088" spans="25:25" x14ac:dyDescent="0.2">
      <c r="Y41088" s="97"/>
    </row>
    <row r="41089" spans="25:25" x14ac:dyDescent="0.2">
      <c r="Y41089" s="97"/>
    </row>
    <row r="41090" spans="25:25" x14ac:dyDescent="0.2">
      <c r="Y41090" s="97"/>
    </row>
    <row r="41091" spans="25:25" x14ac:dyDescent="0.2">
      <c r="Y41091" s="97"/>
    </row>
    <row r="41092" spans="25:25" x14ac:dyDescent="0.2">
      <c r="Y41092" s="97"/>
    </row>
    <row r="41093" spans="25:25" x14ac:dyDescent="0.2">
      <c r="Y41093" s="97"/>
    </row>
    <row r="41094" spans="25:25" x14ac:dyDescent="0.2">
      <c r="Y41094" s="97"/>
    </row>
    <row r="41095" spans="25:25" x14ac:dyDescent="0.2">
      <c r="Y41095" s="97"/>
    </row>
    <row r="41096" spans="25:25" x14ac:dyDescent="0.2">
      <c r="Y41096" s="97"/>
    </row>
    <row r="41097" spans="25:25" x14ac:dyDescent="0.2">
      <c r="Y41097" s="97"/>
    </row>
    <row r="41098" spans="25:25" x14ac:dyDescent="0.2">
      <c r="Y41098" s="97"/>
    </row>
    <row r="41099" spans="25:25" x14ac:dyDescent="0.2">
      <c r="Y41099" s="97"/>
    </row>
    <row r="41100" spans="25:25" x14ac:dyDescent="0.2">
      <c r="Y41100" s="97"/>
    </row>
    <row r="41101" spans="25:25" x14ac:dyDescent="0.2">
      <c r="Y41101" s="97"/>
    </row>
    <row r="41102" spans="25:25" x14ac:dyDescent="0.2">
      <c r="Y41102" s="97"/>
    </row>
    <row r="41103" spans="25:25" x14ac:dyDescent="0.2">
      <c r="Y41103" s="97"/>
    </row>
    <row r="41104" spans="25:25" x14ac:dyDescent="0.2">
      <c r="Y41104" s="97"/>
    </row>
    <row r="41105" spans="25:25" x14ac:dyDescent="0.2">
      <c r="Y41105" s="97"/>
    </row>
    <row r="41106" spans="25:25" x14ac:dyDescent="0.2">
      <c r="Y41106" s="97"/>
    </row>
    <row r="41107" spans="25:25" x14ac:dyDescent="0.2">
      <c r="Y41107" s="97"/>
    </row>
    <row r="41108" spans="25:25" x14ac:dyDescent="0.2">
      <c r="Y41108" s="97"/>
    </row>
    <row r="41109" spans="25:25" x14ac:dyDescent="0.2">
      <c r="Y41109" s="97"/>
    </row>
    <row r="41110" spans="25:25" x14ac:dyDescent="0.2">
      <c r="Y41110" s="97"/>
    </row>
    <row r="41111" spans="25:25" x14ac:dyDescent="0.2">
      <c r="Y41111" s="97"/>
    </row>
    <row r="41112" spans="25:25" x14ac:dyDescent="0.2">
      <c r="Y41112" s="97"/>
    </row>
    <row r="41113" spans="25:25" x14ac:dyDescent="0.2">
      <c r="Y41113" s="97"/>
    </row>
    <row r="41114" spans="25:25" x14ac:dyDescent="0.2">
      <c r="Y41114" s="97"/>
    </row>
    <row r="41115" spans="25:25" x14ac:dyDescent="0.2">
      <c r="Y41115" s="97"/>
    </row>
    <row r="41116" spans="25:25" x14ac:dyDescent="0.2">
      <c r="Y41116" s="97"/>
    </row>
    <row r="41117" spans="25:25" x14ac:dyDescent="0.2">
      <c r="Y41117" s="97"/>
    </row>
    <row r="41118" spans="25:25" x14ac:dyDescent="0.2">
      <c r="Y41118" s="97"/>
    </row>
    <row r="41119" spans="25:25" x14ac:dyDescent="0.2">
      <c r="Y41119" s="97"/>
    </row>
    <row r="41120" spans="25:25" x14ac:dyDescent="0.2">
      <c r="Y41120" s="97"/>
    </row>
    <row r="41121" spans="25:25" x14ac:dyDescent="0.2">
      <c r="Y41121" s="97"/>
    </row>
    <row r="41122" spans="25:25" x14ac:dyDescent="0.2">
      <c r="Y41122" s="97"/>
    </row>
    <row r="41123" spans="25:25" x14ac:dyDescent="0.2">
      <c r="Y41123" s="97"/>
    </row>
    <row r="41124" spans="25:25" x14ac:dyDescent="0.2">
      <c r="Y41124" s="97"/>
    </row>
    <row r="41125" spans="25:25" x14ac:dyDescent="0.2">
      <c r="Y41125" s="97"/>
    </row>
    <row r="41126" spans="25:25" x14ac:dyDescent="0.2">
      <c r="Y41126" s="97"/>
    </row>
    <row r="41127" spans="25:25" x14ac:dyDescent="0.2">
      <c r="Y41127" s="97"/>
    </row>
    <row r="41128" spans="25:25" x14ac:dyDescent="0.2">
      <c r="Y41128" s="97"/>
    </row>
    <row r="41129" spans="25:25" x14ac:dyDescent="0.2">
      <c r="Y41129" s="97"/>
    </row>
    <row r="41130" spans="25:25" x14ac:dyDescent="0.2">
      <c r="Y41130" s="97"/>
    </row>
    <row r="41131" spans="25:25" x14ac:dyDescent="0.2">
      <c r="Y41131" s="97"/>
    </row>
    <row r="41132" spans="25:25" x14ac:dyDescent="0.2">
      <c r="Y41132" s="97"/>
    </row>
    <row r="41133" spans="25:25" x14ac:dyDescent="0.2">
      <c r="Y41133" s="97"/>
    </row>
    <row r="41134" spans="25:25" x14ac:dyDescent="0.2">
      <c r="Y41134" s="97"/>
    </row>
    <row r="41135" spans="25:25" x14ac:dyDescent="0.2">
      <c r="Y41135" s="97"/>
    </row>
    <row r="41136" spans="25:25" x14ac:dyDescent="0.2">
      <c r="Y41136" s="97"/>
    </row>
    <row r="41137" spans="25:25" x14ac:dyDescent="0.2">
      <c r="Y41137" s="97"/>
    </row>
    <row r="41138" spans="25:25" x14ac:dyDescent="0.2">
      <c r="Y41138" s="97"/>
    </row>
    <row r="41139" spans="25:25" x14ac:dyDescent="0.2">
      <c r="Y41139" s="97"/>
    </row>
    <row r="41140" spans="25:25" x14ac:dyDescent="0.2">
      <c r="Y41140" s="97"/>
    </row>
    <row r="41141" spans="25:25" x14ac:dyDescent="0.2">
      <c r="Y41141" s="97"/>
    </row>
    <row r="41142" spans="25:25" x14ac:dyDescent="0.2">
      <c r="Y41142" s="97"/>
    </row>
    <row r="41143" spans="25:25" x14ac:dyDescent="0.2">
      <c r="Y41143" s="97"/>
    </row>
    <row r="41144" spans="25:25" x14ac:dyDescent="0.2">
      <c r="Y41144" s="97"/>
    </row>
    <row r="41145" spans="25:25" x14ac:dyDescent="0.2">
      <c r="Y41145" s="97"/>
    </row>
    <row r="41146" spans="25:25" x14ac:dyDescent="0.2">
      <c r="Y41146" s="97"/>
    </row>
    <row r="41147" spans="25:25" x14ac:dyDescent="0.2">
      <c r="Y41147" s="97"/>
    </row>
    <row r="41148" spans="25:25" x14ac:dyDescent="0.2">
      <c r="Y41148" s="97"/>
    </row>
    <row r="41149" spans="25:25" x14ac:dyDescent="0.2">
      <c r="Y41149" s="97"/>
    </row>
    <row r="41150" spans="25:25" x14ac:dyDescent="0.2">
      <c r="Y41150" s="97"/>
    </row>
    <row r="41151" spans="25:25" x14ac:dyDescent="0.2">
      <c r="Y41151" s="97"/>
    </row>
    <row r="41152" spans="25:25" x14ac:dyDescent="0.2">
      <c r="Y41152" s="97"/>
    </row>
    <row r="41153" spans="25:25" x14ac:dyDescent="0.2">
      <c r="Y41153" s="97"/>
    </row>
    <row r="41154" spans="25:25" x14ac:dyDescent="0.2">
      <c r="Y41154" s="97"/>
    </row>
    <row r="41155" spans="25:25" x14ac:dyDescent="0.2">
      <c r="Y41155" s="97"/>
    </row>
    <row r="41156" spans="25:25" x14ac:dyDescent="0.2">
      <c r="Y41156" s="97"/>
    </row>
    <row r="41157" spans="25:25" x14ac:dyDescent="0.2">
      <c r="Y41157" s="97"/>
    </row>
    <row r="41158" spans="25:25" x14ac:dyDescent="0.2">
      <c r="Y41158" s="97"/>
    </row>
    <row r="41159" spans="25:25" x14ac:dyDescent="0.2">
      <c r="Y41159" s="97"/>
    </row>
    <row r="41160" spans="25:25" x14ac:dyDescent="0.2">
      <c r="Y41160" s="97"/>
    </row>
    <row r="41161" spans="25:25" x14ac:dyDescent="0.2">
      <c r="Y41161" s="97"/>
    </row>
    <row r="41162" spans="25:25" x14ac:dyDescent="0.2">
      <c r="Y41162" s="97"/>
    </row>
    <row r="41163" spans="25:25" x14ac:dyDescent="0.2">
      <c r="Y41163" s="97"/>
    </row>
    <row r="41164" spans="25:25" x14ac:dyDescent="0.2">
      <c r="Y41164" s="97"/>
    </row>
    <row r="41165" spans="25:25" x14ac:dyDescent="0.2">
      <c r="Y41165" s="97"/>
    </row>
    <row r="41166" spans="25:25" x14ac:dyDescent="0.2">
      <c r="Y41166" s="97"/>
    </row>
    <row r="41167" spans="25:25" x14ac:dyDescent="0.2">
      <c r="Y41167" s="97"/>
    </row>
    <row r="41168" spans="25:25" x14ac:dyDescent="0.2">
      <c r="Y41168" s="97"/>
    </row>
    <row r="41169" spans="25:25" x14ac:dyDescent="0.2">
      <c r="Y41169" s="97"/>
    </row>
    <row r="41170" spans="25:25" x14ac:dyDescent="0.2">
      <c r="Y41170" s="97"/>
    </row>
    <row r="41171" spans="25:25" x14ac:dyDescent="0.2">
      <c r="Y41171" s="97"/>
    </row>
    <row r="41172" spans="25:25" x14ac:dyDescent="0.2">
      <c r="Y41172" s="97"/>
    </row>
    <row r="41173" spans="25:25" x14ac:dyDescent="0.2">
      <c r="Y41173" s="97"/>
    </row>
    <row r="41174" spans="25:25" x14ac:dyDescent="0.2">
      <c r="Y41174" s="97"/>
    </row>
    <row r="41175" spans="25:25" x14ac:dyDescent="0.2">
      <c r="Y41175" s="97"/>
    </row>
    <row r="41176" spans="25:25" x14ac:dyDescent="0.2">
      <c r="Y41176" s="97"/>
    </row>
    <row r="41177" spans="25:25" x14ac:dyDescent="0.2">
      <c r="Y41177" s="97"/>
    </row>
    <row r="41178" spans="25:25" x14ac:dyDescent="0.2">
      <c r="Y41178" s="97"/>
    </row>
    <row r="41179" spans="25:25" x14ac:dyDescent="0.2">
      <c r="Y41179" s="97"/>
    </row>
    <row r="41180" spans="25:25" x14ac:dyDescent="0.2">
      <c r="Y41180" s="97"/>
    </row>
    <row r="41181" spans="25:25" x14ac:dyDescent="0.2">
      <c r="Y41181" s="97"/>
    </row>
    <row r="41182" spans="25:25" x14ac:dyDescent="0.2">
      <c r="Y41182" s="97"/>
    </row>
    <row r="41183" spans="25:25" x14ac:dyDescent="0.2">
      <c r="Y41183" s="97"/>
    </row>
    <row r="41184" spans="25:25" x14ac:dyDescent="0.2">
      <c r="Y41184" s="97"/>
    </row>
    <row r="41185" spans="25:25" x14ac:dyDescent="0.2">
      <c r="Y41185" s="97"/>
    </row>
    <row r="41186" spans="25:25" x14ac:dyDescent="0.2">
      <c r="Y41186" s="97"/>
    </row>
    <row r="41187" spans="25:25" x14ac:dyDescent="0.2">
      <c r="Y41187" s="97"/>
    </row>
    <row r="41188" spans="25:25" x14ac:dyDescent="0.2">
      <c r="Y41188" s="97"/>
    </row>
    <row r="41189" spans="25:25" x14ac:dyDescent="0.2">
      <c r="Y41189" s="97"/>
    </row>
    <row r="41190" spans="25:25" x14ac:dyDescent="0.2">
      <c r="Y41190" s="97"/>
    </row>
    <row r="41191" spans="25:25" x14ac:dyDescent="0.2">
      <c r="Y41191" s="97"/>
    </row>
    <row r="41192" spans="25:25" x14ac:dyDescent="0.2">
      <c r="Y41192" s="97"/>
    </row>
    <row r="41193" spans="25:25" x14ac:dyDescent="0.2">
      <c r="Y41193" s="97"/>
    </row>
    <row r="41194" spans="25:25" x14ac:dyDescent="0.2">
      <c r="Y41194" s="97"/>
    </row>
    <row r="41195" spans="25:25" x14ac:dyDescent="0.2">
      <c r="Y41195" s="97"/>
    </row>
    <row r="41196" spans="25:25" x14ac:dyDescent="0.2">
      <c r="Y41196" s="97"/>
    </row>
    <row r="41197" spans="25:25" x14ac:dyDescent="0.2">
      <c r="Y41197" s="97"/>
    </row>
    <row r="41198" spans="25:25" x14ac:dyDescent="0.2">
      <c r="Y41198" s="97"/>
    </row>
    <row r="41199" spans="25:25" x14ac:dyDescent="0.2">
      <c r="Y41199" s="97"/>
    </row>
    <row r="41200" spans="25:25" x14ac:dyDescent="0.2">
      <c r="Y41200" s="97"/>
    </row>
    <row r="41201" spans="25:25" x14ac:dyDescent="0.2">
      <c r="Y41201" s="97"/>
    </row>
    <row r="41202" spans="25:25" x14ac:dyDescent="0.2">
      <c r="Y41202" s="97"/>
    </row>
    <row r="41203" spans="25:25" x14ac:dyDescent="0.2">
      <c r="Y41203" s="97"/>
    </row>
    <row r="41204" spans="25:25" x14ac:dyDescent="0.2">
      <c r="Y41204" s="97"/>
    </row>
    <row r="41205" spans="25:25" x14ac:dyDescent="0.2">
      <c r="Y41205" s="97"/>
    </row>
    <row r="41206" spans="25:25" x14ac:dyDescent="0.2">
      <c r="Y41206" s="97"/>
    </row>
    <row r="41207" spans="25:25" x14ac:dyDescent="0.2">
      <c r="Y41207" s="97"/>
    </row>
    <row r="41208" spans="25:25" x14ac:dyDescent="0.2">
      <c r="Y41208" s="97"/>
    </row>
    <row r="41209" spans="25:25" x14ac:dyDescent="0.2">
      <c r="Y41209" s="97"/>
    </row>
    <row r="41210" spans="25:25" x14ac:dyDescent="0.2">
      <c r="Y41210" s="97"/>
    </row>
    <row r="41211" spans="25:25" x14ac:dyDescent="0.2">
      <c r="Y41211" s="97"/>
    </row>
    <row r="41212" spans="25:25" x14ac:dyDescent="0.2">
      <c r="Y41212" s="97"/>
    </row>
    <row r="41213" spans="25:25" x14ac:dyDescent="0.2">
      <c r="Y41213" s="97"/>
    </row>
    <row r="41214" spans="25:25" x14ac:dyDescent="0.2">
      <c r="Y41214" s="97"/>
    </row>
    <row r="41215" spans="25:25" x14ac:dyDescent="0.2">
      <c r="Y41215" s="97"/>
    </row>
    <row r="41216" spans="25:25" x14ac:dyDescent="0.2">
      <c r="Y41216" s="97"/>
    </row>
    <row r="41217" spans="25:25" x14ac:dyDescent="0.2">
      <c r="Y41217" s="97"/>
    </row>
    <row r="41218" spans="25:25" x14ac:dyDescent="0.2">
      <c r="Y41218" s="97"/>
    </row>
    <row r="41219" spans="25:25" x14ac:dyDescent="0.2">
      <c r="Y41219" s="97"/>
    </row>
    <row r="41220" spans="25:25" x14ac:dyDescent="0.2">
      <c r="Y41220" s="97"/>
    </row>
    <row r="41221" spans="25:25" x14ac:dyDescent="0.2">
      <c r="Y41221" s="97"/>
    </row>
    <row r="41222" spans="25:25" x14ac:dyDescent="0.2">
      <c r="Y41222" s="97"/>
    </row>
    <row r="41223" spans="25:25" x14ac:dyDescent="0.2">
      <c r="Y41223" s="97"/>
    </row>
    <row r="41224" spans="25:25" x14ac:dyDescent="0.2">
      <c r="Y41224" s="97"/>
    </row>
    <row r="41225" spans="25:25" x14ac:dyDescent="0.2">
      <c r="Y41225" s="97"/>
    </row>
    <row r="41226" spans="25:25" x14ac:dyDescent="0.2">
      <c r="Y41226" s="97"/>
    </row>
    <row r="41227" spans="25:25" x14ac:dyDescent="0.2">
      <c r="Y41227" s="97"/>
    </row>
    <row r="41228" spans="25:25" x14ac:dyDescent="0.2">
      <c r="Y41228" s="97"/>
    </row>
    <row r="41229" spans="25:25" x14ac:dyDescent="0.2">
      <c r="Y41229" s="97"/>
    </row>
    <row r="41230" spans="25:25" x14ac:dyDescent="0.2">
      <c r="Y41230" s="97"/>
    </row>
    <row r="41231" spans="25:25" x14ac:dyDescent="0.2">
      <c r="Y41231" s="97"/>
    </row>
    <row r="41232" spans="25:25" x14ac:dyDescent="0.2">
      <c r="Y41232" s="97"/>
    </row>
    <row r="41233" spans="25:25" x14ac:dyDescent="0.2">
      <c r="Y41233" s="97"/>
    </row>
    <row r="41234" spans="25:25" x14ac:dyDescent="0.2">
      <c r="Y41234" s="97"/>
    </row>
    <row r="41235" spans="25:25" x14ac:dyDescent="0.2">
      <c r="Y41235" s="97"/>
    </row>
    <row r="41236" spans="25:25" x14ac:dyDescent="0.2">
      <c r="Y41236" s="97"/>
    </row>
    <row r="41237" spans="25:25" x14ac:dyDescent="0.2">
      <c r="Y41237" s="97"/>
    </row>
    <row r="41238" spans="25:25" x14ac:dyDescent="0.2">
      <c r="Y41238" s="97"/>
    </row>
    <row r="41239" spans="25:25" x14ac:dyDescent="0.2">
      <c r="Y41239" s="97"/>
    </row>
    <row r="41240" spans="25:25" x14ac:dyDescent="0.2">
      <c r="Y41240" s="97"/>
    </row>
    <row r="41241" spans="25:25" x14ac:dyDescent="0.2">
      <c r="Y41241" s="97"/>
    </row>
    <row r="41242" spans="25:25" x14ac:dyDescent="0.2">
      <c r="Y41242" s="97"/>
    </row>
    <row r="41243" spans="25:25" x14ac:dyDescent="0.2">
      <c r="Y41243" s="97"/>
    </row>
    <row r="41244" spans="25:25" x14ac:dyDescent="0.2">
      <c r="Y41244" s="97"/>
    </row>
    <row r="41245" spans="25:25" x14ac:dyDescent="0.2">
      <c r="Y41245" s="97"/>
    </row>
    <row r="41246" spans="25:25" x14ac:dyDescent="0.2">
      <c r="Y41246" s="97"/>
    </row>
    <row r="41247" spans="25:25" x14ac:dyDescent="0.2">
      <c r="Y41247" s="97"/>
    </row>
    <row r="41248" spans="25:25" x14ac:dyDescent="0.2">
      <c r="Y41248" s="97"/>
    </row>
    <row r="41249" spans="25:25" x14ac:dyDescent="0.2">
      <c r="Y41249" s="97"/>
    </row>
    <row r="41250" spans="25:25" x14ac:dyDescent="0.2">
      <c r="Y41250" s="97"/>
    </row>
    <row r="41251" spans="25:25" x14ac:dyDescent="0.2">
      <c r="Y41251" s="97"/>
    </row>
    <row r="41252" spans="25:25" x14ac:dyDescent="0.2">
      <c r="Y41252" s="97"/>
    </row>
    <row r="41253" spans="25:25" x14ac:dyDescent="0.2">
      <c r="Y41253" s="97"/>
    </row>
    <row r="41254" spans="25:25" x14ac:dyDescent="0.2">
      <c r="Y41254" s="97"/>
    </row>
    <row r="41255" spans="25:25" x14ac:dyDescent="0.2">
      <c r="Y41255" s="97"/>
    </row>
    <row r="41256" spans="25:25" x14ac:dyDescent="0.2">
      <c r="Y41256" s="97"/>
    </row>
    <row r="41257" spans="25:25" x14ac:dyDescent="0.2">
      <c r="Y41257" s="97"/>
    </row>
    <row r="41258" spans="25:25" x14ac:dyDescent="0.2">
      <c r="Y41258" s="97"/>
    </row>
    <row r="41259" spans="25:25" x14ac:dyDescent="0.2">
      <c r="Y41259" s="97"/>
    </row>
    <row r="41260" spans="25:25" x14ac:dyDescent="0.2">
      <c r="Y41260" s="97"/>
    </row>
    <row r="41261" spans="25:25" x14ac:dyDescent="0.2">
      <c r="Y41261" s="97"/>
    </row>
    <row r="41262" spans="25:25" x14ac:dyDescent="0.2">
      <c r="Y41262" s="97"/>
    </row>
    <row r="41263" spans="25:25" x14ac:dyDescent="0.2">
      <c r="Y41263" s="97"/>
    </row>
    <row r="41264" spans="25:25" x14ac:dyDescent="0.2">
      <c r="Y41264" s="97"/>
    </row>
    <row r="41265" spans="25:25" x14ac:dyDescent="0.2">
      <c r="Y41265" s="97"/>
    </row>
    <row r="41266" spans="25:25" x14ac:dyDescent="0.2">
      <c r="Y41266" s="97"/>
    </row>
    <row r="41267" spans="25:25" x14ac:dyDescent="0.2">
      <c r="Y41267" s="97"/>
    </row>
    <row r="41268" spans="25:25" x14ac:dyDescent="0.2">
      <c r="Y41268" s="97"/>
    </row>
    <row r="41269" spans="25:25" x14ac:dyDescent="0.2">
      <c r="Y41269" s="97"/>
    </row>
    <row r="41270" spans="25:25" x14ac:dyDescent="0.2">
      <c r="Y41270" s="97"/>
    </row>
    <row r="41271" spans="25:25" x14ac:dyDescent="0.2">
      <c r="Y41271" s="97"/>
    </row>
    <row r="41272" spans="25:25" x14ac:dyDescent="0.2">
      <c r="Y41272" s="97"/>
    </row>
    <row r="41273" spans="25:25" x14ac:dyDescent="0.2">
      <c r="Y41273" s="97"/>
    </row>
    <row r="41274" spans="25:25" x14ac:dyDescent="0.2">
      <c r="Y41274" s="97"/>
    </row>
    <row r="41275" spans="25:25" x14ac:dyDescent="0.2">
      <c r="Y41275" s="97"/>
    </row>
    <row r="41276" spans="25:25" x14ac:dyDescent="0.2">
      <c r="Y41276" s="97"/>
    </row>
    <row r="41277" spans="25:25" x14ac:dyDescent="0.2">
      <c r="Y41277" s="97"/>
    </row>
    <row r="41278" spans="25:25" x14ac:dyDescent="0.2">
      <c r="Y41278" s="97"/>
    </row>
    <row r="41279" spans="25:25" x14ac:dyDescent="0.2">
      <c r="Y41279" s="97"/>
    </row>
    <row r="41280" spans="25:25" x14ac:dyDescent="0.2">
      <c r="Y41280" s="97"/>
    </row>
    <row r="41281" spans="25:25" x14ac:dyDescent="0.2">
      <c r="Y41281" s="97"/>
    </row>
    <row r="41282" spans="25:25" x14ac:dyDescent="0.2">
      <c r="Y41282" s="97"/>
    </row>
    <row r="41283" spans="25:25" x14ac:dyDescent="0.2">
      <c r="Y41283" s="97"/>
    </row>
    <row r="41284" spans="25:25" x14ac:dyDescent="0.2">
      <c r="Y41284" s="97"/>
    </row>
    <row r="41285" spans="25:25" x14ac:dyDescent="0.2">
      <c r="Y41285" s="97"/>
    </row>
    <row r="41286" spans="25:25" x14ac:dyDescent="0.2">
      <c r="Y41286" s="97"/>
    </row>
    <row r="41287" spans="25:25" x14ac:dyDescent="0.2">
      <c r="Y41287" s="97"/>
    </row>
    <row r="41288" spans="25:25" x14ac:dyDescent="0.2">
      <c r="Y41288" s="97"/>
    </row>
    <row r="41289" spans="25:25" x14ac:dyDescent="0.2">
      <c r="Y41289" s="97"/>
    </row>
    <row r="41290" spans="25:25" x14ac:dyDescent="0.2">
      <c r="Y41290" s="97"/>
    </row>
    <row r="41291" spans="25:25" x14ac:dyDescent="0.2">
      <c r="Y41291" s="97"/>
    </row>
    <row r="41292" spans="25:25" x14ac:dyDescent="0.2">
      <c r="Y41292" s="97"/>
    </row>
    <row r="41293" spans="25:25" x14ac:dyDescent="0.2">
      <c r="Y41293" s="97"/>
    </row>
    <row r="41294" spans="25:25" x14ac:dyDescent="0.2">
      <c r="Y41294" s="97"/>
    </row>
    <row r="41295" spans="25:25" x14ac:dyDescent="0.2">
      <c r="Y41295" s="97"/>
    </row>
    <row r="41296" spans="25:25" x14ac:dyDescent="0.2">
      <c r="Y41296" s="97"/>
    </row>
    <row r="41297" spans="25:25" x14ac:dyDescent="0.2">
      <c r="Y41297" s="97"/>
    </row>
    <row r="41298" spans="25:25" x14ac:dyDescent="0.2">
      <c r="Y41298" s="97"/>
    </row>
    <row r="41299" spans="25:25" x14ac:dyDescent="0.2">
      <c r="Y41299" s="97"/>
    </row>
    <row r="41300" spans="25:25" x14ac:dyDescent="0.2">
      <c r="Y41300" s="97"/>
    </row>
    <row r="41301" spans="25:25" x14ac:dyDescent="0.2">
      <c r="Y41301" s="97"/>
    </row>
    <row r="41302" spans="25:25" x14ac:dyDescent="0.2">
      <c r="Y41302" s="97"/>
    </row>
    <row r="41303" spans="25:25" x14ac:dyDescent="0.2">
      <c r="Y41303" s="97"/>
    </row>
    <row r="41304" spans="25:25" x14ac:dyDescent="0.2">
      <c r="Y41304" s="97"/>
    </row>
    <row r="41305" spans="25:25" x14ac:dyDescent="0.2">
      <c r="Y41305" s="97"/>
    </row>
    <row r="41306" spans="25:25" x14ac:dyDescent="0.2">
      <c r="Y41306" s="97"/>
    </row>
    <row r="41307" spans="25:25" x14ac:dyDescent="0.2">
      <c r="Y41307" s="97"/>
    </row>
    <row r="41308" spans="25:25" x14ac:dyDescent="0.2">
      <c r="Y41308" s="97"/>
    </row>
    <row r="41309" spans="25:25" x14ac:dyDescent="0.2">
      <c r="Y41309" s="97"/>
    </row>
    <row r="41310" spans="25:25" x14ac:dyDescent="0.2">
      <c r="Y41310" s="97"/>
    </row>
    <row r="41311" spans="25:25" x14ac:dyDescent="0.2">
      <c r="Y41311" s="97"/>
    </row>
    <row r="41312" spans="25:25" x14ac:dyDescent="0.2">
      <c r="Y41312" s="97"/>
    </row>
    <row r="41313" spans="25:25" x14ac:dyDescent="0.2">
      <c r="Y41313" s="97"/>
    </row>
    <row r="41314" spans="25:25" x14ac:dyDescent="0.2">
      <c r="Y41314" s="97"/>
    </row>
    <row r="41315" spans="25:25" x14ac:dyDescent="0.2">
      <c r="Y41315" s="97"/>
    </row>
    <row r="41316" spans="25:25" x14ac:dyDescent="0.2">
      <c r="Y41316" s="97"/>
    </row>
    <row r="41317" spans="25:25" x14ac:dyDescent="0.2">
      <c r="Y41317" s="97"/>
    </row>
    <row r="41318" spans="25:25" x14ac:dyDescent="0.2">
      <c r="Y41318" s="97"/>
    </row>
    <row r="41319" spans="25:25" x14ac:dyDescent="0.2">
      <c r="Y41319" s="97"/>
    </row>
    <row r="41320" spans="25:25" x14ac:dyDescent="0.2">
      <c r="Y41320" s="97"/>
    </row>
    <row r="41321" spans="25:25" x14ac:dyDescent="0.2">
      <c r="Y41321" s="97"/>
    </row>
    <row r="41322" spans="25:25" x14ac:dyDescent="0.2">
      <c r="Y41322" s="97"/>
    </row>
    <row r="41323" spans="25:25" x14ac:dyDescent="0.2">
      <c r="Y41323" s="97"/>
    </row>
    <row r="41324" spans="25:25" x14ac:dyDescent="0.2">
      <c r="Y41324" s="97"/>
    </row>
    <row r="41325" spans="25:25" x14ac:dyDescent="0.2">
      <c r="Y41325" s="97"/>
    </row>
    <row r="41326" spans="25:25" x14ac:dyDescent="0.2">
      <c r="Y41326" s="97"/>
    </row>
    <row r="41327" spans="25:25" x14ac:dyDescent="0.2">
      <c r="Y41327" s="97"/>
    </row>
    <row r="41328" spans="25:25" x14ac:dyDescent="0.2">
      <c r="Y41328" s="97"/>
    </row>
    <row r="41329" spans="25:25" x14ac:dyDescent="0.2">
      <c r="Y41329" s="97"/>
    </row>
    <row r="41330" spans="25:25" x14ac:dyDescent="0.2">
      <c r="Y41330" s="97"/>
    </row>
    <row r="41331" spans="25:25" x14ac:dyDescent="0.2">
      <c r="Y41331" s="97"/>
    </row>
    <row r="41332" spans="25:25" x14ac:dyDescent="0.2">
      <c r="Y41332" s="97"/>
    </row>
    <row r="41333" spans="25:25" x14ac:dyDescent="0.2">
      <c r="Y41333" s="97"/>
    </row>
    <row r="41334" spans="25:25" x14ac:dyDescent="0.2">
      <c r="Y41334" s="97"/>
    </row>
    <row r="41335" spans="25:25" x14ac:dyDescent="0.2">
      <c r="Y41335" s="97"/>
    </row>
    <row r="41336" spans="25:25" x14ac:dyDescent="0.2">
      <c r="Y41336" s="97"/>
    </row>
    <row r="41337" spans="25:25" x14ac:dyDescent="0.2">
      <c r="Y41337" s="97"/>
    </row>
    <row r="41338" spans="25:25" x14ac:dyDescent="0.2">
      <c r="Y41338" s="97"/>
    </row>
    <row r="41339" spans="25:25" x14ac:dyDescent="0.2">
      <c r="Y41339" s="97"/>
    </row>
    <row r="41340" spans="25:25" x14ac:dyDescent="0.2">
      <c r="Y41340" s="97"/>
    </row>
    <row r="41341" spans="25:25" x14ac:dyDescent="0.2">
      <c r="Y41341" s="97"/>
    </row>
    <row r="41342" spans="25:25" x14ac:dyDescent="0.2">
      <c r="Y41342" s="97"/>
    </row>
    <row r="41343" spans="25:25" x14ac:dyDescent="0.2">
      <c r="Y41343" s="97"/>
    </row>
    <row r="41344" spans="25:25" x14ac:dyDescent="0.2">
      <c r="Y41344" s="97"/>
    </row>
    <row r="41345" spans="25:25" x14ac:dyDescent="0.2">
      <c r="Y41345" s="97"/>
    </row>
    <row r="41346" spans="25:25" x14ac:dyDescent="0.2">
      <c r="Y41346" s="97"/>
    </row>
    <row r="41347" spans="25:25" x14ac:dyDescent="0.2">
      <c r="Y41347" s="97"/>
    </row>
    <row r="41348" spans="25:25" x14ac:dyDescent="0.2">
      <c r="Y41348" s="97"/>
    </row>
    <row r="41349" spans="25:25" x14ac:dyDescent="0.2">
      <c r="Y41349" s="97"/>
    </row>
    <row r="41350" spans="25:25" x14ac:dyDescent="0.2">
      <c r="Y41350" s="97"/>
    </row>
    <row r="41351" spans="25:25" x14ac:dyDescent="0.2">
      <c r="Y41351" s="97"/>
    </row>
    <row r="41352" spans="25:25" x14ac:dyDescent="0.2">
      <c r="Y41352" s="97"/>
    </row>
    <row r="41353" spans="25:25" x14ac:dyDescent="0.2">
      <c r="Y41353" s="97"/>
    </row>
    <row r="41354" spans="25:25" x14ac:dyDescent="0.2">
      <c r="Y41354" s="97"/>
    </row>
    <row r="41355" spans="25:25" x14ac:dyDescent="0.2">
      <c r="Y41355" s="97"/>
    </row>
    <row r="41356" spans="25:25" x14ac:dyDescent="0.2">
      <c r="Y41356" s="97"/>
    </row>
    <row r="41357" spans="25:25" x14ac:dyDescent="0.2">
      <c r="Y41357" s="97"/>
    </row>
    <row r="41358" spans="25:25" x14ac:dyDescent="0.2">
      <c r="Y41358" s="97"/>
    </row>
    <row r="41359" spans="25:25" x14ac:dyDescent="0.2">
      <c r="Y41359" s="97"/>
    </row>
    <row r="41360" spans="25:25" x14ac:dyDescent="0.2">
      <c r="Y41360" s="97"/>
    </row>
    <row r="41361" spans="25:25" x14ac:dyDescent="0.2">
      <c r="Y41361" s="97"/>
    </row>
    <row r="41362" spans="25:25" x14ac:dyDescent="0.2">
      <c r="Y41362" s="97"/>
    </row>
    <row r="41363" spans="25:25" x14ac:dyDescent="0.2">
      <c r="Y41363" s="97"/>
    </row>
    <row r="41364" spans="25:25" x14ac:dyDescent="0.2">
      <c r="Y41364" s="97"/>
    </row>
    <row r="41365" spans="25:25" x14ac:dyDescent="0.2">
      <c r="Y41365" s="97"/>
    </row>
    <row r="41366" spans="25:25" x14ac:dyDescent="0.2">
      <c r="Y41366" s="97"/>
    </row>
    <row r="41367" spans="25:25" x14ac:dyDescent="0.2">
      <c r="Y41367" s="97"/>
    </row>
    <row r="41368" spans="25:25" x14ac:dyDescent="0.2">
      <c r="Y41368" s="97"/>
    </row>
    <row r="41369" spans="25:25" x14ac:dyDescent="0.2">
      <c r="Y41369" s="97"/>
    </row>
    <row r="41370" spans="25:25" x14ac:dyDescent="0.2">
      <c r="Y41370" s="97"/>
    </row>
    <row r="41371" spans="25:25" x14ac:dyDescent="0.2">
      <c r="Y41371" s="97"/>
    </row>
    <row r="41372" spans="25:25" x14ac:dyDescent="0.2">
      <c r="Y41372" s="97"/>
    </row>
    <row r="41373" spans="25:25" x14ac:dyDescent="0.2">
      <c r="Y41373" s="97"/>
    </row>
    <row r="41374" spans="25:25" x14ac:dyDescent="0.2">
      <c r="Y41374" s="97"/>
    </row>
    <row r="41375" spans="25:25" x14ac:dyDescent="0.2">
      <c r="Y41375" s="97"/>
    </row>
    <row r="41376" spans="25:25" x14ac:dyDescent="0.2">
      <c r="Y41376" s="97"/>
    </row>
    <row r="41377" spans="25:25" x14ac:dyDescent="0.2">
      <c r="Y41377" s="97"/>
    </row>
    <row r="41378" spans="25:25" x14ac:dyDescent="0.2">
      <c r="Y41378" s="97"/>
    </row>
    <row r="41379" spans="25:25" x14ac:dyDescent="0.2">
      <c r="Y41379" s="97"/>
    </row>
    <row r="41380" spans="25:25" x14ac:dyDescent="0.2">
      <c r="Y41380" s="97"/>
    </row>
    <row r="41381" spans="25:25" x14ac:dyDescent="0.2">
      <c r="Y41381" s="97"/>
    </row>
    <row r="41382" spans="25:25" x14ac:dyDescent="0.2">
      <c r="Y41382" s="97"/>
    </row>
    <row r="41383" spans="25:25" x14ac:dyDescent="0.2">
      <c r="Y41383" s="97"/>
    </row>
    <row r="41384" spans="25:25" x14ac:dyDescent="0.2">
      <c r="Y41384" s="97"/>
    </row>
    <row r="41385" spans="25:25" x14ac:dyDescent="0.2">
      <c r="Y41385" s="97"/>
    </row>
    <row r="41386" spans="25:25" x14ac:dyDescent="0.2">
      <c r="Y41386" s="97"/>
    </row>
    <row r="41387" spans="25:25" x14ac:dyDescent="0.2">
      <c r="Y41387" s="97"/>
    </row>
    <row r="41388" spans="25:25" x14ac:dyDescent="0.2">
      <c r="Y41388" s="97"/>
    </row>
    <row r="41389" spans="25:25" x14ac:dyDescent="0.2">
      <c r="Y41389" s="97"/>
    </row>
    <row r="41390" spans="25:25" x14ac:dyDescent="0.2">
      <c r="Y41390" s="97"/>
    </row>
    <row r="41391" spans="25:25" x14ac:dyDescent="0.2">
      <c r="Y41391" s="97"/>
    </row>
    <row r="41392" spans="25:25" x14ac:dyDescent="0.2">
      <c r="Y41392" s="97"/>
    </row>
    <row r="41393" spans="25:25" x14ac:dyDescent="0.2">
      <c r="Y41393" s="97"/>
    </row>
    <row r="41394" spans="25:25" x14ac:dyDescent="0.2">
      <c r="Y41394" s="97"/>
    </row>
    <row r="41395" spans="25:25" x14ac:dyDescent="0.2">
      <c r="Y41395" s="97"/>
    </row>
    <row r="41396" spans="25:25" x14ac:dyDescent="0.2">
      <c r="Y41396" s="97"/>
    </row>
    <row r="41397" spans="25:25" x14ac:dyDescent="0.2">
      <c r="Y41397" s="97"/>
    </row>
    <row r="41398" spans="25:25" x14ac:dyDescent="0.2">
      <c r="Y41398" s="97"/>
    </row>
    <row r="41399" spans="25:25" x14ac:dyDescent="0.2">
      <c r="Y41399" s="97"/>
    </row>
    <row r="41400" spans="25:25" x14ac:dyDescent="0.2">
      <c r="Y41400" s="97"/>
    </row>
    <row r="41401" spans="25:25" x14ac:dyDescent="0.2">
      <c r="Y41401" s="97"/>
    </row>
    <row r="41402" spans="25:25" x14ac:dyDescent="0.2">
      <c r="Y41402" s="97"/>
    </row>
    <row r="41403" spans="25:25" x14ac:dyDescent="0.2">
      <c r="Y41403" s="97"/>
    </row>
    <row r="41404" spans="25:25" x14ac:dyDescent="0.2">
      <c r="Y41404" s="97"/>
    </row>
    <row r="41405" spans="25:25" x14ac:dyDescent="0.2">
      <c r="Y41405" s="97"/>
    </row>
    <row r="41406" spans="25:25" x14ac:dyDescent="0.2">
      <c r="Y41406" s="97"/>
    </row>
    <row r="41407" spans="25:25" x14ac:dyDescent="0.2">
      <c r="Y41407" s="97"/>
    </row>
    <row r="41408" spans="25:25" x14ac:dyDescent="0.2">
      <c r="Y41408" s="97"/>
    </row>
    <row r="41409" spans="25:25" x14ac:dyDescent="0.2">
      <c r="Y41409" s="97"/>
    </row>
    <row r="41410" spans="25:25" x14ac:dyDescent="0.2">
      <c r="Y41410" s="97"/>
    </row>
    <row r="41411" spans="25:25" x14ac:dyDescent="0.2">
      <c r="Y41411" s="97"/>
    </row>
    <row r="41412" spans="25:25" x14ac:dyDescent="0.2">
      <c r="Y41412" s="97"/>
    </row>
    <row r="41413" spans="25:25" x14ac:dyDescent="0.2">
      <c r="Y41413" s="97"/>
    </row>
    <row r="41414" spans="25:25" x14ac:dyDescent="0.2">
      <c r="Y41414" s="97"/>
    </row>
    <row r="41415" spans="25:25" x14ac:dyDescent="0.2">
      <c r="Y41415" s="97"/>
    </row>
    <row r="41416" spans="25:25" x14ac:dyDescent="0.2">
      <c r="Y41416" s="97"/>
    </row>
    <row r="41417" spans="25:25" x14ac:dyDescent="0.2">
      <c r="Y41417" s="97"/>
    </row>
    <row r="41418" spans="25:25" x14ac:dyDescent="0.2">
      <c r="Y41418" s="97"/>
    </row>
    <row r="41419" spans="25:25" x14ac:dyDescent="0.2">
      <c r="Y41419" s="97"/>
    </row>
    <row r="41420" spans="25:25" x14ac:dyDescent="0.2">
      <c r="Y41420" s="97"/>
    </row>
    <row r="41421" spans="25:25" x14ac:dyDescent="0.2">
      <c r="Y41421" s="97"/>
    </row>
    <row r="41422" spans="25:25" x14ac:dyDescent="0.2">
      <c r="Y41422" s="97"/>
    </row>
    <row r="41423" spans="25:25" x14ac:dyDescent="0.2">
      <c r="Y41423" s="97"/>
    </row>
    <row r="41424" spans="25:25" x14ac:dyDescent="0.2">
      <c r="Y41424" s="97"/>
    </row>
    <row r="41425" spans="25:25" x14ac:dyDescent="0.2">
      <c r="Y41425" s="97"/>
    </row>
    <row r="41426" spans="25:25" x14ac:dyDescent="0.2">
      <c r="Y41426" s="97"/>
    </row>
    <row r="41427" spans="25:25" x14ac:dyDescent="0.2">
      <c r="Y41427" s="97"/>
    </row>
    <row r="41428" spans="25:25" x14ac:dyDescent="0.2">
      <c r="Y41428" s="97"/>
    </row>
    <row r="41429" spans="25:25" x14ac:dyDescent="0.2">
      <c r="Y41429" s="97"/>
    </row>
    <row r="41430" spans="25:25" x14ac:dyDescent="0.2">
      <c r="Y41430" s="97"/>
    </row>
    <row r="41431" spans="25:25" x14ac:dyDescent="0.2">
      <c r="Y41431" s="97"/>
    </row>
    <row r="41432" spans="25:25" x14ac:dyDescent="0.2">
      <c r="Y41432" s="97"/>
    </row>
    <row r="41433" spans="25:25" x14ac:dyDescent="0.2">
      <c r="Y41433" s="97"/>
    </row>
    <row r="41434" spans="25:25" x14ac:dyDescent="0.2">
      <c r="Y41434" s="97"/>
    </row>
    <row r="41435" spans="25:25" x14ac:dyDescent="0.2">
      <c r="Y41435" s="97"/>
    </row>
    <row r="41436" spans="25:25" x14ac:dyDescent="0.2">
      <c r="Y41436" s="97"/>
    </row>
    <row r="41437" spans="25:25" x14ac:dyDescent="0.2">
      <c r="Y41437" s="97"/>
    </row>
    <row r="41438" spans="25:25" x14ac:dyDescent="0.2">
      <c r="Y41438" s="97"/>
    </row>
    <row r="41439" spans="25:25" x14ac:dyDescent="0.2">
      <c r="Y41439" s="97"/>
    </row>
    <row r="41440" spans="25:25" x14ac:dyDescent="0.2">
      <c r="Y41440" s="97"/>
    </row>
    <row r="41441" spans="25:25" x14ac:dyDescent="0.2">
      <c r="Y41441" s="97"/>
    </row>
    <row r="41442" spans="25:25" x14ac:dyDescent="0.2">
      <c r="Y41442" s="97"/>
    </row>
    <row r="41443" spans="25:25" x14ac:dyDescent="0.2">
      <c r="Y41443" s="97"/>
    </row>
    <row r="41444" spans="25:25" x14ac:dyDescent="0.2">
      <c r="Y41444" s="97"/>
    </row>
    <row r="41445" spans="25:25" x14ac:dyDescent="0.2">
      <c r="Y41445" s="97"/>
    </row>
    <row r="41446" spans="25:25" x14ac:dyDescent="0.2">
      <c r="Y41446" s="97"/>
    </row>
    <row r="41447" spans="25:25" x14ac:dyDescent="0.2">
      <c r="Y41447" s="97"/>
    </row>
    <row r="41448" spans="25:25" x14ac:dyDescent="0.2">
      <c r="Y41448" s="97"/>
    </row>
    <row r="41449" spans="25:25" x14ac:dyDescent="0.2">
      <c r="Y41449" s="97"/>
    </row>
    <row r="41450" spans="25:25" x14ac:dyDescent="0.2">
      <c r="Y41450" s="97"/>
    </row>
    <row r="41451" spans="25:25" x14ac:dyDescent="0.2">
      <c r="Y41451" s="97"/>
    </row>
    <row r="41452" spans="25:25" x14ac:dyDescent="0.2">
      <c r="Y41452" s="97"/>
    </row>
    <row r="41453" spans="25:25" x14ac:dyDescent="0.2">
      <c r="Y41453" s="97"/>
    </row>
    <row r="41454" spans="25:25" x14ac:dyDescent="0.2">
      <c r="Y41454" s="97"/>
    </row>
    <row r="41455" spans="25:25" x14ac:dyDescent="0.2">
      <c r="Y41455" s="97"/>
    </row>
    <row r="41456" spans="25:25" x14ac:dyDescent="0.2">
      <c r="Y41456" s="97"/>
    </row>
    <row r="41457" spans="25:25" x14ac:dyDescent="0.2">
      <c r="Y41457" s="97"/>
    </row>
    <row r="41458" spans="25:25" x14ac:dyDescent="0.2">
      <c r="Y41458" s="97"/>
    </row>
    <row r="41459" spans="25:25" x14ac:dyDescent="0.2">
      <c r="Y41459" s="97"/>
    </row>
    <row r="41460" spans="25:25" x14ac:dyDescent="0.2">
      <c r="Y41460" s="97"/>
    </row>
    <row r="41461" spans="25:25" x14ac:dyDescent="0.2">
      <c r="Y41461" s="97"/>
    </row>
    <row r="41462" spans="25:25" x14ac:dyDescent="0.2">
      <c r="Y41462" s="97"/>
    </row>
    <row r="41463" spans="25:25" x14ac:dyDescent="0.2">
      <c r="Y41463" s="97"/>
    </row>
    <row r="41464" spans="25:25" x14ac:dyDescent="0.2">
      <c r="Y41464" s="97"/>
    </row>
    <row r="41465" spans="25:25" x14ac:dyDescent="0.2">
      <c r="Y41465" s="97"/>
    </row>
    <row r="41466" spans="25:25" x14ac:dyDescent="0.2">
      <c r="Y41466" s="97"/>
    </row>
    <row r="41467" spans="25:25" x14ac:dyDescent="0.2">
      <c r="Y41467" s="97"/>
    </row>
    <row r="41468" spans="25:25" x14ac:dyDescent="0.2">
      <c r="Y41468" s="97"/>
    </row>
    <row r="41469" spans="25:25" x14ac:dyDescent="0.2">
      <c r="Y41469" s="97"/>
    </row>
    <row r="41470" spans="25:25" x14ac:dyDescent="0.2">
      <c r="Y41470" s="97"/>
    </row>
    <row r="41471" spans="25:25" x14ac:dyDescent="0.2">
      <c r="Y41471" s="97"/>
    </row>
    <row r="41472" spans="25:25" x14ac:dyDescent="0.2">
      <c r="Y41472" s="97"/>
    </row>
    <row r="41473" spans="25:25" x14ac:dyDescent="0.2">
      <c r="Y41473" s="97"/>
    </row>
    <row r="41474" spans="25:25" x14ac:dyDescent="0.2">
      <c r="Y41474" s="97"/>
    </row>
    <row r="41475" spans="25:25" x14ac:dyDescent="0.2">
      <c r="Y41475" s="97"/>
    </row>
    <row r="41476" spans="25:25" x14ac:dyDescent="0.2">
      <c r="Y41476" s="97"/>
    </row>
    <row r="41477" spans="25:25" x14ac:dyDescent="0.2">
      <c r="Y41477" s="97"/>
    </row>
    <row r="41478" spans="25:25" x14ac:dyDescent="0.2">
      <c r="Y41478" s="97"/>
    </row>
    <row r="41479" spans="25:25" x14ac:dyDescent="0.2">
      <c r="Y41479" s="97"/>
    </row>
    <row r="41480" spans="25:25" x14ac:dyDescent="0.2">
      <c r="Y41480" s="97"/>
    </row>
    <row r="41481" spans="25:25" x14ac:dyDescent="0.2">
      <c r="Y41481" s="97"/>
    </row>
    <row r="41482" spans="25:25" x14ac:dyDescent="0.2">
      <c r="Y41482" s="97"/>
    </row>
    <row r="41483" spans="25:25" x14ac:dyDescent="0.2">
      <c r="Y41483" s="97"/>
    </row>
    <row r="41484" spans="25:25" x14ac:dyDescent="0.2">
      <c r="Y41484" s="97"/>
    </row>
    <row r="41485" spans="25:25" x14ac:dyDescent="0.2">
      <c r="Y41485" s="97"/>
    </row>
    <row r="41486" spans="25:25" x14ac:dyDescent="0.2">
      <c r="Y41486" s="97"/>
    </row>
    <row r="41487" spans="25:25" x14ac:dyDescent="0.2">
      <c r="Y41487" s="97"/>
    </row>
    <row r="41488" spans="25:25" x14ac:dyDescent="0.2">
      <c r="Y41488" s="97"/>
    </row>
    <row r="41489" spans="25:25" x14ac:dyDescent="0.2">
      <c r="Y41489" s="97"/>
    </row>
    <row r="41490" spans="25:25" x14ac:dyDescent="0.2">
      <c r="Y41490" s="97"/>
    </row>
    <row r="41491" spans="25:25" x14ac:dyDescent="0.2">
      <c r="Y41491" s="97"/>
    </row>
    <row r="41492" spans="25:25" x14ac:dyDescent="0.2">
      <c r="Y41492" s="97"/>
    </row>
    <row r="41493" spans="25:25" x14ac:dyDescent="0.2">
      <c r="Y41493" s="97"/>
    </row>
    <row r="41494" spans="25:25" x14ac:dyDescent="0.2">
      <c r="Y41494" s="97"/>
    </row>
    <row r="41495" spans="25:25" x14ac:dyDescent="0.2">
      <c r="Y41495" s="97"/>
    </row>
    <row r="41496" spans="25:25" x14ac:dyDescent="0.2">
      <c r="Y41496" s="97"/>
    </row>
    <row r="41497" spans="25:25" x14ac:dyDescent="0.2">
      <c r="Y41497" s="97"/>
    </row>
    <row r="41498" spans="25:25" x14ac:dyDescent="0.2">
      <c r="Y41498" s="97"/>
    </row>
    <row r="41499" spans="25:25" x14ac:dyDescent="0.2">
      <c r="Y41499" s="97"/>
    </row>
    <row r="41500" spans="25:25" x14ac:dyDescent="0.2">
      <c r="Y41500" s="97"/>
    </row>
    <row r="41501" spans="25:25" x14ac:dyDescent="0.2">
      <c r="Y41501" s="97"/>
    </row>
    <row r="41502" spans="25:25" x14ac:dyDescent="0.2">
      <c r="Y41502" s="97"/>
    </row>
    <row r="41503" spans="25:25" x14ac:dyDescent="0.2">
      <c r="Y41503" s="97"/>
    </row>
    <row r="41504" spans="25:25" x14ac:dyDescent="0.2">
      <c r="Y41504" s="97"/>
    </row>
    <row r="41505" spans="25:25" x14ac:dyDescent="0.2">
      <c r="Y41505" s="97"/>
    </row>
    <row r="41506" spans="25:25" x14ac:dyDescent="0.2">
      <c r="Y41506" s="97"/>
    </row>
    <row r="41507" spans="25:25" x14ac:dyDescent="0.2">
      <c r="Y41507" s="97"/>
    </row>
    <row r="41508" spans="25:25" x14ac:dyDescent="0.2">
      <c r="Y41508" s="97"/>
    </row>
    <row r="41509" spans="25:25" x14ac:dyDescent="0.2">
      <c r="Y41509" s="97"/>
    </row>
    <row r="41510" spans="25:25" x14ac:dyDescent="0.2">
      <c r="Y41510" s="97"/>
    </row>
    <row r="41511" spans="25:25" x14ac:dyDescent="0.2">
      <c r="Y41511" s="97"/>
    </row>
    <row r="41512" spans="25:25" x14ac:dyDescent="0.2">
      <c r="Y41512" s="97"/>
    </row>
    <row r="41513" spans="25:25" x14ac:dyDescent="0.2">
      <c r="Y41513" s="97"/>
    </row>
    <row r="41514" spans="25:25" x14ac:dyDescent="0.2">
      <c r="Y41514" s="97"/>
    </row>
    <row r="41515" spans="25:25" x14ac:dyDescent="0.2">
      <c r="Y41515" s="97"/>
    </row>
    <row r="41516" spans="25:25" x14ac:dyDescent="0.2">
      <c r="Y41516" s="97"/>
    </row>
    <row r="41517" spans="25:25" x14ac:dyDescent="0.2">
      <c r="Y41517" s="97"/>
    </row>
    <row r="41518" spans="25:25" x14ac:dyDescent="0.2">
      <c r="Y41518" s="97"/>
    </row>
    <row r="41519" spans="25:25" x14ac:dyDescent="0.2">
      <c r="Y41519" s="97"/>
    </row>
    <row r="41520" spans="25:25" x14ac:dyDescent="0.2">
      <c r="Y41520" s="97"/>
    </row>
    <row r="41521" spans="25:25" x14ac:dyDescent="0.2">
      <c r="Y41521" s="97"/>
    </row>
    <row r="41522" spans="25:25" x14ac:dyDescent="0.2">
      <c r="Y41522" s="97"/>
    </row>
    <row r="41523" spans="25:25" x14ac:dyDescent="0.2">
      <c r="Y41523" s="97"/>
    </row>
    <row r="41524" spans="25:25" x14ac:dyDescent="0.2">
      <c r="Y41524" s="97"/>
    </row>
    <row r="41525" spans="25:25" x14ac:dyDescent="0.2">
      <c r="Y41525" s="97"/>
    </row>
    <row r="41526" spans="25:25" x14ac:dyDescent="0.2">
      <c r="Y41526" s="97"/>
    </row>
    <row r="41527" spans="25:25" x14ac:dyDescent="0.2">
      <c r="Y41527" s="97"/>
    </row>
    <row r="41528" spans="25:25" x14ac:dyDescent="0.2">
      <c r="Y41528" s="97"/>
    </row>
    <row r="41529" spans="25:25" x14ac:dyDescent="0.2">
      <c r="Y41529" s="97"/>
    </row>
    <row r="41530" spans="25:25" x14ac:dyDescent="0.2">
      <c r="Y41530" s="97"/>
    </row>
    <row r="41531" spans="25:25" x14ac:dyDescent="0.2">
      <c r="Y41531" s="97"/>
    </row>
    <row r="41532" spans="25:25" x14ac:dyDescent="0.2">
      <c r="Y41532" s="97"/>
    </row>
    <row r="41533" spans="25:25" x14ac:dyDescent="0.2">
      <c r="Y41533" s="97"/>
    </row>
    <row r="41534" spans="25:25" x14ac:dyDescent="0.2">
      <c r="Y41534" s="97"/>
    </row>
    <row r="41535" spans="25:25" x14ac:dyDescent="0.2">
      <c r="Y41535" s="97"/>
    </row>
    <row r="41536" spans="25:25" x14ac:dyDescent="0.2">
      <c r="Y41536" s="97"/>
    </row>
    <row r="41537" spans="25:25" x14ac:dyDescent="0.2">
      <c r="Y41537" s="97"/>
    </row>
    <row r="41538" spans="25:25" x14ac:dyDescent="0.2">
      <c r="Y41538" s="97"/>
    </row>
    <row r="41539" spans="25:25" x14ac:dyDescent="0.2">
      <c r="Y41539" s="97"/>
    </row>
    <row r="41540" spans="25:25" x14ac:dyDescent="0.2">
      <c r="Y41540" s="97"/>
    </row>
    <row r="41541" spans="25:25" x14ac:dyDescent="0.2">
      <c r="Y41541" s="97"/>
    </row>
    <row r="41542" spans="25:25" x14ac:dyDescent="0.2">
      <c r="Y41542" s="97"/>
    </row>
    <row r="41543" spans="25:25" x14ac:dyDescent="0.2">
      <c r="Y41543" s="97"/>
    </row>
    <row r="41544" spans="25:25" x14ac:dyDescent="0.2">
      <c r="Y41544" s="97"/>
    </row>
    <row r="41545" spans="25:25" x14ac:dyDescent="0.2">
      <c r="Y41545" s="97"/>
    </row>
    <row r="41546" spans="25:25" x14ac:dyDescent="0.2">
      <c r="Y41546" s="97"/>
    </row>
    <row r="41547" spans="25:25" x14ac:dyDescent="0.2">
      <c r="Y41547" s="97"/>
    </row>
    <row r="41548" spans="25:25" x14ac:dyDescent="0.2">
      <c r="Y41548" s="97"/>
    </row>
    <row r="41549" spans="25:25" x14ac:dyDescent="0.2">
      <c r="Y41549" s="97"/>
    </row>
    <row r="41550" spans="25:25" x14ac:dyDescent="0.2">
      <c r="Y41550" s="97"/>
    </row>
    <row r="41551" spans="25:25" x14ac:dyDescent="0.2">
      <c r="Y41551" s="97"/>
    </row>
    <row r="41552" spans="25:25" x14ac:dyDescent="0.2">
      <c r="Y41552" s="97"/>
    </row>
    <row r="41553" spans="25:25" x14ac:dyDescent="0.2">
      <c r="Y41553" s="97"/>
    </row>
    <row r="41554" spans="25:25" x14ac:dyDescent="0.2">
      <c r="Y41554" s="97"/>
    </row>
    <row r="41555" spans="25:25" x14ac:dyDescent="0.2">
      <c r="Y41555" s="97"/>
    </row>
    <row r="41556" spans="25:25" x14ac:dyDescent="0.2">
      <c r="Y41556" s="97"/>
    </row>
    <row r="41557" spans="25:25" x14ac:dyDescent="0.2">
      <c r="Y41557" s="97"/>
    </row>
    <row r="41558" spans="25:25" x14ac:dyDescent="0.2">
      <c r="Y41558" s="97"/>
    </row>
    <row r="41559" spans="25:25" x14ac:dyDescent="0.2">
      <c r="Y41559" s="97"/>
    </row>
    <row r="41560" spans="25:25" x14ac:dyDescent="0.2">
      <c r="Y41560" s="97"/>
    </row>
    <row r="41561" spans="25:25" x14ac:dyDescent="0.2">
      <c r="Y41561" s="97"/>
    </row>
    <row r="41562" spans="25:25" x14ac:dyDescent="0.2">
      <c r="Y41562" s="97"/>
    </row>
    <row r="41563" spans="25:25" x14ac:dyDescent="0.2">
      <c r="Y41563" s="97"/>
    </row>
    <row r="41564" spans="25:25" x14ac:dyDescent="0.2">
      <c r="Y41564" s="97"/>
    </row>
    <row r="41565" spans="25:25" x14ac:dyDescent="0.2">
      <c r="Y41565" s="97"/>
    </row>
    <row r="41566" spans="25:25" x14ac:dyDescent="0.2">
      <c r="Y41566" s="97"/>
    </row>
    <row r="41567" spans="25:25" x14ac:dyDescent="0.2">
      <c r="Y41567" s="97"/>
    </row>
    <row r="41568" spans="25:25" x14ac:dyDescent="0.2">
      <c r="Y41568" s="97"/>
    </row>
    <row r="41569" spans="25:25" x14ac:dyDescent="0.2">
      <c r="Y41569" s="97"/>
    </row>
    <row r="41570" spans="25:25" x14ac:dyDescent="0.2">
      <c r="Y41570" s="97"/>
    </row>
    <row r="41571" spans="25:25" x14ac:dyDescent="0.2">
      <c r="Y41571" s="97"/>
    </row>
    <row r="41572" spans="25:25" x14ac:dyDescent="0.2">
      <c r="Y41572" s="97"/>
    </row>
    <row r="41573" spans="25:25" x14ac:dyDescent="0.2">
      <c r="Y41573" s="97"/>
    </row>
    <row r="41574" spans="25:25" x14ac:dyDescent="0.2">
      <c r="Y41574" s="97"/>
    </row>
    <row r="41575" spans="25:25" x14ac:dyDescent="0.2">
      <c r="Y41575" s="97"/>
    </row>
    <row r="41576" spans="25:25" x14ac:dyDescent="0.2">
      <c r="Y41576" s="97"/>
    </row>
    <row r="41577" spans="25:25" x14ac:dyDescent="0.2">
      <c r="Y41577" s="97"/>
    </row>
    <row r="41578" spans="25:25" x14ac:dyDescent="0.2">
      <c r="Y41578" s="97"/>
    </row>
    <row r="41579" spans="25:25" x14ac:dyDescent="0.2">
      <c r="Y41579" s="97"/>
    </row>
    <row r="41580" spans="25:25" x14ac:dyDescent="0.2">
      <c r="Y41580" s="97"/>
    </row>
    <row r="41581" spans="25:25" x14ac:dyDescent="0.2">
      <c r="Y41581" s="97"/>
    </row>
    <row r="41582" spans="25:25" x14ac:dyDescent="0.2">
      <c r="Y41582" s="97"/>
    </row>
    <row r="41583" spans="25:25" x14ac:dyDescent="0.2">
      <c r="Y41583" s="97"/>
    </row>
    <row r="41584" spans="25:25" x14ac:dyDescent="0.2">
      <c r="Y41584" s="97"/>
    </row>
    <row r="41585" spans="25:25" x14ac:dyDescent="0.2">
      <c r="Y41585" s="97"/>
    </row>
    <row r="41586" spans="25:25" x14ac:dyDescent="0.2">
      <c r="Y41586" s="97"/>
    </row>
    <row r="41587" spans="25:25" x14ac:dyDescent="0.2">
      <c r="Y41587" s="97"/>
    </row>
    <row r="41588" spans="25:25" x14ac:dyDescent="0.2">
      <c r="Y41588" s="97"/>
    </row>
    <row r="41589" spans="25:25" x14ac:dyDescent="0.2">
      <c r="Y41589" s="97"/>
    </row>
    <row r="41590" spans="25:25" x14ac:dyDescent="0.2">
      <c r="Y41590" s="97"/>
    </row>
    <row r="41591" spans="25:25" x14ac:dyDescent="0.2">
      <c r="Y41591" s="97"/>
    </row>
    <row r="41592" spans="25:25" x14ac:dyDescent="0.2">
      <c r="Y41592" s="97"/>
    </row>
    <row r="41593" spans="25:25" x14ac:dyDescent="0.2">
      <c r="Y41593" s="97"/>
    </row>
    <row r="41594" spans="25:25" x14ac:dyDescent="0.2">
      <c r="Y41594" s="97"/>
    </row>
    <row r="41595" spans="25:25" x14ac:dyDescent="0.2">
      <c r="Y41595" s="97"/>
    </row>
    <row r="41596" spans="25:25" x14ac:dyDescent="0.2">
      <c r="Y41596" s="97"/>
    </row>
    <row r="41597" spans="25:25" x14ac:dyDescent="0.2">
      <c r="Y41597" s="97"/>
    </row>
    <row r="41598" spans="25:25" x14ac:dyDescent="0.2">
      <c r="Y41598" s="97"/>
    </row>
    <row r="41599" spans="25:25" x14ac:dyDescent="0.2">
      <c r="Y41599" s="97"/>
    </row>
    <row r="41600" spans="25:25" x14ac:dyDescent="0.2">
      <c r="Y41600" s="97"/>
    </row>
    <row r="41601" spans="25:25" x14ac:dyDescent="0.2">
      <c r="Y41601" s="97"/>
    </row>
    <row r="41602" spans="25:25" x14ac:dyDescent="0.2">
      <c r="Y41602" s="97"/>
    </row>
    <row r="41603" spans="25:25" x14ac:dyDescent="0.2">
      <c r="Y41603" s="97"/>
    </row>
    <row r="41604" spans="25:25" x14ac:dyDescent="0.2">
      <c r="Y41604" s="97"/>
    </row>
    <row r="41605" spans="25:25" x14ac:dyDescent="0.2">
      <c r="Y41605" s="97"/>
    </row>
    <row r="41606" spans="25:25" x14ac:dyDescent="0.2">
      <c r="Y41606" s="97"/>
    </row>
    <row r="41607" spans="25:25" x14ac:dyDescent="0.2">
      <c r="Y41607" s="97"/>
    </row>
    <row r="41608" spans="25:25" x14ac:dyDescent="0.2">
      <c r="Y41608" s="97"/>
    </row>
    <row r="41609" spans="25:25" x14ac:dyDescent="0.2">
      <c r="Y41609" s="97"/>
    </row>
    <row r="41610" spans="25:25" x14ac:dyDescent="0.2">
      <c r="Y41610" s="97"/>
    </row>
    <row r="41611" spans="25:25" x14ac:dyDescent="0.2">
      <c r="Y41611" s="97"/>
    </row>
    <row r="41612" spans="25:25" x14ac:dyDescent="0.2">
      <c r="Y41612" s="97"/>
    </row>
    <row r="41613" spans="25:25" x14ac:dyDescent="0.2">
      <c r="Y41613" s="97"/>
    </row>
    <row r="41614" spans="25:25" x14ac:dyDescent="0.2">
      <c r="Y41614" s="97"/>
    </row>
    <row r="41615" spans="25:25" x14ac:dyDescent="0.2">
      <c r="Y41615" s="97"/>
    </row>
    <row r="41616" spans="25:25" x14ac:dyDescent="0.2">
      <c r="Y41616" s="97"/>
    </row>
    <row r="41617" spans="25:25" x14ac:dyDescent="0.2">
      <c r="Y41617" s="97"/>
    </row>
    <row r="41618" spans="25:25" x14ac:dyDescent="0.2">
      <c r="Y41618" s="97"/>
    </row>
    <row r="41619" spans="25:25" x14ac:dyDescent="0.2">
      <c r="Y41619" s="97"/>
    </row>
    <row r="41620" spans="25:25" x14ac:dyDescent="0.2">
      <c r="Y41620" s="97"/>
    </row>
    <row r="41621" spans="25:25" x14ac:dyDescent="0.2">
      <c r="Y41621" s="97"/>
    </row>
    <row r="41622" spans="25:25" x14ac:dyDescent="0.2">
      <c r="Y41622" s="97"/>
    </row>
    <row r="41623" spans="25:25" x14ac:dyDescent="0.2">
      <c r="Y41623" s="97"/>
    </row>
    <row r="41624" spans="25:25" x14ac:dyDescent="0.2">
      <c r="Y41624" s="97"/>
    </row>
    <row r="41625" spans="25:25" x14ac:dyDescent="0.2">
      <c r="Y41625" s="97"/>
    </row>
    <row r="41626" spans="25:25" x14ac:dyDescent="0.2">
      <c r="Y41626" s="97"/>
    </row>
    <row r="41627" spans="25:25" x14ac:dyDescent="0.2">
      <c r="Y41627" s="97"/>
    </row>
    <row r="41628" spans="25:25" x14ac:dyDescent="0.2">
      <c r="Y41628" s="97"/>
    </row>
    <row r="41629" spans="25:25" x14ac:dyDescent="0.2">
      <c r="Y41629" s="97"/>
    </row>
    <row r="41630" spans="25:25" x14ac:dyDescent="0.2">
      <c r="Y41630" s="97"/>
    </row>
    <row r="41631" spans="25:25" x14ac:dyDescent="0.2">
      <c r="Y41631" s="97"/>
    </row>
    <row r="41632" spans="25:25" x14ac:dyDescent="0.2">
      <c r="Y41632" s="97"/>
    </row>
    <row r="41633" spans="25:25" x14ac:dyDescent="0.2">
      <c r="Y41633" s="97"/>
    </row>
    <row r="41634" spans="25:25" x14ac:dyDescent="0.2">
      <c r="Y41634" s="97"/>
    </row>
    <row r="41635" spans="25:25" x14ac:dyDescent="0.2">
      <c r="Y41635" s="97"/>
    </row>
    <row r="41636" spans="25:25" x14ac:dyDescent="0.2">
      <c r="Y41636" s="97"/>
    </row>
    <row r="41637" spans="25:25" x14ac:dyDescent="0.2">
      <c r="Y41637" s="97"/>
    </row>
    <row r="41638" spans="25:25" x14ac:dyDescent="0.2">
      <c r="Y41638" s="97"/>
    </row>
    <row r="41639" spans="25:25" x14ac:dyDescent="0.2">
      <c r="Y41639" s="97"/>
    </row>
    <row r="41640" spans="25:25" x14ac:dyDescent="0.2">
      <c r="Y41640" s="97"/>
    </row>
    <row r="41641" spans="25:25" x14ac:dyDescent="0.2">
      <c r="Y41641" s="97"/>
    </row>
    <row r="41642" spans="25:25" x14ac:dyDescent="0.2">
      <c r="Y41642" s="97"/>
    </row>
    <row r="41643" spans="25:25" x14ac:dyDescent="0.2">
      <c r="Y41643" s="97"/>
    </row>
    <row r="41644" spans="25:25" x14ac:dyDescent="0.2">
      <c r="Y41644" s="97"/>
    </row>
    <row r="41645" spans="25:25" x14ac:dyDescent="0.2">
      <c r="Y41645" s="97"/>
    </row>
    <row r="41646" spans="25:25" x14ac:dyDescent="0.2">
      <c r="Y41646" s="97"/>
    </row>
    <row r="41647" spans="25:25" x14ac:dyDescent="0.2">
      <c r="Y41647" s="97"/>
    </row>
    <row r="41648" spans="25:25" x14ac:dyDescent="0.2">
      <c r="Y41648" s="97"/>
    </row>
    <row r="41649" spans="25:25" x14ac:dyDescent="0.2">
      <c r="Y41649" s="97"/>
    </row>
    <row r="41650" spans="25:25" x14ac:dyDescent="0.2">
      <c r="Y41650" s="97"/>
    </row>
    <row r="41651" spans="25:25" x14ac:dyDescent="0.2">
      <c r="Y41651" s="97"/>
    </row>
    <row r="41652" spans="25:25" x14ac:dyDescent="0.2">
      <c r="Y41652" s="97"/>
    </row>
    <row r="41653" spans="25:25" x14ac:dyDescent="0.2">
      <c r="Y41653" s="97"/>
    </row>
    <row r="41654" spans="25:25" x14ac:dyDescent="0.2">
      <c r="Y41654" s="97"/>
    </row>
    <row r="41655" spans="25:25" x14ac:dyDescent="0.2">
      <c r="Y41655" s="97"/>
    </row>
    <row r="41656" spans="25:25" x14ac:dyDescent="0.2">
      <c r="Y41656" s="97"/>
    </row>
    <row r="41657" spans="25:25" x14ac:dyDescent="0.2">
      <c r="Y41657" s="97"/>
    </row>
    <row r="41658" spans="25:25" x14ac:dyDescent="0.2">
      <c r="Y41658" s="97"/>
    </row>
    <row r="41659" spans="25:25" x14ac:dyDescent="0.2">
      <c r="Y41659" s="97"/>
    </row>
    <row r="41660" spans="25:25" x14ac:dyDescent="0.2">
      <c r="Y41660" s="97"/>
    </row>
    <row r="41661" spans="25:25" x14ac:dyDescent="0.2">
      <c r="Y41661" s="97"/>
    </row>
    <row r="41662" spans="25:25" x14ac:dyDescent="0.2">
      <c r="Y41662" s="97"/>
    </row>
    <row r="41663" spans="25:25" x14ac:dyDescent="0.2">
      <c r="Y41663" s="97"/>
    </row>
    <row r="41664" spans="25:25" x14ac:dyDescent="0.2">
      <c r="Y41664" s="97"/>
    </row>
    <row r="41665" spans="25:25" x14ac:dyDescent="0.2">
      <c r="Y41665" s="97"/>
    </row>
    <row r="41666" spans="25:25" x14ac:dyDescent="0.2">
      <c r="Y41666" s="97"/>
    </row>
    <row r="41667" spans="25:25" x14ac:dyDescent="0.2">
      <c r="Y41667" s="97"/>
    </row>
    <row r="41668" spans="25:25" x14ac:dyDescent="0.2">
      <c r="Y41668" s="97"/>
    </row>
    <row r="41669" spans="25:25" x14ac:dyDescent="0.2">
      <c r="Y41669" s="97"/>
    </row>
    <row r="41670" spans="25:25" x14ac:dyDescent="0.2">
      <c r="Y41670" s="97"/>
    </row>
    <row r="41671" spans="25:25" x14ac:dyDescent="0.2">
      <c r="Y41671" s="97"/>
    </row>
    <row r="41672" spans="25:25" x14ac:dyDescent="0.2">
      <c r="Y41672" s="97"/>
    </row>
    <row r="41673" spans="25:25" x14ac:dyDescent="0.2">
      <c r="Y41673" s="97"/>
    </row>
    <row r="41674" spans="25:25" x14ac:dyDescent="0.2">
      <c r="Y41674" s="97"/>
    </row>
    <row r="41675" spans="25:25" x14ac:dyDescent="0.2">
      <c r="Y41675" s="97"/>
    </row>
    <row r="41676" spans="25:25" x14ac:dyDescent="0.2">
      <c r="Y41676" s="97"/>
    </row>
    <row r="41677" spans="25:25" x14ac:dyDescent="0.2">
      <c r="Y41677" s="97"/>
    </row>
    <row r="41678" spans="25:25" x14ac:dyDescent="0.2">
      <c r="Y41678" s="97"/>
    </row>
    <row r="41679" spans="25:25" x14ac:dyDescent="0.2">
      <c r="Y41679" s="97"/>
    </row>
    <row r="41680" spans="25:25" x14ac:dyDescent="0.2">
      <c r="Y41680" s="97"/>
    </row>
    <row r="41681" spans="25:25" x14ac:dyDescent="0.2">
      <c r="Y41681" s="97"/>
    </row>
    <row r="41682" spans="25:25" x14ac:dyDescent="0.2">
      <c r="Y41682" s="97"/>
    </row>
    <row r="41683" spans="25:25" x14ac:dyDescent="0.2">
      <c r="Y41683" s="97"/>
    </row>
    <row r="41684" spans="25:25" x14ac:dyDescent="0.2">
      <c r="Y41684" s="97"/>
    </row>
    <row r="41685" spans="25:25" x14ac:dyDescent="0.2">
      <c r="Y41685" s="97"/>
    </row>
    <row r="41686" spans="25:25" x14ac:dyDescent="0.2">
      <c r="Y41686" s="97"/>
    </row>
    <row r="41687" spans="25:25" x14ac:dyDescent="0.2">
      <c r="Y41687" s="97"/>
    </row>
    <row r="41688" spans="25:25" x14ac:dyDescent="0.2">
      <c r="Y41688" s="97"/>
    </row>
    <row r="41689" spans="25:25" x14ac:dyDescent="0.2">
      <c r="Y41689" s="97"/>
    </row>
    <row r="41690" spans="25:25" x14ac:dyDescent="0.2">
      <c r="Y41690" s="97"/>
    </row>
    <row r="41691" spans="25:25" x14ac:dyDescent="0.2">
      <c r="Y41691" s="97"/>
    </row>
    <row r="41692" spans="25:25" x14ac:dyDescent="0.2">
      <c r="Y41692" s="97"/>
    </row>
    <row r="41693" spans="25:25" x14ac:dyDescent="0.2">
      <c r="Y41693" s="97"/>
    </row>
    <row r="41694" spans="25:25" x14ac:dyDescent="0.2">
      <c r="Y41694" s="97"/>
    </row>
    <row r="41695" spans="25:25" x14ac:dyDescent="0.2">
      <c r="Y41695" s="97"/>
    </row>
    <row r="41696" spans="25:25" x14ac:dyDescent="0.2">
      <c r="Y41696" s="97"/>
    </row>
    <row r="41697" spans="25:25" x14ac:dyDescent="0.2">
      <c r="Y41697" s="97"/>
    </row>
    <row r="41698" spans="25:25" x14ac:dyDescent="0.2">
      <c r="Y41698" s="97"/>
    </row>
    <row r="41699" spans="25:25" x14ac:dyDescent="0.2">
      <c r="Y41699" s="97"/>
    </row>
    <row r="41700" spans="25:25" x14ac:dyDescent="0.2">
      <c r="Y41700" s="97"/>
    </row>
    <row r="41701" spans="25:25" x14ac:dyDescent="0.2">
      <c r="Y41701" s="97"/>
    </row>
    <row r="41702" spans="25:25" x14ac:dyDescent="0.2">
      <c r="Y41702" s="97"/>
    </row>
    <row r="41703" spans="25:25" x14ac:dyDescent="0.2">
      <c r="Y41703" s="97"/>
    </row>
    <row r="41704" spans="25:25" x14ac:dyDescent="0.2">
      <c r="Y41704" s="97"/>
    </row>
    <row r="41705" spans="25:25" x14ac:dyDescent="0.2">
      <c r="Y41705" s="97"/>
    </row>
    <row r="41706" spans="25:25" x14ac:dyDescent="0.2">
      <c r="Y41706" s="97"/>
    </row>
    <row r="41707" spans="25:25" x14ac:dyDescent="0.2">
      <c r="Y41707" s="97"/>
    </row>
    <row r="41708" spans="25:25" x14ac:dyDescent="0.2">
      <c r="Y41708" s="97"/>
    </row>
    <row r="41709" spans="25:25" x14ac:dyDescent="0.2">
      <c r="Y41709" s="97"/>
    </row>
    <row r="41710" spans="25:25" x14ac:dyDescent="0.2">
      <c r="Y41710" s="97"/>
    </row>
    <row r="41711" spans="25:25" x14ac:dyDescent="0.2">
      <c r="Y41711" s="97"/>
    </row>
    <row r="41712" spans="25:25" x14ac:dyDescent="0.2">
      <c r="Y41712" s="97"/>
    </row>
    <row r="41713" spans="25:25" x14ac:dyDescent="0.2">
      <c r="Y41713" s="97"/>
    </row>
    <row r="41714" spans="25:25" x14ac:dyDescent="0.2">
      <c r="Y41714" s="97"/>
    </row>
    <row r="41715" spans="25:25" x14ac:dyDescent="0.2">
      <c r="Y41715" s="97"/>
    </row>
    <row r="41716" spans="25:25" x14ac:dyDescent="0.2">
      <c r="Y41716" s="97"/>
    </row>
    <row r="41717" spans="25:25" x14ac:dyDescent="0.2">
      <c r="Y41717" s="97"/>
    </row>
    <row r="41718" spans="25:25" x14ac:dyDescent="0.2">
      <c r="Y41718" s="97"/>
    </row>
    <row r="41719" spans="25:25" x14ac:dyDescent="0.2">
      <c r="Y41719" s="97"/>
    </row>
    <row r="41720" spans="25:25" x14ac:dyDescent="0.2">
      <c r="Y41720" s="97"/>
    </row>
    <row r="41721" spans="25:25" x14ac:dyDescent="0.2">
      <c r="Y41721" s="97"/>
    </row>
    <row r="41722" spans="25:25" x14ac:dyDescent="0.2">
      <c r="Y41722" s="97"/>
    </row>
    <row r="41723" spans="25:25" x14ac:dyDescent="0.2">
      <c r="Y41723" s="97"/>
    </row>
    <row r="41724" spans="25:25" x14ac:dyDescent="0.2">
      <c r="Y41724" s="97"/>
    </row>
    <row r="41725" spans="25:25" x14ac:dyDescent="0.2">
      <c r="Y41725" s="97"/>
    </row>
    <row r="41726" spans="25:25" x14ac:dyDescent="0.2">
      <c r="Y41726" s="97"/>
    </row>
    <row r="41727" spans="25:25" x14ac:dyDescent="0.2">
      <c r="Y41727" s="97"/>
    </row>
    <row r="41728" spans="25:25" x14ac:dyDescent="0.2">
      <c r="Y41728" s="97"/>
    </row>
    <row r="41729" spans="25:25" x14ac:dyDescent="0.2">
      <c r="Y41729" s="97"/>
    </row>
    <row r="41730" spans="25:25" x14ac:dyDescent="0.2">
      <c r="Y41730" s="97"/>
    </row>
    <row r="41731" spans="25:25" x14ac:dyDescent="0.2">
      <c r="Y41731" s="97"/>
    </row>
    <row r="41732" spans="25:25" x14ac:dyDescent="0.2">
      <c r="Y41732" s="97"/>
    </row>
    <row r="41733" spans="25:25" x14ac:dyDescent="0.2">
      <c r="Y41733" s="97"/>
    </row>
    <row r="41734" spans="25:25" x14ac:dyDescent="0.2">
      <c r="Y41734" s="97"/>
    </row>
    <row r="41735" spans="25:25" x14ac:dyDescent="0.2">
      <c r="Y41735" s="97"/>
    </row>
    <row r="41736" spans="25:25" x14ac:dyDescent="0.2">
      <c r="Y41736" s="97"/>
    </row>
    <row r="41737" spans="25:25" x14ac:dyDescent="0.2">
      <c r="Y41737" s="97"/>
    </row>
    <row r="41738" spans="25:25" x14ac:dyDescent="0.2">
      <c r="Y41738" s="97"/>
    </row>
    <row r="41739" spans="25:25" x14ac:dyDescent="0.2">
      <c r="Y41739" s="97"/>
    </row>
    <row r="41740" spans="25:25" x14ac:dyDescent="0.2">
      <c r="Y41740" s="97"/>
    </row>
    <row r="41741" spans="25:25" x14ac:dyDescent="0.2">
      <c r="Y41741" s="97"/>
    </row>
    <row r="41742" spans="25:25" x14ac:dyDescent="0.2">
      <c r="Y41742" s="97"/>
    </row>
    <row r="41743" spans="25:25" x14ac:dyDescent="0.2">
      <c r="Y41743" s="97"/>
    </row>
    <row r="41744" spans="25:25" x14ac:dyDescent="0.2">
      <c r="Y41744" s="97"/>
    </row>
    <row r="41745" spans="25:25" x14ac:dyDescent="0.2">
      <c r="Y41745" s="97"/>
    </row>
    <row r="41746" spans="25:25" x14ac:dyDescent="0.2">
      <c r="Y41746" s="97"/>
    </row>
    <row r="41747" spans="25:25" x14ac:dyDescent="0.2">
      <c r="Y41747" s="97"/>
    </row>
    <row r="41748" spans="25:25" x14ac:dyDescent="0.2">
      <c r="Y41748" s="97"/>
    </row>
    <row r="41749" spans="25:25" x14ac:dyDescent="0.2">
      <c r="Y41749" s="97"/>
    </row>
    <row r="41750" spans="25:25" x14ac:dyDescent="0.2">
      <c r="Y41750" s="97"/>
    </row>
    <row r="41751" spans="25:25" x14ac:dyDescent="0.2">
      <c r="Y41751" s="97"/>
    </row>
    <row r="41752" spans="25:25" x14ac:dyDescent="0.2">
      <c r="Y41752" s="97"/>
    </row>
    <row r="41753" spans="25:25" x14ac:dyDescent="0.2">
      <c r="Y41753" s="97"/>
    </row>
    <row r="41754" spans="25:25" x14ac:dyDescent="0.2">
      <c r="Y41754" s="97"/>
    </row>
    <row r="41755" spans="25:25" x14ac:dyDescent="0.2">
      <c r="Y41755" s="97"/>
    </row>
    <row r="41756" spans="25:25" x14ac:dyDescent="0.2">
      <c r="Y41756" s="97"/>
    </row>
    <row r="41757" spans="25:25" x14ac:dyDescent="0.2">
      <c r="Y41757" s="97"/>
    </row>
    <row r="41758" spans="25:25" x14ac:dyDescent="0.2">
      <c r="Y41758" s="97"/>
    </row>
    <row r="41759" spans="25:25" x14ac:dyDescent="0.2">
      <c r="Y41759" s="97"/>
    </row>
    <row r="41760" spans="25:25" x14ac:dyDescent="0.2">
      <c r="Y41760" s="97"/>
    </row>
    <row r="41761" spans="25:25" x14ac:dyDescent="0.2">
      <c r="Y41761" s="97"/>
    </row>
    <row r="41762" spans="25:25" x14ac:dyDescent="0.2">
      <c r="Y41762" s="97"/>
    </row>
    <row r="41763" spans="25:25" x14ac:dyDescent="0.2">
      <c r="Y41763" s="97"/>
    </row>
    <row r="41764" spans="25:25" x14ac:dyDescent="0.2">
      <c r="Y41764" s="97"/>
    </row>
    <row r="41765" spans="25:25" x14ac:dyDescent="0.2">
      <c r="Y41765" s="97"/>
    </row>
    <row r="41766" spans="25:25" x14ac:dyDescent="0.2">
      <c r="Y41766" s="97"/>
    </row>
    <row r="41767" spans="25:25" x14ac:dyDescent="0.2">
      <c r="Y41767" s="97"/>
    </row>
    <row r="41768" spans="25:25" x14ac:dyDescent="0.2">
      <c r="Y41768" s="97"/>
    </row>
    <row r="41769" spans="25:25" x14ac:dyDescent="0.2">
      <c r="Y41769" s="97"/>
    </row>
    <row r="41770" spans="25:25" x14ac:dyDescent="0.2">
      <c r="Y41770" s="97"/>
    </row>
    <row r="41771" spans="25:25" x14ac:dyDescent="0.2">
      <c r="Y41771" s="97"/>
    </row>
    <row r="41772" spans="25:25" x14ac:dyDescent="0.2">
      <c r="Y41772" s="97"/>
    </row>
    <row r="41773" spans="25:25" x14ac:dyDescent="0.2">
      <c r="Y41773" s="97"/>
    </row>
    <row r="41774" spans="25:25" x14ac:dyDescent="0.2">
      <c r="Y41774" s="97"/>
    </row>
    <row r="41775" spans="25:25" x14ac:dyDescent="0.2">
      <c r="Y41775" s="97"/>
    </row>
    <row r="41776" spans="25:25" x14ac:dyDescent="0.2">
      <c r="Y41776" s="97"/>
    </row>
    <row r="41777" spans="25:25" x14ac:dyDescent="0.2">
      <c r="Y41777" s="97"/>
    </row>
    <row r="41778" spans="25:25" x14ac:dyDescent="0.2">
      <c r="Y41778" s="97"/>
    </row>
    <row r="41779" spans="25:25" x14ac:dyDescent="0.2">
      <c r="Y41779" s="97"/>
    </row>
    <row r="41780" spans="25:25" x14ac:dyDescent="0.2">
      <c r="Y41780" s="97"/>
    </row>
    <row r="41781" spans="25:25" x14ac:dyDescent="0.2">
      <c r="Y41781" s="97"/>
    </row>
    <row r="41782" spans="25:25" x14ac:dyDescent="0.2">
      <c r="Y41782" s="97"/>
    </row>
    <row r="41783" spans="25:25" x14ac:dyDescent="0.2">
      <c r="Y41783" s="97"/>
    </row>
    <row r="41784" spans="25:25" x14ac:dyDescent="0.2">
      <c r="Y41784" s="97"/>
    </row>
    <row r="41785" spans="25:25" x14ac:dyDescent="0.2">
      <c r="Y41785" s="97"/>
    </row>
    <row r="41786" spans="25:25" x14ac:dyDescent="0.2">
      <c r="Y41786" s="97"/>
    </row>
    <row r="41787" spans="25:25" x14ac:dyDescent="0.2">
      <c r="Y41787" s="97"/>
    </row>
    <row r="41788" spans="25:25" x14ac:dyDescent="0.2">
      <c r="Y41788" s="97"/>
    </row>
    <row r="41789" spans="25:25" x14ac:dyDescent="0.2">
      <c r="Y41789" s="97"/>
    </row>
    <row r="41790" spans="25:25" x14ac:dyDescent="0.2">
      <c r="Y41790" s="97"/>
    </row>
    <row r="41791" spans="25:25" x14ac:dyDescent="0.2">
      <c r="Y41791" s="97"/>
    </row>
    <row r="41792" spans="25:25" x14ac:dyDescent="0.2">
      <c r="Y41792" s="97"/>
    </row>
    <row r="41793" spans="25:25" x14ac:dyDescent="0.2">
      <c r="Y41793" s="97"/>
    </row>
    <row r="41794" spans="25:25" x14ac:dyDescent="0.2">
      <c r="Y41794" s="97"/>
    </row>
    <row r="41795" spans="25:25" x14ac:dyDescent="0.2">
      <c r="Y41795" s="97"/>
    </row>
    <row r="41796" spans="25:25" x14ac:dyDescent="0.2">
      <c r="Y41796" s="97"/>
    </row>
    <row r="41797" spans="25:25" x14ac:dyDescent="0.2">
      <c r="Y41797" s="97"/>
    </row>
    <row r="41798" spans="25:25" x14ac:dyDescent="0.2">
      <c r="Y41798" s="97"/>
    </row>
    <row r="41799" spans="25:25" x14ac:dyDescent="0.2">
      <c r="Y41799" s="97"/>
    </row>
    <row r="41800" spans="25:25" x14ac:dyDescent="0.2">
      <c r="Y41800" s="97"/>
    </row>
    <row r="41801" spans="25:25" x14ac:dyDescent="0.2">
      <c r="Y41801" s="97"/>
    </row>
    <row r="41802" spans="25:25" x14ac:dyDescent="0.2">
      <c r="Y41802" s="97"/>
    </row>
    <row r="41803" spans="25:25" x14ac:dyDescent="0.2">
      <c r="Y41803" s="97"/>
    </row>
    <row r="41804" spans="25:25" x14ac:dyDescent="0.2">
      <c r="Y41804" s="97"/>
    </row>
    <row r="41805" spans="25:25" x14ac:dyDescent="0.2">
      <c r="Y41805" s="97"/>
    </row>
    <row r="41806" spans="25:25" x14ac:dyDescent="0.2">
      <c r="Y41806" s="97"/>
    </row>
    <row r="41807" spans="25:25" x14ac:dyDescent="0.2">
      <c r="Y41807" s="97"/>
    </row>
    <row r="41808" spans="25:25" x14ac:dyDescent="0.2">
      <c r="Y41808" s="97"/>
    </row>
    <row r="41809" spans="25:25" x14ac:dyDescent="0.2">
      <c r="Y41809" s="97"/>
    </row>
    <row r="41810" spans="25:25" x14ac:dyDescent="0.2">
      <c r="Y41810" s="97"/>
    </row>
    <row r="41811" spans="25:25" x14ac:dyDescent="0.2">
      <c r="Y41811" s="97"/>
    </row>
    <row r="41812" spans="25:25" x14ac:dyDescent="0.2">
      <c r="Y41812" s="97"/>
    </row>
    <row r="41813" spans="25:25" x14ac:dyDescent="0.2">
      <c r="Y41813" s="97"/>
    </row>
    <row r="41814" spans="25:25" x14ac:dyDescent="0.2">
      <c r="Y41814" s="97"/>
    </row>
    <row r="41815" spans="25:25" x14ac:dyDescent="0.2">
      <c r="Y41815" s="97"/>
    </row>
    <row r="41816" spans="25:25" x14ac:dyDescent="0.2">
      <c r="Y41816" s="97"/>
    </row>
    <row r="41817" spans="25:25" x14ac:dyDescent="0.2">
      <c r="Y41817" s="97"/>
    </row>
    <row r="41818" spans="25:25" x14ac:dyDescent="0.2">
      <c r="Y41818" s="97"/>
    </row>
    <row r="41819" spans="25:25" x14ac:dyDescent="0.2">
      <c r="Y41819" s="97"/>
    </row>
    <row r="41820" spans="25:25" x14ac:dyDescent="0.2">
      <c r="Y41820" s="97"/>
    </row>
    <row r="41821" spans="25:25" x14ac:dyDescent="0.2">
      <c r="Y41821" s="97"/>
    </row>
    <row r="41822" spans="25:25" x14ac:dyDescent="0.2">
      <c r="Y41822" s="97"/>
    </row>
    <row r="41823" spans="25:25" x14ac:dyDescent="0.2">
      <c r="Y41823" s="97"/>
    </row>
    <row r="41824" spans="25:25" x14ac:dyDescent="0.2">
      <c r="Y41824" s="97"/>
    </row>
    <row r="41825" spans="25:25" x14ac:dyDescent="0.2">
      <c r="Y41825" s="97"/>
    </row>
    <row r="41826" spans="25:25" x14ac:dyDescent="0.2">
      <c r="Y41826" s="97"/>
    </row>
    <row r="41827" spans="25:25" x14ac:dyDescent="0.2">
      <c r="Y41827" s="97"/>
    </row>
    <row r="41828" spans="25:25" x14ac:dyDescent="0.2">
      <c r="Y41828" s="97"/>
    </row>
    <row r="41829" spans="25:25" x14ac:dyDescent="0.2">
      <c r="Y41829" s="97"/>
    </row>
    <row r="41830" spans="25:25" x14ac:dyDescent="0.2">
      <c r="Y41830" s="97"/>
    </row>
    <row r="41831" spans="25:25" x14ac:dyDescent="0.2">
      <c r="Y41831" s="97"/>
    </row>
    <row r="41832" spans="25:25" x14ac:dyDescent="0.2">
      <c r="Y41832" s="97"/>
    </row>
    <row r="41833" spans="25:25" x14ac:dyDescent="0.2">
      <c r="Y41833" s="97"/>
    </row>
    <row r="41834" spans="25:25" x14ac:dyDescent="0.2">
      <c r="Y41834" s="97"/>
    </row>
    <row r="41835" spans="25:25" x14ac:dyDescent="0.2">
      <c r="Y41835" s="97"/>
    </row>
    <row r="41836" spans="25:25" x14ac:dyDescent="0.2">
      <c r="Y41836" s="97"/>
    </row>
    <row r="41837" spans="25:25" x14ac:dyDescent="0.2">
      <c r="Y41837" s="97"/>
    </row>
    <row r="41838" spans="25:25" x14ac:dyDescent="0.2">
      <c r="Y41838" s="97"/>
    </row>
    <row r="41839" spans="25:25" x14ac:dyDescent="0.2">
      <c r="Y41839" s="97"/>
    </row>
    <row r="41840" spans="25:25" x14ac:dyDescent="0.2">
      <c r="Y41840" s="97"/>
    </row>
    <row r="41841" spans="25:25" x14ac:dyDescent="0.2">
      <c r="Y41841" s="97"/>
    </row>
    <row r="41842" spans="25:25" x14ac:dyDescent="0.2">
      <c r="Y41842" s="97"/>
    </row>
    <row r="41843" spans="25:25" x14ac:dyDescent="0.2">
      <c r="Y41843" s="97"/>
    </row>
    <row r="41844" spans="25:25" x14ac:dyDescent="0.2">
      <c r="Y41844" s="97"/>
    </row>
    <row r="41845" spans="25:25" x14ac:dyDescent="0.2">
      <c r="Y41845" s="97"/>
    </row>
    <row r="41846" spans="25:25" x14ac:dyDescent="0.2">
      <c r="Y41846" s="97"/>
    </row>
    <row r="41847" spans="25:25" x14ac:dyDescent="0.2">
      <c r="Y41847" s="97"/>
    </row>
    <row r="41848" spans="25:25" x14ac:dyDescent="0.2">
      <c r="Y41848" s="97"/>
    </row>
    <row r="41849" spans="25:25" x14ac:dyDescent="0.2">
      <c r="Y41849" s="97"/>
    </row>
    <row r="41850" spans="25:25" x14ac:dyDescent="0.2">
      <c r="Y41850" s="97"/>
    </row>
    <row r="41851" spans="25:25" x14ac:dyDescent="0.2">
      <c r="Y41851" s="97"/>
    </row>
    <row r="41852" spans="25:25" x14ac:dyDescent="0.2">
      <c r="Y41852" s="97"/>
    </row>
    <row r="41853" spans="25:25" x14ac:dyDescent="0.2">
      <c r="Y41853" s="97"/>
    </row>
    <row r="41854" spans="25:25" x14ac:dyDescent="0.2">
      <c r="Y41854" s="97"/>
    </row>
    <row r="41855" spans="25:25" x14ac:dyDescent="0.2">
      <c r="Y41855" s="97"/>
    </row>
    <row r="41856" spans="25:25" x14ac:dyDescent="0.2">
      <c r="Y41856" s="97"/>
    </row>
    <row r="41857" spans="25:25" x14ac:dyDescent="0.2">
      <c r="Y41857" s="97"/>
    </row>
    <row r="41858" spans="25:25" x14ac:dyDescent="0.2">
      <c r="Y41858" s="97"/>
    </row>
    <row r="41859" spans="25:25" x14ac:dyDescent="0.2">
      <c r="Y41859" s="97"/>
    </row>
    <row r="41860" spans="25:25" x14ac:dyDescent="0.2">
      <c r="Y41860" s="97"/>
    </row>
    <row r="41861" spans="25:25" x14ac:dyDescent="0.2">
      <c r="Y41861" s="97"/>
    </row>
    <row r="41862" spans="25:25" x14ac:dyDescent="0.2">
      <c r="Y41862" s="97"/>
    </row>
    <row r="41863" spans="25:25" x14ac:dyDescent="0.2">
      <c r="Y41863" s="97"/>
    </row>
    <row r="41864" spans="25:25" x14ac:dyDescent="0.2">
      <c r="Y41864" s="97"/>
    </row>
    <row r="41865" spans="25:25" x14ac:dyDescent="0.2">
      <c r="Y41865" s="97"/>
    </row>
    <row r="41866" spans="25:25" x14ac:dyDescent="0.2">
      <c r="Y41866" s="97"/>
    </row>
    <row r="41867" spans="25:25" x14ac:dyDescent="0.2">
      <c r="Y41867" s="97"/>
    </row>
    <row r="41868" spans="25:25" x14ac:dyDescent="0.2">
      <c r="Y41868" s="97"/>
    </row>
    <row r="41869" spans="25:25" x14ac:dyDescent="0.2">
      <c r="Y41869" s="97"/>
    </row>
    <row r="41870" spans="25:25" x14ac:dyDescent="0.2">
      <c r="Y41870" s="97"/>
    </row>
    <row r="41871" spans="25:25" x14ac:dyDescent="0.2">
      <c r="Y41871" s="97"/>
    </row>
    <row r="41872" spans="25:25" x14ac:dyDescent="0.2">
      <c r="Y41872" s="97"/>
    </row>
    <row r="41873" spans="25:25" x14ac:dyDescent="0.2">
      <c r="Y41873" s="97"/>
    </row>
    <row r="41874" spans="25:25" x14ac:dyDescent="0.2">
      <c r="Y41874" s="97"/>
    </row>
    <row r="41875" spans="25:25" x14ac:dyDescent="0.2">
      <c r="Y41875" s="97"/>
    </row>
    <row r="41876" spans="25:25" x14ac:dyDescent="0.2">
      <c r="Y41876" s="97"/>
    </row>
    <row r="41877" spans="25:25" x14ac:dyDescent="0.2">
      <c r="Y41877" s="97"/>
    </row>
    <row r="41878" spans="25:25" x14ac:dyDescent="0.2">
      <c r="Y41878" s="97"/>
    </row>
    <row r="41879" spans="25:25" x14ac:dyDescent="0.2">
      <c r="Y41879" s="97"/>
    </row>
    <row r="41880" spans="25:25" x14ac:dyDescent="0.2">
      <c r="Y41880" s="97"/>
    </row>
    <row r="41881" spans="25:25" x14ac:dyDescent="0.2">
      <c r="Y41881" s="97"/>
    </row>
    <row r="41882" spans="25:25" x14ac:dyDescent="0.2">
      <c r="Y41882" s="97"/>
    </row>
    <row r="41883" spans="25:25" x14ac:dyDescent="0.2">
      <c r="Y41883" s="97"/>
    </row>
    <row r="41884" spans="25:25" x14ac:dyDescent="0.2">
      <c r="Y41884" s="97"/>
    </row>
    <row r="41885" spans="25:25" x14ac:dyDescent="0.2">
      <c r="Y41885" s="97"/>
    </row>
    <row r="41886" spans="25:25" x14ac:dyDescent="0.2">
      <c r="Y41886" s="97"/>
    </row>
    <row r="41887" spans="25:25" x14ac:dyDescent="0.2">
      <c r="Y41887" s="97"/>
    </row>
    <row r="41888" spans="25:25" x14ac:dyDescent="0.2">
      <c r="Y41888" s="97"/>
    </row>
    <row r="41889" spans="25:25" x14ac:dyDescent="0.2">
      <c r="Y41889" s="97"/>
    </row>
    <row r="41890" spans="25:25" x14ac:dyDescent="0.2">
      <c r="Y41890" s="97"/>
    </row>
    <row r="41891" spans="25:25" x14ac:dyDescent="0.2">
      <c r="Y41891" s="97"/>
    </row>
    <row r="41892" spans="25:25" x14ac:dyDescent="0.2">
      <c r="Y41892" s="97"/>
    </row>
    <row r="41893" spans="25:25" x14ac:dyDescent="0.2">
      <c r="Y41893" s="97"/>
    </row>
    <row r="41894" spans="25:25" x14ac:dyDescent="0.2">
      <c r="Y41894" s="97"/>
    </row>
    <row r="41895" spans="25:25" x14ac:dyDescent="0.2">
      <c r="Y41895" s="97"/>
    </row>
    <row r="41896" spans="25:25" x14ac:dyDescent="0.2">
      <c r="Y41896" s="97"/>
    </row>
    <row r="41897" spans="25:25" x14ac:dyDescent="0.2">
      <c r="Y41897" s="97"/>
    </row>
    <row r="41898" spans="25:25" x14ac:dyDescent="0.2">
      <c r="Y41898" s="97"/>
    </row>
    <row r="41899" spans="25:25" x14ac:dyDescent="0.2">
      <c r="Y41899" s="97"/>
    </row>
    <row r="41900" spans="25:25" x14ac:dyDescent="0.2">
      <c r="Y41900" s="97"/>
    </row>
    <row r="41901" spans="25:25" x14ac:dyDescent="0.2">
      <c r="Y41901" s="97"/>
    </row>
    <row r="41902" spans="25:25" x14ac:dyDescent="0.2">
      <c r="Y41902" s="97"/>
    </row>
    <row r="41903" spans="25:25" x14ac:dyDescent="0.2">
      <c r="Y41903" s="97"/>
    </row>
    <row r="41904" spans="25:25" x14ac:dyDescent="0.2">
      <c r="Y41904" s="97"/>
    </row>
    <row r="41905" spans="25:25" x14ac:dyDescent="0.2">
      <c r="Y41905" s="97"/>
    </row>
    <row r="41906" spans="25:25" x14ac:dyDescent="0.2">
      <c r="Y41906" s="97"/>
    </row>
    <row r="41907" spans="25:25" x14ac:dyDescent="0.2">
      <c r="Y41907" s="97"/>
    </row>
    <row r="41908" spans="25:25" x14ac:dyDescent="0.2">
      <c r="Y41908" s="97"/>
    </row>
    <row r="41909" spans="25:25" x14ac:dyDescent="0.2">
      <c r="Y41909" s="97"/>
    </row>
    <row r="41910" spans="25:25" x14ac:dyDescent="0.2">
      <c r="Y41910" s="97"/>
    </row>
    <row r="41911" spans="25:25" x14ac:dyDescent="0.2">
      <c r="Y41911" s="97"/>
    </row>
    <row r="41912" spans="25:25" x14ac:dyDescent="0.2">
      <c r="Y41912" s="97"/>
    </row>
    <row r="41913" spans="25:25" x14ac:dyDescent="0.2">
      <c r="Y41913" s="97"/>
    </row>
    <row r="41914" spans="25:25" x14ac:dyDescent="0.2">
      <c r="Y41914" s="97"/>
    </row>
    <row r="41915" spans="25:25" x14ac:dyDescent="0.2">
      <c r="Y41915" s="97"/>
    </row>
    <row r="41916" spans="25:25" x14ac:dyDescent="0.2">
      <c r="Y41916" s="97"/>
    </row>
    <row r="41917" spans="25:25" x14ac:dyDescent="0.2">
      <c r="Y41917" s="97"/>
    </row>
    <row r="41918" spans="25:25" x14ac:dyDescent="0.2">
      <c r="Y41918" s="97"/>
    </row>
    <row r="41919" spans="25:25" x14ac:dyDescent="0.2">
      <c r="Y41919" s="97"/>
    </row>
    <row r="41920" spans="25:25" x14ac:dyDescent="0.2">
      <c r="Y41920" s="97"/>
    </row>
    <row r="41921" spans="25:25" x14ac:dyDescent="0.2">
      <c r="Y41921" s="97"/>
    </row>
    <row r="41922" spans="25:25" x14ac:dyDescent="0.2">
      <c r="Y41922" s="97"/>
    </row>
    <row r="41923" spans="25:25" x14ac:dyDescent="0.2">
      <c r="Y41923" s="97"/>
    </row>
    <row r="41924" spans="25:25" x14ac:dyDescent="0.2">
      <c r="Y41924" s="97"/>
    </row>
    <row r="41925" spans="25:25" x14ac:dyDescent="0.2">
      <c r="Y41925" s="97"/>
    </row>
    <row r="41926" spans="25:25" x14ac:dyDescent="0.2">
      <c r="Y41926" s="97"/>
    </row>
    <row r="41927" spans="25:25" x14ac:dyDescent="0.2">
      <c r="Y41927" s="97"/>
    </row>
    <row r="41928" spans="25:25" x14ac:dyDescent="0.2">
      <c r="Y41928" s="97"/>
    </row>
    <row r="41929" spans="25:25" x14ac:dyDescent="0.2">
      <c r="Y41929" s="97"/>
    </row>
    <row r="41930" spans="25:25" x14ac:dyDescent="0.2">
      <c r="Y41930" s="97"/>
    </row>
    <row r="41931" spans="25:25" x14ac:dyDescent="0.2">
      <c r="Y41931" s="97"/>
    </row>
    <row r="41932" spans="25:25" x14ac:dyDescent="0.2">
      <c r="Y41932" s="97"/>
    </row>
    <row r="41933" spans="25:25" x14ac:dyDescent="0.2">
      <c r="Y41933" s="97"/>
    </row>
    <row r="41934" spans="25:25" x14ac:dyDescent="0.2">
      <c r="Y41934" s="97"/>
    </row>
    <row r="41935" spans="25:25" x14ac:dyDescent="0.2">
      <c r="Y41935" s="97"/>
    </row>
    <row r="41936" spans="25:25" x14ac:dyDescent="0.2">
      <c r="Y41936" s="97"/>
    </row>
    <row r="41937" spans="25:25" x14ac:dyDescent="0.2">
      <c r="Y41937" s="97"/>
    </row>
    <row r="41938" spans="25:25" x14ac:dyDescent="0.2">
      <c r="Y41938" s="97"/>
    </row>
    <row r="41939" spans="25:25" x14ac:dyDescent="0.2">
      <c r="Y41939" s="97"/>
    </row>
    <row r="41940" spans="25:25" x14ac:dyDescent="0.2">
      <c r="Y41940" s="97"/>
    </row>
    <row r="41941" spans="25:25" x14ac:dyDescent="0.2">
      <c r="Y41941" s="97"/>
    </row>
    <row r="41942" spans="25:25" x14ac:dyDescent="0.2">
      <c r="Y41942" s="97"/>
    </row>
    <row r="41943" spans="25:25" x14ac:dyDescent="0.2">
      <c r="Y41943" s="97"/>
    </row>
    <row r="41944" spans="25:25" x14ac:dyDescent="0.2">
      <c r="Y41944" s="97"/>
    </row>
    <row r="41945" spans="25:25" x14ac:dyDescent="0.2">
      <c r="Y41945" s="97"/>
    </row>
    <row r="41946" spans="25:25" x14ac:dyDescent="0.2">
      <c r="Y41946" s="97"/>
    </row>
    <row r="41947" spans="25:25" x14ac:dyDescent="0.2">
      <c r="Y41947" s="97"/>
    </row>
    <row r="41948" spans="25:25" x14ac:dyDescent="0.2">
      <c r="Y41948" s="97"/>
    </row>
    <row r="41949" spans="25:25" x14ac:dyDescent="0.2">
      <c r="Y41949" s="97"/>
    </row>
    <row r="41950" spans="25:25" x14ac:dyDescent="0.2">
      <c r="Y41950" s="97"/>
    </row>
    <row r="41951" spans="25:25" x14ac:dyDescent="0.2">
      <c r="Y41951" s="97"/>
    </row>
    <row r="41952" spans="25:25" x14ac:dyDescent="0.2">
      <c r="Y41952" s="97"/>
    </row>
    <row r="41953" spans="25:25" x14ac:dyDescent="0.2">
      <c r="Y41953" s="97"/>
    </row>
    <row r="41954" spans="25:25" x14ac:dyDescent="0.2">
      <c r="Y41954" s="97"/>
    </row>
    <row r="41955" spans="25:25" x14ac:dyDescent="0.2">
      <c r="Y41955" s="97"/>
    </row>
    <row r="41956" spans="25:25" x14ac:dyDescent="0.2">
      <c r="Y41956" s="97"/>
    </row>
    <row r="41957" spans="25:25" x14ac:dyDescent="0.2">
      <c r="Y41957" s="97"/>
    </row>
    <row r="41958" spans="25:25" x14ac:dyDescent="0.2">
      <c r="Y41958" s="97"/>
    </row>
    <row r="41959" spans="25:25" x14ac:dyDescent="0.2">
      <c r="Y41959" s="97"/>
    </row>
    <row r="41960" spans="25:25" x14ac:dyDescent="0.2">
      <c r="Y41960" s="97"/>
    </row>
    <row r="41961" spans="25:25" x14ac:dyDescent="0.2">
      <c r="Y41961" s="97"/>
    </row>
    <row r="41962" spans="25:25" x14ac:dyDescent="0.2">
      <c r="Y41962" s="97"/>
    </row>
    <row r="41963" spans="25:25" x14ac:dyDescent="0.2">
      <c r="Y41963" s="97"/>
    </row>
    <row r="41964" spans="25:25" x14ac:dyDescent="0.2">
      <c r="Y41964" s="97"/>
    </row>
    <row r="41965" spans="25:25" x14ac:dyDescent="0.2">
      <c r="Y41965" s="97"/>
    </row>
    <row r="41966" spans="25:25" x14ac:dyDescent="0.2">
      <c r="Y41966" s="97"/>
    </row>
    <row r="41967" spans="25:25" x14ac:dyDescent="0.2">
      <c r="Y41967" s="97"/>
    </row>
    <row r="41968" spans="25:25" x14ac:dyDescent="0.2">
      <c r="Y41968" s="97"/>
    </row>
    <row r="41969" spans="25:25" x14ac:dyDescent="0.2">
      <c r="Y41969" s="97"/>
    </row>
    <row r="41970" spans="25:25" x14ac:dyDescent="0.2">
      <c r="Y41970" s="97"/>
    </row>
    <row r="41971" spans="25:25" x14ac:dyDescent="0.2">
      <c r="Y41971" s="97"/>
    </row>
    <row r="41972" spans="25:25" x14ac:dyDescent="0.2">
      <c r="Y41972" s="97"/>
    </row>
    <row r="41973" spans="25:25" x14ac:dyDescent="0.2">
      <c r="Y41973" s="97"/>
    </row>
    <row r="41974" spans="25:25" x14ac:dyDescent="0.2">
      <c r="Y41974" s="97"/>
    </row>
    <row r="41975" spans="25:25" x14ac:dyDescent="0.2">
      <c r="Y41975" s="97"/>
    </row>
    <row r="41976" spans="25:25" x14ac:dyDescent="0.2">
      <c r="Y41976" s="97"/>
    </row>
    <row r="41977" spans="25:25" x14ac:dyDescent="0.2">
      <c r="Y41977" s="97"/>
    </row>
    <row r="41978" spans="25:25" x14ac:dyDescent="0.2">
      <c r="Y41978" s="97"/>
    </row>
    <row r="41979" spans="25:25" x14ac:dyDescent="0.2">
      <c r="Y41979" s="97"/>
    </row>
    <row r="41980" spans="25:25" x14ac:dyDescent="0.2">
      <c r="Y41980" s="97"/>
    </row>
    <row r="41981" spans="25:25" x14ac:dyDescent="0.2">
      <c r="Y41981" s="97"/>
    </row>
    <row r="41982" spans="25:25" x14ac:dyDescent="0.2">
      <c r="Y41982" s="97"/>
    </row>
    <row r="41983" spans="25:25" x14ac:dyDescent="0.2">
      <c r="Y41983" s="97"/>
    </row>
    <row r="41984" spans="25:25" x14ac:dyDescent="0.2">
      <c r="Y41984" s="97"/>
    </row>
    <row r="41985" spans="25:25" x14ac:dyDescent="0.2">
      <c r="Y41985" s="97"/>
    </row>
    <row r="41986" spans="25:25" x14ac:dyDescent="0.2">
      <c r="Y41986" s="97"/>
    </row>
    <row r="41987" spans="25:25" x14ac:dyDescent="0.2">
      <c r="Y41987" s="97"/>
    </row>
    <row r="41988" spans="25:25" x14ac:dyDescent="0.2">
      <c r="Y41988" s="97"/>
    </row>
    <row r="41989" spans="25:25" x14ac:dyDescent="0.2">
      <c r="Y41989" s="97"/>
    </row>
    <row r="41990" spans="25:25" x14ac:dyDescent="0.2">
      <c r="Y41990" s="97"/>
    </row>
    <row r="41991" spans="25:25" x14ac:dyDescent="0.2">
      <c r="Y41991" s="97"/>
    </row>
    <row r="41992" spans="25:25" x14ac:dyDescent="0.2">
      <c r="Y41992" s="97"/>
    </row>
    <row r="41993" spans="25:25" x14ac:dyDescent="0.2">
      <c r="Y41993" s="97"/>
    </row>
    <row r="41994" spans="25:25" x14ac:dyDescent="0.2">
      <c r="Y41994" s="97"/>
    </row>
    <row r="41995" spans="25:25" x14ac:dyDescent="0.2">
      <c r="Y41995" s="97"/>
    </row>
    <row r="41996" spans="25:25" x14ac:dyDescent="0.2">
      <c r="Y41996" s="97"/>
    </row>
    <row r="41997" spans="25:25" x14ac:dyDescent="0.2">
      <c r="Y41997" s="97"/>
    </row>
    <row r="41998" spans="25:25" x14ac:dyDescent="0.2">
      <c r="Y41998" s="97"/>
    </row>
    <row r="41999" spans="25:25" x14ac:dyDescent="0.2">
      <c r="Y41999" s="97"/>
    </row>
    <row r="42000" spans="25:25" x14ac:dyDescent="0.2">
      <c r="Y42000" s="97"/>
    </row>
    <row r="42001" spans="25:25" x14ac:dyDescent="0.2">
      <c r="Y42001" s="97"/>
    </row>
    <row r="42002" spans="25:25" x14ac:dyDescent="0.2">
      <c r="Y42002" s="97"/>
    </row>
    <row r="42003" spans="25:25" x14ac:dyDescent="0.2">
      <c r="Y42003" s="97"/>
    </row>
    <row r="42004" spans="25:25" x14ac:dyDescent="0.2">
      <c r="Y42004" s="97"/>
    </row>
    <row r="42005" spans="25:25" x14ac:dyDescent="0.2">
      <c r="Y42005" s="97"/>
    </row>
    <row r="42006" spans="25:25" x14ac:dyDescent="0.2">
      <c r="Y42006" s="97"/>
    </row>
    <row r="42007" spans="25:25" x14ac:dyDescent="0.2">
      <c r="Y42007" s="97"/>
    </row>
    <row r="42008" spans="25:25" x14ac:dyDescent="0.2">
      <c r="Y42008" s="97"/>
    </row>
    <row r="42009" spans="25:25" x14ac:dyDescent="0.2">
      <c r="Y42009" s="97"/>
    </row>
    <row r="42010" spans="25:25" x14ac:dyDescent="0.2">
      <c r="Y42010" s="97"/>
    </row>
    <row r="42011" spans="25:25" x14ac:dyDescent="0.2">
      <c r="Y42011" s="97"/>
    </row>
    <row r="42012" spans="25:25" x14ac:dyDescent="0.2">
      <c r="Y42012" s="97"/>
    </row>
    <row r="42013" spans="25:25" x14ac:dyDescent="0.2">
      <c r="Y42013" s="97"/>
    </row>
    <row r="42014" spans="25:25" x14ac:dyDescent="0.2">
      <c r="Y42014" s="97"/>
    </row>
    <row r="42015" spans="25:25" x14ac:dyDescent="0.2">
      <c r="Y42015" s="97"/>
    </row>
    <row r="42016" spans="25:25" x14ac:dyDescent="0.2">
      <c r="Y42016" s="97"/>
    </row>
    <row r="42017" spans="25:25" x14ac:dyDescent="0.2">
      <c r="Y42017" s="97"/>
    </row>
    <row r="42018" spans="25:25" x14ac:dyDescent="0.2">
      <c r="Y42018" s="97"/>
    </row>
    <row r="42019" spans="25:25" x14ac:dyDescent="0.2">
      <c r="Y42019" s="97"/>
    </row>
    <row r="42020" spans="25:25" x14ac:dyDescent="0.2">
      <c r="Y42020" s="97"/>
    </row>
    <row r="42021" spans="25:25" x14ac:dyDescent="0.2">
      <c r="Y42021" s="97"/>
    </row>
    <row r="42022" spans="25:25" x14ac:dyDescent="0.2">
      <c r="Y42022" s="97"/>
    </row>
    <row r="42023" spans="25:25" x14ac:dyDescent="0.2">
      <c r="Y42023" s="97"/>
    </row>
    <row r="42024" spans="25:25" x14ac:dyDescent="0.2">
      <c r="Y42024" s="97"/>
    </row>
    <row r="42025" spans="25:25" x14ac:dyDescent="0.2">
      <c r="Y42025" s="97"/>
    </row>
    <row r="42026" spans="25:25" x14ac:dyDescent="0.2">
      <c r="Y42026" s="97"/>
    </row>
    <row r="42027" spans="25:25" x14ac:dyDescent="0.2">
      <c r="Y42027" s="97"/>
    </row>
    <row r="42028" spans="25:25" x14ac:dyDescent="0.2">
      <c r="Y42028" s="97"/>
    </row>
    <row r="42029" spans="25:25" x14ac:dyDescent="0.2">
      <c r="Y42029" s="97"/>
    </row>
    <row r="42030" spans="25:25" x14ac:dyDescent="0.2">
      <c r="Y42030" s="97"/>
    </row>
    <row r="42031" spans="25:25" x14ac:dyDescent="0.2">
      <c r="Y42031" s="97"/>
    </row>
    <row r="42032" spans="25:25" x14ac:dyDescent="0.2">
      <c r="Y42032" s="97"/>
    </row>
    <row r="42033" spans="25:25" x14ac:dyDescent="0.2">
      <c r="Y42033" s="97"/>
    </row>
    <row r="42034" spans="25:25" x14ac:dyDescent="0.2">
      <c r="Y42034" s="97"/>
    </row>
    <row r="42035" spans="25:25" x14ac:dyDescent="0.2">
      <c r="Y42035" s="97"/>
    </row>
    <row r="42036" spans="25:25" x14ac:dyDescent="0.2">
      <c r="Y42036" s="97"/>
    </row>
    <row r="42037" spans="25:25" x14ac:dyDescent="0.2">
      <c r="Y42037" s="97"/>
    </row>
    <row r="42038" spans="25:25" x14ac:dyDescent="0.2">
      <c r="Y42038" s="97"/>
    </row>
    <row r="42039" spans="25:25" x14ac:dyDescent="0.2">
      <c r="Y42039" s="97"/>
    </row>
    <row r="42040" spans="25:25" x14ac:dyDescent="0.2">
      <c r="Y42040" s="97"/>
    </row>
    <row r="42041" spans="25:25" x14ac:dyDescent="0.2">
      <c r="Y42041" s="97"/>
    </row>
    <row r="42042" spans="25:25" x14ac:dyDescent="0.2">
      <c r="Y42042" s="97"/>
    </row>
    <row r="42043" spans="25:25" x14ac:dyDescent="0.2">
      <c r="Y42043" s="97"/>
    </row>
    <row r="42044" spans="25:25" x14ac:dyDescent="0.2">
      <c r="Y42044" s="97"/>
    </row>
    <row r="42045" spans="25:25" x14ac:dyDescent="0.2">
      <c r="Y42045" s="97"/>
    </row>
    <row r="42046" spans="25:25" x14ac:dyDescent="0.2">
      <c r="Y42046" s="97"/>
    </row>
    <row r="42047" spans="25:25" x14ac:dyDescent="0.2">
      <c r="Y42047" s="97"/>
    </row>
    <row r="42048" spans="25:25" x14ac:dyDescent="0.2">
      <c r="Y42048" s="97"/>
    </row>
    <row r="42049" spans="25:25" x14ac:dyDescent="0.2">
      <c r="Y42049" s="97"/>
    </row>
    <row r="42050" spans="25:25" x14ac:dyDescent="0.2">
      <c r="Y42050" s="97"/>
    </row>
    <row r="42051" spans="25:25" x14ac:dyDescent="0.2">
      <c r="Y42051" s="97"/>
    </row>
    <row r="42052" spans="25:25" x14ac:dyDescent="0.2">
      <c r="Y42052" s="97"/>
    </row>
    <row r="42053" spans="25:25" x14ac:dyDescent="0.2">
      <c r="Y42053" s="97"/>
    </row>
    <row r="42054" spans="25:25" x14ac:dyDescent="0.2">
      <c r="Y42054" s="97"/>
    </row>
    <row r="42055" spans="25:25" x14ac:dyDescent="0.2">
      <c r="Y42055" s="97"/>
    </row>
    <row r="42056" spans="25:25" x14ac:dyDescent="0.2">
      <c r="Y42056" s="97"/>
    </row>
    <row r="42057" spans="25:25" x14ac:dyDescent="0.2">
      <c r="Y42057" s="97"/>
    </row>
    <row r="42058" spans="25:25" x14ac:dyDescent="0.2">
      <c r="Y42058" s="97"/>
    </row>
    <row r="42059" spans="25:25" x14ac:dyDescent="0.2">
      <c r="Y42059" s="97"/>
    </row>
    <row r="42060" spans="25:25" x14ac:dyDescent="0.2">
      <c r="Y42060" s="97"/>
    </row>
    <row r="42061" spans="25:25" x14ac:dyDescent="0.2">
      <c r="Y42061" s="97"/>
    </row>
    <row r="42062" spans="25:25" x14ac:dyDescent="0.2">
      <c r="Y42062" s="97"/>
    </row>
    <row r="42063" spans="25:25" x14ac:dyDescent="0.2">
      <c r="Y42063" s="97"/>
    </row>
    <row r="42064" spans="25:25" x14ac:dyDescent="0.2">
      <c r="Y42064" s="97"/>
    </row>
    <row r="42065" spans="25:25" x14ac:dyDescent="0.2">
      <c r="Y42065" s="97"/>
    </row>
    <row r="42066" spans="25:25" x14ac:dyDescent="0.2">
      <c r="Y42066" s="97"/>
    </row>
    <row r="42067" spans="25:25" x14ac:dyDescent="0.2">
      <c r="Y42067" s="97"/>
    </row>
    <row r="42068" spans="25:25" x14ac:dyDescent="0.2">
      <c r="Y42068" s="97"/>
    </row>
    <row r="42069" spans="25:25" x14ac:dyDescent="0.2">
      <c r="Y42069" s="97"/>
    </row>
    <row r="42070" spans="25:25" x14ac:dyDescent="0.2">
      <c r="Y42070" s="97"/>
    </row>
    <row r="42071" spans="25:25" x14ac:dyDescent="0.2">
      <c r="Y42071" s="97"/>
    </row>
    <row r="42072" spans="25:25" x14ac:dyDescent="0.2">
      <c r="Y42072" s="97"/>
    </row>
    <row r="42073" spans="25:25" x14ac:dyDescent="0.2">
      <c r="Y42073" s="97"/>
    </row>
    <row r="42074" spans="25:25" x14ac:dyDescent="0.2">
      <c r="Y42074" s="97"/>
    </row>
    <row r="42075" spans="25:25" x14ac:dyDescent="0.2">
      <c r="Y42075" s="97"/>
    </row>
    <row r="42076" spans="25:25" x14ac:dyDescent="0.2">
      <c r="Y42076" s="97"/>
    </row>
    <row r="42077" spans="25:25" x14ac:dyDescent="0.2">
      <c r="Y42077" s="97"/>
    </row>
    <row r="42078" spans="25:25" x14ac:dyDescent="0.2">
      <c r="Y42078" s="97"/>
    </row>
    <row r="42079" spans="25:25" x14ac:dyDescent="0.2">
      <c r="Y42079" s="97"/>
    </row>
    <row r="42080" spans="25:25" x14ac:dyDescent="0.2">
      <c r="Y42080" s="97"/>
    </row>
    <row r="42081" spans="25:25" x14ac:dyDescent="0.2">
      <c r="Y42081" s="97"/>
    </row>
    <row r="42082" spans="25:25" x14ac:dyDescent="0.2">
      <c r="Y42082" s="97"/>
    </row>
    <row r="42083" spans="25:25" x14ac:dyDescent="0.2">
      <c r="Y42083" s="97"/>
    </row>
    <row r="42084" spans="25:25" x14ac:dyDescent="0.2">
      <c r="Y42084" s="97"/>
    </row>
    <row r="42085" spans="25:25" x14ac:dyDescent="0.2">
      <c r="Y42085" s="97"/>
    </row>
    <row r="42086" spans="25:25" x14ac:dyDescent="0.2">
      <c r="Y42086" s="97"/>
    </row>
    <row r="42087" spans="25:25" x14ac:dyDescent="0.2">
      <c r="Y42087" s="97"/>
    </row>
    <row r="42088" spans="25:25" x14ac:dyDescent="0.2">
      <c r="Y42088" s="97"/>
    </row>
    <row r="42089" spans="25:25" x14ac:dyDescent="0.2">
      <c r="Y42089" s="97"/>
    </row>
    <row r="42090" spans="25:25" x14ac:dyDescent="0.2">
      <c r="Y42090" s="97"/>
    </row>
    <row r="42091" spans="25:25" x14ac:dyDescent="0.2">
      <c r="Y42091" s="97"/>
    </row>
    <row r="42092" spans="25:25" x14ac:dyDescent="0.2">
      <c r="Y42092" s="97"/>
    </row>
    <row r="42093" spans="25:25" x14ac:dyDescent="0.2">
      <c r="Y42093" s="97"/>
    </row>
    <row r="42094" spans="25:25" x14ac:dyDescent="0.2">
      <c r="Y42094" s="97"/>
    </row>
    <row r="42095" spans="25:25" x14ac:dyDescent="0.2">
      <c r="Y42095" s="97"/>
    </row>
    <row r="42096" spans="25:25" x14ac:dyDescent="0.2">
      <c r="Y42096" s="97"/>
    </row>
    <row r="42097" spans="25:25" x14ac:dyDescent="0.2">
      <c r="Y42097" s="97"/>
    </row>
    <row r="42098" spans="25:25" x14ac:dyDescent="0.2">
      <c r="Y42098" s="97"/>
    </row>
    <row r="42099" spans="25:25" x14ac:dyDescent="0.2">
      <c r="Y42099" s="97"/>
    </row>
    <row r="42100" spans="25:25" x14ac:dyDescent="0.2">
      <c r="Y42100" s="97"/>
    </row>
    <row r="42101" spans="25:25" x14ac:dyDescent="0.2">
      <c r="Y42101" s="97"/>
    </row>
    <row r="42102" spans="25:25" x14ac:dyDescent="0.2">
      <c r="Y42102" s="97"/>
    </row>
    <row r="42103" spans="25:25" x14ac:dyDescent="0.2">
      <c r="Y42103" s="97"/>
    </row>
    <row r="42104" spans="25:25" x14ac:dyDescent="0.2">
      <c r="Y42104" s="97"/>
    </row>
    <row r="42105" spans="25:25" x14ac:dyDescent="0.2">
      <c r="Y42105" s="97"/>
    </row>
    <row r="42106" spans="25:25" x14ac:dyDescent="0.2">
      <c r="Y42106" s="97"/>
    </row>
    <row r="42107" spans="25:25" x14ac:dyDescent="0.2">
      <c r="Y42107" s="97"/>
    </row>
    <row r="42108" spans="25:25" x14ac:dyDescent="0.2">
      <c r="Y42108" s="97"/>
    </row>
    <row r="42109" spans="25:25" x14ac:dyDescent="0.2">
      <c r="Y42109" s="97"/>
    </row>
    <row r="42110" spans="25:25" x14ac:dyDescent="0.2">
      <c r="Y42110" s="97"/>
    </row>
    <row r="42111" spans="25:25" x14ac:dyDescent="0.2">
      <c r="Y42111" s="97"/>
    </row>
    <row r="42112" spans="25:25" x14ac:dyDescent="0.2">
      <c r="Y42112" s="97"/>
    </row>
    <row r="42113" spans="25:25" x14ac:dyDescent="0.2">
      <c r="Y42113" s="97"/>
    </row>
    <row r="42114" spans="25:25" x14ac:dyDescent="0.2">
      <c r="Y42114" s="97"/>
    </row>
    <row r="42115" spans="25:25" x14ac:dyDescent="0.2">
      <c r="Y42115" s="97"/>
    </row>
    <row r="42116" spans="25:25" x14ac:dyDescent="0.2">
      <c r="Y42116" s="97"/>
    </row>
    <row r="42117" spans="25:25" x14ac:dyDescent="0.2">
      <c r="Y42117" s="97"/>
    </row>
    <row r="42118" spans="25:25" x14ac:dyDescent="0.2">
      <c r="Y42118" s="97"/>
    </row>
    <row r="42119" spans="25:25" x14ac:dyDescent="0.2">
      <c r="Y42119" s="97"/>
    </row>
    <row r="42120" spans="25:25" x14ac:dyDescent="0.2">
      <c r="Y42120" s="97"/>
    </row>
    <row r="42121" spans="25:25" x14ac:dyDescent="0.2">
      <c r="Y42121" s="97"/>
    </row>
    <row r="42122" spans="25:25" x14ac:dyDescent="0.2">
      <c r="Y42122" s="97"/>
    </row>
    <row r="42123" spans="25:25" x14ac:dyDescent="0.2">
      <c r="Y42123" s="97"/>
    </row>
    <row r="42124" spans="25:25" x14ac:dyDescent="0.2">
      <c r="Y42124" s="97"/>
    </row>
    <row r="42125" spans="25:25" x14ac:dyDescent="0.2">
      <c r="Y42125" s="97"/>
    </row>
    <row r="42126" spans="25:25" x14ac:dyDescent="0.2">
      <c r="Y42126" s="97"/>
    </row>
    <row r="42127" spans="25:25" x14ac:dyDescent="0.2">
      <c r="Y42127" s="97"/>
    </row>
    <row r="42128" spans="25:25" x14ac:dyDescent="0.2">
      <c r="Y42128" s="97"/>
    </row>
    <row r="42129" spans="25:25" x14ac:dyDescent="0.2">
      <c r="Y42129" s="97"/>
    </row>
    <row r="42130" spans="25:25" x14ac:dyDescent="0.2">
      <c r="Y42130" s="97"/>
    </row>
    <row r="42131" spans="25:25" x14ac:dyDescent="0.2">
      <c r="Y42131" s="97"/>
    </row>
    <row r="42132" spans="25:25" x14ac:dyDescent="0.2">
      <c r="Y42132" s="97"/>
    </row>
    <row r="42133" spans="25:25" x14ac:dyDescent="0.2">
      <c r="Y42133" s="97"/>
    </row>
    <row r="42134" spans="25:25" x14ac:dyDescent="0.2">
      <c r="Y42134" s="97"/>
    </row>
    <row r="42135" spans="25:25" x14ac:dyDescent="0.2">
      <c r="Y42135" s="97"/>
    </row>
    <row r="42136" spans="25:25" x14ac:dyDescent="0.2">
      <c r="Y42136" s="97"/>
    </row>
    <row r="42137" spans="25:25" x14ac:dyDescent="0.2">
      <c r="Y42137" s="97"/>
    </row>
    <row r="42138" spans="25:25" x14ac:dyDescent="0.2">
      <c r="Y42138" s="97"/>
    </row>
    <row r="42139" spans="25:25" x14ac:dyDescent="0.2">
      <c r="Y42139" s="97"/>
    </row>
    <row r="42140" spans="25:25" x14ac:dyDescent="0.2">
      <c r="Y42140" s="97"/>
    </row>
    <row r="42141" spans="25:25" x14ac:dyDescent="0.2">
      <c r="Y42141" s="97"/>
    </row>
    <row r="42142" spans="25:25" x14ac:dyDescent="0.2">
      <c r="Y42142" s="97"/>
    </row>
    <row r="42143" spans="25:25" x14ac:dyDescent="0.2">
      <c r="Y42143" s="97"/>
    </row>
    <row r="42144" spans="25:25" x14ac:dyDescent="0.2">
      <c r="Y42144" s="97"/>
    </row>
    <row r="42145" spans="25:25" x14ac:dyDescent="0.2">
      <c r="Y42145" s="97"/>
    </row>
    <row r="42146" spans="25:25" x14ac:dyDescent="0.2">
      <c r="Y42146" s="97"/>
    </row>
    <row r="42147" spans="25:25" x14ac:dyDescent="0.2">
      <c r="Y42147" s="97"/>
    </row>
    <row r="42148" spans="25:25" x14ac:dyDescent="0.2">
      <c r="Y42148" s="97"/>
    </row>
    <row r="42149" spans="25:25" x14ac:dyDescent="0.2">
      <c r="Y42149" s="97"/>
    </row>
    <row r="42150" spans="25:25" x14ac:dyDescent="0.2">
      <c r="Y42150" s="97"/>
    </row>
    <row r="42151" spans="25:25" x14ac:dyDescent="0.2">
      <c r="Y42151" s="97"/>
    </row>
    <row r="42152" spans="25:25" x14ac:dyDescent="0.2">
      <c r="Y42152" s="97"/>
    </row>
    <row r="42153" spans="25:25" x14ac:dyDescent="0.2">
      <c r="Y42153" s="97"/>
    </row>
    <row r="42154" spans="25:25" x14ac:dyDescent="0.2">
      <c r="Y42154" s="97"/>
    </row>
    <row r="42155" spans="25:25" x14ac:dyDescent="0.2">
      <c r="Y42155" s="97"/>
    </row>
    <row r="42156" spans="25:25" x14ac:dyDescent="0.2">
      <c r="Y42156" s="97"/>
    </row>
    <row r="42157" spans="25:25" x14ac:dyDescent="0.2">
      <c r="Y42157" s="97"/>
    </row>
    <row r="42158" spans="25:25" x14ac:dyDescent="0.2">
      <c r="Y42158" s="97"/>
    </row>
    <row r="42159" spans="25:25" x14ac:dyDescent="0.2">
      <c r="Y42159" s="97"/>
    </row>
    <row r="42160" spans="25:25" x14ac:dyDescent="0.2">
      <c r="Y42160" s="97"/>
    </row>
    <row r="42161" spans="25:25" x14ac:dyDescent="0.2">
      <c r="Y42161" s="97"/>
    </row>
    <row r="42162" spans="25:25" x14ac:dyDescent="0.2">
      <c r="Y42162" s="97"/>
    </row>
    <row r="42163" spans="25:25" x14ac:dyDescent="0.2">
      <c r="Y42163" s="97"/>
    </row>
    <row r="42164" spans="25:25" x14ac:dyDescent="0.2">
      <c r="Y42164" s="97"/>
    </row>
    <row r="42165" spans="25:25" x14ac:dyDescent="0.2">
      <c r="Y42165" s="97"/>
    </row>
    <row r="42166" spans="25:25" x14ac:dyDescent="0.2">
      <c r="Y42166" s="97"/>
    </row>
    <row r="42167" spans="25:25" x14ac:dyDescent="0.2">
      <c r="Y42167" s="97"/>
    </row>
    <row r="42168" spans="25:25" x14ac:dyDescent="0.2">
      <c r="Y42168" s="97"/>
    </row>
    <row r="42169" spans="25:25" x14ac:dyDescent="0.2">
      <c r="Y42169" s="97"/>
    </row>
    <row r="42170" spans="25:25" x14ac:dyDescent="0.2">
      <c r="Y42170" s="97"/>
    </row>
    <row r="42171" spans="25:25" x14ac:dyDescent="0.2">
      <c r="Y42171" s="97"/>
    </row>
    <row r="42172" spans="25:25" x14ac:dyDescent="0.2">
      <c r="Y42172" s="97"/>
    </row>
    <row r="42173" spans="25:25" x14ac:dyDescent="0.2">
      <c r="Y42173" s="97"/>
    </row>
    <row r="42174" spans="25:25" x14ac:dyDescent="0.2">
      <c r="Y42174" s="97"/>
    </row>
    <row r="42175" spans="25:25" x14ac:dyDescent="0.2">
      <c r="Y42175" s="97"/>
    </row>
    <row r="42176" spans="25:25" x14ac:dyDescent="0.2">
      <c r="Y42176" s="97"/>
    </row>
    <row r="42177" spans="25:25" x14ac:dyDescent="0.2">
      <c r="Y42177" s="97"/>
    </row>
    <row r="42178" spans="25:25" x14ac:dyDescent="0.2">
      <c r="Y42178" s="97"/>
    </row>
    <row r="42179" spans="25:25" x14ac:dyDescent="0.2">
      <c r="Y42179" s="97"/>
    </row>
    <row r="42180" spans="25:25" x14ac:dyDescent="0.2">
      <c r="Y42180" s="97"/>
    </row>
    <row r="42181" spans="25:25" x14ac:dyDescent="0.2">
      <c r="Y42181" s="97"/>
    </row>
    <row r="42182" spans="25:25" x14ac:dyDescent="0.2">
      <c r="Y42182" s="97"/>
    </row>
    <row r="42183" spans="25:25" x14ac:dyDescent="0.2">
      <c r="Y42183" s="97"/>
    </row>
    <row r="42184" spans="25:25" x14ac:dyDescent="0.2">
      <c r="Y42184" s="97"/>
    </row>
    <row r="42185" spans="25:25" x14ac:dyDescent="0.2">
      <c r="Y42185" s="97"/>
    </row>
    <row r="42186" spans="25:25" x14ac:dyDescent="0.2">
      <c r="Y42186" s="97"/>
    </row>
    <row r="42187" spans="25:25" x14ac:dyDescent="0.2">
      <c r="Y42187" s="97"/>
    </row>
    <row r="42188" spans="25:25" x14ac:dyDescent="0.2">
      <c r="Y42188" s="97"/>
    </row>
    <row r="42189" spans="25:25" x14ac:dyDescent="0.2">
      <c r="Y42189" s="97"/>
    </row>
    <row r="42190" spans="25:25" x14ac:dyDescent="0.2">
      <c r="Y42190" s="97"/>
    </row>
    <row r="42191" spans="25:25" x14ac:dyDescent="0.2">
      <c r="Y42191" s="97"/>
    </row>
    <row r="42192" spans="25:25" x14ac:dyDescent="0.2">
      <c r="Y42192" s="97"/>
    </row>
    <row r="42193" spans="25:25" x14ac:dyDescent="0.2">
      <c r="Y42193" s="97"/>
    </row>
    <row r="42194" spans="25:25" x14ac:dyDescent="0.2">
      <c r="Y42194" s="97"/>
    </row>
    <row r="42195" spans="25:25" x14ac:dyDescent="0.2">
      <c r="Y42195" s="97"/>
    </row>
    <row r="42196" spans="25:25" x14ac:dyDescent="0.2">
      <c r="Y42196" s="97"/>
    </row>
    <row r="42197" spans="25:25" x14ac:dyDescent="0.2">
      <c r="Y42197" s="97"/>
    </row>
    <row r="42198" spans="25:25" x14ac:dyDescent="0.2">
      <c r="Y42198" s="97"/>
    </row>
    <row r="42199" spans="25:25" x14ac:dyDescent="0.2">
      <c r="Y42199" s="97"/>
    </row>
    <row r="42200" spans="25:25" x14ac:dyDescent="0.2">
      <c r="Y42200" s="97"/>
    </row>
    <row r="42201" spans="25:25" x14ac:dyDescent="0.2">
      <c r="Y42201" s="97"/>
    </row>
    <row r="42202" spans="25:25" x14ac:dyDescent="0.2">
      <c r="Y42202" s="97"/>
    </row>
    <row r="42203" spans="25:25" x14ac:dyDescent="0.2">
      <c r="Y42203" s="97"/>
    </row>
    <row r="42204" spans="25:25" x14ac:dyDescent="0.2">
      <c r="Y42204" s="97"/>
    </row>
    <row r="42205" spans="25:25" x14ac:dyDescent="0.2">
      <c r="Y42205" s="97"/>
    </row>
    <row r="42206" spans="25:25" x14ac:dyDescent="0.2">
      <c r="Y42206" s="97"/>
    </row>
    <row r="42207" spans="25:25" x14ac:dyDescent="0.2">
      <c r="Y42207" s="97"/>
    </row>
    <row r="42208" spans="25:25" x14ac:dyDescent="0.2">
      <c r="Y42208" s="97"/>
    </row>
    <row r="42209" spans="25:25" x14ac:dyDescent="0.2">
      <c r="Y42209" s="97"/>
    </row>
    <row r="42210" spans="25:25" x14ac:dyDescent="0.2">
      <c r="Y42210" s="97"/>
    </row>
    <row r="42211" spans="25:25" x14ac:dyDescent="0.2">
      <c r="Y42211" s="97"/>
    </row>
    <row r="42212" spans="25:25" x14ac:dyDescent="0.2">
      <c r="Y42212" s="97"/>
    </row>
    <row r="42213" spans="25:25" x14ac:dyDescent="0.2">
      <c r="Y42213" s="97"/>
    </row>
    <row r="42214" spans="25:25" x14ac:dyDescent="0.2">
      <c r="Y42214" s="97"/>
    </row>
    <row r="42215" spans="25:25" x14ac:dyDescent="0.2">
      <c r="Y42215" s="97"/>
    </row>
    <row r="42216" spans="25:25" x14ac:dyDescent="0.2">
      <c r="Y42216" s="97"/>
    </row>
    <row r="42217" spans="25:25" x14ac:dyDescent="0.2">
      <c r="Y42217" s="97"/>
    </row>
    <row r="42218" spans="25:25" x14ac:dyDescent="0.2">
      <c r="Y42218" s="97"/>
    </row>
    <row r="42219" spans="25:25" x14ac:dyDescent="0.2">
      <c r="Y42219" s="97"/>
    </row>
    <row r="42220" spans="25:25" x14ac:dyDescent="0.2">
      <c r="Y42220" s="97"/>
    </row>
    <row r="42221" spans="25:25" x14ac:dyDescent="0.2">
      <c r="Y42221" s="97"/>
    </row>
    <row r="42222" spans="25:25" x14ac:dyDescent="0.2">
      <c r="Y42222" s="97"/>
    </row>
    <row r="42223" spans="25:25" x14ac:dyDescent="0.2">
      <c r="Y42223" s="97"/>
    </row>
    <row r="42224" spans="25:25" x14ac:dyDescent="0.2">
      <c r="Y42224" s="97"/>
    </row>
    <row r="42225" spans="25:25" x14ac:dyDescent="0.2">
      <c r="Y42225" s="97"/>
    </row>
    <row r="42226" spans="25:25" x14ac:dyDescent="0.2">
      <c r="Y42226" s="97"/>
    </row>
    <row r="42227" spans="25:25" x14ac:dyDescent="0.2">
      <c r="Y42227" s="97"/>
    </row>
    <row r="42228" spans="25:25" x14ac:dyDescent="0.2">
      <c r="Y42228" s="97"/>
    </row>
    <row r="42229" spans="25:25" x14ac:dyDescent="0.2">
      <c r="Y42229" s="97"/>
    </row>
    <row r="42230" spans="25:25" x14ac:dyDescent="0.2">
      <c r="Y42230" s="97"/>
    </row>
    <row r="42231" spans="25:25" x14ac:dyDescent="0.2">
      <c r="Y42231" s="97"/>
    </row>
    <row r="42232" spans="25:25" x14ac:dyDescent="0.2">
      <c r="Y42232" s="97"/>
    </row>
    <row r="42233" spans="25:25" x14ac:dyDescent="0.2">
      <c r="Y42233" s="97"/>
    </row>
    <row r="42234" spans="25:25" x14ac:dyDescent="0.2">
      <c r="Y42234" s="97"/>
    </row>
    <row r="42235" spans="25:25" x14ac:dyDescent="0.2">
      <c r="Y42235" s="97"/>
    </row>
    <row r="42236" spans="25:25" x14ac:dyDescent="0.2">
      <c r="Y42236" s="97"/>
    </row>
    <row r="42237" spans="25:25" x14ac:dyDescent="0.2">
      <c r="Y42237" s="97"/>
    </row>
    <row r="42238" spans="25:25" x14ac:dyDescent="0.2">
      <c r="Y42238" s="97"/>
    </row>
    <row r="42239" spans="25:25" x14ac:dyDescent="0.2">
      <c r="Y42239" s="97"/>
    </row>
    <row r="42240" spans="25:25" x14ac:dyDescent="0.2">
      <c r="Y42240" s="97"/>
    </row>
    <row r="42241" spans="25:25" x14ac:dyDescent="0.2">
      <c r="Y42241" s="97"/>
    </row>
    <row r="42242" spans="25:25" x14ac:dyDescent="0.2">
      <c r="Y42242" s="97"/>
    </row>
    <row r="42243" spans="25:25" x14ac:dyDescent="0.2">
      <c r="Y42243" s="97"/>
    </row>
    <row r="42244" spans="25:25" x14ac:dyDescent="0.2">
      <c r="Y42244" s="97"/>
    </row>
    <row r="42245" spans="25:25" x14ac:dyDescent="0.2">
      <c r="Y42245" s="97"/>
    </row>
    <row r="42246" spans="25:25" x14ac:dyDescent="0.2">
      <c r="Y42246" s="97"/>
    </row>
    <row r="42247" spans="25:25" x14ac:dyDescent="0.2">
      <c r="Y42247" s="97"/>
    </row>
    <row r="42248" spans="25:25" x14ac:dyDescent="0.2">
      <c r="Y42248" s="97"/>
    </row>
    <row r="42249" spans="25:25" x14ac:dyDescent="0.2">
      <c r="Y42249" s="97"/>
    </row>
    <row r="42250" spans="25:25" x14ac:dyDescent="0.2">
      <c r="Y42250" s="97"/>
    </row>
    <row r="42251" spans="25:25" x14ac:dyDescent="0.2">
      <c r="Y42251" s="97"/>
    </row>
    <row r="42252" spans="25:25" x14ac:dyDescent="0.2">
      <c r="Y42252" s="97"/>
    </row>
    <row r="42253" spans="25:25" x14ac:dyDescent="0.2">
      <c r="Y42253" s="97"/>
    </row>
    <row r="42254" spans="25:25" x14ac:dyDescent="0.2">
      <c r="Y42254" s="97"/>
    </row>
    <row r="42255" spans="25:25" x14ac:dyDescent="0.2">
      <c r="Y42255" s="97"/>
    </row>
    <row r="42256" spans="25:25" x14ac:dyDescent="0.2">
      <c r="Y42256" s="97"/>
    </row>
    <row r="42257" spans="25:25" x14ac:dyDescent="0.2">
      <c r="Y42257" s="97"/>
    </row>
    <row r="42258" spans="25:25" x14ac:dyDescent="0.2">
      <c r="Y42258" s="97"/>
    </row>
    <row r="42259" spans="25:25" x14ac:dyDescent="0.2">
      <c r="Y42259" s="97"/>
    </row>
    <row r="42260" spans="25:25" x14ac:dyDescent="0.2">
      <c r="Y42260" s="97"/>
    </row>
    <row r="42261" spans="25:25" x14ac:dyDescent="0.2">
      <c r="Y42261" s="97"/>
    </row>
    <row r="42262" spans="25:25" x14ac:dyDescent="0.2">
      <c r="Y42262" s="97"/>
    </row>
    <row r="42263" spans="25:25" x14ac:dyDescent="0.2">
      <c r="Y42263" s="97"/>
    </row>
    <row r="42264" spans="25:25" x14ac:dyDescent="0.2">
      <c r="Y42264" s="97"/>
    </row>
    <row r="42265" spans="25:25" x14ac:dyDescent="0.2">
      <c r="Y42265" s="97"/>
    </row>
    <row r="42266" spans="25:25" x14ac:dyDescent="0.2">
      <c r="Y42266" s="97"/>
    </row>
    <row r="42267" spans="25:25" x14ac:dyDescent="0.2">
      <c r="Y42267" s="97"/>
    </row>
    <row r="42268" spans="25:25" x14ac:dyDescent="0.2">
      <c r="Y42268" s="97"/>
    </row>
    <row r="42269" spans="25:25" x14ac:dyDescent="0.2">
      <c r="Y42269" s="97"/>
    </row>
    <row r="42270" spans="25:25" x14ac:dyDescent="0.2">
      <c r="Y42270" s="97"/>
    </row>
    <row r="42271" spans="25:25" x14ac:dyDescent="0.2">
      <c r="Y42271" s="97"/>
    </row>
    <row r="42272" spans="25:25" x14ac:dyDescent="0.2">
      <c r="Y42272" s="97"/>
    </row>
    <row r="42273" spans="25:25" x14ac:dyDescent="0.2">
      <c r="Y42273" s="97"/>
    </row>
    <row r="42274" spans="25:25" x14ac:dyDescent="0.2">
      <c r="Y42274" s="97"/>
    </row>
    <row r="42275" spans="25:25" x14ac:dyDescent="0.2">
      <c r="Y42275" s="97"/>
    </row>
    <row r="42276" spans="25:25" x14ac:dyDescent="0.2">
      <c r="Y42276" s="97"/>
    </row>
    <row r="42277" spans="25:25" x14ac:dyDescent="0.2">
      <c r="Y42277" s="97"/>
    </row>
    <row r="42278" spans="25:25" x14ac:dyDescent="0.2">
      <c r="Y42278" s="97"/>
    </row>
    <row r="42279" spans="25:25" x14ac:dyDescent="0.2">
      <c r="Y42279" s="97"/>
    </row>
    <row r="42280" spans="25:25" x14ac:dyDescent="0.2">
      <c r="Y42280" s="97"/>
    </row>
    <row r="42281" spans="25:25" x14ac:dyDescent="0.2">
      <c r="Y42281" s="97"/>
    </row>
    <row r="42282" spans="25:25" x14ac:dyDescent="0.2">
      <c r="Y42282" s="97"/>
    </row>
    <row r="42283" spans="25:25" x14ac:dyDescent="0.2">
      <c r="Y42283" s="97"/>
    </row>
    <row r="42284" spans="25:25" x14ac:dyDescent="0.2">
      <c r="Y42284" s="97"/>
    </row>
    <row r="42285" spans="25:25" x14ac:dyDescent="0.2">
      <c r="Y42285" s="97"/>
    </row>
    <row r="42286" spans="25:25" x14ac:dyDescent="0.2">
      <c r="Y42286" s="97"/>
    </row>
    <row r="42287" spans="25:25" x14ac:dyDescent="0.2">
      <c r="Y42287" s="97"/>
    </row>
    <row r="42288" spans="25:25" x14ac:dyDescent="0.2">
      <c r="Y42288" s="97"/>
    </row>
    <row r="42289" spans="25:25" x14ac:dyDescent="0.2">
      <c r="Y42289" s="97"/>
    </row>
    <row r="42290" spans="25:25" x14ac:dyDescent="0.2">
      <c r="Y42290" s="97"/>
    </row>
    <row r="42291" spans="25:25" x14ac:dyDescent="0.2">
      <c r="Y42291" s="97"/>
    </row>
    <row r="42292" spans="25:25" x14ac:dyDescent="0.2">
      <c r="Y42292" s="97"/>
    </row>
    <row r="42293" spans="25:25" x14ac:dyDescent="0.2">
      <c r="Y42293" s="97"/>
    </row>
    <row r="42294" spans="25:25" x14ac:dyDescent="0.2">
      <c r="Y42294" s="97"/>
    </row>
    <row r="42295" spans="25:25" x14ac:dyDescent="0.2">
      <c r="Y42295" s="97"/>
    </row>
    <row r="42296" spans="25:25" x14ac:dyDescent="0.2">
      <c r="Y42296" s="97"/>
    </row>
    <row r="42297" spans="25:25" x14ac:dyDescent="0.2">
      <c r="Y42297" s="97"/>
    </row>
    <row r="42298" spans="25:25" x14ac:dyDescent="0.2">
      <c r="Y42298" s="97"/>
    </row>
    <row r="42299" spans="25:25" x14ac:dyDescent="0.2">
      <c r="Y42299" s="97"/>
    </row>
    <row r="42300" spans="25:25" x14ac:dyDescent="0.2">
      <c r="Y42300" s="97"/>
    </row>
    <row r="42301" spans="25:25" x14ac:dyDescent="0.2">
      <c r="Y42301" s="97"/>
    </row>
    <row r="42302" spans="25:25" x14ac:dyDescent="0.2">
      <c r="Y42302" s="97"/>
    </row>
    <row r="42303" spans="25:25" x14ac:dyDescent="0.2">
      <c r="Y42303" s="97"/>
    </row>
    <row r="42304" spans="25:25" x14ac:dyDescent="0.2">
      <c r="Y42304" s="97"/>
    </row>
    <row r="42305" spans="25:25" x14ac:dyDescent="0.2">
      <c r="Y42305" s="97"/>
    </row>
    <row r="42306" spans="25:25" x14ac:dyDescent="0.2">
      <c r="Y42306" s="97"/>
    </row>
    <row r="42307" spans="25:25" x14ac:dyDescent="0.2">
      <c r="Y42307" s="97"/>
    </row>
    <row r="42308" spans="25:25" x14ac:dyDescent="0.2">
      <c r="Y42308" s="97"/>
    </row>
    <row r="42309" spans="25:25" x14ac:dyDescent="0.2">
      <c r="Y42309" s="97"/>
    </row>
    <row r="42310" spans="25:25" x14ac:dyDescent="0.2">
      <c r="Y42310" s="97"/>
    </row>
    <row r="42311" spans="25:25" x14ac:dyDescent="0.2">
      <c r="Y42311" s="97"/>
    </row>
    <row r="42312" spans="25:25" x14ac:dyDescent="0.2">
      <c r="Y42312" s="97"/>
    </row>
    <row r="42313" spans="25:25" x14ac:dyDescent="0.2">
      <c r="Y42313" s="97"/>
    </row>
    <row r="42314" spans="25:25" x14ac:dyDescent="0.2">
      <c r="Y42314" s="97"/>
    </row>
    <row r="42315" spans="25:25" x14ac:dyDescent="0.2">
      <c r="Y42315" s="97"/>
    </row>
    <row r="42316" spans="25:25" x14ac:dyDescent="0.2">
      <c r="Y42316" s="97"/>
    </row>
    <row r="42317" spans="25:25" x14ac:dyDescent="0.2">
      <c r="Y42317" s="97"/>
    </row>
    <row r="42318" spans="25:25" x14ac:dyDescent="0.2">
      <c r="Y42318" s="97"/>
    </row>
    <row r="42319" spans="25:25" x14ac:dyDescent="0.2">
      <c r="Y42319" s="97"/>
    </row>
    <row r="42320" spans="25:25" x14ac:dyDescent="0.2">
      <c r="Y42320" s="97"/>
    </row>
    <row r="42321" spans="25:25" x14ac:dyDescent="0.2">
      <c r="Y42321" s="97"/>
    </row>
    <row r="42322" spans="25:25" x14ac:dyDescent="0.2">
      <c r="Y42322" s="97"/>
    </row>
    <row r="42323" spans="25:25" x14ac:dyDescent="0.2">
      <c r="Y42323" s="97"/>
    </row>
    <row r="42324" spans="25:25" x14ac:dyDescent="0.2">
      <c r="Y42324" s="97"/>
    </row>
    <row r="42325" spans="25:25" x14ac:dyDescent="0.2">
      <c r="Y42325" s="97"/>
    </row>
    <row r="42326" spans="25:25" x14ac:dyDescent="0.2">
      <c r="Y42326" s="97"/>
    </row>
    <row r="42327" spans="25:25" x14ac:dyDescent="0.2">
      <c r="Y42327" s="97"/>
    </row>
    <row r="42328" spans="25:25" x14ac:dyDescent="0.2">
      <c r="Y42328" s="97"/>
    </row>
    <row r="42329" spans="25:25" x14ac:dyDescent="0.2">
      <c r="Y42329" s="97"/>
    </row>
    <row r="42330" spans="25:25" x14ac:dyDescent="0.2">
      <c r="Y42330" s="97"/>
    </row>
    <row r="42331" spans="25:25" x14ac:dyDescent="0.2">
      <c r="Y42331" s="97"/>
    </row>
    <row r="42332" spans="25:25" x14ac:dyDescent="0.2">
      <c r="Y42332" s="97"/>
    </row>
    <row r="42333" spans="25:25" x14ac:dyDescent="0.2">
      <c r="Y42333" s="97"/>
    </row>
    <row r="42334" spans="25:25" x14ac:dyDescent="0.2">
      <c r="Y42334" s="97"/>
    </row>
    <row r="42335" spans="25:25" x14ac:dyDescent="0.2">
      <c r="Y42335" s="97"/>
    </row>
    <row r="42336" spans="25:25" x14ac:dyDescent="0.2">
      <c r="Y42336" s="97"/>
    </row>
    <row r="42337" spans="25:25" x14ac:dyDescent="0.2">
      <c r="Y42337" s="97"/>
    </row>
    <row r="42338" spans="25:25" x14ac:dyDescent="0.2">
      <c r="Y42338" s="97"/>
    </row>
    <row r="42339" spans="25:25" x14ac:dyDescent="0.2">
      <c r="Y42339" s="97"/>
    </row>
    <row r="42340" spans="25:25" x14ac:dyDescent="0.2">
      <c r="Y42340" s="97"/>
    </row>
    <row r="42341" spans="25:25" x14ac:dyDescent="0.2">
      <c r="Y42341" s="97"/>
    </row>
    <row r="42342" spans="25:25" x14ac:dyDescent="0.2">
      <c r="Y42342" s="97"/>
    </row>
    <row r="42343" spans="25:25" x14ac:dyDescent="0.2">
      <c r="Y42343" s="97"/>
    </row>
    <row r="42344" spans="25:25" x14ac:dyDescent="0.2">
      <c r="Y42344" s="97"/>
    </row>
    <row r="42345" spans="25:25" x14ac:dyDescent="0.2">
      <c r="Y42345" s="97"/>
    </row>
    <row r="42346" spans="25:25" x14ac:dyDescent="0.2">
      <c r="Y42346" s="97"/>
    </row>
    <row r="42347" spans="25:25" x14ac:dyDescent="0.2">
      <c r="Y42347" s="97"/>
    </row>
    <row r="42348" spans="25:25" x14ac:dyDescent="0.2">
      <c r="Y42348" s="97"/>
    </row>
    <row r="42349" spans="25:25" x14ac:dyDescent="0.2">
      <c r="Y42349" s="97"/>
    </row>
    <row r="42350" spans="25:25" x14ac:dyDescent="0.2">
      <c r="Y42350" s="97"/>
    </row>
    <row r="42351" spans="25:25" x14ac:dyDescent="0.2">
      <c r="Y42351" s="97"/>
    </row>
    <row r="42352" spans="25:25" x14ac:dyDescent="0.2">
      <c r="Y42352" s="97"/>
    </row>
    <row r="42353" spans="25:25" x14ac:dyDescent="0.2">
      <c r="Y42353" s="97"/>
    </row>
    <row r="42354" spans="25:25" x14ac:dyDescent="0.2">
      <c r="Y42354" s="97"/>
    </row>
    <row r="42355" spans="25:25" x14ac:dyDescent="0.2">
      <c r="Y42355" s="97"/>
    </row>
    <row r="42356" spans="25:25" x14ac:dyDescent="0.2">
      <c r="Y42356" s="97"/>
    </row>
    <row r="42357" spans="25:25" x14ac:dyDescent="0.2">
      <c r="Y42357" s="97"/>
    </row>
    <row r="42358" spans="25:25" x14ac:dyDescent="0.2">
      <c r="Y42358" s="97"/>
    </row>
    <row r="42359" spans="25:25" x14ac:dyDescent="0.2">
      <c r="Y42359" s="97"/>
    </row>
    <row r="42360" spans="25:25" x14ac:dyDescent="0.2">
      <c r="Y42360" s="97"/>
    </row>
    <row r="42361" spans="25:25" x14ac:dyDescent="0.2">
      <c r="Y42361" s="97"/>
    </row>
    <row r="42362" spans="25:25" x14ac:dyDescent="0.2">
      <c r="Y42362" s="97"/>
    </row>
    <row r="42363" spans="25:25" x14ac:dyDescent="0.2">
      <c r="Y42363" s="97"/>
    </row>
    <row r="42364" spans="25:25" x14ac:dyDescent="0.2">
      <c r="Y42364" s="97"/>
    </row>
    <row r="42365" spans="25:25" x14ac:dyDescent="0.2">
      <c r="Y42365" s="97"/>
    </row>
    <row r="42366" spans="25:25" x14ac:dyDescent="0.2">
      <c r="Y42366" s="97"/>
    </row>
    <row r="42367" spans="25:25" x14ac:dyDescent="0.2">
      <c r="Y42367" s="97"/>
    </row>
    <row r="42368" spans="25:25" x14ac:dyDescent="0.2">
      <c r="Y42368" s="97"/>
    </row>
    <row r="42369" spans="25:25" x14ac:dyDescent="0.2">
      <c r="Y42369" s="97"/>
    </row>
    <row r="42370" spans="25:25" x14ac:dyDescent="0.2">
      <c r="Y42370" s="97"/>
    </row>
    <row r="42371" spans="25:25" x14ac:dyDescent="0.2">
      <c r="Y42371" s="97"/>
    </row>
    <row r="42372" spans="25:25" x14ac:dyDescent="0.2">
      <c r="Y42372" s="97"/>
    </row>
    <row r="42373" spans="25:25" x14ac:dyDescent="0.2">
      <c r="Y42373" s="97"/>
    </row>
    <row r="42374" spans="25:25" x14ac:dyDescent="0.2">
      <c r="Y42374" s="97"/>
    </row>
    <row r="42375" spans="25:25" x14ac:dyDescent="0.2">
      <c r="Y42375" s="97"/>
    </row>
    <row r="42376" spans="25:25" x14ac:dyDescent="0.2">
      <c r="Y42376" s="97"/>
    </row>
    <row r="42377" spans="25:25" x14ac:dyDescent="0.2">
      <c r="Y42377" s="97"/>
    </row>
    <row r="42378" spans="25:25" x14ac:dyDescent="0.2">
      <c r="Y42378" s="97"/>
    </row>
    <row r="42379" spans="25:25" x14ac:dyDescent="0.2">
      <c r="Y42379" s="97"/>
    </row>
    <row r="42380" spans="25:25" x14ac:dyDescent="0.2">
      <c r="Y42380" s="97"/>
    </row>
    <row r="42381" spans="25:25" x14ac:dyDescent="0.2">
      <c r="Y42381" s="97"/>
    </row>
    <row r="42382" spans="25:25" x14ac:dyDescent="0.2">
      <c r="Y42382" s="97"/>
    </row>
    <row r="42383" spans="25:25" x14ac:dyDescent="0.2">
      <c r="Y42383" s="97"/>
    </row>
    <row r="42384" spans="25:25" x14ac:dyDescent="0.2">
      <c r="Y42384" s="97"/>
    </row>
    <row r="42385" spans="25:25" x14ac:dyDescent="0.2">
      <c r="Y42385" s="97"/>
    </row>
    <row r="42386" spans="25:25" x14ac:dyDescent="0.2">
      <c r="Y42386" s="97"/>
    </row>
    <row r="42387" spans="25:25" x14ac:dyDescent="0.2">
      <c r="Y42387" s="97"/>
    </row>
    <row r="42388" spans="25:25" x14ac:dyDescent="0.2">
      <c r="Y42388" s="97"/>
    </row>
    <row r="42389" spans="25:25" x14ac:dyDescent="0.2">
      <c r="Y42389" s="97"/>
    </row>
    <row r="42390" spans="25:25" x14ac:dyDescent="0.2">
      <c r="Y42390" s="97"/>
    </row>
    <row r="42391" spans="25:25" x14ac:dyDescent="0.2">
      <c r="Y42391" s="97"/>
    </row>
    <row r="42392" spans="25:25" x14ac:dyDescent="0.2">
      <c r="Y42392" s="97"/>
    </row>
    <row r="42393" spans="25:25" x14ac:dyDescent="0.2">
      <c r="Y42393" s="97"/>
    </row>
    <row r="42394" spans="25:25" x14ac:dyDescent="0.2">
      <c r="Y42394" s="97"/>
    </row>
    <row r="42395" spans="25:25" x14ac:dyDescent="0.2">
      <c r="Y42395" s="97"/>
    </row>
    <row r="42396" spans="25:25" x14ac:dyDescent="0.2">
      <c r="Y42396" s="97"/>
    </row>
    <row r="42397" spans="25:25" x14ac:dyDescent="0.2">
      <c r="Y42397" s="97"/>
    </row>
    <row r="42398" spans="25:25" x14ac:dyDescent="0.2">
      <c r="Y42398" s="97"/>
    </row>
    <row r="42399" spans="25:25" x14ac:dyDescent="0.2">
      <c r="Y42399" s="97"/>
    </row>
    <row r="42400" spans="25:25" x14ac:dyDescent="0.2">
      <c r="Y42400" s="97"/>
    </row>
    <row r="42401" spans="25:25" x14ac:dyDescent="0.2">
      <c r="Y42401" s="97"/>
    </row>
    <row r="42402" spans="25:25" x14ac:dyDescent="0.2">
      <c r="Y42402" s="97"/>
    </row>
    <row r="42403" spans="25:25" x14ac:dyDescent="0.2">
      <c r="Y42403" s="97"/>
    </row>
    <row r="42404" spans="25:25" x14ac:dyDescent="0.2">
      <c r="Y42404" s="97"/>
    </row>
    <row r="42405" spans="25:25" x14ac:dyDescent="0.2">
      <c r="Y42405" s="97"/>
    </row>
    <row r="42406" spans="25:25" x14ac:dyDescent="0.2">
      <c r="Y42406" s="97"/>
    </row>
    <row r="42407" spans="25:25" x14ac:dyDescent="0.2">
      <c r="Y42407" s="97"/>
    </row>
    <row r="42408" spans="25:25" x14ac:dyDescent="0.2">
      <c r="Y42408" s="97"/>
    </row>
    <row r="42409" spans="25:25" x14ac:dyDescent="0.2">
      <c r="Y42409" s="97"/>
    </row>
    <row r="42410" spans="25:25" x14ac:dyDescent="0.2">
      <c r="Y42410" s="97"/>
    </row>
    <row r="42411" spans="25:25" x14ac:dyDescent="0.2">
      <c r="Y42411" s="97"/>
    </row>
    <row r="42412" spans="25:25" x14ac:dyDescent="0.2">
      <c r="Y42412" s="97"/>
    </row>
    <row r="42413" spans="25:25" x14ac:dyDescent="0.2">
      <c r="Y42413" s="97"/>
    </row>
    <row r="42414" spans="25:25" x14ac:dyDescent="0.2">
      <c r="Y42414" s="97"/>
    </row>
    <row r="42415" spans="25:25" x14ac:dyDescent="0.2">
      <c r="Y42415" s="97"/>
    </row>
    <row r="42416" spans="25:25" x14ac:dyDescent="0.2">
      <c r="Y42416" s="97"/>
    </row>
    <row r="42417" spans="25:25" x14ac:dyDescent="0.2">
      <c r="Y42417" s="97"/>
    </row>
    <row r="42418" spans="25:25" x14ac:dyDescent="0.2">
      <c r="Y42418" s="97"/>
    </row>
    <row r="42419" spans="25:25" x14ac:dyDescent="0.2">
      <c r="Y42419" s="97"/>
    </row>
    <row r="42420" spans="25:25" x14ac:dyDescent="0.2">
      <c r="Y42420" s="97"/>
    </row>
    <row r="42421" spans="25:25" x14ac:dyDescent="0.2">
      <c r="Y42421" s="97"/>
    </row>
    <row r="42422" spans="25:25" x14ac:dyDescent="0.2">
      <c r="Y42422" s="97"/>
    </row>
    <row r="42423" spans="25:25" x14ac:dyDescent="0.2">
      <c r="Y42423" s="97"/>
    </row>
    <row r="42424" spans="25:25" x14ac:dyDescent="0.2">
      <c r="Y42424" s="97"/>
    </row>
    <row r="42425" spans="25:25" x14ac:dyDescent="0.2">
      <c r="Y42425" s="97"/>
    </row>
    <row r="42426" spans="25:25" x14ac:dyDescent="0.2">
      <c r="Y42426" s="97"/>
    </row>
    <row r="42427" spans="25:25" x14ac:dyDescent="0.2">
      <c r="Y42427" s="97"/>
    </row>
    <row r="42428" spans="25:25" x14ac:dyDescent="0.2">
      <c r="Y42428" s="97"/>
    </row>
    <row r="42429" spans="25:25" x14ac:dyDescent="0.2">
      <c r="Y42429" s="97"/>
    </row>
    <row r="42430" spans="25:25" x14ac:dyDescent="0.2">
      <c r="Y42430" s="97"/>
    </row>
    <row r="42431" spans="25:25" x14ac:dyDescent="0.2">
      <c r="Y42431" s="97"/>
    </row>
    <row r="42432" spans="25:25" x14ac:dyDescent="0.2">
      <c r="Y42432" s="97"/>
    </row>
    <row r="42433" spans="25:25" x14ac:dyDescent="0.2">
      <c r="Y42433" s="97"/>
    </row>
    <row r="42434" spans="25:25" x14ac:dyDescent="0.2">
      <c r="Y42434" s="97"/>
    </row>
    <row r="42435" spans="25:25" x14ac:dyDescent="0.2">
      <c r="Y42435" s="97"/>
    </row>
    <row r="42436" spans="25:25" x14ac:dyDescent="0.2">
      <c r="Y42436" s="97"/>
    </row>
    <row r="42437" spans="25:25" x14ac:dyDescent="0.2">
      <c r="Y42437" s="97"/>
    </row>
    <row r="42438" spans="25:25" x14ac:dyDescent="0.2">
      <c r="Y42438" s="97"/>
    </row>
    <row r="42439" spans="25:25" x14ac:dyDescent="0.2">
      <c r="Y42439" s="97"/>
    </row>
    <row r="42440" spans="25:25" x14ac:dyDescent="0.2">
      <c r="Y42440" s="97"/>
    </row>
    <row r="42441" spans="25:25" x14ac:dyDescent="0.2">
      <c r="Y42441" s="97"/>
    </row>
    <row r="42442" spans="25:25" x14ac:dyDescent="0.2">
      <c r="Y42442" s="97"/>
    </row>
    <row r="42443" spans="25:25" x14ac:dyDescent="0.2">
      <c r="Y42443" s="97"/>
    </row>
    <row r="42444" spans="25:25" x14ac:dyDescent="0.2">
      <c r="Y42444" s="97"/>
    </row>
    <row r="42445" spans="25:25" x14ac:dyDescent="0.2">
      <c r="Y42445" s="97"/>
    </row>
    <row r="42446" spans="25:25" x14ac:dyDescent="0.2">
      <c r="Y42446" s="97"/>
    </row>
    <row r="42447" spans="25:25" x14ac:dyDescent="0.2">
      <c r="Y42447" s="97"/>
    </row>
    <row r="42448" spans="25:25" x14ac:dyDescent="0.2">
      <c r="Y42448" s="97"/>
    </row>
    <row r="42449" spans="25:25" x14ac:dyDescent="0.2">
      <c r="Y42449" s="97"/>
    </row>
    <row r="42450" spans="25:25" x14ac:dyDescent="0.2">
      <c r="Y42450" s="97"/>
    </row>
    <row r="42451" spans="25:25" x14ac:dyDescent="0.2">
      <c r="Y42451" s="97"/>
    </row>
    <row r="42452" spans="25:25" x14ac:dyDescent="0.2">
      <c r="Y42452" s="97"/>
    </row>
    <row r="42453" spans="25:25" x14ac:dyDescent="0.2">
      <c r="Y42453" s="97"/>
    </row>
    <row r="42454" spans="25:25" x14ac:dyDescent="0.2">
      <c r="Y42454" s="97"/>
    </row>
    <row r="42455" spans="25:25" x14ac:dyDescent="0.2">
      <c r="Y42455" s="97"/>
    </row>
    <row r="42456" spans="25:25" x14ac:dyDescent="0.2">
      <c r="Y42456" s="97"/>
    </row>
    <row r="42457" spans="25:25" x14ac:dyDescent="0.2">
      <c r="Y42457" s="97"/>
    </row>
    <row r="42458" spans="25:25" x14ac:dyDescent="0.2">
      <c r="Y42458" s="97"/>
    </row>
    <row r="42459" spans="25:25" x14ac:dyDescent="0.2">
      <c r="Y42459" s="97"/>
    </row>
    <row r="42460" spans="25:25" x14ac:dyDescent="0.2">
      <c r="Y42460" s="97"/>
    </row>
    <row r="42461" spans="25:25" x14ac:dyDescent="0.2">
      <c r="Y42461" s="97"/>
    </row>
    <row r="42462" spans="25:25" x14ac:dyDescent="0.2">
      <c r="Y42462" s="97"/>
    </row>
    <row r="42463" spans="25:25" x14ac:dyDescent="0.2">
      <c r="Y42463" s="97"/>
    </row>
    <row r="42464" spans="25:25" x14ac:dyDescent="0.2">
      <c r="Y42464" s="97"/>
    </row>
    <row r="42465" spans="25:25" x14ac:dyDescent="0.2">
      <c r="Y42465" s="97"/>
    </row>
    <row r="42466" spans="25:25" x14ac:dyDescent="0.2">
      <c r="Y42466" s="97"/>
    </row>
    <row r="42467" spans="25:25" x14ac:dyDescent="0.2">
      <c r="Y42467" s="97"/>
    </row>
    <row r="42468" spans="25:25" x14ac:dyDescent="0.2">
      <c r="Y42468" s="97"/>
    </row>
    <row r="42469" spans="25:25" x14ac:dyDescent="0.2">
      <c r="Y42469" s="97"/>
    </row>
    <row r="42470" spans="25:25" x14ac:dyDescent="0.2">
      <c r="Y42470" s="97"/>
    </row>
    <row r="42471" spans="25:25" x14ac:dyDescent="0.2">
      <c r="Y42471" s="97"/>
    </row>
    <row r="42472" spans="25:25" x14ac:dyDescent="0.2">
      <c r="Y42472" s="97"/>
    </row>
    <row r="42473" spans="25:25" x14ac:dyDescent="0.2">
      <c r="Y42473" s="97"/>
    </row>
    <row r="42474" spans="25:25" x14ac:dyDescent="0.2">
      <c r="Y42474" s="97"/>
    </row>
    <row r="42475" spans="25:25" x14ac:dyDescent="0.2">
      <c r="Y42475" s="97"/>
    </row>
    <row r="42476" spans="25:25" x14ac:dyDescent="0.2">
      <c r="Y42476" s="97"/>
    </row>
    <row r="42477" spans="25:25" x14ac:dyDescent="0.2">
      <c r="Y42477" s="97"/>
    </row>
    <row r="42478" spans="25:25" x14ac:dyDescent="0.2">
      <c r="Y42478" s="97"/>
    </row>
    <row r="42479" spans="25:25" x14ac:dyDescent="0.2">
      <c r="Y42479" s="97"/>
    </row>
    <row r="42480" spans="25:25" x14ac:dyDescent="0.2">
      <c r="Y42480" s="97"/>
    </row>
    <row r="42481" spans="25:25" x14ac:dyDescent="0.2">
      <c r="Y42481" s="97"/>
    </row>
    <row r="42482" spans="25:25" x14ac:dyDescent="0.2">
      <c r="Y42482" s="97"/>
    </row>
    <row r="42483" spans="25:25" x14ac:dyDescent="0.2">
      <c r="Y42483" s="97"/>
    </row>
    <row r="42484" spans="25:25" x14ac:dyDescent="0.2">
      <c r="Y42484" s="97"/>
    </row>
    <row r="42485" spans="25:25" x14ac:dyDescent="0.2">
      <c r="Y42485" s="97"/>
    </row>
    <row r="42486" spans="25:25" x14ac:dyDescent="0.2">
      <c r="Y42486" s="97"/>
    </row>
    <row r="42487" spans="25:25" x14ac:dyDescent="0.2">
      <c r="Y42487" s="97"/>
    </row>
    <row r="42488" spans="25:25" x14ac:dyDescent="0.2">
      <c r="Y42488" s="97"/>
    </row>
    <row r="42489" spans="25:25" x14ac:dyDescent="0.2">
      <c r="Y42489" s="97"/>
    </row>
    <row r="42490" spans="25:25" x14ac:dyDescent="0.2">
      <c r="Y42490" s="97"/>
    </row>
    <row r="42491" spans="25:25" x14ac:dyDescent="0.2">
      <c r="Y42491" s="97"/>
    </row>
    <row r="42492" spans="25:25" x14ac:dyDescent="0.2">
      <c r="Y42492" s="97"/>
    </row>
    <row r="42493" spans="25:25" x14ac:dyDescent="0.2">
      <c r="Y42493" s="97"/>
    </row>
    <row r="42494" spans="25:25" x14ac:dyDescent="0.2">
      <c r="Y42494" s="97"/>
    </row>
    <row r="42495" spans="25:25" x14ac:dyDescent="0.2">
      <c r="Y42495" s="97"/>
    </row>
    <row r="42496" spans="25:25" x14ac:dyDescent="0.2">
      <c r="Y42496" s="97"/>
    </row>
    <row r="42497" spans="25:25" x14ac:dyDescent="0.2">
      <c r="Y42497" s="97"/>
    </row>
    <row r="42498" spans="25:25" x14ac:dyDescent="0.2">
      <c r="Y42498" s="97"/>
    </row>
    <row r="42499" spans="25:25" x14ac:dyDescent="0.2">
      <c r="Y42499" s="97"/>
    </row>
    <row r="42500" spans="25:25" x14ac:dyDescent="0.2">
      <c r="Y42500" s="97"/>
    </row>
    <row r="42501" spans="25:25" x14ac:dyDescent="0.2">
      <c r="Y42501" s="97"/>
    </row>
    <row r="42502" spans="25:25" x14ac:dyDescent="0.2">
      <c r="Y42502" s="97"/>
    </row>
    <row r="42503" spans="25:25" x14ac:dyDescent="0.2">
      <c r="Y42503" s="97"/>
    </row>
    <row r="42504" spans="25:25" x14ac:dyDescent="0.2">
      <c r="Y42504" s="97"/>
    </row>
    <row r="42505" spans="25:25" x14ac:dyDescent="0.2">
      <c r="Y42505" s="97"/>
    </row>
    <row r="42506" spans="25:25" x14ac:dyDescent="0.2">
      <c r="Y42506" s="97"/>
    </row>
    <row r="42507" spans="25:25" x14ac:dyDescent="0.2">
      <c r="Y42507" s="97"/>
    </row>
    <row r="42508" spans="25:25" x14ac:dyDescent="0.2">
      <c r="Y42508" s="97"/>
    </row>
    <row r="42509" spans="25:25" x14ac:dyDescent="0.2">
      <c r="Y42509" s="97"/>
    </row>
    <row r="42510" spans="25:25" x14ac:dyDescent="0.2">
      <c r="Y42510" s="97"/>
    </row>
    <row r="42511" spans="25:25" x14ac:dyDescent="0.2">
      <c r="Y42511" s="97"/>
    </row>
    <row r="42512" spans="25:25" x14ac:dyDescent="0.2">
      <c r="Y42512" s="97"/>
    </row>
    <row r="42513" spans="25:25" x14ac:dyDescent="0.2">
      <c r="Y42513" s="97"/>
    </row>
    <row r="42514" spans="25:25" x14ac:dyDescent="0.2">
      <c r="Y42514" s="97"/>
    </row>
    <row r="42515" spans="25:25" x14ac:dyDescent="0.2">
      <c r="Y42515" s="97"/>
    </row>
    <row r="42516" spans="25:25" x14ac:dyDescent="0.2">
      <c r="Y42516" s="97"/>
    </row>
    <row r="42517" spans="25:25" x14ac:dyDescent="0.2">
      <c r="Y42517" s="97"/>
    </row>
    <row r="42518" spans="25:25" x14ac:dyDescent="0.2">
      <c r="Y42518" s="97"/>
    </row>
    <row r="42519" spans="25:25" x14ac:dyDescent="0.2">
      <c r="Y42519" s="97"/>
    </row>
    <row r="42520" spans="25:25" x14ac:dyDescent="0.2">
      <c r="Y42520" s="97"/>
    </row>
    <row r="42521" spans="25:25" x14ac:dyDescent="0.2">
      <c r="Y42521" s="97"/>
    </row>
    <row r="42522" spans="25:25" x14ac:dyDescent="0.2">
      <c r="Y42522" s="97"/>
    </row>
    <row r="42523" spans="25:25" x14ac:dyDescent="0.2">
      <c r="Y42523" s="97"/>
    </row>
    <row r="42524" spans="25:25" x14ac:dyDescent="0.2">
      <c r="Y42524" s="97"/>
    </row>
    <row r="42525" spans="25:25" x14ac:dyDescent="0.2">
      <c r="Y42525" s="97"/>
    </row>
    <row r="42526" spans="25:25" x14ac:dyDescent="0.2">
      <c r="Y42526" s="97"/>
    </row>
    <row r="42527" spans="25:25" x14ac:dyDescent="0.2">
      <c r="Y42527" s="97"/>
    </row>
    <row r="42528" spans="25:25" x14ac:dyDescent="0.2">
      <c r="Y42528" s="97"/>
    </row>
    <row r="42529" spans="25:25" x14ac:dyDescent="0.2">
      <c r="Y42529" s="97"/>
    </row>
    <row r="42530" spans="25:25" x14ac:dyDescent="0.2">
      <c r="Y42530" s="97"/>
    </row>
    <row r="42531" spans="25:25" x14ac:dyDescent="0.2">
      <c r="Y42531" s="97"/>
    </row>
    <row r="42532" spans="25:25" x14ac:dyDescent="0.2">
      <c r="Y42532" s="97"/>
    </row>
    <row r="42533" spans="25:25" x14ac:dyDescent="0.2">
      <c r="Y42533" s="97"/>
    </row>
    <row r="42534" spans="25:25" x14ac:dyDescent="0.2">
      <c r="Y42534" s="97"/>
    </row>
    <row r="42535" spans="25:25" x14ac:dyDescent="0.2">
      <c r="Y42535" s="97"/>
    </row>
    <row r="42536" spans="25:25" x14ac:dyDescent="0.2">
      <c r="Y42536" s="97"/>
    </row>
    <row r="42537" spans="25:25" x14ac:dyDescent="0.2">
      <c r="Y42537" s="97"/>
    </row>
    <row r="42538" spans="25:25" x14ac:dyDescent="0.2">
      <c r="Y42538" s="97"/>
    </row>
    <row r="42539" spans="25:25" x14ac:dyDescent="0.2">
      <c r="Y42539" s="97"/>
    </row>
    <row r="42540" spans="25:25" x14ac:dyDescent="0.2">
      <c r="Y42540" s="97"/>
    </row>
    <row r="42541" spans="25:25" x14ac:dyDescent="0.2">
      <c r="Y42541" s="97"/>
    </row>
    <row r="42542" spans="25:25" x14ac:dyDescent="0.2">
      <c r="Y42542" s="97"/>
    </row>
    <row r="42543" spans="25:25" x14ac:dyDescent="0.2">
      <c r="Y42543" s="97"/>
    </row>
    <row r="42544" spans="25:25" x14ac:dyDescent="0.2">
      <c r="Y42544" s="97"/>
    </row>
    <row r="42545" spans="25:25" x14ac:dyDescent="0.2">
      <c r="Y42545" s="97"/>
    </row>
    <row r="42546" spans="25:25" x14ac:dyDescent="0.2">
      <c r="Y42546" s="97"/>
    </row>
    <row r="42547" spans="25:25" x14ac:dyDescent="0.2">
      <c r="Y42547" s="97"/>
    </row>
    <row r="42548" spans="25:25" x14ac:dyDescent="0.2">
      <c r="Y42548" s="97"/>
    </row>
    <row r="42549" spans="25:25" x14ac:dyDescent="0.2">
      <c r="Y42549" s="97"/>
    </row>
    <row r="42550" spans="25:25" x14ac:dyDescent="0.2">
      <c r="Y42550" s="97"/>
    </row>
    <row r="42551" spans="25:25" x14ac:dyDescent="0.2">
      <c r="Y42551" s="97"/>
    </row>
    <row r="42552" spans="25:25" x14ac:dyDescent="0.2">
      <c r="Y42552" s="97"/>
    </row>
    <row r="42553" spans="25:25" x14ac:dyDescent="0.2">
      <c r="Y42553" s="97"/>
    </row>
    <row r="42554" spans="25:25" x14ac:dyDescent="0.2">
      <c r="Y42554" s="97"/>
    </row>
    <row r="42555" spans="25:25" x14ac:dyDescent="0.2">
      <c r="Y42555" s="97"/>
    </row>
    <row r="42556" spans="25:25" x14ac:dyDescent="0.2">
      <c r="Y42556" s="97"/>
    </row>
    <row r="42557" spans="25:25" x14ac:dyDescent="0.2">
      <c r="Y42557" s="97"/>
    </row>
    <row r="42558" spans="25:25" x14ac:dyDescent="0.2">
      <c r="Y42558" s="97"/>
    </row>
    <row r="42559" spans="25:25" x14ac:dyDescent="0.2">
      <c r="Y42559" s="97"/>
    </row>
    <row r="42560" spans="25:25" x14ac:dyDescent="0.2">
      <c r="Y42560" s="97"/>
    </row>
    <row r="42561" spans="25:25" x14ac:dyDescent="0.2">
      <c r="Y42561" s="97"/>
    </row>
    <row r="42562" spans="25:25" x14ac:dyDescent="0.2">
      <c r="Y42562" s="97"/>
    </row>
    <row r="42563" spans="25:25" x14ac:dyDescent="0.2">
      <c r="Y42563" s="97"/>
    </row>
    <row r="42564" spans="25:25" x14ac:dyDescent="0.2">
      <c r="Y42564" s="97"/>
    </row>
    <row r="42565" spans="25:25" x14ac:dyDescent="0.2">
      <c r="Y42565" s="97"/>
    </row>
    <row r="42566" spans="25:25" x14ac:dyDescent="0.2">
      <c r="Y42566" s="97"/>
    </row>
    <row r="42567" spans="25:25" x14ac:dyDescent="0.2">
      <c r="Y42567" s="97"/>
    </row>
    <row r="42568" spans="25:25" x14ac:dyDescent="0.2">
      <c r="Y42568" s="97"/>
    </row>
    <row r="42569" spans="25:25" x14ac:dyDescent="0.2">
      <c r="Y42569" s="97"/>
    </row>
    <row r="42570" spans="25:25" x14ac:dyDescent="0.2">
      <c r="Y42570" s="97"/>
    </row>
    <row r="42571" spans="25:25" x14ac:dyDescent="0.2">
      <c r="Y42571" s="97"/>
    </row>
    <row r="42572" spans="25:25" x14ac:dyDescent="0.2">
      <c r="Y42572" s="97"/>
    </row>
    <row r="42573" spans="25:25" x14ac:dyDescent="0.2">
      <c r="Y42573" s="97"/>
    </row>
    <row r="42574" spans="25:25" x14ac:dyDescent="0.2">
      <c r="Y42574" s="97"/>
    </row>
    <row r="42575" spans="25:25" x14ac:dyDescent="0.2">
      <c r="Y42575" s="97"/>
    </row>
    <row r="42576" spans="25:25" x14ac:dyDescent="0.2">
      <c r="Y42576" s="97"/>
    </row>
    <row r="42577" spans="25:25" x14ac:dyDescent="0.2">
      <c r="Y42577" s="97"/>
    </row>
    <row r="42578" spans="25:25" x14ac:dyDescent="0.2">
      <c r="Y42578" s="97"/>
    </row>
    <row r="42579" spans="25:25" x14ac:dyDescent="0.2">
      <c r="Y42579" s="97"/>
    </row>
    <row r="42580" spans="25:25" x14ac:dyDescent="0.2">
      <c r="Y42580" s="97"/>
    </row>
    <row r="42581" spans="25:25" x14ac:dyDescent="0.2">
      <c r="Y42581" s="97"/>
    </row>
    <row r="42582" spans="25:25" x14ac:dyDescent="0.2">
      <c r="Y42582" s="97"/>
    </row>
    <row r="42583" spans="25:25" x14ac:dyDescent="0.2">
      <c r="Y42583" s="97"/>
    </row>
    <row r="42584" spans="25:25" x14ac:dyDescent="0.2">
      <c r="Y42584" s="97"/>
    </row>
    <row r="42585" spans="25:25" x14ac:dyDescent="0.2">
      <c r="Y42585" s="97"/>
    </row>
    <row r="42586" spans="25:25" x14ac:dyDescent="0.2">
      <c r="Y42586" s="97"/>
    </row>
    <row r="42587" spans="25:25" x14ac:dyDescent="0.2">
      <c r="Y42587" s="97"/>
    </row>
    <row r="42588" spans="25:25" x14ac:dyDescent="0.2">
      <c r="Y42588" s="97"/>
    </row>
    <row r="42589" spans="25:25" x14ac:dyDescent="0.2">
      <c r="Y42589" s="97"/>
    </row>
    <row r="42590" spans="25:25" x14ac:dyDescent="0.2">
      <c r="Y42590" s="97"/>
    </row>
    <row r="42591" spans="25:25" x14ac:dyDescent="0.2">
      <c r="Y42591" s="97"/>
    </row>
    <row r="42592" spans="25:25" x14ac:dyDescent="0.2">
      <c r="Y42592" s="97"/>
    </row>
    <row r="42593" spans="25:25" x14ac:dyDescent="0.2">
      <c r="Y42593" s="97"/>
    </row>
    <row r="42594" spans="25:25" x14ac:dyDescent="0.2">
      <c r="Y42594" s="97"/>
    </row>
    <row r="42595" spans="25:25" x14ac:dyDescent="0.2">
      <c r="Y42595" s="97"/>
    </row>
    <row r="42596" spans="25:25" x14ac:dyDescent="0.2">
      <c r="Y42596" s="97"/>
    </row>
    <row r="42597" spans="25:25" x14ac:dyDescent="0.2">
      <c r="Y42597" s="97"/>
    </row>
    <row r="42598" spans="25:25" x14ac:dyDescent="0.2">
      <c r="Y42598" s="97"/>
    </row>
    <row r="42599" spans="25:25" x14ac:dyDescent="0.2">
      <c r="Y42599" s="97"/>
    </row>
    <row r="42600" spans="25:25" x14ac:dyDescent="0.2">
      <c r="Y42600" s="97"/>
    </row>
    <row r="42601" spans="25:25" x14ac:dyDescent="0.2">
      <c r="Y42601" s="97"/>
    </row>
    <row r="42602" spans="25:25" x14ac:dyDescent="0.2">
      <c r="Y42602" s="97"/>
    </row>
    <row r="42603" spans="25:25" x14ac:dyDescent="0.2">
      <c r="Y42603" s="97"/>
    </row>
    <row r="42604" spans="25:25" x14ac:dyDescent="0.2">
      <c r="Y42604" s="97"/>
    </row>
    <row r="42605" spans="25:25" x14ac:dyDescent="0.2">
      <c r="Y42605" s="97"/>
    </row>
    <row r="42606" spans="25:25" x14ac:dyDescent="0.2">
      <c r="Y42606" s="97"/>
    </row>
    <row r="42607" spans="25:25" x14ac:dyDescent="0.2">
      <c r="Y42607" s="97"/>
    </row>
    <row r="42608" spans="25:25" x14ac:dyDescent="0.2">
      <c r="Y42608" s="97"/>
    </row>
    <row r="42609" spans="25:25" x14ac:dyDescent="0.2">
      <c r="Y42609" s="97"/>
    </row>
    <row r="42610" spans="25:25" x14ac:dyDescent="0.2">
      <c r="Y42610" s="97"/>
    </row>
    <row r="42611" spans="25:25" x14ac:dyDescent="0.2">
      <c r="Y42611" s="97"/>
    </row>
    <row r="42612" spans="25:25" x14ac:dyDescent="0.2">
      <c r="Y42612" s="97"/>
    </row>
    <row r="42613" spans="25:25" x14ac:dyDescent="0.2">
      <c r="Y42613" s="97"/>
    </row>
    <row r="42614" spans="25:25" x14ac:dyDescent="0.2">
      <c r="Y42614" s="97"/>
    </row>
    <row r="42615" spans="25:25" x14ac:dyDescent="0.2">
      <c r="Y42615" s="97"/>
    </row>
    <row r="42616" spans="25:25" x14ac:dyDescent="0.2">
      <c r="Y42616" s="97"/>
    </row>
    <row r="42617" spans="25:25" x14ac:dyDescent="0.2">
      <c r="Y42617" s="97"/>
    </row>
    <row r="42618" spans="25:25" x14ac:dyDescent="0.2">
      <c r="Y42618" s="97"/>
    </row>
    <row r="42619" spans="25:25" x14ac:dyDescent="0.2">
      <c r="Y42619" s="97"/>
    </row>
    <row r="42620" spans="25:25" x14ac:dyDescent="0.2">
      <c r="Y42620" s="97"/>
    </row>
    <row r="42621" spans="25:25" x14ac:dyDescent="0.2">
      <c r="Y42621" s="97"/>
    </row>
    <row r="42622" spans="25:25" x14ac:dyDescent="0.2">
      <c r="Y42622" s="97"/>
    </row>
    <row r="42623" spans="25:25" x14ac:dyDescent="0.2">
      <c r="Y42623" s="97"/>
    </row>
    <row r="42624" spans="25:25" x14ac:dyDescent="0.2">
      <c r="Y42624" s="97"/>
    </row>
    <row r="42625" spans="25:25" x14ac:dyDescent="0.2">
      <c r="Y42625" s="97"/>
    </row>
    <row r="42626" spans="25:25" x14ac:dyDescent="0.2">
      <c r="Y42626" s="97"/>
    </row>
    <row r="42627" spans="25:25" x14ac:dyDescent="0.2">
      <c r="Y42627" s="97"/>
    </row>
    <row r="42628" spans="25:25" x14ac:dyDescent="0.2">
      <c r="Y42628" s="97"/>
    </row>
    <row r="42629" spans="25:25" x14ac:dyDescent="0.2">
      <c r="Y42629" s="97"/>
    </row>
    <row r="42630" spans="25:25" x14ac:dyDescent="0.2">
      <c r="Y42630" s="97"/>
    </row>
    <row r="42631" spans="25:25" x14ac:dyDescent="0.2">
      <c r="Y42631" s="97"/>
    </row>
    <row r="42632" spans="25:25" x14ac:dyDescent="0.2">
      <c r="Y42632" s="97"/>
    </row>
    <row r="42633" spans="25:25" x14ac:dyDescent="0.2">
      <c r="Y42633" s="97"/>
    </row>
    <row r="42634" spans="25:25" x14ac:dyDescent="0.2">
      <c r="Y42634" s="97"/>
    </row>
    <row r="42635" spans="25:25" x14ac:dyDescent="0.2">
      <c r="Y42635" s="97"/>
    </row>
    <row r="42636" spans="25:25" x14ac:dyDescent="0.2">
      <c r="Y42636" s="97"/>
    </row>
    <row r="42637" spans="25:25" x14ac:dyDescent="0.2">
      <c r="Y42637" s="97"/>
    </row>
    <row r="42638" spans="25:25" x14ac:dyDescent="0.2">
      <c r="Y42638" s="97"/>
    </row>
    <row r="42639" spans="25:25" x14ac:dyDescent="0.2">
      <c r="Y42639" s="97"/>
    </row>
    <row r="42640" spans="25:25" x14ac:dyDescent="0.2">
      <c r="Y42640" s="97"/>
    </row>
    <row r="42641" spans="25:25" x14ac:dyDescent="0.2">
      <c r="Y42641" s="97"/>
    </row>
    <row r="42642" spans="25:25" x14ac:dyDescent="0.2">
      <c r="Y42642" s="97"/>
    </row>
    <row r="42643" spans="25:25" x14ac:dyDescent="0.2">
      <c r="Y42643" s="97"/>
    </row>
    <row r="42644" spans="25:25" x14ac:dyDescent="0.2">
      <c r="Y42644" s="97"/>
    </row>
    <row r="42645" spans="25:25" x14ac:dyDescent="0.2">
      <c r="Y42645" s="97"/>
    </row>
    <row r="42646" spans="25:25" x14ac:dyDescent="0.2">
      <c r="Y42646" s="97"/>
    </row>
    <row r="42647" spans="25:25" x14ac:dyDescent="0.2">
      <c r="Y42647" s="97"/>
    </row>
    <row r="42648" spans="25:25" x14ac:dyDescent="0.2">
      <c r="Y42648" s="97"/>
    </row>
    <row r="42649" spans="25:25" x14ac:dyDescent="0.2">
      <c r="Y42649" s="97"/>
    </row>
    <row r="42650" spans="25:25" x14ac:dyDescent="0.2">
      <c r="Y42650" s="97"/>
    </row>
    <row r="42651" spans="25:25" x14ac:dyDescent="0.2">
      <c r="Y42651" s="97"/>
    </row>
    <row r="42652" spans="25:25" x14ac:dyDescent="0.2">
      <c r="Y42652" s="97"/>
    </row>
    <row r="42653" spans="25:25" x14ac:dyDescent="0.2">
      <c r="Y42653" s="97"/>
    </row>
    <row r="42654" spans="25:25" x14ac:dyDescent="0.2">
      <c r="Y42654" s="97"/>
    </row>
    <row r="42655" spans="25:25" x14ac:dyDescent="0.2">
      <c r="Y42655" s="97"/>
    </row>
    <row r="42656" spans="25:25" x14ac:dyDescent="0.2">
      <c r="Y42656" s="97"/>
    </row>
    <row r="42657" spans="25:25" x14ac:dyDescent="0.2">
      <c r="Y42657" s="97"/>
    </row>
    <row r="42658" spans="25:25" x14ac:dyDescent="0.2">
      <c r="Y42658" s="97"/>
    </row>
    <row r="42659" spans="25:25" x14ac:dyDescent="0.2">
      <c r="Y42659" s="97"/>
    </row>
    <row r="42660" spans="25:25" x14ac:dyDescent="0.2">
      <c r="Y42660" s="97"/>
    </row>
    <row r="42661" spans="25:25" x14ac:dyDescent="0.2">
      <c r="Y42661" s="97"/>
    </row>
    <row r="42662" spans="25:25" x14ac:dyDescent="0.2">
      <c r="Y42662" s="97"/>
    </row>
    <row r="42663" spans="25:25" x14ac:dyDescent="0.2">
      <c r="Y42663" s="97"/>
    </row>
    <row r="42664" spans="25:25" x14ac:dyDescent="0.2">
      <c r="Y42664" s="97"/>
    </row>
    <row r="42665" spans="25:25" x14ac:dyDescent="0.2">
      <c r="Y42665" s="97"/>
    </row>
    <row r="42666" spans="25:25" x14ac:dyDescent="0.2">
      <c r="Y42666" s="97"/>
    </row>
    <row r="42667" spans="25:25" x14ac:dyDescent="0.2">
      <c r="Y42667" s="97"/>
    </row>
    <row r="42668" spans="25:25" x14ac:dyDescent="0.2">
      <c r="Y42668" s="97"/>
    </row>
    <row r="42669" spans="25:25" x14ac:dyDescent="0.2">
      <c r="Y42669" s="97"/>
    </row>
    <row r="42670" spans="25:25" x14ac:dyDescent="0.2">
      <c r="Y42670" s="97"/>
    </row>
    <row r="42671" spans="25:25" x14ac:dyDescent="0.2">
      <c r="Y42671" s="97"/>
    </row>
    <row r="42672" spans="25:25" x14ac:dyDescent="0.2">
      <c r="Y42672" s="97"/>
    </row>
    <row r="42673" spans="25:25" x14ac:dyDescent="0.2">
      <c r="Y42673" s="97"/>
    </row>
    <row r="42674" spans="25:25" x14ac:dyDescent="0.2">
      <c r="Y42674" s="97"/>
    </row>
    <row r="42675" spans="25:25" x14ac:dyDescent="0.2">
      <c r="Y42675" s="97"/>
    </row>
    <row r="42676" spans="25:25" x14ac:dyDescent="0.2">
      <c r="Y42676" s="97"/>
    </row>
    <row r="42677" spans="25:25" x14ac:dyDescent="0.2">
      <c r="Y42677" s="97"/>
    </row>
    <row r="42678" spans="25:25" x14ac:dyDescent="0.2">
      <c r="Y42678" s="97"/>
    </row>
    <row r="42679" spans="25:25" x14ac:dyDescent="0.2">
      <c r="Y42679" s="97"/>
    </row>
    <row r="42680" spans="25:25" x14ac:dyDescent="0.2">
      <c r="Y42680" s="97"/>
    </row>
    <row r="42681" spans="25:25" x14ac:dyDescent="0.2">
      <c r="Y42681" s="97"/>
    </row>
    <row r="42682" spans="25:25" x14ac:dyDescent="0.2">
      <c r="Y42682" s="97"/>
    </row>
    <row r="42683" spans="25:25" x14ac:dyDescent="0.2">
      <c r="Y42683" s="97"/>
    </row>
    <row r="42684" spans="25:25" x14ac:dyDescent="0.2">
      <c r="Y42684" s="97"/>
    </row>
    <row r="42685" spans="25:25" x14ac:dyDescent="0.2">
      <c r="Y42685" s="97"/>
    </row>
    <row r="42686" spans="25:25" x14ac:dyDescent="0.2">
      <c r="Y42686" s="97"/>
    </row>
    <row r="42687" spans="25:25" x14ac:dyDescent="0.2">
      <c r="Y42687" s="97"/>
    </row>
    <row r="42688" spans="25:25" x14ac:dyDescent="0.2">
      <c r="Y42688" s="97"/>
    </row>
    <row r="42689" spans="25:25" x14ac:dyDescent="0.2">
      <c r="Y42689" s="97"/>
    </row>
    <row r="42690" spans="25:25" x14ac:dyDescent="0.2">
      <c r="Y42690" s="97"/>
    </row>
    <row r="42691" spans="25:25" x14ac:dyDescent="0.2">
      <c r="Y42691" s="97"/>
    </row>
    <row r="42692" spans="25:25" x14ac:dyDescent="0.2">
      <c r="Y42692" s="97"/>
    </row>
    <row r="42693" spans="25:25" x14ac:dyDescent="0.2">
      <c r="Y42693" s="97"/>
    </row>
    <row r="42694" spans="25:25" x14ac:dyDescent="0.2">
      <c r="Y42694" s="97"/>
    </row>
    <row r="42695" spans="25:25" x14ac:dyDescent="0.2">
      <c r="Y42695" s="97"/>
    </row>
    <row r="42696" spans="25:25" x14ac:dyDescent="0.2">
      <c r="Y42696" s="97"/>
    </row>
    <row r="42697" spans="25:25" x14ac:dyDescent="0.2">
      <c r="Y42697" s="97"/>
    </row>
    <row r="42698" spans="25:25" x14ac:dyDescent="0.2">
      <c r="Y42698" s="97"/>
    </row>
    <row r="42699" spans="25:25" x14ac:dyDescent="0.2">
      <c r="Y42699" s="97"/>
    </row>
    <row r="42700" spans="25:25" x14ac:dyDescent="0.2">
      <c r="Y42700" s="97"/>
    </row>
    <row r="42701" spans="25:25" x14ac:dyDescent="0.2">
      <c r="Y42701" s="97"/>
    </row>
    <row r="42702" spans="25:25" x14ac:dyDescent="0.2">
      <c r="Y42702" s="97"/>
    </row>
    <row r="42703" spans="25:25" x14ac:dyDescent="0.2">
      <c r="Y42703" s="97"/>
    </row>
    <row r="42704" spans="25:25" x14ac:dyDescent="0.2">
      <c r="Y42704" s="97"/>
    </row>
    <row r="42705" spans="25:25" x14ac:dyDescent="0.2">
      <c r="Y42705" s="97"/>
    </row>
    <row r="42706" spans="25:25" x14ac:dyDescent="0.2">
      <c r="Y42706" s="97"/>
    </row>
    <row r="42707" spans="25:25" x14ac:dyDescent="0.2">
      <c r="Y42707" s="97"/>
    </row>
    <row r="42708" spans="25:25" x14ac:dyDescent="0.2">
      <c r="Y42708" s="97"/>
    </row>
    <row r="42709" spans="25:25" x14ac:dyDescent="0.2">
      <c r="Y42709" s="97"/>
    </row>
    <row r="42710" spans="25:25" x14ac:dyDescent="0.2">
      <c r="Y42710" s="97"/>
    </row>
    <row r="42711" spans="25:25" x14ac:dyDescent="0.2">
      <c r="Y42711" s="97"/>
    </row>
    <row r="42712" spans="25:25" x14ac:dyDescent="0.2">
      <c r="Y42712" s="97"/>
    </row>
    <row r="42713" spans="25:25" x14ac:dyDescent="0.2">
      <c r="Y42713" s="97"/>
    </row>
    <row r="42714" spans="25:25" x14ac:dyDescent="0.2">
      <c r="Y42714" s="97"/>
    </row>
    <row r="42715" spans="25:25" x14ac:dyDescent="0.2">
      <c r="Y42715" s="97"/>
    </row>
    <row r="42716" spans="25:25" x14ac:dyDescent="0.2">
      <c r="Y42716" s="97"/>
    </row>
    <row r="42717" spans="25:25" x14ac:dyDescent="0.2">
      <c r="Y42717" s="97"/>
    </row>
    <row r="42718" spans="25:25" x14ac:dyDescent="0.2">
      <c r="Y42718" s="97"/>
    </row>
    <row r="42719" spans="25:25" x14ac:dyDescent="0.2">
      <c r="Y42719" s="97"/>
    </row>
    <row r="42720" spans="25:25" x14ac:dyDescent="0.2">
      <c r="Y42720" s="97"/>
    </row>
    <row r="42721" spans="25:25" x14ac:dyDescent="0.2">
      <c r="Y42721" s="97"/>
    </row>
    <row r="42722" spans="25:25" x14ac:dyDescent="0.2">
      <c r="Y42722" s="97"/>
    </row>
    <row r="42723" spans="25:25" x14ac:dyDescent="0.2">
      <c r="Y42723" s="97"/>
    </row>
    <row r="42724" spans="25:25" x14ac:dyDescent="0.2">
      <c r="Y42724" s="97"/>
    </row>
    <row r="42725" spans="25:25" x14ac:dyDescent="0.2">
      <c r="Y42725" s="97"/>
    </row>
    <row r="42726" spans="25:25" x14ac:dyDescent="0.2">
      <c r="Y42726" s="97"/>
    </row>
    <row r="42727" spans="25:25" x14ac:dyDescent="0.2">
      <c r="Y42727" s="97"/>
    </row>
    <row r="42728" spans="25:25" x14ac:dyDescent="0.2">
      <c r="Y42728" s="97"/>
    </row>
    <row r="42729" spans="25:25" x14ac:dyDescent="0.2">
      <c r="Y42729" s="97"/>
    </row>
    <row r="42730" spans="25:25" x14ac:dyDescent="0.2">
      <c r="Y42730" s="97"/>
    </row>
    <row r="42731" spans="25:25" x14ac:dyDescent="0.2">
      <c r="Y42731" s="97"/>
    </row>
    <row r="42732" spans="25:25" x14ac:dyDescent="0.2">
      <c r="Y42732" s="97"/>
    </row>
    <row r="42733" spans="25:25" x14ac:dyDescent="0.2">
      <c r="Y42733" s="97"/>
    </row>
    <row r="42734" spans="25:25" x14ac:dyDescent="0.2">
      <c r="Y42734" s="97"/>
    </row>
    <row r="42735" spans="25:25" x14ac:dyDescent="0.2">
      <c r="Y42735" s="97"/>
    </row>
    <row r="42736" spans="25:25" x14ac:dyDescent="0.2">
      <c r="Y42736" s="97"/>
    </row>
    <row r="42737" spans="25:25" x14ac:dyDescent="0.2">
      <c r="Y42737" s="97"/>
    </row>
    <row r="42738" spans="25:25" x14ac:dyDescent="0.2">
      <c r="Y42738" s="97"/>
    </row>
    <row r="42739" spans="25:25" x14ac:dyDescent="0.2">
      <c r="Y42739" s="97"/>
    </row>
    <row r="42740" spans="25:25" x14ac:dyDescent="0.2">
      <c r="Y42740" s="97"/>
    </row>
    <row r="42741" spans="25:25" x14ac:dyDescent="0.2">
      <c r="Y42741" s="97"/>
    </row>
    <row r="42742" spans="25:25" x14ac:dyDescent="0.2">
      <c r="Y42742" s="97"/>
    </row>
    <row r="42743" spans="25:25" x14ac:dyDescent="0.2">
      <c r="Y42743" s="97"/>
    </row>
    <row r="42744" spans="25:25" x14ac:dyDescent="0.2">
      <c r="Y42744" s="97"/>
    </row>
    <row r="42745" spans="25:25" x14ac:dyDescent="0.2">
      <c r="Y42745" s="97"/>
    </row>
    <row r="42746" spans="25:25" x14ac:dyDescent="0.2">
      <c r="Y42746" s="97"/>
    </row>
    <row r="42747" spans="25:25" x14ac:dyDescent="0.2">
      <c r="Y42747" s="97"/>
    </row>
    <row r="42748" spans="25:25" x14ac:dyDescent="0.2">
      <c r="Y42748" s="97"/>
    </row>
    <row r="42749" spans="25:25" x14ac:dyDescent="0.2">
      <c r="Y42749" s="97"/>
    </row>
    <row r="42750" spans="25:25" x14ac:dyDescent="0.2">
      <c r="Y42750" s="97"/>
    </row>
    <row r="42751" spans="25:25" x14ac:dyDescent="0.2">
      <c r="Y42751" s="97"/>
    </row>
    <row r="42752" spans="25:25" x14ac:dyDescent="0.2">
      <c r="Y42752" s="97"/>
    </row>
    <row r="42753" spans="25:25" x14ac:dyDescent="0.2">
      <c r="Y42753" s="97"/>
    </row>
    <row r="42754" spans="25:25" x14ac:dyDescent="0.2">
      <c r="Y42754" s="97"/>
    </row>
    <row r="42755" spans="25:25" x14ac:dyDescent="0.2">
      <c r="Y42755" s="97"/>
    </row>
    <row r="42756" spans="25:25" x14ac:dyDescent="0.2">
      <c r="Y42756" s="97"/>
    </row>
    <row r="42757" spans="25:25" x14ac:dyDescent="0.2">
      <c r="Y42757" s="97"/>
    </row>
    <row r="42758" spans="25:25" x14ac:dyDescent="0.2">
      <c r="Y42758" s="97"/>
    </row>
    <row r="42759" spans="25:25" x14ac:dyDescent="0.2">
      <c r="Y42759" s="97"/>
    </row>
    <row r="42760" spans="25:25" x14ac:dyDescent="0.2">
      <c r="Y42760" s="97"/>
    </row>
    <row r="42761" spans="25:25" x14ac:dyDescent="0.2">
      <c r="Y42761" s="97"/>
    </row>
    <row r="42762" spans="25:25" x14ac:dyDescent="0.2">
      <c r="Y42762" s="97"/>
    </row>
    <row r="42763" spans="25:25" x14ac:dyDescent="0.2">
      <c r="Y42763" s="97"/>
    </row>
    <row r="42764" spans="25:25" x14ac:dyDescent="0.2">
      <c r="Y42764" s="97"/>
    </row>
    <row r="42765" spans="25:25" x14ac:dyDescent="0.2">
      <c r="Y42765" s="97"/>
    </row>
    <row r="42766" spans="25:25" x14ac:dyDescent="0.2">
      <c r="Y42766" s="97"/>
    </row>
    <row r="42767" spans="25:25" x14ac:dyDescent="0.2">
      <c r="Y42767" s="97"/>
    </row>
    <row r="42768" spans="25:25" x14ac:dyDescent="0.2">
      <c r="Y42768" s="97"/>
    </row>
    <row r="42769" spans="25:25" x14ac:dyDescent="0.2">
      <c r="Y42769" s="97"/>
    </row>
    <row r="42770" spans="25:25" x14ac:dyDescent="0.2">
      <c r="Y42770" s="97"/>
    </row>
    <row r="42771" spans="25:25" x14ac:dyDescent="0.2">
      <c r="Y42771" s="97"/>
    </row>
    <row r="42772" spans="25:25" x14ac:dyDescent="0.2">
      <c r="Y42772" s="97"/>
    </row>
    <row r="42773" spans="25:25" x14ac:dyDescent="0.2">
      <c r="Y42773" s="97"/>
    </row>
    <row r="42774" spans="25:25" x14ac:dyDescent="0.2">
      <c r="Y42774" s="97"/>
    </row>
    <row r="42775" spans="25:25" x14ac:dyDescent="0.2">
      <c r="Y42775" s="97"/>
    </row>
    <row r="42776" spans="25:25" x14ac:dyDescent="0.2">
      <c r="Y42776" s="97"/>
    </row>
    <row r="42777" spans="25:25" x14ac:dyDescent="0.2">
      <c r="Y42777" s="97"/>
    </row>
    <row r="42778" spans="25:25" x14ac:dyDescent="0.2">
      <c r="Y42778" s="97"/>
    </row>
    <row r="42779" spans="25:25" x14ac:dyDescent="0.2">
      <c r="Y42779" s="97"/>
    </row>
    <row r="42780" spans="25:25" x14ac:dyDescent="0.2">
      <c r="Y42780" s="97"/>
    </row>
    <row r="42781" spans="25:25" x14ac:dyDescent="0.2">
      <c r="Y42781" s="97"/>
    </row>
    <row r="42782" spans="25:25" x14ac:dyDescent="0.2">
      <c r="Y42782" s="97"/>
    </row>
    <row r="42783" spans="25:25" x14ac:dyDescent="0.2">
      <c r="Y42783" s="97"/>
    </row>
    <row r="42784" spans="25:25" x14ac:dyDescent="0.2">
      <c r="Y42784" s="97"/>
    </row>
    <row r="42785" spans="25:25" x14ac:dyDescent="0.2">
      <c r="Y42785" s="97"/>
    </row>
    <row r="42786" spans="25:25" x14ac:dyDescent="0.2">
      <c r="Y42786" s="97"/>
    </row>
    <row r="42787" spans="25:25" x14ac:dyDescent="0.2">
      <c r="Y42787" s="97"/>
    </row>
    <row r="42788" spans="25:25" x14ac:dyDescent="0.2">
      <c r="Y42788" s="97"/>
    </row>
    <row r="42789" spans="25:25" x14ac:dyDescent="0.2">
      <c r="Y42789" s="97"/>
    </row>
    <row r="42790" spans="25:25" x14ac:dyDescent="0.2">
      <c r="Y42790" s="97"/>
    </row>
    <row r="42791" spans="25:25" x14ac:dyDescent="0.2">
      <c r="Y42791" s="97"/>
    </row>
    <row r="42792" spans="25:25" x14ac:dyDescent="0.2">
      <c r="Y42792" s="97"/>
    </row>
    <row r="42793" spans="25:25" x14ac:dyDescent="0.2">
      <c r="Y42793" s="97"/>
    </row>
    <row r="42794" spans="25:25" x14ac:dyDescent="0.2">
      <c r="Y42794" s="97"/>
    </row>
    <row r="42795" spans="25:25" x14ac:dyDescent="0.2">
      <c r="Y42795" s="97"/>
    </row>
    <row r="42796" spans="25:25" x14ac:dyDescent="0.2">
      <c r="Y42796" s="97"/>
    </row>
    <row r="42797" spans="25:25" x14ac:dyDescent="0.2">
      <c r="Y42797" s="97"/>
    </row>
    <row r="42798" spans="25:25" x14ac:dyDescent="0.2">
      <c r="Y42798" s="97"/>
    </row>
    <row r="42799" spans="25:25" x14ac:dyDescent="0.2">
      <c r="Y42799" s="97"/>
    </row>
    <row r="42800" spans="25:25" x14ac:dyDescent="0.2">
      <c r="Y42800" s="97"/>
    </row>
    <row r="42801" spans="25:25" x14ac:dyDescent="0.2">
      <c r="Y42801" s="97"/>
    </row>
    <row r="42802" spans="25:25" x14ac:dyDescent="0.2">
      <c r="Y42802" s="97"/>
    </row>
    <row r="42803" spans="25:25" x14ac:dyDescent="0.2">
      <c r="Y42803" s="97"/>
    </row>
    <row r="42804" spans="25:25" x14ac:dyDescent="0.2">
      <c r="Y42804" s="97"/>
    </row>
    <row r="42805" spans="25:25" x14ac:dyDescent="0.2">
      <c r="Y42805" s="97"/>
    </row>
    <row r="42806" spans="25:25" x14ac:dyDescent="0.2">
      <c r="Y42806" s="97"/>
    </row>
    <row r="42807" spans="25:25" x14ac:dyDescent="0.2">
      <c r="Y42807" s="97"/>
    </row>
    <row r="42808" spans="25:25" x14ac:dyDescent="0.2">
      <c r="Y42808" s="97"/>
    </row>
    <row r="42809" spans="25:25" x14ac:dyDescent="0.2">
      <c r="Y42809" s="97"/>
    </row>
    <row r="42810" spans="25:25" x14ac:dyDescent="0.2">
      <c r="Y42810" s="97"/>
    </row>
    <row r="42811" spans="25:25" x14ac:dyDescent="0.2">
      <c r="Y42811" s="97"/>
    </row>
    <row r="42812" spans="25:25" x14ac:dyDescent="0.2">
      <c r="Y42812" s="97"/>
    </row>
    <row r="42813" spans="25:25" x14ac:dyDescent="0.2">
      <c r="Y42813" s="97"/>
    </row>
    <row r="42814" spans="25:25" x14ac:dyDescent="0.2">
      <c r="Y42814" s="97"/>
    </row>
    <row r="42815" spans="25:25" x14ac:dyDescent="0.2">
      <c r="Y42815" s="97"/>
    </row>
    <row r="42816" spans="25:25" x14ac:dyDescent="0.2">
      <c r="Y42816" s="97"/>
    </row>
    <row r="42817" spans="25:25" x14ac:dyDescent="0.2">
      <c r="Y42817" s="97"/>
    </row>
    <row r="42818" spans="25:25" x14ac:dyDescent="0.2">
      <c r="Y42818" s="97"/>
    </row>
    <row r="42819" spans="25:25" x14ac:dyDescent="0.2">
      <c r="Y42819" s="97"/>
    </row>
    <row r="42820" spans="25:25" x14ac:dyDescent="0.2">
      <c r="Y42820" s="97"/>
    </row>
    <row r="42821" spans="25:25" x14ac:dyDescent="0.2">
      <c r="Y42821" s="97"/>
    </row>
    <row r="42822" spans="25:25" x14ac:dyDescent="0.2">
      <c r="Y42822" s="97"/>
    </row>
    <row r="42823" spans="25:25" x14ac:dyDescent="0.2">
      <c r="Y42823" s="97"/>
    </row>
    <row r="42824" spans="25:25" x14ac:dyDescent="0.2">
      <c r="Y42824" s="97"/>
    </row>
    <row r="42825" spans="25:25" x14ac:dyDescent="0.2">
      <c r="Y42825" s="97"/>
    </row>
    <row r="42826" spans="25:25" x14ac:dyDescent="0.2">
      <c r="Y42826" s="97"/>
    </row>
    <row r="42827" spans="25:25" x14ac:dyDescent="0.2">
      <c r="Y42827" s="97"/>
    </row>
    <row r="42828" spans="25:25" x14ac:dyDescent="0.2">
      <c r="Y42828" s="97"/>
    </row>
    <row r="42829" spans="25:25" x14ac:dyDescent="0.2">
      <c r="Y42829" s="97"/>
    </row>
    <row r="42830" spans="25:25" x14ac:dyDescent="0.2">
      <c r="Y42830" s="97"/>
    </row>
    <row r="42831" spans="25:25" x14ac:dyDescent="0.2">
      <c r="Y42831" s="97"/>
    </row>
    <row r="42832" spans="25:25" x14ac:dyDescent="0.2">
      <c r="Y42832" s="97"/>
    </row>
    <row r="42833" spans="25:25" x14ac:dyDescent="0.2">
      <c r="Y42833" s="97"/>
    </row>
    <row r="42834" spans="25:25" x14ac:dyDescent="0.2">
      <c r="Y42834" s="97"/>
    </row>
    <row r="42835" spans="25:25" x14ac:dyDescent="0.2">
      <c r="Y42835" s="97"/>
    </row>
    <row r="42836" spans="25:25" x14ac:dyDescent="0.2">
      <c r="Y42836" s="97"/>
    </row>
    <row r="42837" spans="25:25" x14ac:dyDescent="0.2">
      <c r="Y42837" s="97"/>
    </row>
    <row r="42838" spans="25:25" x14ac:dyDescent="0.2">
      <c r="Y42838" s="97"/>
    </row>
    <row r="42839" spans="25:25" x14ac:dyDescent="0.2">
      <c r="Y42839" s="97"/>
    </row>
    <row r="42840" spans="25:25" x14ac:dyDescent="0.2">
      <c r="Y42840" s="97"/>
    </row>
    <row r="42841" spans="25:25" x14ac:dyDescent="0.2">
      <c r="Y42841" s="97"/>
    </row>
    <row r="42842" spans="25:25" x14ac:dyDescent="0.2">
      <c r="Y42842" s="97"/>
    </row>
    <row r="42843" spans="25:25" x14ac:dyDescent="0.2">
      <c r="Y42843" s="97"/>
    </row>
    <row r="42844" spans="25:25" x14ac:dyDescent="0.2">
      <c r="Y42844" s="97"/>
    </row>
    <row r="42845" spans="25:25" x14ac:dyDescent="0.2">
      <c r="Y42845" s="97"/>
    </row>
    <row r="42846" spans="25:25" x14ac:dyDescent="0.2">
      <c r="Y42846" s="97"/>
    </row>
    <row r="42847" spans="25:25" x14ac:dyDescent="0.2">
      <c r="Y42847" s="97"/>
    </row>
    <row r="42848" spans="25:25" x14ac:dyDescent="0.2">
      <c r="Y42848" s="97"/>
    </row>
    <row r="42849" spans="25:25" x14ac:dyDescent="0.2">
      <c r="Y42849" s="97"/>
    </row>
    <row r="42850" spans="25:25" x14ac:dyDescent="0.2">
      <c r="Y42850" s="97"/>
    </row>
    <row r="42851" spans="25:25" x14ac:dyDescent="0.2">
      <c r="Y42851" s="97"/>
    </row>
    <row r="42852" spans="25:25" x14ac:dyDescent="0.2">
      <c r="Y42852" s="97"/>
    </row>
    <row r="42853" spans="25:25" x14ac:dyDescent="0.2">
      <c r="Y42853" s="97"/>
    </row>
    <row r="42854" spans="25:25" x14ac:dyDescent="0.2">
      <c r="Y42854" s="97"/>
    </row>
    <row r="42855" spans="25:25" x14ac:dyDescent="0.2">
      <c r="Y42855" s="97"/>
    </row>
    <row r="42856" spans="25:25" x14ac:dyDescent="0.2">
      <c r="Y42856" s="97"/>
    </row>
    <row r="42857" spans="25:25" x14ac:dyDescent="0.2">
      <c r="Y42857" s="97"/>
    </row>
    <row r="42858" spans="25:25" x14ac:dyDescent="0.2">
      <c r="Y42858" s="97"/>
    </row>
    <row r="42859" spans="25:25" x14ac:dyDescent="0.2">
      <c r="Y42859" s="97"/>
    </row>
    <row r="42860" spans="25:25" x14ac:dyDescent="0.2">
      <c r="Y42860" s="97"/>
    </row>
    <row r="42861" spans="25:25" x14ac:dyDescent="0.2">
      <c r="Y42861" s="97"/>
    </row>
    <row r="42862" spans="25:25" x14ac:dyDescent="0.2">
      <c r="Y42862" s="97"/>
    </row>
    <row r="42863" spans="25:25" x14ac:dyDescent="0.2">
      <c r="Y42863" s="97"/>
    </row>
    <row r="42864" spans="25:25" x14ac:dyDescent="0.2">
      <c r="Y42864" s="97"/>
    </row>
    <row r="42865" spans="25:25" x14ac:dyDescent="0.2">
      <c r="Y42865" s="97"/>
    </row>
    <row r="42866" spans="25:25" x14ac:dyDescent="0.2">
      <c r="Y42866" s="97"/>
    </row>
    <row r="42867" spans="25:25" x14ac:dyDescent="0.2">
      <c r="Y42867" s="97"/>
    </row>
    <row r="42868" spans="25:25" x14ac:dyDescent="0.2">
      <c r="Y42868" s="97"/>
    </row>
    <row r="42869" spans="25:25" x14ac:dyDescent="0.2">
      <c r="Y42869" s="97"/>
    </row>
    <row r="42870" spans="25:25" x14ac:dyDescent="0.2">
      <c r="Y42870" s="97"/>
    </row>
    <row r="42871" spans="25:25" x14ac:dyDescent="0.2">
      <c r="Y42871" s="97"/>
    </row>
    <row r="42872" spans="25:25" x14ac:dyDescent="0.2">
      <c r="Y42872" s="97"/>
    </row>
    <row r="42873" spans="25:25" x14ac:dyDescent="0.2">
      <c r="Y42873" s="97"/>
    </row>
    <row r="42874" spans="25:25" x14ac:dyDescent="0.2">
      <c r="Y42874" s="97"/>
    </row>
    <row r="42875" spans="25:25" x14ac:dyDescent="0.2">
      <c r="Y42875" s="97"/>
    </row>
    <row r="42876" spans="25:25" x14ac:dyDescent="0.2">
      <c r="Y42876" s="97"/>
    </row>
    <row r="42877" spans="25:25" x14ac:dyDescent="0.2">
      <c r="Y42877" s="97"/>
    </row>
    <row r="42878" spans="25:25" x14ac:dyDescent="0.2">
      <c r="Y42878" s="97"/>
    </row>
    <row r="42879" spans="25:25" x14ac:dyDescent="0.2">
      <c r="Y42879" s="97"/>
    </row>
    <row r="42880" spans="25:25" x14ac:dyDescent="0.2">
      <c r="Y42880" s="97"/>
    </row>
    <row r="42881" spans="25:25" x14ac:dyDescent="0.2">
      <c r="Y42881" s="97"/>
    </row>
    <row r="42882" spans="25:25" x14ac:dyDescent="0.2">
      <c r="Y42882" s="97"/>
    </row>
    <row r="42883" spans="25:25" x14ac:dyDescent="0.2">
      <c r="Y42883" s="97"/>
    </row>
    <row r="42884" spans="25:25" x14ac:dyDescent="0.2">
      <c r="Y42884" s="97"/>
    </row>
    <row r="42885" spans="25:25" x14ac:dyDescent="0.2">
      <c r="Y42885" s="97"/>
    </row>
    <row r="42886" spans="25:25" x14ac:dyDescent="0.2">
      <c r="Y42886" s="97"/>
    </row>
    <row r="42887" spans="25:25" x14ac:dyDescent="0.2">
      <c r="Y42887" s="97"/>
    </row>
    <row r="42888" spans="25:25" x14ac:dyDescent="0.2">
      <c r="Y42888" s="97"/>
    </row>
    <row r="42889" spans="25:25" x14ac:dyDescent="0.2">
      <c r="Y42889" s="97"/>
    </row>
    <row r="42890" spans="25:25" x14ac:dyDescent="0.2">
      <c r="Y42890" s="97"/>
    </row>
    <row r="42891" spans="25:25" x14ac:dyDescent="0.2">
      <c r="Y42891" s="97"/>
    </row>
    <row r="42892" spans="25:25" x14ac:dyDescent="0.2">
      <c r="Y42892" s="97"/>
    </row>
    <row r="42893" spans="25:25" x14ac:dyDescent="0.2">
      <c r="Y42893" s="97"/>
    </row>
    <row r="42894" spans="25:25" x14ac:dyDescent="0.2">
      <c r="Y42894" s="97"/>
    </row>
    <row r="42895" spans="25:25" x14ac:dyDescent="0.2">
      <c r="Y42895" s="97"/>
    </row>
    <row r="42896" spans="25:25" x14ac:dyDescent="0.2">
      <c r="Y42896" s="97"/>
    </row>
    <row r="42897" spans="25:25" x14ac:dyDescent="0.2">
      <c r="Y42897" s="97"/>
    </row>
    <row r="42898" spans="25:25" x14ac:dyDescent="0.2">
      <c r="Y42898" s="97"/>
    </row>
    <row r="42899" spans="25:25" x14ac:dyDescent="0.2">
      <c r="Y42899" s="97"/>
    </row>
    <row r="42900" spans="25:25" x14ac:dyDescent="0.2">
      <c r="Y42900" s="97"/>
    </row>
    <row r="42901" spans="25:25" x14ac:dyDescent="0.2">
      <c r="Y42901" s="97"/>
    </row>
    <row r="42902" spans="25:25" x14ac:dyDescent="0.2">
      <c r="Y42902" s="97"/>
    </row>
    <row r="42903" spans="25:25" x14ac:dyDescent="0.2">
      <c r="Y42903" s="97"/>
    </row>
    <row r="42904" spans="25:25" x14ac:dyDescent="0.2">
      <c r="Y42904" s="97"/>
    </row>
    <row r="42905" spans="25:25" x14ac:dyDescent="0.2">
      <c r="Y42905" s="97"/>
    </row>
    <row r="42906" spans="25:25" x14ac:dyDescent="0.2">
      <c r="Y42906" s="97"/>
    </row>
    <row r="42907" spans="25:25" x14ac:dyDescent="0.2">
      <c r="Y42907" s="97"/>
    </row>
    <row r="42908" spans="25:25" x14ac:dyDescent="0.2">
      <c r="Y42908" s="97"/>
    </row>
    <row r="42909" spans="25:25" x14ac:dyDescent="0.2">
      <c r="Y42909" s="97"/>
    </row>
    <row r="42910" spans="25:25" x14ac:dyDescent="0.2">
      <c r="Y42910" s="97"/>
    </row>
    <row r="42911" spans="25:25" x14ac:dyDescent="0.2">
      <c r="Y42911" s="97"/>
    </row>
    <row r="42912" spans="25:25" x14ac:dyDescent="0.2">
      <c r="Y42912" s="97"/>
    </row>
    <row r="42913" spans="25:25" x14ac:dyDescent="0.2">
      <c r="Y42913" s="97"/>
    </row>
    <row r="42914" spans="25:25" x14ac:dyDescent="0.2">
      <c r="Y42914" s="97"/>
    </row>
    <row r="42915" spans="25:25" x14ac:dyDescent="0.2">
      <c r="Y42915" s="97"/>
    </row>
    <row r="42916" spans="25:25" x14ac:dyDescent="0.2">
      <c r="Y42916" s="97"/>
    </row>
    <row r="42917" spans="25:25" x14ac:dyDescent="0.2">
      <c r="Y42917" s="97"/>
    </row>
    <row r="42918" spans="25:25" x14ac:dyDescent="0.2">
      <c r="Y42918" s="97"/>
    </row>
    <row r="42919" spans="25:25" x14ac:dyDescent="0.2">
      <c r="Y42919" s="97"/>
    </row>
    <row r="42920" spans="25:25" x14ac:dyDescent="0.2">
      <c r="Y42920" s="97"/>
    </row>
    <row r="42921" spans="25:25" x14ac:dyDescent="0.2">
      <c r="Y42921" s="97"/>
    </row>
    <row r="42922" spans="25:25" x14ac:dyDescent="0.2">
      <c r="Y42922" s="97"/>
    </row>
    <row r="42923" spans="25:25" x14ac:dyDescent="0.2">
      <c r="Y42923" s="97"/>
    </row>
    <row r="42924" spans="25:25" x14ac:dyDescent="0.2">
      <c r="Y42924" s="97"/>
    </row>
    <row r="42925" spans="25:25" x14ac:dyDescent="0.2">
      <c r="Y42925" s="97"/>
    </row>
    <row r="42926" spans="25:25" x14ac:dyDescent="0.2">
      <c r="Y42926" s="97"/>
    </row>
    <row r="42927" spans="25:25" x14ac:dyDescent="0.2">
      <c r="Y42927" s="97"/>
    </row>
    <row r="42928" spans="25:25" x14ac:dyDescent="0.2">
      <c r="Y42928" s="97"/>
    </row>
    <row r="42929" spans="25:25" x14ac:dyDescent="0.2">
      <c r="Y42929" s="97"/>
    </row>
    <row r="42930" spans="25:25" x14ac:dyDescent="0.2">
      <c r="Y42930" s="97"/>
    </row>
    <row r="42931" spans="25:25" x14ac:dyDescent="0.2">
      <c r="Y42931" s="97"/>
    </row>
    <row r="42932" spans="25:25" x14ac:dyDescent="0.2">
      <c r="Y42932" s="97"/>
    </row>
    <row r="42933" spans="25:25" x14ac:dyDescent="0.2">
      <c r="Y42933" s="97"/>
    </row>
    <row r="42934" spans="25:25" x14ac:dyDescent="0.2">
      <c r="Y42934" s="97"/>
    </row>
    <row r="42935" spans="25:25" x14ac:dyDescent="0.2">
      <c r="Y42935" s="97"/>
    </row>
    <row r="42936" spans="25:25" x14ac:dyDescent="0.2">
      <c r="Y42936" s="97"/>
    </row>
    <row r="42937" spans="25:25" x14ac:dyDescent="0.2">
      <c r="Y42937" s="97"/>
    </row>
    <row r="42938" spans="25:25" x14ac:dyDescent="0.2">
      <c r="Y42938" s="97"/>
    </row>
    <row r="42939" spans="25:25" x14ac:dyDescent="0.2">
      <c r="Y42939" s="97"/>
    </row>
    <row r="42940" spans="25:25" x14ac:dyDescent="0.2">
      <c r="Y42940" s="97"/>
    </row>
    <row r="42941" spans="25:25" x14ac:dyDescent="0.2">
      <c r="Y42941" s="97"/>
    </row>
    <row r="42942" spans="25:25" x14ac:dyDescent="0.2">
      <c r="Y42942" s="97"/>
    </row>
    <row r="42943" spans="25:25" x14ac:dyDescent="0.2">
      <c r="Y42943" s="97"/>
    </row>
    <row r="42944" spans="25:25" x14ac:dyDescent="0.2">
      <c r="Y42944" s="97"/>
    </row>
    <row r="42945" spans="25:25" x14ac:dyDescent="0.2">
      <c r="Y42945" s="97"/>
    </row>
    <row r="42946" spans="25:25" x14ac:dyDescent="0.2">
      <c r="Y42946" s="97"/>
    </row>
    <row r="42947" spans="25:25" x14ac:dyDescent="0.2">
      <c r="Y42947" s="97"/>
    </row>
    <row r="42948" spans="25:25" x14ac:dyDescent="0.2">
      <c r="Y42948" s="97"/>
    </row>
    <row r="42949" spans="25:25" x14ac:dyDescent="0.2">
      <c r="Y42949" s="97"/>
    </row>
    <row r="42950" spans="25:25" x14ac:dyDescent="0.2">
      <c r="Y42950" s="97"/>
    </row>
    <row r="42951" spans="25:25" x14ac:dyDescent="0.2">
      <c r="Y42951" s="97"/>
    </row>
    <row r="42952" spans="25:25" x14ac:dyDescent="0.2">
      <c r="Y42952" s="97"/>
    </row>
    <row r="42953" spans="25:25" x14ac:dyDescent="0.2">
      <c r="Y42953" s="97"/>
    </row>
    <row r="42954" spans="25:25" x14ac:dyDescent="0.2">
      <c r="Y42954" s="97"/>
    </row>
    <row r="42955" spans="25:25" x14ac:dyDescent="0.2">
      <c r="Y42955" s="97"/>
    </row>
    <row r="42956" spans="25:25" x14ac:dyDescent="0.2">
      <c r="Y42956" s="97"/>
    </row>
    <row r="42957" spans="25:25" x14ac:dyDescent="0.2">
      <c r="Y42957" s="97"/>
    </row>
    <row r="42958" spans="25:25" x14ac:dyDescent="0.2">
      <c r="Y42958" s="97"/>
    </row>
    <row r="42959" spans="25:25" x14ac:dyDescent="0.2">
      <c r="Y42959" s="97"/>
    </row>
    <row r="42960" spans="25:25" x14ac:dyDescent="0.2">
      <c r="Y42960" s="97"/>
    </row>
    <row r="42961" spans="25:25" x14ac:dyDescent="0.2">
      <c r="Y42961" s="97"/>
    </row>
    <row r="42962" spans="25:25" x14ac:dyDescent="0.2">
      <c r="Y42962" s="97"/>
    </row>
    <row r="42963" spans="25:25" x14ac:dyDescent="0.2">
      <c r="Y42963" s="97"/>
    </row>
    <row r="42964" spans="25:25" x14ac:dyDescent="0.2">
      <c r="Y42964" s="97"/>
    </row>
    <row r="42965" spans="25:25" x14ac:dyDescent="0.2">
      <c r="Y42965" s="97"/>
    </row>
    <row r="42966" spans="25:25" x14ac:dyDescent="0.2">
      <c r="Y42966" s="97"/>
    </row>
    <row r="42967" spans="25:25" x14ac:dyDescent="0.2">
      <c r="Y42967" s="97"/>
    </row>
    <row r="42968" spans="25:25" x14ac:dyDescent="0.2">
      <c r="Y42968" s="97"/>
    </row>
    <row r="42969" spans="25:25" x14ac:dyDescent="0.2">
      <c r="Y42969" s="97"/>
    </row>
    <row r="42970" spans="25:25" x14ac:dyDescent="0.2">
      <c r="Y42970" s="97"/>
    </row>
    <row r="42971" spans="25:25" x14ac:dyDescent="0.2">
      <c r="Y42971" s="97"/>
    </row>
    <row r="42972" spans="25:25" x14ac:dyDescent="0.2">
      <c r="Y42972" s="97"/>
    </row>
    <row r="42973" spans="25:25" x14ac:dyDescent="0.2">
      <c r="Y42973" s="97"/>
    </row>
    <row r="42974" spans="25:25" x14ac:dyDescent="0.2">
      <c r="Y42974" s="97"/>
    </row>
    <row r="42975" spans="25:25" x14ac:dyDescent="0.2">
      <c r="Y42975" s="97"/>
    </row>
    <row r="42976" spans="25:25" x14ac:dyDescent="0.2">
      <c r="Y42976" s="97"/>
    </row>
    <row r="42977" spans="25:25" x14ac:dyDescent="0.2">
      <c r="Y42977" s="97"/>
    </row>
    <row r="42978" spans="25:25" x14ac:dyDescent="0.2">
      <c r="Y42978" s="97"/>
    </row>
    <row r="42979" spans="25:25" x14ac:dyDescent="0.2">
      <c r="Y42979" s="97"/>
    </row>
    <row r="42980" spans="25:25" x14ac:dyDescent="0.2">
      <c r="Y42980" s="97"/>
    </row>
    <row r="42981" spans="25:25" x14ac:dyDescent="0.2">
      <c r="Y42981" s="97"/>
    </row>
    <row r="42982" spans="25:25" x14ac:dyDescent="0.2">
      <c r="Y42982" s="97"/>
    </row>
    <row r="42983" spans="25:25" x14ac:dyDescent="0.2">
      <c r="Y42983" s="97"/>
    </row>
    <row r="42984" spans="25:25" x14ac:dyDescent="0.2">
      <c r="Y42984" s="97"/>
    </row>
    <row r="42985" spans="25:25" x14ac:dyDescent="0.2">
      <c r="Y42985" s="97"/>
    </row>
    <row r="42986" spans="25:25" x14ac:dyDescent="0.2">
      <c r="Y42986" s="97"/>
    </row>
    <row r="42987" spans="25:25" x14ac:dyDescent="0.2">
      <c r="Y42987" s="97"/>
    </row>
    <row r="42988" spans="25:25" x14ac:dyDescent="0.2">
      <c r="Y42988" s="97"/>
    </row>
    <row r="42989" spans="25:25" x14ac:dyDescent="0.2">
      <c r="Y42989" s="97"/>
    </row>
    <row r="42990" spans="25:25" x14ac:dyDescent="0.2">
      <c r="Y42990" s="97"/>
    </row>
    <row r="42991" spans="25:25" x14ac:dyDescent="0.2">
      <c r="Y42991" s="97"/>
    </row>
    <row r="42992" spans="25:25" x14ac:dyDescent="0.2">
      <c r="Y42992" s="97"/>
    </row>
    <row r="42993" spans="25:25" x14ac:dyDescent="0.2">
      <c r="Y42993" s="97"/>
    </row>
    <row r="42994" spans="25:25" x14ac:dyDescent="0.2">
      <c r="Y42994" s="97"/>
    </row>
    <row r="42995" spans="25:25" x14ac:dyDescent="0.2">
      <c r="Y42995" s="97"/>
    </row>
    <row r="42996" spans="25:25" x14ac:dyDescent="0.2">
      <c r="Y42996" s="97"/>
    </row>
    <row r="42997" spans="25:25" x14ac:dyDescent="0.2">
      <c r="Y42997" s="97"/>
    </row>
    <row r="42998" spans="25:25" x14ac:dyDescent="0.2">
      <c r="Y42998" s="97"/>
    </row>
    <row r="42999" spans="25:25" x14ac:dyDescent="0.2">
      <c r="Y42999" s="97"/>
    </row>
    <row r="43000" spans="25:25" x14ac:dyDescent="0.2">
      <c r="Y43000" s="97"/>
    </row>
    <row r="43001" spans="25:25" x14ac:dyDescent="0.2">
      <c r="Y43001" s="97"/>
    </row>
    <row r="43002" spans="25:25" x14ac:dyDescent="0.2">
      <c r="Y43002" s="97"/>
    </row>
    <row r="43003" spans="25:25" x14ac:dyDescent="0.2">
      <c r="Y43003" s="97"/>
    </row>
    <row r="43004" spans="25:25" x14ac:dyDescent="0.2">
      <c r="Y43004" s="97"/>
    </row>
    <row r="43005" spans="25:25" x14ac:dyDescent="0.2">
      <c r="Y43005" s="97"/>
    </row>
    <row r="43006" spans="25:25" x14ac:dyDescent="0.2">
      <c r="Y43006" s="97"/>
    </row>
    <row r="43007" spans="25:25" x14ac:dyDescent="0.2">
      <c r="Y43007" s="97"/>
    </row>
    <row r="43008" spans="25:25" x14ac:dyDescent="0.2">
      <c r="Y43008" s="97"/>
    </row>
    <row r="43009" spans="25:25" x14ac:dyDescent="0.2">
      <c r="Y43009" s="97"/>
    </row>
    <row r="43010" spans="25:25" x14ac:dyDescent="0.2">
      <c r="Y43010" s="97"/>
    </row>
    <row r="43011" spans="25:25" x14ac:dyDescent="0.2">
      <c r="Y43011" s="97"/>
    </row>
    <row r="43012" spans="25:25" x14ac:dyDescent="0.2">
      <c r="Y43012" s="97"/>
    </row>
    <row r="43013" spans="25:25" x14ac:dyDescent="0.2">
      <c r="Y43013" s="97"/>
    </row>
    <row r="43014" spans="25:25" x14ac:dyDescent="0.2">
      <c r="Y43014" s="97"/>
    </row>
    <row r="43015" spans="25:25" x14ac:dyDescent="0.2">
      <c r="Y43015" s="97"/>
    </row>
    <row r="43016" spans="25:25" x14ac:dyDescent="0.2">
      <c r="Y43016" s="97"/>
    </row>
    <row r="43017" spans="25:25" x14ac:dyDescent="0.2">
      <c r="Y43017" s="97"/>
    </row>
    <row r="43018" spans="25:25" x14ac:dyDescent="0.2">
      <c r="Y43018" s="97"/>
    </row>
    <row r="43019" spans="25:25" x14ac:dyDescent="0.2">
      <c r="Y43019" s="97"/>
    </row>
    <row r="43020" spans="25:25" x14ac:dyDescent="0.2">
      <c r="Y43020" s="97"/>
    </row>
    <row r="43021" spans="25:25" x14ac:dyDescent="0.2">
      <c r="Y43021" s="97"/>
    </row>
    <row r="43022" spans="25:25" x14ac:dyDescent="0.2">
      <c r="Y43022" s="97"/>
    </row>
    <row r="43023" spans="25:25" x14ac:dyDescent="0.2">
      <c r="Y43023" s="97"/>
    </row>
    <row r="43024" spans="25:25" x14ac:dyDescent="0.2">
      <c r="Y43024" s="97"/>
    </row>
    <row r="43025" spans="25:25" x14ac:dyDescent="0.2">
      <c r="Y43025" s="97"/>
    </row>
    <row r="43026" spans="25:25" x14ac:dyDescent="0.2">
      <c r="Y43026" s="97"/>
    </row>
    <row r="43027" spans="25:25" x14ac:dyDescent="0.2">
      <c r="Y43027" s="97"/>
    </row>
    <row r="43028" spans="25:25" x14ac:dyDescent="0.2">
      <c r="Y43028" s="97"/>
    </row>
    <row r="43029" spans="25:25" x14ac:dyDescent="0.2">
      <c r="Y43029" s="97"/>
    </row>
    <row r="43030" spans="25:25" x14ac:dyDescent="0.2">
      <c r="Y43030" s="97"/>
    </row>
    <row r="43031" spans="25:25" x14ac:dyDescent="0.2">
      <c r="Y43031" s="97"/>
    </row>
    <row r="43032" spans="25:25" x14ac:dyDescent="0.2">
      <c r="Y43032" s="97"/>
    </row>
    <row r="43033" spans="25:25" x14ac:dyDescent="0.2">
      <c r="Y43033" s="97"/>
    </row>
    <row r="43034" spans="25:25" x14ac:dyDescent="0.2">
      <c r="Y43034" s="97"/>
    </row>
    <row r="43035" spans="25:25" x14ac:dyDescent="0.2">
      <c r="Y43035" s="97"/>
    </row>
    <row r="43036" spans="25:25" x14ac:dyDescent="0.2">
      <c r="Y43036" s="97"/>
    </row>
    <row r="43037" spans="25:25" x14ac:dyDescent="0.2">
      <c r="Y43037" s="97"/>
    </row>
    <row r="43038" spans="25:25" x14ac:dyDescent="0.2">
      <c r="Y43038" s="97"/>
    </row>
    <row r="43039" spans="25:25" x14ac:dyDescent="0.2">
      <c r="Y43039" s="97"/>
    </row>
    <row r="43040" spans="25:25" x14ac:dyDescent="0.2">
      <c r="Y43040" s="97"/>
    </row>
    <row r="43041" spans="25:25" x14ac:dyDescent="0.2">
      <c r="Y43041" s="97"/>
    </row>
    <row r="43042" spans="25:25" x14ac:dyDescent="0.2">
      <c r="Y43042" s="97"/>
    </row>
    <row r="43043" spans="25:25" x14ac:dyDescent="0.2">
      <c r="Y43043" s="97"/>
    </row>
    <row r="43044" spans="25:25" x14ac:dyDescent="0.2">
      <c r="Y43044" s="97"/>
    </row>
    <row r="43045" spans="25:25" x14ac:dyDescent="0.2">
      <c r="Y43045" s="97"/>
    </row>
    <row r="43046" spans="25:25" x14ac:dyDescent="0.2">
      <c r="Y43046" s="97"/>
    </row>
    <row r="43047" spans="25:25" x14ac:dyDescent="0.2">
      <c r="Y43047" s="97"/>
    </row>
    <row r="43048" spans="25:25" x14ac:dyDescent="0.2">
      <c r="Y43048" s="97"/>
    </row>
    <row r="43049" spans="25:25" x14ac:dyDescent="0.2">
      <c r="Y43049" s="97"/>
    </row>
    <row r="43050" spans="25:25" x14ac:dyDescent="0.2">
      <c r="Y43050" s="97"/>
    </row>
    <row r="43051" spans="25:25" x14ac:dyDescent="0.2">
      <c r="Y43051" s="97"/>
    </row>
    <row r="43052" spans="25:25" x14ac:dyDescent="0.2">
      <c r="Y43052" s="97"/>
    </row>
    <row r="43053" spans="25:25" x14ac:dyDescent="0.2">
      <c r="Y43053" s="97"/>
    </row>
    <row r="43054" spans="25:25" x14ac:dyDescent="0.2">
      <c r="Y43054" s="97"/>
    </row>
    <row r="43055" spans="25:25" x14ac:dyDescent="0.2">
      <c r="Y43055" s="97"/>
    </row>
    <row r="43056" spans="25:25" x14ac:dyDescent="0.2">
      <c r="Y43056" s="97"/>
    </row>
    <row r="43057" spans="25:25" x14ac:dyDescent="0.2">
      <c r="Y43057" s="97"/>
    </row>
    <row r="43058" spans="25:25" x14ac:dyDescent="0.2">
      <c r="Y43058" s="97"/>
    </row>
    <row r="43059" spans="25:25" x14ac:dyDescent="0.2">
      <c r="Y43059" s="97"/>
    </row>
    <row r="43060" spans="25:25" x14ac:dyDescent="0.2">
      <c r="Y43060" s="97"/>
    </row>
    <row r="43061" spans="25:25" x14ac:dyDescent="0.2">
      <c r="Y43061" s="97"/>
    </row>
    <row r="43062" spans="25:25" x14ac:dyDescent="0.2">
      <c r="Y43062" s="97"/>
    </row>
    <row r="43063" spans="25:25" x14ac:dyDescent="0.2">
      <c r="Y43063" s="97"/>
    </row>
    <row r="43064" spans="25:25" x14ac:dyDescent="0.2">
      <c r="Y43064" s="97"/>
    </row>
    <row r="43065" spans="25:25" x14ac:dyDescent="0.2">
      <c r="Y43065" s="97"/>
    </row>
    <row r="43066" spans="25:25" x14ac:dyDescent="0.2">
      <c r="Y43066" s="97"/>
    </row>
    <row r="43067" spans="25:25" x14ac:dyDescent="0.2">
      <c r="Y43067" s="97"/>
    </row>
    <row r="43068" spans="25:25" x14ac:dyDescent="0.2">
      <c r="Y43068" s="97"/>
    </row>
    <row r="43069" spans="25:25" x14ac:dyDescent="0.2">
      <c r="Y43069" s="97"/>
    </row>
    <row r="43070" spans="25:25" x14ac:dyDescent="0.2">
      <c r="Y43070" s="97"/>
    </row>
    <row r="43071" spans="25:25" x14ac:dyDescent="0.2">
      <c r="Y43071" s="97"/>
    </row>
    <row r="43072" spans="25:25" x14ac:dyDescent="0.2">
      <c r="Y43072" s="97"/>
    </row>
    <row r="43073" spans="25:25" x14ac:dyDescent="0.2">
      <c r="Y43073" s="97"/>
    </row>
    <row r="43074" spans="25:25" x14ac:dyDescent="0.2">
      <c r="Y43074" s="97"/>
    </row>
    <row r="43075" spans="25:25" x14ac:dyDescent="0.2">
      <c r="Y43075" s="97"/>
    </row>
    <row r="43076" spans="25:25" x14ac:dyDescent="0.2">
      <c r="Y43076" s="97"/>
    </row>
    <row r="43077" spans="25:25" x14ac:dyDescent="0.2">
      <c r="Y43077" s="97"/>
    </row>
    <row r="43078" spans="25:25" x14ac:dyDescent="0.2">
      <c r="Y43078" s="97"/>
    </row>
    <row r="43079" spans="25:25" x14ac:dyDescent="0.2">
      <c r="Y43079" s="97"/>
    </row>
    <row r="43080" spans="25:25" x14ac:dyDescent="0.2">
      <c r="Y43080" s="97"/>
    </row>
    <row r="43081" spans="25:25" x14ac:dyDescent="0.2">
      <c r="Y43081" s="97"/>
    </row>
    <row r="43082" spans="25:25" x14ac:dyDescent="0.2">
      <c r="Y43082" s="97"/>
    </row>
    <row r="43083" spans="25:25" x14ac:dyDescent="0.2">
      <c r="Y43083" s="97"/>
    </row>
    <row r="43084" spans="25:25" x14ac:dyDescent="0.2">
      <c r="Y43084" s="97"/>
    </row>
    <row r="43085" spans="25:25" x14ac:dyDescent="0.2">
      <c r="Y43085" s="97"/>
    </row>
    <row r="43086" spans="25:25" x14ac:dyDescent="0.2">
      <c r="Y43086" s="97"/>
    </row>
    <row r="43087" spans="25:25" x14ac:dyDescent="0.2">
      <c r="Y43087" s="97"/>
    </row>
    <row r="43088" spans="25:25" x14ac:dyDescent="0.2">
      <c r="Y43088" s="97"/>
    </row>
    <row r="43089" spans="25:25" x14ac:dyDescent="0.2">
      <c r="Y43089" s="97"/>
    </row>
    <row r="43090" spans="25:25" x14ac:dyDescent="0.2">
      <c r="Y43090" s="97"/>
    </row>
    <row r="43091" spans="25:25" x14ac:dyDescent="0.2">
      <c r="Y43091" s="97"/>
    </row>
    <row r="43092" spans="25:25" x14ac:dyDescent="0.2">
      <c r="Y43092" s="97"/>
    </row>
    <row r="43093" spans="25:25" x14ac:dyDescent="0.2">
      <c r="Y43093" s="97"/>
    </row>
    <row r="43094" spans="25:25" x14ac:dyDescent="0.2">
      <c r="Y43094" s="97"/>
    </row>
    <row r="43095" spans="25:25" x14ac:dyDescent="0.2">
      <c r="Y43095" s="97"/>
    </row>
    <row r="43096" spans="25:25" x14ac:dyDescent="0.2">
      <c r="Y43096" s="97"/>
    </row>
    <row r="43097" spans="25:25" x14ac:dyDescent="0.2">
      <c r="Y43097" s="97"/>
    </row>
    <row r="43098" spans="25:25" x14ac:dyDescent="0.2">
      <c r="Y43098" s="97"/>
    </row>
    <row r="43099" spans="25:25" x14ac:dyDescent="0.2">
      <c r="Y43099" s="97"/>
    </row>
    <row r="43100" spans="25:25" x14ac:dyDescent="0.2">
      <c r="Y43100" s="97"/>
    </row>
    <row r="43101" spans="25:25" x14ac:dyDescent="0.2">
      <c r="Y43101" s="97"/>
    </row>
    <row r="43102" spans="25:25" x14ac:dyDescent="0.2">
      <c r="Y43102" s="97"/>
    </row>
    <row r="43103" spans="25:25" x14ac:dyDescent="0.2">
      <c r="Y43103" s="97"/>
    </row>
    <row r="43104" spans="25:25" x14ac:dyDescent="0.2">
      <c r="Y43104" s="97"/>
    </row>
    <row r="43105" spans="25:25" x14ac:dyDescent="0.2">
      <c r="Y43105" s="97"/>
    </row>
    <row r="43106" spans="25:25" x14ac:dyDescent="0.2">
      <c r="Y43106" s="97"/>
    </row>
    <row r="43107" spans="25:25" x14ac:dyDescent="0.2">
      <c r="Y43107" s="97"/>
    </row>
    <row r="43108" spans="25:25" x14ac:dyDescent="0.2">
      <c r="Y43108" s="97"/>
    </row>
    <row r="43109" spans="25:25" x14ac:dyDescent="0.2">
      <c r="Y43109" s="97"/>
    </row>
    <row r="43110" spans="25:25" x14ac:dyDescent="0.2">
      <c r="Y43110" s="97"/>
    </row>
    <row r="43111" spans="25:25" x14ac:dyDescent="0.2">
      <c r="Y43111" s="97"/>
    </row>
    <row r="43112" spans="25:25" x14ac:dyDescent="0.2">
      <c r="Y43112" s="97"/>
    </row>
    <row r="43113" spans="25:25" x14ac:dyDescent="0.2">
      <c r="Y43113" s="97"/>
    </row>
    <row r="43114" spans="25:25" x14ac:dyDescent="0.2">
      <c r="Y43114" s="97"/>
    </row>
    <row r="43115" spans="25:25" x14ac:dyDescent="0.2">
      <c r="Y43115" s="97"/>
    </row>
    <row r="43116" spans="25:25" x14ac:dyDescent="0.2">
      <c r="Y43116" s="97"/>
    </row>
    <row r="43117" spans="25:25" x14ac:dyDescent="0.2">
      <c r="Y43117" s="97"/>
    </row>
    <row r="43118" spans="25:25" x14ac:dyDescent="0.2">
      <c r="Y43118" s="97"/>
    </row>
    <row r="43119" spans="25:25" x14ac:dyDescent="0.2">
      <c r="Y43119" s="97"/>
    </row>
    <row r="43120" spans="25:25" x14ac:dyDescent="0.2">
      <c r="Y43120" s="97"/>
    </row>
    <row r="43121" spans="25:25" x14ac:dyDescent="0.2">
      <c r="Y43121" s="97"/>
    </row>
    <row r="43122" spans="25:25" x14ac:dyDescent="0.2">
      <c r="Y43122" s="97"/>
    </row>
    <row r="43123" spans="25:25" x14ac:dyDescent="0.2">
      <c r="Y43123" s="97"/>
    </row>
    <row r="43124" spans="25:25" x14ac:dyDescent="0.2">
      <c r="Y43124" s="97"/>
    </row>
    <row r="43125" spans="25:25" x14ac:dyDescent="0.2">
      <c r="Y43125" s="97"/>
    </row>
    <row r="43126" spans="25:25" x14ac:dyDescent="0.2">
      <c r="Y43126" s="97"/>
    </row>
    <row r="43127" spans="25:25" x14ac:dyDescent="0.2">
      <c r="Y43127" s="97"/>
    </row>
    <row r="43128" spans="25:25" x14ac:dyDescent="0.2">
      <c r="Y43128" s="97"/>
    </row>
    <row r="43129" spans="25:25" x14ac:dyDescent="0.2">
      <c r="Y43129" s="97"/>
    </row>
    <row r="43130" spans="25:25" x14ac:dyDescent="0.2">
      <c r="Y43130" s="97"/>
    </row>
    <row r="43131" spans="25:25" x14ac:dyDescent="0.2">
      <c r="Y43131" s="97"/>
    </row>
    <row r="43132" spans="25:25" x14ac:dyDescent="0.2">
      <c r="Y43132" s="97"/>
    </row>
    <row r="43133" spans="25:25" x14ac:dyDescent="0.2">
      <c r="Y43133" s="97"/>
    </row>
    <row r="43134" spans="25:25" x14ac:dyDescent="0.2">
      <c r="Y43134" s="97"/>
    </row>
    <row r="43135" spans="25:25" x14ac:dyDescent="0.2">
      <c r="Y43135" s="97"/>
    </row>
    <row r="43136" spans="25:25" x14ac:dyDescent="0.2">
      <c r="Y43136" s="97"/>
    </row>
    <row r="43137" spans="25:25" x14ac:dyDescent="0.2">
      <c r="Y43137" s="97"/>
    </row>
    <row r="43138" spans="25:25" x14ac:dyDescent="0.2">
      <c r="Y43138" s="97"/>
    </row>
    <row r="43139" spans="25:25" x14ac:dyDescent="0.2">
      <c r="Y43139" s="97"/>
    </row>
    <row r="43140" spans="25:25" x14ac:dyDescent="0.2">
      <c r="Y43140" s="97"/>
    </row>
    <row r="43141" spans="25:25" x14ac:dyDescent="0.2">
      <c r="Y43141" s="97"/>
    </row>
    <row r="43142" spans="25:25" x14ac:dyDescent="0.2">
      <c r="Y43142" s="97"/>
    </row>
    <row r="43143" spans="25:25" x14ac:dyDescent="0.2">
      <c r="Y43143" s="97"/>
    </row>
    <row r="43144" spans="25:25" x14ac:dyDescent="0.2">
      <c r="Y43144" s="97"/>
    </row>
    <row r="43145" spans="25:25" x14ac:dyDescent="0.2">
      <c r="Y43145" s="97"/>
    </row>
    <row r="43146" spans="25:25" x14ac:dyDescent="0.2">
      <c r="Y43146" s="97"/>
    </row>
    <row r="43147" spans="25:25" x14ac:dyDescent="0.2">
      <c r="Y43147" s="97"/>
    </row>
    <row r="43148" spans="25:25" x14ac:dyDescent="0.2">
      <c r="Y43148" s="97"/>
    </row>
    <row r="43149" spans="25:25" x14ac:dyDescent="0.2">
      <c r="Y43149" s="97"/>
    </row>
    <row r="43150" spans="25:25" x14ac:dyDescent="0.2">
      <c r="Y43150" s="97"/>
    </row>
    <row r="43151" spans="25:25" x14ac:dyDescent="0.2">
      <c r="Y43151" s="97"/>
    </row>
    <row r="43152" spans="25:25" x14ac:dyDescent="0.2">
      <c r="Y43152" s="97"/>
    </row>
    <row r="43153" spans="25:25" x14ac:dyDescent="0.2">
      <c r="Y43153" s="97"/>
    </row>
    <row r="43154" spans="25:25" x14ac:dyDescent="0.2">
      <c r="Y43154" s="97"/>
    </row>
    <row r="43155" spans="25:25" x14ac:dyDescent="0.2">
      <c r="Y43155" s="97"/>
    </row>
    <row r="43156" spans="25:25" x14ac:dyDescent="0.2">
      <c r="Y43156" s="97"/>
    </row>
    <row r="43157" spans="25:25" x14ac:dyDescent="0.2">
      <c r="Y43157" s="97"/>
    </row>
    <row r="43158" spans="25:25" x14ac:dyDescent="0.2">
      <c r="Y43158" s="97"/>
    </row>
    <row r="43159" spans="25:25" x14ac:dyDescent="0.2">
      <c r="Y43159" s="97"/>
    </row>
    <row r="43160" spans="25:25" x14ac:dyDescent="0.2">
      <c r="Y43160" s="97"/>
    </row>
    <row r="43161" spans="25:25" x14ac:dyDescent="0.2">
      <c r="Y43161" s="97"/>
    </row>
    <row r="43162" spans="25:25" x14ac:dyDescent="0.2">
      <c r="Y43162" s="97"/>
    </row>
    <row r="43163" spans="25:25" x14ac:dyDescent="0.2">
      <c r="Y43163" s="97"/>
    </row>
    <row r="43164" spans="25:25" x14ac:dyDescent="0.2">
      <c r="Y43164" s="97"/>
    </row>
    <row r="43165" spans="25:25" x14ac:dyDescent="0.2">
      <c r="Y43165" s="97"/>
    </row>
    <row r="43166" spans="25:25" x14ac:dyDescent="0.2">
      <c r="Y43166" s="97"/>
    </row>
    <row r="43167" spans="25:25" x14ac:dyDescent="0.2">
      <c r="Y43167" s="97"/>
    </row>
    <row r="43168" spans="25:25" x14ac:dyDescent="0.2">
      <c r="Y43168" s="97"/>
    </row>
    <row r="43169" spans="25:25" x14ac:dyDescent="0.2">
      <c r="Y43169" s="97"/>
    </row>
    <row r="43170" spans="25:25" x14ac:dyDescent="0.2">
      <c r="Y43170" s="97"/>
    </row>
    <row r="43171" spans="25:25" x14ac:dyDescent="0.2">
      <c r="Y43171" s="97"/>
    </row>
    <row r="43172" spans="25:25" x14ac:dyDescent="0.2">
      <c r="Y43172" s="97"/>
    </row>
    <row r="43173" spans="25:25" x14ac:dyDescent="0.2">
      <c r="Y43173" s="97"/>
    </row>
    <row r="43174" spans="25:25" x14ac:dyDescent="0.2">
      <c r="Y43174" s="97"/>
    </row>
    <row r="43175" spans="25:25" x14ac:dyDescent="0.2">
      <c r="Y43175" s="97"/>
    </row>
    <row r="43176" spans="25:25" x14ac:dyDescent="0.2">
      <c r="Y43176" s="97"/>
    </row>
    <row r="43177" spans="25:25" x14ac:dyDescent="0.2">
      <c r="Y43177" s="97"/>
    </row>
    <row r="43178" spans="25:25" x14ac:dyDescent="0.2">
      <c r="Y43178" s="97"/>
    </row>
    <row r="43179" spans="25:25" x14ac:dyDescent="0.2">
      <c r="Y43179" s="97"/>
    </row>
    <row r="43180" spans="25:25" x14ac:dyDescent="0.2">
      <c r="Y43180" s="97"/>
    </row>
    <row r="43181" spans="25:25" x14ac:dyDescent="0.2">
      <c r="Y43181" s="97"/>
    </row>
    <row r="43182" spans="25:25" x14ac:dyDescent="0.2">
      <c r="Y43182" s="97"/>
    </row>
    <row r="43183" spans="25:25" x14ac:dyDescent="0.2">
      <c r="Y43183" s="97"/>
    </row>
    <row r="43184" spans="25:25" x14ac:dyDescent="0.2">
      <c r="Y43184" s="97"/>
    </row>
    <row r="43185" spans="25:25" x14ac:dyDescent="0.2">
      <c r="Y43185" s="97"/>
    </row>
    <row r="43186" spans="25:25" x14ac:dyDescent="0.2">
      <c r="Y43186" s="97"/>
    </row>
    <row r="43187" spans="25:25" x14ac:dyDescent="0.2">
      <c r="Y43187" s="97"/>
    </row>
    <row r="43188" spans="25:25" x14ac:dyDescent="0.2">
      <c r="Y43188" s="97"/>
    </row>
    <row r="43189" spans="25:25" x14ac:dyDescent="0.2">
      <c r="Y43189" s="97"/>
    </row>
    <row r="43190" spans="25:25" x14ac:dyDescent="0.2">
      <c r="Y43190" s="97"/>
    </row>
    <row r="43191" spans="25:25" x14ac:dyDescent="0.2">
      <c r="Y43191" s="97"/>
    </row>
    <row r="43192" spans="25:25" x14ac:dyDescent="0.2">
      <c r="Y43192" s="97"/>
    </row>
    <row r="43193" spans="25:25" x14ac:dyDescent="0.2">
      <c r="Y43193" s="97"/>
    </row>
    <row r="43194" spans="25:25" x14ac:dyDescent="0.2">
      <c r="Y43194" s="97"/>
    </row>
    <row r="43195" spans="25:25" x14ac:dyDescent="0.2">
      <c r="Y43195" s="97"/>
    </row>
    <row r="43196" spans="25:25" x14ac:dyDescent="0.2">
      <c r="Y43196" s="97"/>
    </row>
    <row r="43197" spans="25:25" x14ac:dyDescent="0.2">
      <c r="Y43197" s="97"/>
    </row>
    <row r="43198" spans="25:25" x14ac:dyDescent="0.2">
      <c r="Y43198" s="97"/>
    </row>
    <row r="43199" spans="25:25" x14ac:dyDescent="0.2">
      <c r="Y43199" s="97"/>
    </row>
    <row r="43200" spans="25:25" x14ac:dyDescent="0.2">
      <c r="Y43200" s="97"/>
    </row>
    <row r="43201" spans="25:25" x14ac:dyDescent="0.2">
      <c r="Y43201" s="97"/>
    </row>
    <row r="43202" spans="25:25" x14ac:dyDescent="0.2">
      <c r="Y43202" s="97"/>
    </row>
    <row r="43203" spans="25:25" x14ac:dyDescent="0.2">
      <c r="Y43203" s="97"/>
    </row>
    <row r="43204" spans="25:25" x14ac:dyDescent="0.2">
      <c r="Y43204" s="97"/>
    </row>
    <row r="43205" spans="25:25" x14ac:dyDescent="0.2">
      <c r="Y43205" s="97"/>
    </row>
    <row r="43206" spans="25:25" x14ac:dyDescent="0.2">
      <c r="Y43206" s="97"/>
    </row>
    <row r="43207" spans="25:25" x14ac:dyDescent="0.2">
      <c r="Y43207" s="97"/>
    </row>
    <row r="43208" spans="25:25" x14ac:dyDescent="0.2">
      <c r="Y43208" s="97"/>
    </row>
    <row r="43209" spans="25:25" x14ac:dyDescent="0.2">
      <c r="Y43209" s="97"/>
    </row>
    <row r="43210" spans="25:25" x14ac:dyDescent="0.2">
      <c r="Y43210" s="97"/>
    </row>
    <row r="43211" spans="25:25" x14ac:dyDescent="0.2">
      <c r="Y43211" s="97"/>
    </row>
    <row r="43212" spans="25:25" x14ac:dyDescent="0.2">
      <c r="Y43212" s="97"/>
    </row>
    <row r="43213" spans="25:25" x14ac:dyDescent="0.2">
      <c r="Y43213" s="97"/>
    </row>
    <row r="43214" spans="25:25" x14ac:dyDescent="0.2">
      <c r="Y43214" s="97"/>
    </row>
    <row r="43215" spans="25:25" x14ac:dyDescent="0.2">
      <c r="Y43215" s="97"/>
    </row>
    <row r="43216" spans="25:25" x14ac:dyDescent="0.2">
      <c r="Y43216" s="97"/>
    </row>
    <row r="43217" spans="25:25" x14ac:dyDescent="0.2">
      <c r="Y43217" s="97"/>
    </row>
    <row r="43218" spans="25:25" x14ac:dyDescent="0.2">
      <c r="Y43218" s="97"/>
    </row>
    <row r="43219" spans="25:25" x14ac:dyDescent="0.2">
      <c r="Y43219" s="97"/>
    </row>
    <row r="43220" spans="25:25" x14ac:dyDescent="0.2">
      <c r="Y43220" s="97"/>
    </row>
    <row r="43221" spans="25:25" x14ac:dyDescent="0.2">
      <c r="Y43221" s="97"/>
    </row>
    <row r="43222" spans="25:25" x14ac:dyDescent="0.2">
      <c r="Y43222" s="97"/>
    </row>
    <row r="43223" spans="25:25" x14ac:dyDescent="0.2">
      <c r="Y43223" s="97"/>
    </row>
    <row r="43224" spans="25:25" x14ac:dyDescent="0.2">
      <c r="Y43224" s="97"/>
    </row>
    <row r="43225" spans="25:25" x14ac:dyDescent="0.2">
      <c r="Y43225" s="97"/>
    </row>
    <row r="43226" spans="25:25" x14ac:dyDescent="0.2">
      <c r="Y43226" s="97"/>
    </row>
    <row r="43227" spans="25:25" x14ac:dyDescent="0.2">
      <c r="Y43227" s="97"/>
    </row>
    <row r="43228" spans="25:25" x14ac:dyDescent="0.2">
      <c r="Y43228" s="97"/>
    </row>
    <row r="43229" spans="25:25" x14ac:dyDescent="0.2">
      <c r="Y43229" s="97"/>
    </row>
    <row r="43230" spans="25:25" x14ac:dyDescent="0.2">
      <c r="Y43230" s="97"/>
    </row>
    <row r="43231" spans="25:25" x14ac:dyDescent="0.2">
      <c r="Y43231" s="97"/>
    </row>
    <row r="43232" spans="25:25" x14ac:dyDescent="0.2">
      <c r="Y43232" s="97"/>
    </row>
    <row r="43233" spans="25:25" x14ac:dyDescent="0.2">
      <c r="Y43233" s="97"/>
    </row>
    <row r="43234" spans="25:25" x14ac:dyDescent="0.2">
      <c r="Y43234" s="97"/>
    </row>
    <row r="43235" spans="25:25" x14ac:dyDescent="0.2">
      <c r="Y43235" s="97"/>
    </row>
    <row r="43236" spans="25:25" x14ac:dyDescent="0.2">
      <c r="Y43236" s="97"/>
    </row>
    <row r="43237" spans="25:25" x14ac:dyDescent="0.2">
      <c r="Y43237" s="97"/>
    </row>
    <row r="43238" spans="25:25" x14ac:dyDescent="0.2">
      <c r="Y43238" s="97"/>
    </row>
    <row r="43239" spans="25:25" x14ac:dyDescent="0.2">
      <c r="Y43239" s="97"/>
    </row>
    <row r="43240" spans="25:25" x14ac:dyDescent="0.2">
      <c r="Y43240" s="97"/>
    </row>
    <row r="43241" spans="25:25" x14ac:dyDescent="0.2">
      <c r="Y43241" s="97"/>
    </row>
    <row r="43242" spans="25:25" x14ac:dyDescent="0.2">
      <c r="Y43242" s="97"/>
    </row>
    <row r="43243" spans="25:25" x14ac:dyDescent="0.2">
      <c r="Y43243" s="97"/>
    </row>
    <row r="43244" spans="25:25" x14ac:dyDescent="0.2">
      <c r="Y43244" s="97"/>
    </row>
    <row r="43245" spans="25:25" x14ac:dyDescent="0.2">
      <c r="Y43245" s="97"/>
    </row>
    <row r="43246" spans="25:25" x14ac:dyDescent="0.2">
      <c r="Y43246" s="97"/>
    </row>
    <row r="43247" spans="25:25" x14ac:dyDescent="0.2">
      <c r="Y43247" s="97"/>
    </row>
    <row r="43248" spans="25:25" x14ac:dyDescent="0.2">
      <c r="Y43248" s="97"/>
    </row>
    <row r="43249" spans="25:25" x14ac:dyDescent="0.2">
      <c r="Y43249" s="97"/>
    </row>
    <row r="43250" spans="25:25" x14ac:dyDescent="0.2">
      <c r="Y43250" s="97"/>
    </row>
    <row r="43251" spans="25:25" x14ac:dyDescent="0.2">
      <c r="Y43251" s="97"/>
    </row>
    <row r="43252" spans="25:25" x14ac:dyDescent="0.2">
      <c r="Y43252" s="97"/>
    </row>
    <row r="43253" spans="25:25" x14ac:dyDescent="0.2">
      <c r="Y43253" s="97"/>
    </row>
    <row r="43254" spans="25:25" x14ac:dyDescent="0.2">
      <c r="Y43254" s="97"/>
    </row>
    <row r="43255" spans="25:25" x14ac:dyDescent="0.2">
      <c r="Y43255" s="97"/>
    </row>
    <row r="43256" spans="25:25" x14ac:dyDescent="0.2">
      <c r="Y43256" s="97"/>
    </row>
    <row r="43257" spans="25:25" x14ac:dyDescent="0.2">
      <c r="Y43257" s="97"/>
    </row>
    <row r="43258" spans="25:25" x14ac:dyDescent="0.2">
      <c r="Y43258" s="97"/>
    </row>
    <row r="43259" spans="25:25" x14ac:dyDescent="0.2">
      <c r="Y43259" s="97"/>
    </row>
    <row r="43260" spans="25:25" x14ac:dyDescent="0.2">
      <c r="Y43260" s="97"/>
    </row>
    <row r="43261" spans="25:25" x14ac:dyDescent="0.2">
      <c r="Y43261" s="97"/>
    </row>
    <row r="43262" spans="25:25" x14ac:dyDescent="0.2">
      <c r="Y43262" s="97"/>
    </row>
    <row r="43263" spans="25:25" x14ac:dyDescent="0.2">
      <c r="Y43263" s="97"/>
    </row>
    <row r="43264" spans="25:25" x14ac:dyDescent="0.2">
      <c r="Y43264" s="97"/>
    </row>
    <row r="43265" spans="25:25" x14ac:dyDescent="0.2">
      <c r="Y43265" s="97"/>
    </row>
    <row r="43266" spans="25:25" x14ac:dyDescent="0.2">
      <c r="Y43266" s="97"/>
    </row>
    <row r="43267" spans="25:25" x14ac:dyDescent="0.2">
      <c r="Y43267" s="97"/>
    </row>
    <row r="43268" spans="25:25" x14ac:dyDescent="0.2">
      <c r="Y43268" s="97"/>
    </row>
    <row r="43269" spans="25:25" x14ac:dyDescent="0.2">
      <c r="Y43269" s="97"/>
    </row>
    <row r="43270" spans="25:25" x14ac:dyDescent="0.2">
      <c r="Y43270" s="97"/>
    </row>
    <row r="43271" spans="25:25" x14ac:dyDescent="0.2">
      <c r="Y43271" s="97"/>
    </row>
    <row r="43272" spans="25:25" x14ac:dyDescent="0.2">
      <c r="Y43272" s="97"/>
    </row>
    <row r="43273" spans="25:25" x14ac:dyDescent="0.2">
      <c r="Y43273" s="97"/>
    </row>
    <row r="43274" spans="25:25" x14ac:dyDescent="0.2">
      <c r="Y43274" s="97"/>
    </row>
    <row r="43275" spans="25:25" x14ac:dyDescent="0.2">
      <c r="Y43275" s="97"/>
    </row>
    <row r="43276" spans="25:25" x14ac:dyDescent="0.2">
      <c r="Y43276" s="97"/>
    </row>
    <row r="43277" spans="25:25" x14ac:dyDescent="0.2">
      <c r="Y43277" s="97"/>
    </row>
    <row r="43278" spans="25:25" x14ac:dyDescent="0.2">
      <c r="Y43278" s="97"/>
    </row>
    <row r="43279" spans="25:25" x14ac:dyDescent="0.2">
      <c r="Y43279" s="97"/>
    </row>
    <row r="43280" spans="25:25" x14ac:dyDescent="0.2">
      <c r="Y43280" s="97"/>
    </row>
    <row r="43281" spans="25:25" x14ac:dyDescent="0.2">
      <c r="Y43281" s="97"/>
    </row>
    <row r="43282" spans="25:25" x14ac:dyDescent="0.2">
      <c r="Y43282" s="97"/>
    </row>
    <row r="43283" spans="25:25" x14ac:dyDescent="0.2">
      <c r="Y43283" s="97"/>
    </row>
    <row r="43284" spans="25:25" x14ac:dyDescent="0.2">
      <c r="Y43284" s="97"/>
    </row>
    <row r="43285" spans="25:25" x14ac:dyDescent="0.2">
      <c r="Y43285" s="97"/>
    </row>
    <row r="43286" spans="25:25" x14ac:dyDescent="0.2">
      <c r="Y43286" s="97"/>
    </row>
    <row r="43287" spans="25:25" x14ac:dyDescent="0.2">
      <c r="Y43287" s="97"/>
    </row>
    <row r="43288" spans="25:25" x14ac:dyDescent="0.2">
      <c r="Y43288" s="97"/>
    </row>
    <row r="43289" spans="25:25" x14ac:dyDescent="0.2">
      <c r="Y43289" s="97"/>
    </row>
    <row r="43290" spans="25:25" x14ac:dyDescent="0.2">
      <c r="Y43290" s="97"/>
    </row>
    <row r="43291" spans="25:25" x14ac:dyDescent="0.2">
      <c r="Y43291" s="97"/>
    </row>
    <row r="43292" spans="25:25" x14ac:dyDescent="0.2">
      <c r="Y43292" s="97"/>
    </row>
    <row r="43293" spans="25:25" x14ac:dyDescent="0.2">
      <c r="Y43293" s="97"/>
    </row>
    <row r="43294" spans="25:25" x14ac:dyDescent="0.2">
      <c r="Y43294" s="97"/>
    </row>
    <row r="43295" spans="25:25" x14ac:dyDescent="0.2">
      <c r="Y43295" s="97"/>
    </row>
    <row r="43296" spans="25:25" x14ac:dyDescent="0.2">
      <c r="Y43296" s="97"/>
    </row>
    <row r="43297" spans="25:25" x14ac:dyDescent="0.2">
      <c r="Y43297" s="97"/>
    </row>
    <row r="43298" spans="25:25" x14ac:dyDescent="0.2">
      <c r="Y43298" s="97"/>
    </row>
    <row r="43299" spans="25:25" x14ac:dyDescent="0.2">
      <c r="Y43299" s="97"/>
    </row>
    <row r="43300" spans="25:25" x14ac:dyDescent="0.2">
      <c r="Y43300" s="97"/>
    </row>
    <row r="43301" spans="25:25" x14ac:dyDescent="0.2">
      <c r="Y43301" s="97"/>
    </row>
    <row r="43302" spans="25:25" x14ac:dyDescent="0.2">
      <c r="Y43302" s="97"/>
    </row>
    <row r="43303" spans="25:25" x14ac:dyDescent="0.2">
      <c r="Y43303" s="97"/>
    </row>
    <row r="43304" spans="25:25" x14ac:dyDescent="0.2">
      <c r="Y43304" s="97"/>
    </row>
    <row r="43305" spans="25:25" x14ac:dyDescent="0.2">
      <c r="Y43305" s="97"/>
    </row>
    <row r="43306" spans="25:25" x14ac:dyDescent="0.2">
      <c r="Y43306" s="97"/>
    </row>
    <row r="43307" spans="25:25" x14ac:dyDescent="0.2">
      <c r="Y43307" s="97"/>
    </row>
    <row r="43308" spans="25:25" x14ac:dyDescent="0.2">
      <c r="Y43308" s="97"/>
    </row>
    <row r="43309" spans="25:25" x14ac:dyDescent="0.2">
      <c r="Y43309" s="97"/>
    </row>
    <row r="43310" spans="25:25" x14ac:dyDescent="0.2">
      <c r="Y43310" s="97"/>
    </row>
    <row r="43311" spans="25:25" x14ac:dyDescent="0.2">
      <c r="Y43311" s="97"/>
    </row>
    <row r="43312" spans="25:25" x14ac:dyDescent="0.2">
      <c r="Y43312" s="97"/>
    </row>
    <row r="43313" spans="25:25" x14ac:dyDescent="0.2">
      <c r="Y43313" s="97"/>
    </row>
    <row r="43314" spans="25:25" x14ac:dyDescent="0.2">
      <c r="Y43314" s="97"/>
    </row>
    <row r="43315" spans="25:25" x14ac:dyDescent="0.2">
      <c r="Y43315" s="97"/>
    </row>
    <row r="43316" spans="25:25" x14ac:dyDescent="0.2">
      <c r="Y43316" s="97"/>
    </row>
    <row r="43317" spans="25:25" x14ac:dyDescent="0.2">
      <c r="Y43317" s="97"/>
    </row>
    <row r="43318" spans="25:25" x14ac:dyDescent="0.2">
      <c r="Y43318" s="97"/>
    </row>
    <row r="43319" spans="25:25" x14ac:dyDescent="0.2">
      <c r="Y43319" s="97"/>
    </row>
    <row r="43320" spans="25:25" x14ac:dyDescent="0.2">
      <c r="Y43320" s="97"/>
    </row>
    <row r="43321" spans="25:25" x14ac:dyDescent="0.2">
      <c r="Y43321" s="97"/>
    </row>
    <row r="43322" spans="25:25" x14ac:dyDescent="0.2">
      <c r="Y43322" s="97"/>
    </row>
    <row r="43323" spans="25:25" x14ac:dyDescent="0.2">
      <c r="Y43323" s="97"/>
    </row>
    <row r="43324" spans="25:25" x14ac:dyDescent="0.2">
      <c r="Y43324" s="97"/>
    </row>
    <row r="43325" spans="25:25" x14ac:dyDescent="0.2">
      <c r="Y43325" s="97"/>
    </row>
    <row r="43326" spans="25:25" x14ac:dyDescent="0.2">
      <c r="Y43326" s="97"/>
    </row>
    <row r="43327" spans="25:25" x14ac:dyDescent="0.2">
      <c r="Y43327" s="97"/>
    </row>
    <row r="43328" spans="25:25" x14ac:dyDescent="0.2">
      <c r="Y43328" s="97"/>
    </row>
    <row r="43329" spans="25:25" x14ac:dyDescent="0.2">
      <c r="Y43329" s="97"/>
    </row>
    <row r="43330" spans="25:25" x14ac:dyDescent="0.2">
      <c r="Y43330" s="97"/>
    </row>
    <row r="43331" spans="25:25" x14ac:dyDescent="0.2">
      <c r="Y43331" s="97"/>
    </row>
    <row r="43332" spans="25:25" x14ac:dyDescent="0.2">
      <c r="Y43332" s="97"/>
    </row>
    <row r="43333" spans="25:25" x14ac:dyDescent="0.2">
      <c r="Y43333" s="97"/>
    </row>
    <row r="43334" spans="25:25" x14ac:dyDescent="0.2">
      <c r="Y43334" s="97"/>
    </row>
    <row r="43335" spans="25:25" x14ac:dyDescent="0.2">
      <c r="Y43335" s="97"/>
    </row>
    <row r="43336" spans="25:25" x14ac:dyDescent="0.2">
      <c r="Y43336" s="97"/>
    </row>
    <row r="43337" spans="25:25" x14ac:dyDescent="0.2">
      <c r="Y43337" s="97"/>
    </row>
    <row r="43338" spans="25:25" x14ac:dyDescent="0.2">
      <c r="Y43338" s="97"/>
    </row>
    <row r="43339" spans="25:25" x14ac:dyDescent="0.2">
      <c r="Y43339" s="97"/>
    </row>
    <row r="43340" spans="25:25" x14ac:dyDescent="0.2">
      <c r="Y43340" s="97"/>
    </row>
    <row r="43341" spans="25:25" x14ac:dyDescent="0.2">
      <c r="Y43341" s="97"/>
    </row>
    <row r="43342" spans="25:25" x14ac:dyDescent="0.2">
      <c r="Y43342" s="97"/>
    </row>
    <row r="43343" spans="25:25" x14ac:dyDescent="0.2">
      <c r="Y43343" s="97"/>
    </row>
    <row r="43344" spans="25:25" x14ac:dyDescent="0.2">
      <c r="Y43344" s="97"/>
    </row>
    <row r="43345" spans="25:25" x14ac:dyDescent="0.2">
      <c r="Y43345" s="97"/>
    </row>
    <row r="43346" spans="25:25" x14ac:dyDescent="0.2">
      <c r="Y43346" s="97"/>
    </row>
    <row r="43347" spans="25:25" x14ac:dyDescent="0.2">
      <c r="Y43347" s="97"/>
    </row>
    <row r="43348" spans="25:25" x14ac:dyDescent="0.2">
      <c r="Y43348" s="97"/>
    </row>
    <row r="43349" spans="25:25" x14ac:dyDescent="0.2">
      <c r="Y43349" s="97"/>
    </row>
    <row r="43350" spans="25:25" x14ac:dyDescent="0.2">
      <c r="Y43350" s="97"/>
    </row>
    <row r="43351" spans="25:25" x14ac:dyDescent="0.2">
      <c r="Y43351" s="97"/>
    </row>
    <row r="43352" spans="25:25" x14ac:dyDescent="0.2">
      <c r="Y43352" s="97"/>
    </row>
    <row r="43353" spans="25:25" x14ac:dyDescent="0.2">
      <c r="Y43353" s="97"/>
    </row>
    <row r="43354" spans="25:25" x14ac:dyDescent="0.2">
      <c r="Y43354" s="97"/>
    </row>
    <row r="43355" spans="25:25" x14ac:dyDescent="0.2">
      <c r="Y43355" s="97"/>
    </row>
    <row r="43356" spans="25:25" x14ac:dyDescent="0.2">
      <c r="Y43356" s="97"/>
    </row>
    <row r="43357" spans="25:25" x14ac:dyDescent="0.2">
      <c r="Y43357" s="97"/>
    </row>
    <row r="43358" spans="25:25" x14ac:dyDescent="0.2">
      <c r="Y43358" s="97"/>
    </row>
    <row r="43359" spans="25:25" x14ac:dyDescent="0.2">
      <c r="Y43359" s="97"/>
    </row>
    <row r="43360" spans="25:25" x14ac:dyDescent="0.2">
      <c r="Y43360" s="97"/>
    </row>
    <row r="43361" spans="25:25" x14ac:dyDescent="0.2">
      <c r="Y43361" s="97"/>
    </row>
    <row r="43362" spans="25:25" x14ac:dyDescent="0.2">
      <c r="Y43362" s="97"/>
    </row>
    <row r="43363" spans="25:25" x14ac:dyDescent="0.2">
      <c r="Y43363" s="97"/>
    </row>
    <row r="43364" spans="25:25" x14ac:dyDescent="0.2">
      <c r="Y43364" s="97"/>
    </row>
    <row r="43365" spans="25:25" x14ac:dyDescent="0.2">
      <c r="Y43365" s="97"/>
    </row>
    <row r="43366" spans="25:25" x14ac:dyDescent="0.2">
      <c r="Y43366" s="97"/>
    </row>
    <row r="43367" spans="25:25" x14ac:dyDescent="0.2">
      <c r="Y43367" s="97"/>
    </row>
    <row r="43368" spans="25:25" x14ac:dyDescent="0.2">
      <c r="Y43368" s="97"/>
    </row>
    <row r="43369" spans="25:25" x14ac:dyDescent="0.2">
      <c r="Y43369" s="97"/>
    </row>
    <row r="43370" spans="25:25" x14ac:dyDescent="0.2">
      <c r="Y43370" s="97"/>
    </row>
    <row r="43371" spans="25:25" x14ac:dyDescent="0.2">
      <c r="Y43371" s="97"/>
    </row>
    <row r="43372" spans="25:25" x14ac:dyDescent="0.2">
      <c r="Y43372" s="97"/>
    </row>
    <row r="43373" spans="25:25" x14ac:dyDescent="0.2">
      <c r="Y43373" s="97"/>
    </row>
    <row r="43374" spans="25:25" x14ac:dyDescent="0.2">
      <c r="Y43374" s="97"/>
    </row>
    <row r="43375" spans="25:25" x14ac:dyDescent="0.2">
      <c r="Y43375" s="97"/>
    </row>
    <row r="43376" spans="25:25" x14ac:dyDescent="0.2">
      <c r="Y43376" s="97"/>
    </row>
    <row r="43377" spans="25:25" x14ac:dyDescent="0.2">
      <c r="Y43377" s="97"/>
    </row>
    <row r="43378" spans="25:25" x14ac:dyDescent="0.2">
      <c r="Y43378" s="97"/>
    </row>
    <row r="43379" spans="25:25" x14ac:dyDescent="0.2">
      <c r="Y43379" s="97"/>
    </row>
    <row r="43380" spans="25:25" x14ac:dyDescent="0.2">
      <c r="Y43380" s="97"/>
    </row>
    <row r="43381" spans="25:25" x14ac:dyDescent="0.2">
      <c r="Y43381" s="97"/>
    </row>
    <row r="43382" spans="25:25" x14ac:dyDescent="0.2">
      <c r="Y43382" s="97"/>
    </row>
    <row r="43383" spans="25:25" x14ac:dyDescent="0.2">
      <c r="Y43383" s="97"/>
    </row>
    <row r="43384" spans="25:25" x14ac:dyDescent="0.2">
      <c r="Y43384" s="97"/>
    </row>
    <row r="43385" spans="25:25" x14ac:dyDescent="0.2">
      <c r="Y43385" s="97"/>
    </row>
    <row r="43386" spans="25:25" x14ac:dyDescent="0.2">
      <c r="Y43386" s="97"/>
    </row>
    <row r="43387" spans="25:25" x14ac:dyDescent="0.2">
      <c r="Y43387" s="97"/>
    </row>
    <row r="43388" spans="25:25" x14ac:dyDescent="0.2">
      <c r="Y43388" s="97"/>
    </row>
    <row r="43389" spans="25:25" x14ac:dyDescent="0.2">
      <c r="Y43389" s="97"/>
    </row>
    <row r="43390" spans="25:25" x14ac:dyDescent="0.2">
      <c r="Y43390" s="97"/>
    </row>
    <row r="43391" spans="25:25" x14ac:dyDescent="0.2">
      <c r="Y43391" s="97"/>
    </row>
    <row r="43392" spans="25:25" x14ac:dyDescent="0.2">
      <c r="Y43392" s="97"/>
    </row>
    <row r="43393" spans="25:25" x14ac:dyDescent="0.2">
      <c r="Y43393" s="97"/>
    </row>
    <row r="43394" spans="25:25" x14ac:dyDescent="0.2">
      <c r="Y43394" s="97"/>
    </row>
    <row r="43395" spans="25:25" x14ac:dyDescent="0.2">
      <c r="Y43395" s="97"/>
    </row>
    <row r="43396" spans="25:25" x14ac:dyDescent="0.2">
      <c r="Y43396" s="97"/>
    </row>
    <row r="43397" spans="25:25" x14ac:dyDescent="0.2">
      <c r="Y43397" s="97"/>
    </row>
    <row r="43398" spans="25:25" x14ac:dyDescent="0.2">
      <c r="Y43398" s="97"/>
    </row>
    <row r="43399" spans="25:25" x14ac:dyDescent="0.2">
      <c r="Y43399" s="97"/>
    </row>
    <row r="43400" spans="25:25" x14ac:dyDescent="0.2">
      <c r="Y43400" s="97"/>
    </row>
    <row r="43401" spans="25:25" x14ac:dyDescent="0.2">
      <c r="Y43401" s="97"/>
    </row>
    <row r="43402" spans="25:25" x14ac:dyDescent="0.2">
      <c r="Y43402" s="97"/>
    </row>
    <row r="43403" spans="25:25" x14ac:dyDescent="0.2">
      <c r="Y43403" s="97"/>
    </row>
    <row r="43404" spans="25:25" x14ac:dyDescent="0.2">
      <c r="Y43404" s="97"/>
    </row>
    <row r="43405" spans="25:25" x14ac:dyDescent="0.2">
      <c r="Y43405" s="97"/>
    </row>
    <row r="43406" spans="25:25" x14ac:dyDescent="0.2">
      <c r="Y43406" s="97"/>
    </row>
    <row r="43407" spans="25:25" x14ac:dyDescent="0.2">
      <c r="Y43407" s="97"/>
    </row>
    <row r="43408" spans="25:25" x14ac:dyDescent="0.2">
      <c r="Y43408" s="97"/>
    </row>
    <row r="43409" spans="25:25" x14ac:dyDescent="0.2">
      <c r="Y43409" s="97"/>
    </row>
    <row r="43410" spans="25:25" x14ac:dyDescent="0.2">
      <c r="Y43410" s="97"/>
    </row>
    <row r="43411" spans="25:25" x14ac:dyDescent="0.2">
      <c r="Y43411" s="97"/>
    </row>
    <row r="43412" spans="25:25" x14ac:dyDescent="0.2">
      <c r="Y43412" s="97"/>
    </row>
    <row r="43413" spans="25:25" x14ac:dyDescent="0.2">
      <c r="Y43413" s="97"/>
    </row>
    <row r="43414" spans="25:25" x14ac:dyDescent="0.2">
      <c r="Y43414" s="97"/>
    </row>
    <row r="43415" spans="25:25" x14ac:dyDescent="0.2">
      <c r="Y43415" s="97"/>
    </row>
    <row r="43416" spans="25:25" x14ac:dyDescent="0.2">
      <c r="Y43416" s="97"/>
    </row>
    <row r="43417" spans="25:25" x14ac:dyDescent="0.2">
      <c r="Y43417" s="97"/>
    </row>
    <row r="43418" spans="25:25" x14ac:dyDescent="0.2">
      <c r="Y43418" s="97"/>
    </row>
    <row r="43419" spans="25:25" x14ac:dyDescent="0.2">
      <c r="Y43419" s="97"/>
    </row>
    <row r="43420" spans="25:25" x14ac:dyDescent="0.2">
      <c r="Y43420" s="97"/>
    </row>
    <row r="43421" spans="25:25" x14ac:dyDescent="0.2">
      <c r="Y43421" s="97"/>
    </row>
    <row r="43422" spans="25:25" x14ac:dyDescent="0.2">
      <c r="Y43422" s="97"/>
    </row>
    <row r="43423" spans="25:25" x14ac:dyDescent="0.2">
      <c r="Y43423" s="97"/>
    </row>
    <row r="43424" spans="25:25" x14ac:dyDescent="0.2">
      <c r="Y43424" s="97"/>
    </row>
    <row r="43425" spans="25:25" x14ac:dyDescent="0.2">
      <c r="Y43425" s="97"/>
    </row>
    <row r="43426" spans="25:25" x14ac:dyDescent="0.2">
      <c r="Y43426" s="97"/>
    </row>
    <row r="43427" spans="25:25" x14ac:dyDescent="0.2">
      <c r="Y43427" s="97"/>
    </row>
    <row r="43428" spans="25:25" x14ac:dyDescent="0.2">
      <c r="Y43428" s="97"/>
    </row>
    <row r="43429" spans="25:25" x14ac:dyDescent="0.2">
      <c r="Y43429" s="97"/>
    </row>
    <row r="43430" spans="25:25" x14ac:dyDescent="0.2">
      <c r="Y43430" s="97"/>
    </row>
    <row r="43431" spans="25:25" x14ac:dyDescent="0.2">
      <c r="Y43431" s="97"/>
    </row>
    <row r="43432" spans="25:25" x14ac:dyDescent="0.2">
      <c r="Y43432" s="97"/>
    </row>
    <row r="43433" spans="25:25" x14ac:dyDescent="0.2">
      <c r="Y43433" s="97"/>
    </row>
    <row r="43434" spans="25:25" x14ac:dyDescent="0.2">
      <c r="Y43434" s="97"/>
    </row>
    <row r="43435" spans="25:25" x14ac:dyDescent="0.2">
      <c r="Y43435" s="97"/>
    </row>
    <row r="43436" spans="25:25" x14ac:dyDescent="0.2">
      <c r="Y43436" s="97"/>
    </row>
    <row r="43437" spans="25:25" x14ac:dyDescent="0.2">
      <c r="Y43437" s="97"/>
    </row>
    <row r="43438" spans="25:25" x14ac:dyDescent="0.2">
      <c r="Y43438" s="97"/>
    </row>
    <row r="43439" spans="25:25" x14ac:dyDescent="0.2">
      <c r="Y43439" s="97"/>
    </row>
    <row r="43440" spans="25:25" x14ac:dyDescent="0.2">
      <c r="Y43440" s="97"/>
    </row>
    <row r="43441" spans="25:25" x14ac:dyDescent="0.2">
      <c r="Y43441" s="97"/>
    </row>
    <row r="43442" spans="25:25" x14ac:dyDescent="0.2">
      <c r="Y43442" s="97"/>
    </row>
    <row r="43443" spans="25:25" x14ac:dyDescent="0.2">
      <c r="Y43443" s="97"/>
    </row>
    <row r="43444" spans="25:25" x14ac:dyDescent="0.2">
      <c r="Y43444" s="97"/>
    </row>
    <row r="43445" spans="25:25" x14ac:dyDescent="0.2">
      <c r="Y43445" s="97"/>
    </row>
    <row r="43446" spans="25:25" x14ac:dyDescent="0.2">
      <c r="Y43446" s="97"/>
    </row>
    <row r="43447" spans="25:25" x14ac:dyDescent="0.2">
      <c r="Y43447" s="97"/>
    </row>
    <row r="43448" spans="25:25" x14ac:dyDescent="0.2">
      <c r="Y43448" s="97"/>
    </row>
    <row r="43449" spans="25:25" x14ac:dyDescent="0.2">
      <c r="Y43449" s="97"/>
    </row>
    <row r="43450" spans="25:25" x14ac:dyDescent="0.2">
      <c r="Y43450" s="97"/>
    </row>
    <row r="43451" spans="25:25" x14ac:dyDescent="0.2">
      <c r="Y43451" s="97"/>
    </row>
    <row r="43452" spans="25:25" x14ac:dyDescent="0.2">
      <c r="Y43452" s="97"/>
    </row>
    <row r="43453" spans="25:25" x14ac:dyDescent="0.2">
      <c r="Y43453" s="97"/>
    </row>
    <row r="43454" spans="25:25" x14ac:dyDescent="0.2">
      <c r="Y43454" s="97"/>
    </row>
    <row r="43455" spans="25:25" x14ac:dyDescent="0.2">
      <c r="Y43455" s="97"/>
    </row>
    <row r="43456" spans="25:25" x14ac:dyDescent="0.2">
      <c r="Y43456" s="97"/>
    </row>
    <row r="43457" spans="25:25" x14ac:dyDescent="0.2">
      <c r="Y43457" s="97"/>
    </row>
    <row r="43458" spans="25:25" x14ac:dyDescent="0.2">
      <c r="Y43458" s="97"/>
    </row>
    <row r="43459" spans="25:25" x14ac:dyDescent="0.2">
      <c r="Y43459" s="97"/>
    </row>
    <row r="43460" spans="25:25" x14ac:dyDescent="0.2">
      <c r="Y43460" s="97"/>
    </row>
    <row r="43461" spans="25:25" x14ac:dyDescent="0.2">
      <c r="Y43461" s="97"/>
    </row>
    <row r="43462" spans="25:25" x14ac:dyDescent="0.2">
      <c r="Y43462" s="97"/>
    </row>
    <row r="43463" spans="25:25" x14ac:dyDescent="0.2">
      <c r="Y43463" s="97"/>
    </row>
    <row r="43464" spans="25:25" x14ac:dyDescent="0.2">
      <c r="Y43464" s="97"/>
    </row>
    <row r="43465" spans="25:25" x14ac:dyDescent="0.2">
      <c r="Y43465" s="97"/>
    </row>
    <row r="43466" spans="25:25" x14ac:dyDescent="0.2">
      <c r="Y43466" s="97"/>
    </row>
    <row r="43467" spans="25:25" x14ac:dyDescent="0.2">
      <c r="Y43467" s="97"/>
    </row>
    <row r="43468" spans="25:25" x14ac:dyDescent="0.2">
      <c r="Y43468" s="97"/>
    </row>
    <row r="43469" spans="25:25" x14ac:dyDescent="0.2">
      <c r="Y43469" s="97"/>
    </row>
    <row r="43470" spans="25:25" x14ac:dyDescent="0.2">
      <c r="Y43470" s="97"/>
    </row>
    <row r="43471" spans="25:25" x14ac:dyDescent="0.2">
      <c r="Y43471" s="97"/>
    </row>
    <row r="43472" spans="25:25" x14ac:dyDescent="0.2">
      <c r="Y43472" s="97"/>
    </row>
    <row r="43473" spans="25:25" x14ac:dyDescent="0.2">
      <c r="Y43473" s="97"/>
    </row>
    <row r="43474" spans="25:25" x14ac:dyDescent="0.2">
      <c r="Y43474" s="97"/>
    </row>
    <row r="43475" spans="25:25" x14ac:dyDescent="0.2">
      <c r="Y43475" s="97"/>
    </row>
    <row r="43476" spans="25:25" x14ac:dyDescent="0.2">
      <c r="Y43476" s="97"/>
    </row>
    <row r="43477" spans="25:25" x14ac:dyDescent="0.2">
      <c r="Y43477" s="97"/>
    </row>
    <row r="43478" spans="25:25" x14ac:dyDescent="0.2">
      <c r="Y43478" s="97"/>
    </row>
    <row r="43479" spans="25:25" x14ac:dyDescent="0.2">
      <c r="Y43479" s="97"/>
    </row>
    <row r="43480" spans="25:25" x14ac:dyDescent="0.2">
      <c r="Y43480" s="97"/>
    </row>
    <row r="43481" spans="25:25" x14ac:dyDescent="0.2">
      <c r="Y43481" s="97"/>
    </row>
    <row r="43482" spans="25:25" x14ac:dyDescent="0.2">
      <c r="Y43482" s="97"/>
    </row>
    <row r="43483" spans="25:25" x14ac:dyDescent="0.2">
      <c r="Y43483" s="97"/>
    </row>
    <row r="43484" spans="25:25" x14ac:dyDescent="0.2">
      <c r="Y43484" s="97"/>
    </row>
    <row r="43485" spans="25:25" x14ac:dyDescent="0.2">
      <c r="Y43485" s="97"/>
    </row>
    <row r="43486" spans="25:25" x14ac:dyDescent="0.2">
      <c r="Y43486" s="97"/>
    </row>
    <row r="43487" spans="25:25" x14ac:dyDescent="0.2">
      <c r="Y43487" s="97"/>
    </row>
    <row r="43488" spans="25:25" x14ac:dyDescent="0.2">
      <c r="Y43488" s="97"/>
    </row>
    <row r="43489" spans="25:25" x14ac:dyDescent="0.2">
      <c r="Y43489" s="97"/>
    </row>
    <row r="43490" spans="25:25" x14ac:dyDescent="0.2">
      <c r="Y43490" s="97"/>
    </row>
    <row r="43491" spans="25:25" x14ac:dyDescent="0.2">
      <c r="Y43491" s="97"/>
    </row>
    <row r="43492" spans="25:25" x14ac:dyDescent="0.2">
      <c r="Y43492" s="97"/>
    </row>
    <row r="43493" spans="25:25" x14ac:dyDescent="0.2">
      <c r="Y43493" s="97"/>
    </row>
    <row r="43494" spans="25:25" x14ac:dyDescent="0.2">
      <c r="Y43494" s="97"/>
    </row>
    <row r="43495" spans="25:25" x14ac:dyDescent="0.2">
      <c r="Y43495" s="97"/>
    </row>
    <row r="43496" spans="25:25" x14ac:dyDescent="0.2">
      <c r="Y43496" s="97"/>
    </row>
    <row r="43497" spans="25:25" x14ac:dyDescent="0.2">
      <c r="Y43497" s="97"/>
    </row>
    <row r="43498" spans="25:25" x14ac:dyDescent="0.2">
      <c r="Y43498" s="97"/>
    </row>
    <row r="43499" spans="25:25" x14ac:dyDescent="0.2">
      <c r="Y43499" s="97"/>
    </row>
    <row r="43500" spans="25:25" x14ac:dyDescent="0.2">
      <c r="Y43500" s="97"/>
    </row>
    <row r="43501" spans="25:25" x14ac:dyDescent="0.2">
      <c r="Y43501" s="97"/>
    </row>
    <row r="43502" spans="25:25" x14ac:dyDescent="0.2">
      <c r="Y43502" s="97"/>
    </row>
    <row r="43503" spans="25:25" x14ac:dyDescent="0.2">
      <c r="Y43503" s="97"/>
    </row>
    <row r="43504" spans="25:25" x14ac:dyDescent="0.2">
      <c r="Y43504" s="97"/>
    </row>
    <row r="43505" spans="25:25" x14ac:dyDescent="0.2">
      <c r="Y43505" s="97"/>
    </row>
    <row r="43506" spans="25:25" x14ac:dyDescent="0.2">
      <c r="Y43506" s="97"/>
    </row>
    <row r="43507" spans="25:25" x14ac:dyDescent="0.2">
      <c r="Y43507" s="97"/>
    </row>
    <row r="43508" spans="25:25" x14ac:dyDescent="0.2">
      <c r="Y43508" s="97"/>
    </row>
    <row r="43509" spans="25:25" x14ac:dyDescent="0.2">
      <c r="Y43509" s="97"/>
    </row>
    <row r="43510" spans="25:25" x14ac:dyDescent="0.2">
      <c r="Y43510" s="97"/>
    </row>
    <row r="43511" spans="25:25" x14ac:dyDescent="0.2">
      <c r="Y43511" s="97"/>
    </row>
    <row r="43512" spans="25:25" x14ac:dyDescent="0.2">
      <c r="Y43512" s="97"/>
    </row>
    <row r="43513" spans="25:25" x14ac:dyDescent="0.2">
      <c r="Y43513" s="97"/>
    </row>
    <row r="43514" spans="25:25" x14ac:dyDescent="0.2">
      <c r="Y43514" s="97"/>
    </row>
    <row r="43515" spans="25:25" x14ac:dyDescent="0.2">
      <c r="Y43515" s="97"/>
    </row>
    <row r="43516" spans="25:25" x14ac:dyDescent="0.2">
      <c r="Y43516" s="97"/>
    </row>
    <row r="43517" spans="25:25" x14ac:dyDescent="0.2">
      <c r="Y43517" s="97"/>
    </row>
    <row r="43518" spans="25:25" x14ac:dyDescent="0.2">
      <c r="Y43518" s="97"/>
    </row>
    <row r="43519" spans="25:25" x14ac:dyDescent="0.2">
      <c r="Y43519" s="97"/>
    </row>
    <row r="43520" spans="25:25" x14ac:dyDescent="0.2">
      <c r="Y43520" s="97"/>
    </row>
    <row r="43521" spans="25:25" x14ac:dyDescent="0.2">
      <c r="Y43521" s="97"/>
    </row>
    <row r="43522" spans="25:25" x14ac:dyDescent="0.2">
      <c r="Y43522" s="97"/>
    </row>
    <row r="43523" spans="25:25" x14ac:dyDescent="0.2">
      <c r="Y43523" s="97"/>
    </row>
    <row r="43524" spans="25:25" x14ac:dyDescent="0.2">
      <c r="Y43524" s="97"/>
    </row>
    <row r="43525" spans="25:25" x14ac:dyDescent="0.2">
      <c r="Y43525" s="97"/>
    </row>
    <row r="43526" spans="25:25" x14ac:dyDescent="0.2">
      <c r="Y43526" s="97"/>
    </row>
    <row r="43527" spans="25:25" x14ac:dyDescent="0.2">
      <c r="Y43527" s="97"/>
    </row>
    <row r="43528" spans="25:25" x14ac:dyDescent="0.2">
      <c r="Y43528" s="97"/>
    </row>
    <row r="43529" spans="25:25" x14ac:dyDescent="0.2">
      <c r="Y43529" s="97"/>
    </row>
    <row r="43530" spans="25:25" x14ac:dyDescent="0.2">
      <c r="Y43530" s="97"/>
    </row>
    <row r="43531" spans="25:25" x14ac:dyDescent="0.2">
      <c r="Y43531" s="97"/>
    </row>
    <row r="43532" spans="25:25" x14ac:dyDescent="0.2">
      <c r="Y43532" s="97"/>
    </row>
    <row r="43533" spans="25:25" x14ac:dyDescent="0.2">
      <c r="Y43533" s="97"/>
    </row>
    <row r="43534" spans="25:25" x14ac:dyDescent="0.2">
      <c r="Y43534" s="97"/>
    </row>
    <row r="43535" spans="25:25" x14ac:dyDescent="0.2">
      <c r="Y43535" s="97"/>
    </row>
    <row r="43536" spans="25:25" x14ac:dyDescent="0.2">
      <c r="Y43536" s="97"/>
    </row>
    <row r="43537" spans="25:25" x14ac:dyDescent="0.2">
      <c r="Y43537" s="97"/>
    </row>
    <row r="43538" spans="25:25" x14ac:dyDescent="0.2">
      <c r="Y43538" s="97"/>
    </row>
    <row r="43539" spans="25:25" x14ac:dyDescent="0.2">
      <c r="Y43539" s="97"/>
    </row>
    <row r="43540" spans="25:25" x14ac:dyDescent="0.2">
      <c r="Y43540" s="97"/>
    </row>
    <row r="43541" spans="25:25" x14ac:dyDescent="0.2">
      <c r="Y43541" s="97"/>
    </row>
    <row r="43542" spans="25:25" x14ac:dyDescent="0.2">
      <c r="Y43542" s="97"/>
    </row>
    <row r="43543" spans="25:25" x14ac:dyDescent="0.2">
      <c r="Y43543" s="97"/>
    </row>
    <row r="43544" spans="25:25" x14ac:dyDescent="0.2">
      <c r="Y43544" s="97"/>
    </row>
    <row r="43545" spans="25:25" x14ac:dyDescent="0.2">
      <c r="Y43545" s="97"/>
    </row>
    <row r="43546" spans="25:25" x14ac:dyDescent="0.2">
      <c r="Y43546" s="97"/>
    </row>
    <row r="43547" spans="25:25" x14ac:dyDescent="0.2">
      <c r="Y43547" s="97"/>
    </row>
    <row r="43548" spans="25:25" x14ac:dyDescent="0.2">
      <c r="Y43548" s="97"/>
    </row>
    <row r="43549" spans="25:25" x14ac:dyDescent="0.2">
      <c r="Y43549" s="97"/>
    </row>
    <row r="43550" spans="25:25" x14ac:dyDescent="0.2">
      <c r="Y43550" s="97"/>
    </row>
    <row r="43551" spans="25:25" x14ac:dyDescent="0.2">
      <c r="Y43551" s="97"/>
    </row>
    <row r="43552" spans="25:25" x14ac:dyDescent="0.2">
      <c r="Y43552" s="97"/>
    </row>
    <row r="43553" spans="25:25" x14ac:dyDescent="0.2">
      <c r="Y43553" s="97"/>
    </row>
    <row r="43554" spans="25:25" x14ac:dyDescent="0.2">
      <c r="Y43554" s="97"/>
    </row>
    <row r="43555" spans="25:25" x14ac:dyDescent="0.2">
      <c r="Y43555" s="97"/>
    </row>
    <row r="43556" spans="25:25" x14ac:dyDescent="0.2">
      <c r="Y43556" s="97"/>
    </row>
    <row r="43557" spans="25:25" x14ac:dyDescent="0.2">
      <c r="Y43557" s="97"/>
    </row>
    <row r="43558" spans="25:25" x14ac:dyDescent="0.2">
      <c r="Y43558" s="97"/>
    </row>
    <row r="43559" spans="25:25" x14ac:dyDescent="0.2">
      <c r="Y43559" s="97"/>
    </row>
    <row r="43560" spans="25:25" x14ac:dyDescent="0.2">
      <c r="Y43560" s="97"/>
    </row>
    <row r="43561" spans="25:25" x14ac:dyDescent="0.2">
      <c r="Y43561" s="97"/>
    </row>
    <row r="43562" spans="25:25" x14ac:dyDescent="0.2">
      <c r="Y43562" s="97"/>
    </row>
    <row r="43563" spans="25:25" x14ac:dyDescent="0.2">
      <c r="Y43563" s="97"/>
    </row>
    <row r="43564" spans="25:25" x14ac:dyDescent="0.2">
      <c r="Y43564" s="97"/>
    </row>
    <row r="43565" spans="25:25" x14ac:dyDescent="0.2">
      <c r="Y43565" s="97"/>
    </row>
    <row r="43566" spans="25:25" x14ac:dyDescent="0.2">
      <c r="Y43566" s="97"/>
    </row>
    <row r="43567" spans="25:25" x14ac:dyDescent="0.2">
      <c r="Y43567" s="97"/>
    </row>
    <row r="43568" spans="25:25" x14ac:dyDescent="0.2">
      <c r="Y43568" s="97"/>
    </row>
    <row r="43569" spans="25:25" x14ac:dyDescent="0.2">
      <c r="Y43569" s="97"/>
    </row>
    <row r="43570" spans="25:25" x14ac:dyDescent="0.2">
      <c r="Y43570" s="97"/>
    </row>
    <row r="43571" spans="25:25" x14ac:dyDescent="0.2">
      <c r="Y43571" s="97"/>
    </row>
    <row r="43572" spans="25:25" x14ac:dyDescent="0.2">
      <c r="Y43572" s="97"/>
    </row>
    <row r="43573" spans="25:25" x14ac:dyDescent="0.2">
      <c r="Y43573" s="97"/>
    </row>
    <row r="43574" spans="25:25" x14ac:dyDescent="0.2">
      <c r="Y43574" s="97"/>
    </row>
    <row r="43575" spans="25:25" x14ac:dyDescent="0.2">
      <c r="Y43575" s="97"/>
    </row>
    <row r="43576" spans="25:25" x14ac:dyDescent="0.2">
      <c r="Y43576" s="97"/>
    </row>
    <row r="43577" spans="25:25" x14ac:dyDescent="0.2">
      <c r="Y43577" s="97"/>
    </row>
    <row r="43578" spans="25:25" x14ac:dyDescent="0.2">
      <c r="Y43578" s="97"/>
    </row>
    <row r="43579" spans="25:25" x14ac:dyDescent="0.2">
      <c r="Y43579" s="97"/>
    </row>
    <row r="43580" spans="25:25" x14ac:dyDescent="0.2">
      <c r="Y43580" s="97"/>
    </row>
    <row r="43581" spans="25:25" x14ac:dyDescent="0.2">
      <c r="Y43581" s="97"/>
    </row>
    <row r="43582" spans="25:25" x14ac:dyDescent="0.2">
      <c r="Y43582" s="97"/>
    </row>
    <row r="43583" spans="25:25" x14ac:dyDescent="0.2">
      <c r="Y43583" s="97"/>
    </row>
    <row r="43584" spans="25:25" x14ac:dyDescent="0.2">
      <c r="Y43584" s="97"/>
    </row>
    <row r="43585" spans="25:25" x14ac:dyDescent="0.2">
      <c r="Y43585" s="97"/>
    </row>
    <row r="43586" spans="25:25" x14ac:dyDescent="0.2">
      <c r="Y43586" s="97"/>
    </row>
    <row r="43587" spans="25:25" x14ac:dyDescent="0.2">
      <c r="Y43587" s="97"/>
    </row>
    <row r="43588" spans="25:25" x14ac:dyDescent="0.2">
      <c r="Y43588" s="97"/>
    </row>
    <row r="43589" spans="25:25" x14ac:dyDescent="0.2">
      <c r="Y43589" s="97"/>
    </row>
    <row r="43590" spans="25:25" x14ac:dyDescent="0.2">
      <c r="Y43590" s="97"/>
    </row>
    <row r="43591" spans="25:25" x14ac:dyDescent="0.2">
      <c r="Y43591" s="97"/>
    </row>
    <row r="43592" spans="25:25" x14ac:dyDescent="0.2">
      <c r="Y43592" s="97"/>
    </row>
    <row r="43593" spans="25:25" x14ac:dyDescent="0.2">
      <c r="Y43593" s="97"/>
    </row>
    <row r="43594" spans="25:25" x14ac:dyDescent="0.2">
      <c r="Y43594" s="97"/>
    </row>
    <row r="43595" spans="25:25" x14ac:dyDescent="0.2">
      <c r="Y43595" s="97"/>
    </row>
    <row r="43596" spans="25:25" x14ac:dyDescent="0.2">
      <c r="Y43596" s="97"/>
    </row>
    <row r="43597" spans="25:25" x14ac:dyDescent="0.2">
      <c r="Y43597" s="97"/>
    </row>
    <row r="43598" spans="25:25" x14ac:dyDescent="0.2">
      <c r="Y43598" s="97"/>
    </row>
    <row r="43599" spans="25:25" x14ac:dyDescent="0.2">
      <c r="Y43599" s="97"/>
    </row>
    <row r="43600" spans="25:25" x14ac:dyDescent="0.2">
      <c r="Y43600" s="97"/>
    </row>
    <row r="43601" spans="25:25" x14ac:dyDescent="0.2">
      <c r="Y43601" s="97"/>
    </row>
    <row r="43602" spans="25:25" x14ac:dyDescent="0.2">
      <c r="Y43602" s="97"/>
    </row>
    <row r="43603" spans="25:25" x14ac:dyDescent="0.2">
      <c r="Y43603" s="97"/>
    </row>
    <row r="43604" spans="25:25" x14ac:dyDescent="0.2">
      <c r="Y43604" s="97"/>
    </row>
    <row r="43605" spans="25:25" x14ac:dyDescent="0.2">
      <c r="Y43605" s="97"/>
    </row>
    <row r="43606" spans="25:25" x14ac:dyDescent="0.2">
      <c r="Y43606" s="97"/>
    </row>
    <row r="43607" spans="25:25" x14ac:dyDescent="0.2">
      <c r="Y43607" s="97"/>
    </row>
    <row r="43608" spans="25:25" x14ac:dyDescent="0.2">
      <c r="Y43608" s="97"/>
    </row>
    <row r="43609" spans="25:25" x14ac:dyDescent="0.2">
      <c r="Y43609" s="97"/>
    </row>
    <row r="43610" spans="25:25" x14ac:dyDescent="0.2">
      <c r="Y43610" s="97"/>
    </row>
    <row r="43611" spans="25:25" x14ac:dyDescent="0.2">
      <c r="Y43611" s="97"/>
    </row>
    <row r="43612" spans="25:25" x14ac:dyDescent="0.2">
      <c r="Y43612" s="97"/>
    </row>
    <row r="43613" spans="25:25" x14ac:dyDescent="0.2">
      <c r="Y43613" s="97"/>
    </row>
    <row r="43614" spans="25:25" x14ac:dyDescent="0.2">
      <c r="Y43614" s="97"/>
    </row>
    <row r="43615" spans="25:25" x14ac:dyDescent="0.2">
      <c r="Y43615" s="97"/>
    </row>
    <row r="43616" spans="25:25" x14ac:dyDescent="0.2">
      <c r="Y43616" s="97"/>
    </row>
    <row r="43617" spans="25:25" x14ac:dyDescent="0.2">
      <c r="Y43617" s="97"/>
    </row>
    <row r="43618" spans="25:25" x14ac:dyDescent="0.2">
      <c r="Y43618" s="97"/>
    </row>
    <row r="43619" spans="25:25" x14ac:dyDescent="0.2">
      <c r="Y43619" s="97"/>
    </row>
    <row r="43620" spans="25:25" x14ac:dyDescent="0.2">
      <c r="Y43620" s="97"/>
    </row>
    <row r="43621" spans="25:25" x14ac:dyDescent="0.2">
      <c r="Y43621" s="97"/>
    </row>
    <row r="43622" spans="25:25" x14ac:dyDescent="0.2">
      <c r="Y43622" s="97"/>
    </row>
    <row r="43623" spans="25:25" x14ac:dyDescent="0.2">
      <c r="Y43623" s="97"/>
    </row>
    <row r="43624" spans="25:25" x14ac:dyDescent="0.2">
      <c r="Y43624" s="97"/>
    </row>
    <row r="43625" spans="25:25" x14ac:dyDescent="0.2">
      <c r="Y43625" s="97"/>
    </row>
    <row r="43626" spans="25:25" x14ac:dyDescent="0.2">
      <c r="Y43626" s="97"/>
    </row>
    <row r="43627" spans="25:25" x14ac:dyDescent="0.2">
      <c r="Y43627" s="97"/>
    </row>
    <row r="43628" spans="25:25" x14ac:dyDescent="0.2">
      <c r="Y43628" s="97"/>
    </row>
    <row r="43629" spans="25:25" x14ac:dyDescent="0.2">
      <c r="Y43629" s="97"/>
    </row>
    <row r="43630" spans="25:25" x14ac:dyDescent="0.2">
      <c r="Y43630" s="97"/>
    </row>
    <row r="43631" spans="25:25" x14ac:dyDescent="0.2">
      <c r="Y43631" s="97"/>
    </row>
    <row r="43632" spans="25:25" x14ac:dyDescent="0.2">
      <c r="Y43632" s="97"/>
    </row>
    <row r="43633" spans="25:25" x14ac:dyDescent="0.2">
      <c r="Y43633" s="97"/>
    </row>
    <row r="43634" spans="25:25" x14ac:dyDescent="0.2">
      <c r="Y43634" s="97"/>
    </row>
    <row r="43635" spans="25:25" x14ac:dyDescent="0.2">
      <c r="Y43635" s="97"/>
    </row>
    <row r="43636" spans="25:25" x14ac:dyDescent="0.2">
      <c r="Y43636" s="97"/>
    </row>
    <row r="43637" spans="25:25" x14ac:dyDescent="0.2">
      <c r="Y43637" s="97"/>
    </row>
    <row r="43638" spans="25:25" x14ac:dyDescent="0.2">
      <c r="Y43638" s="97"/>
    </row>
    <row r="43639" spans="25:25" x14ac:dyDescent="0.2">
      <c r="Y43639" s="97"/>
    </row>
    <row r="43640" spans="25:25" x14ac:dyDescent="0.2">
      <c r="Y43640" s="97"/>
    </row>
    <row r="43641" spans="25:25" x14ac:dyDescent="0.2">
      <c r="Y43641" s="97"/>
    </row>
    <row r="43642" spans="25:25" x14ac:dyDescent="0.2">
      <c r="Y43642" s="97"/>
    </row>
    <row r="43643" spans="25:25" x14ac:dyDescent="0.2">
      <c r="Y43643" s="97"/>
    </row>
    <row r="43644" spans="25:25" x14ac:dyDescent="0.2">
      <c r="Y43644" s="97"/>
    </row>
    <row r="43645" spans="25:25" x14ac:dyDescent="0.2">
      <c r="Y43645" s="97"/>
    </row>
    <row r="43646" spans="25:25" x14ac:dyDescent="0.2">
      <c r="Y43646" s="97"/>
    </row>
    <row r="43647" spans="25:25" x14ac:dyDescent="0.2">
      <c r="Y43647" s="97"/>
    </row>
    <row r="43648" spans="25:25" x14ac:dyDescent="0.2">
      <c r="Y43648" s="97"/>
    </row>
    <row r="43649" spans="25:25" x14ac:dyDescent="0.2">
      <c r="Y43649" s="97"/>
    </row>
    <row r="43650" spans="25:25" x14ac:dyDescent="0.2">
      <c r="Y43650" s="97"/>
    </row>
    <row r="43651" spans="25:25" x14ac:dyDescent="0.2">
      <c r="Y43651" s="97"/>
    </row>
    <row r="43652" spans="25:25" x14ac:dyDescent="0.2">
      <c r="Y43652" s="97"/>
    </row>
    <row r="43653" spans="25:25" x14ac:dyDescent="0.2">
      <c r="Y43653" s="97"/>
    </row>
    <row r="43654" spans="25:25" x14ac:dyDescent="0.2">
      <c r="Y43654" s="97"/>
    </row>
    <row r="43655" spans="25:25" x14ac:dyDescent="0.2">
      <c r="Y43655" s="97"/>
    </row>
    <row r="43656" spans="25:25" x14ac:dyDescent="0.2">
      <c r="Y43656" s="97"/>
    </row>
    <row r="43657" spans="25:25" x14ac:dyDescent="0.2">
      <c r="Y43657" s="97"/>
    </row>
    <row r="43658" spans="25:25" x14ac:dyDescent="0.2">
      <c r="Y43658" s="97"/>
    </row>
    <row r="43659" spans="25:25" x14ac:dyDescent="0.2">
      <c r="Y43659" s="97"/>
    </row>
    <row r="43660" spans="25:25" x14ac:dyDescent="0.2">
      <c r="Y43660" s="97"/>
    </row>
    <row r="43661" spans="25:25" x14ac:dyDescent="0.2">
      <c r="Y43661" s="97"/>
    </row>
    <row r="43662" spans="25:25" x14ac:dyDescent="0.2">
      <c r="Y43662" s="97"/>
    </row>
    <row r="43663" spans="25:25" x14ac:dyDescent="0.2">
      <c r="Y43663" s="97"/>
    </row>
    <row r="43664" spans="25:25" x14ac:dyDescent="0.2">
      <c r="Y43664" s="97"/>
    </row>
    <row r="43665" spans="25:25" x14ac:dyDescent="0.2">
      <c r="Y43665" s="97"/>
    </row>
    <row r="43666" spans="25:25" x14ac:dyDescent="0.2">
      <c r="Y43666" s="97"/>
    </row>
    <row r="43667" spans="25:25" x14ac:dyDescent="0.2">
      <c r="Y43667" s="97"/>
    </row>
    <row r="43668" spans="25:25" x14ac:dyDescent="0.2">
      <c r="Y43668" s="97"/>
    </row>
    <row r="43669" spans="25:25" x14ac:dyDescent="0.2">
      <c r="Y43669" s="97"/>
    </row>
    <row r="43670" spans="25:25" x14ac:dyDescent="0.2">
      <c r="Y43670" s="97"/>
    </row>
    <row r="43671" spans="25:25" x14ac:dyDescent="0.2">
      <c r="Y43671" s="97"/>
    </row>
    <row r="43672" spans="25:25" x14ac:dyDescent="0.2">
      <c r="Y43672" s="97"/>
    </row>
    <row r="43673" spans="25:25" x14ac:dyDescent="0.2">
      <c r="Y43673" s="97"/>
    </row>
    <row r="43674" spans="25:25" x14ac:dyDescent="0.2">
      <c r="Y43674" s="97"/>
    </row>
    <row r="43675" spans="25:25" x14ac:dyDescent="0.2">
      <c r="Y43675" s="97"/>
    </row>
    <row r="43676" spans="25:25" x14ac:dyDescent="0.2">
      <c r="Y43676" s="97"/>
    </row>
    <row r="43677" spans="25:25" x14ac:dyDescent="0.2">
      <c r="Y43677" s="97"/>
    </row>
    <row r="43678" spans="25:25" x14ac:dyDescent="0.2">
      <c r="Y43678" s="97"/>
    </row>
    <row r="43679" spans="25:25" x14ac:dyDescent="0.2">
      <c r="Y43679" s="97"/>
    </row>
    <row r="43680" spans="25:25" x14ac:dyDescent="0.2">
      <c r="Y43680" s="97"/>
    </row>
    <row r="43681" spans="25:25" x14ac:dyDescent="0.2">
      <c r="Y43681" s="97"/>
    </row>
    <row r="43682" spans="25:25" x14ac:dyDescent="0.2">
      <c r="Y43682" s="97"/>
    </row>
    <row r="43683" spans="25:25" x14ac:dyDescent="0.2">
      <c r="Y43683" s="97"/>
    </row>
    <row r="43684" spans="25:25" x14ac:dyDescent="0.2">
      <c r="Y43684" s="97"/>
    </row>
    <row r="43685" spans="25:25" x14ac:dyDescent="0.2">
      <c r="Y43685" s="97"/>
    </row>
    <row r="43686" spans="25:25" x14ac:dyDescent="0.2">
      <c r="Y43686" s="97"/>
    </row>
    <row r="43687" spans="25:25" x14ac:dyDescent="0.2">
      <c r="Y43687" s="97"/>
    </row>
    <row r="43688" spans="25:25" x14ac:dyDescent="0.2">
      <c r="Y43688" s="97"/>
    </row>
    <row r="43689" spans="25:25" x14ac:dyDescent="0.2">
      <c r="Y43689" s="97"/>
    </row>
    <row r="43690" spans="25:25" x14ac:dyDescent="0.2">
      <c r="Y43690" s="97"/>
    </row>
    <row r="43691" spans="25:25" x14ac:dyDescent="0.2">
      <c r="Y43691" s="97"/>
    </row>
    <row r="43692" spans="25:25" x14ac:dyDescent="0.2">
      <c r="Y43692" s="97"/>
    </row>
    <row r="43693" spans="25:25" x14ac:dyDescent="0.2">
      <c r="Y43693" s="97"/>
    </row>
    <row r="43694" spans="25:25" x14ac:dyDescent="0.2">
      <c r="Y43694" s="97"/>
    </row>
    <row r="43695" spans="25:25" x14ac:dyDescent="0.2">
      <c r="Y43695" s="97"/>
    </row>
    <row r="43696" spans="25:25" x14ac:dyDescent="0.2">
      <c r="Y43696" s="97"/>
    </row>
    <row r="43697" spans="25:25" x14ac:dyDescent="0.2">
      <c r="Y43697" s="97"/>
    </row>
    <row r="43698" spans="25:25" x14ac:dyDescent="0.2">
      <c r="Y43698" s="97"/>
    </row>
    <row r="43699" spans="25:25" x14ac:dyDescent="0.2">
      <c r="Y43699" s="97"/>
    </row>
    <row r="43700" spans="25:25" x14ac:dyDescent="0.2">
      <c r="Y43700" s="97"/>
    </row>
    <row r="43701" spans="25:25" x14ac:dyDescent="0.2">
      <c r="Y43701" s="97"/>
    </row>
    <row r="43702" spans="25:25" x14ac:dyDescent="0.2">
      <c r="Y43702" s="97"/>
    </row>
    <row r="43703" spans="25:25" x14ac:dyDescent="0.2">
      <c r="Y43703" s="97"/>
    </row>
    <row r="43704" spans="25:25" x14ac:dyDescent="0.2">
      <c r="Y43704" s="97"/>
    </row>
    <row r="43705" spans="25:25" x14ac:dyDescent="0.2">
      <c r="Y43705" s="97"/>
    </row>
    <row r="43706" spans="25:25" x14ac:dyDescent="0.2">
      <c r="Y43706" s="97"/>
    </row>
    <row r="43707" spans="25:25" x14ac:dyDescent="0.2">
      <c r="Y43707" s="97"/>
    </row>
    <row r="43708" spans="25:25" x14ac:dyDescent="0.2">
      <c r="Y43708" s="97"/>
    </row>
    <row r="43709" spans="25:25" x14ac:dyDescent="0.2">
      <c r="Y43709" s="97"/>
    </row>
    <row r="43710" spans="25:25" x14ac:dyDescent="0.2">
      <c r="Y43710" s="97"/>
    </row>
    <row r="43711" spans="25:25" x14ac:dyDescent="0.2">
      <c r="Y43711" s="97"/>
    </row>
    <row r="43712" spans="25:25" x14ac:dyDescent="0.2">
      <c r="Y43712" s="97"/>
    </row>
    <row r="43713" spans="25:25" x14ac:dyDescent="0.2">
      <c r="Y43713" s="97"/>
    </row>
    <row r="43714" spans="25:25" x14ac:dyDescent="0.2">
      <c r="Y43714" s="97"/>
    </row>
    <row r="43715" spans="25:25" x14ac:dyDescent="0.2">
      <c r="Y43715" s="97"/>
    </row>
    <row r="43716" spans="25:25" x14ac:dyDescent="0.2">
      <c r="Y43716" s="97"/>
    </row>
    <row r="43717" spans="25:25" x14ac:dyDescent="0.2">
      <c r="Y43717" s="97"/>
    </row>
    <row r="43718" spans="25:25" x14ac:dyDescent="0.2">
      <c r="Y43718" s="97"/>
    </row>
    <row r="43719" spans="25:25" x14ac:dyDescent="0.2">
      <c r="Y43719" s="97"/>
    </row>
    <row r="43720" spans="25:25" x14ac:dyDescent="0.2">
      <c r="Y43720" s="97"/>
    </row>
    <row r="43721" spans="25:25" x14ac:dyDescent="0.2">
      <c r="Y43721" s="97"/>
    </row>
    <row r="43722" spans="25:25" x14ac:dyDescent="0.2">
      <c r="Y43722" s="97"/>
    </row>
    <row r="43723" spans="25:25" x14ac:dyDescent="0.2">
      <c r="Y43723" s="97"/>
    </row>
    <row r="43724" spans="25:25" x14ac:dyDescent="0.2">
      <c r="Y43724" s="97"/>
    </row>
    <row r="43725" spans="25:25" x14ac:dyDescent="0.2">
      <c r="Y43725" s="97"/>
    </row>
    <row r="43726" spans="25:25" x14ac:dyDescent="0.2">
      <c r="Y43726" s="97"/>
    </row>
    <row r="43727" spans="25:25" x14ac:dyDescent="0.2">
      <c r="Y43727" s="97"/>
    </row>
    <row r="43728" spans="25:25" x14ac:dyDescent="0.2">
      <c r="Y43728" s="97"/>
    </row>
    <row r="43729" spans="25:25" x14ac:dyDescent="0.2">
      <c r="Y43729" s="97"/>
    </row>
    <row r="43730" spans="25:25" x14ac:dyDescent="0.2">
      <c r="Y43730" s="97"/>
    </row>
    <row r="43731" spans="25:25" x14ac:dyDescent="0.2">
      <c r="Y43731" s="97"/>
    </row>
    <row r="43732" spans="25:25" x14ac:dyDescent="0.2">
      <c r="Y43732" s="97"/>
    </row>
    <row r="43733" spans="25:25" x14ac:dyDescent="0.2">
      <c r="Y43733" s="97"/>
    </row>
    <row r="43734" spans="25:25" x14ac:dyDescent="0.2">
      <c r="Y43734" s="97"/>
    </row>
    <row r="43735" spans="25:25" x14ac:dyDescent="0.2">
      <c r="Y43735" s="97"/>
    </row>
    <row r="43736" spans="25:25" x14ac:dyDescent="0.2">
      <c r="Y43736" s="97"/>
    </row>
    <row r="43737" spans="25:25" x14ac:dyDescent="0.2">
      <c r="Y43737" s="97"/>
    </row>
    <row r="43738" spans="25:25" x14ac:dyDescent="0.2">
      <c r="Y43738" s="97"/>
    </row>
    <row r="43739" spans="25:25" x14ac:dyDescent="0.2">
      <c r="Y43739" s="97"/>
    </row>
    <row r="43740" spans="25:25" x14ac:dyDescent="0.2">
      <c r="Y43740" s="97"/>
    </row>
    <row r="43741" spans="25:25" x14ac:dyDescent="0.2">
      <c r="Y43741" s="97"/>
    </row>
    <row r="43742" spans="25:25" x14ac:dyDescent="0.2">
      <c r="Y43742" s="97"/>
    </row>
    <row r="43743" spans="25:25" x14ac:dyDescent="0.2">
      <c r="Y43743" s="97"/>
    </row>
    <row r="43744" spans="25:25" x14ac:dyDescent="0.2">
      <c r="Y43744" s="97"/>
    </row>
    <row r="43745" spans="25:25" x14ac:dyDescent="0.2">
      <c r="Y43745" s="97"/>
    </row>
    <row r="43746" spans="25:25" x14ac:dyDescent="0.2">
      <c r="Y43746" s="97"/>
    </row>
    <row r="43747" spans="25:25" x14ac:dyDescent="0.2">
      <c r="Y43747" s="97"/>
    </row>
    <row r="43748" spans="25:25" x14ac:dyDescent="0.2">
      <c r="Y43748" s="97"/>
    </row>
    <row r="43749" spans="25:25" x14ac:dyDescent="0.2">
      <c r="Y43749" s="97"/>
    </row>
    <row r="43750" spans="25:25" x14ac:dyDescent="0.2">
      <c r="Y43750" s="97"/>
    </row>
    <row r="43751" spans="25:25" x14ac:dyDescent="0.2">
      <c r="Y43751" s="97"/>
    </row>
    <row r="43752" spans="25:25" x14ac:dyDescent="0.2">
      <c r="Y43752" s="97"/>
    </row>
    <row r="43753" spans="25:25" x14ac:dyDescent="0.2">
      <c r="Y43753" s="97"/>
    </row>
    <row r="43754" spans="25:25" x14ac:dyDescent="0.2">
      <c r="Y43754" s="97"/>
    </row>
    <row r="43755" spans="25:25" x14ac:dyDescent="0.2">
      <c r="Y43755" s="97"/>
    </row>
    <row r="43756" spans="25:25" x14ac:dyDescent="0.2">
      <c r="Y43756" s="97"/>
    </row>
    <row r="43757" spans="25:25" x14ac:dyDescent="0.2">
      <c r="Y43757" s="97"/>
    </row>
    <row r="43758" spans="25:25" x14ac:dyDescent="0.2">
      <c r="Y43758" s="97"/>
    </row>
    <row r="43759" spans="25:25" x14ac:dyDescent="0.2">
      <c r="Y43759" s="97"/>
    </row>
    <row r="43760" spans="25:25" x14ac:dyDescent="0.2">
      <c r="Y43760" s="97"/>
    </row>
    <row r="43761" spans="25:25" x14ac:dyDescent="0.2">
      <c r="Y43761" s="97"/>
    </row>
    <row r="43762" spans="25:25" x14ac:dyDescent="0.2">
      <c r="Y43762" s="97"/>
    </row>
    <row r="43763" spans="25:25" x14ac:dyDescent="0.2">
      <c r="Y43763" s="97"/>
    </row>
    <row r="43764" spans="25:25" x14ac:dyDescent="0.2">
      <c r="Y43764" s="97"/>
    </row>
    <row r="43765" spans="25:25" x14ac:dyDescent="0.2">
      <c r="Y43765" s="97"/>
    </row>
    <row r="43766" spans="25:25" x14ac:dyDescent="0.2">
      <c r="Y43766" s="97"/>
    </row>
    <row r="43767" spans="25:25" x14ac:dyDescent="0.2">
      <c r="Y43767" s="97"/>
    </row>
    <row r="43768" spans="25:25" x14ac:dyDescent="0.2">
      <c r="Y43768" s="97"/>
    </row>
    <row r="43769" spans="25:25" x14ac:dyDescent="0.2">
      <c r="Y43769" s="97"/>
    </row>
    <row r="43770" spans="25:25" x14ac:dyDescent="0.2">
      <c r="Y43770" s="97"/>
    </row>
    <row r="43771" spans="25:25" x14ac:dyDescent="0.2">
      <c r="Y43771" s="97"/>
    </row>
    <row r="43772" spans="25:25" x14ac:dyDescent="0.2">
      <c r="Y43772" s="97"/>
    </row>
    <row r="43773" spans="25:25" x14ac:dyDescent="0.2">
      <c r="Y43773" s="97"/>
    </row>
    <row r="43774" spans="25:25" x14ac:dyDescent="0.2">
      <c r="Y43774" s="97"/>
    </row>
    <row r="43775" spans="25:25" x14ac:dyDescent="0.2">
      <c r="Y43775" s="97"/>
    </row>
    <row r="43776" spans="25:25" x14ac:dyDescent="0.2">
      <c r="Y43776" s="97"/>
    </row>
    <row r="43777" spans="25:25" x14ac:dyDescent="0.2">
      <c r="Y43777" s="97"/>
    </row>
    <row r="43778" spans="25:25" x14ac:dyDescent="0.2">
      <c r="Y43778" s="97"/>
    </row>
    <row r="43779" spans="25:25" x14ac:dyDescent="0.2">
      <c r="Y43779" s="97"/>
    </row>
    <row r="43780" spans="25:25" x14ac:dyDescent="0.2">
      <c r="Y43780" s="97"/>
    </row>
    <row r="43781" spans="25:25" x14ac:dyDescent="0.2">
      <c r="Y43781" s="97"/>
    </row>
    <row r="43782" spans="25:25" x14ac:dyDescent="0.2">
      <c r="Y43782" s="97"/>
    </row>
    <row r="43783" spans="25:25" x14ac:dyDescent="0.2">
      <c r="Y43783" s="97"/>
    </row>
    <row r="43784" spans="25:25" x14ac:dyDescent="0.2">
      <c r="Y43784" s="97"/>
    </row>
    <row r="43785" spans="25:25" x14ac:dyDescent="0.2">
      <c r="Y43785" s="97"/>
    </row>
    <row r="43786" spans="25:25" x14ac:dyDescent="0.2">
      <c r="Y43786" s="97"/>
    </row>
    <row r="43787" spans="25:25" x14ac:dyDescent="0.2">
      <c r="Y43787" s="97"/>
    </row>
    <row r="43788" spans="25:25" x14ac:dyDescent="0.2">
      <c r="Y43788" s="97"/>
    </row>
    <row r="43789" spans="25:25" x14ac:dyDescent="0.2">
      <c r="Y43789" s="97"/>
    </row>
    <row r="43790" spans="25:25" x14ac:dyDescent="0.2">
      <c r="Y43790" s="97"/>
    </row>
    <row r="43791" spans="25:25" x14ac:dyDescent="0.2">
      <c r="Y43791" s="97"/>
    </row>
    <row r="43792" spans="25:25" x14ac:dyDescent="0.2">
      <c r="Y43792" s="97"/>
    </row>
    <row r="43793" spans="25:25" x14ac:dyDescent="0.2">
      <c r="Y43793" s="97"/>
    </row>
    <row r="43794" spans="25:25" x14ac:dyDescent="0.2">
      <c r="Y43794" s="97"/>
    </row>
    <row r="43795" spans="25:25" x14ac:dyDescent="0.2">
      <c r="Y43795" s="97"/>
    </row>
    <row r="43796" spans="25:25" x14ac:dyDescent="0.2">
      <c r="Y43796" s="97"/>
    </row>
    <row r="43797" spans="25:25" x14ac:dyDescent="0.2">
      <c r="Y43797" s="97"/>
    </row>
    <row r="43798" spans="25:25" x14ac:dyDescent="0.2">
      <c r="Y43798" s="97"/>
    </row>
    <row r="43799" spans="25:25" x14ac:dyDescent="0.2">
      <c r="Y43799" s="97"/>
    </row>
    <row r="43800" spans="25:25" x14ac:dyDescent="0.2">
      <c r="Y43800" s="97"/>
    </row>
    <row r="43801" spans="25:25" x14ac:dyDescent="0.2">
      <c r="Y43801" s="97"/>
    </row>
    <row r="43802" spans="25:25" x14ac:dyDescent="0.2">
      <c r="Y43802" s="97"/>
    </row>
    <row r="43803" spans="25:25" x14ac:dyDescent="0.2">
      <c r="Y43803" s="97"/>
    </row>
    <row r="43804" spans="25:25" x14ac:dyDescent="0.2">
      <c r="Y43804" s="97"/>
    </row>
    <row r="43805" spans="25:25" x14ac:dyDescent="0.2">
      <c r="Y43805" s="97"/>
    </row>
    <row r="43806" spans="25:25" x14ac:dyDescent="0.2">
      <c r="Y43806" s="97"/>
    </row>
    <row r="43807" spans="25:25" x14ac:dyDescent="0.2">
      <c r="Y43807" s="97"/>
    </row>
    <row r="43808" spans="25:25" x14ac:dyDescent="0.2">
      <c r="Y43808" s="97"/>
    </row>
    <row r="43809" spans="25:25" x14ac:dyDescent="0.2">
      <c r="Y43809" s="97"/>
    </row>
    <row r="43810" spans="25:25" x14ac:dyDescent="0.2">
      <c r="Y43810" s="97"/>
    </row>
    <row r="43811" spans="25:25" x14ac:dyDescent="0.2">
      <c r="Y43811" s="97"/>
    </row>
    <row r="43812" spans="25:25" x14ac:dyDescent="0.2">
      <c r="Y43812" s="97"/>
    </row>
    <row r="43813" spans="25:25" x14ac:dyDescent="0.2">
      <c r="Y43813" s="97"/>
    </row>
    <row r="43814" spans="25:25" x14ac:dyDescent="0.2">
      <c r="Y43814" s="97"/>
    </row>
    <row r="43815" spans="25:25" x14ac:dyDescent="0.2">
      <c r="Y43815" s="97"/>
    </row>
    <row r="43816" spans="25:25" x14ac:dyDescent="0.2">
      <c r="Y43816" s="97"/>
    </row>
    <row r="43817" spans="25:25" x14ac:dyDescent="0.2">
      <c r="Y43817" s="97"/>
    </row>
    <row r="43818" spans="25:25" x14ac:dyDescent="0.2">
      <c r="Y43818" s="97"/>
    </row>
    <row r="43819" spans="25:25" x14ac:dyDescent="0.2">
      <c r="Y43819" s="97"/>
    </row>
    <row r="43820" spans="25:25" x14ac:dyDescent="0.2">
      <c r="Y43820" s="97"/>
    </row>
    <row r="43821" spans="25:25" x14ac:dyDescent="0.2">
      <c r="Y43821" s="97"/>
    </row>
    <row r="43822" spans="25:25" x14ac:dyDescent="0.2">
      <c r="Y43822" s="97"/>
    </row>
    <row r="43823" spans="25:25" x14ac:dyDescent="0.2">
      <c r="Y43823" s="97"/>
    </row>
    <row r="43824" spans="25:25" x14ac:dyDescent="0.2">
      <c r="Y43824" s="97"/>
    </row>
    <row r="43825" spans="25:25" x14ac:dyDescent="0.2">
      <c r="Y43825" s="97"/>
    </row>
    <row r="43826" spans="25:25" x14ac:dyDescent="0.2">
      <c r="Y43826" s="97"/>
    </row>
    <row r="43827" spans="25:25" x14ac:dyDescent="0.2">
      <c r="Y43827" s="97"/>
    </row>
    <row r="43828" spans="25:25" x14ac:dyDescent="0.2">
      <c r="Y43828" s="97"/>
    </row>
    <row r="43829" spans="25:25" x14ac:dyDescent="0.2">
      <c r="Y43829" s="97"/>
    </row>
    <row r="43830" spans="25:25" x14ac:dyDescent="0.2">
      <c r="Y43830" s="97"/>
    </row>
    <row r="43831" spans="25:25" x14ac:dyDescent="0.2">
      <c r="Y43831" s="97"/>
    </row>
    <row r="43832" spans="25:25" x14ac:dyDescent="0.2">
      <c r="Y43832" s="97"/>
    </row>
    <row r="43833" spans="25:25" x14ac:dyDescent="0.2">
      <c r="Y43833" s="97"/>
    </row>
    <row r="43834" spans="25:25" x14ac:dyDescent="0.2">
      <c r="Y43834" s="97"/>
    </row>
    <row r="43835" spans="25:25" x14ac:dyDescent="0.2">
      <c r="Y43835" s="97"/>
    </row>
    <row r="43836" spans="25:25" x14ac:dyDescent="0.2">
      <c r="Y43836" s="97"/>
    </row>
    <row r="43837" spans="25:25" x14ac:dyDescent="0.2">
      <c r="Y43837" s="97"/>
    </row>
    <row r="43838" spans="25:25" x14ac:dyDescent="0.2">
      <c r="Y43838" s="97"/>
    </row>
    <row r="43839" spans="25:25" x14ac:dyDescent="0.2">
      <c r="Y43839" s="97"/>
    </row>
    <row r="43840" spans="25:25" x14ac:dyDescent="0.2">
      <c r="Y43840" s="97"/>
    </row>
    <row r="43841" spans="25:25" x14ac:dyDescent="0.2">
      <c r="Y43841" s="97"/>
    </row>
    <row r="43842" spans="25:25" x14ac:dyDescent="0.2">
      <c r="Y43842" s="97"/>
    </row>
    <row r="43843" spans="25:25" x14ac:dyDescent="0.2">
      <c r="Y43843" s="97"/>
    </row>
    <row r="43844" spans="25:25" x14ac:dyDescent="0.2">
      <c r="Y43844" s="97"/>
    </row>
    <row r="43845" spans="25:25" x14ac:dyDescent="0.2">
      <c r="Y43845" s="97"/>
    </row>
    <row r="43846" spans="25:25" x14ac:dyDescent="0.2">
      <c r="Y43846" s="97"/>
    </row>
    <row r="43847" spans="25:25" x14ac:dyDescent="0.2">
      <c r="Y43847" s="97"/>
    </row>
    <row r="43848" spans="25:25" x14ac:dyDescent="0.2">
      <c r="Y43848" s="97"/>
    </row>
    <row r="43849" spans="25:25" x14ac:dyDescent="0.2">
      <c r="Y43849" s="97"/>
    </row>
    <row r="43850" spans="25:25" x14ac:dyDescent="0.2">
      <c r="Y43850" s="97"/>
    </row>
    <row r="43851" spans="25:25" x14ac:dyDescent="0.2">
      <c r="Y43851" s="97"/>
    </row>
    <row r="43852" spans="25:25" x14ac:dyDescent="0.2">
      <c r="Y43852" s="97"/>
    </row>
    <row r="43853" spans="25:25" x14ac:dyDescent="0.2">
      <c r="Y43853" s="97"/>
    </row>
    <row r="43854" spans="25:25" x14ac:dyDescent="0.2">
      <c r="Y43854" s="97"/>
    </row>
    <row r="43855" spans="25:25" x14ac:dyDescent="0.2">
      <c r="Y43855" s="97"/>
    </row>
    <row r="43856" spans="25:25" x14ac:dyDescent="0.2">
      <c r="Y43856" s="97"/>
    </row>
    <row r="43857" spans="25:25" x14ac:dyDescent="0.2">
      <c r="Y43857" s="97"/>
    </row>
    <row r="43858" spans="25:25" x14ac:dyDescent="0.2">
      <c r="Y43858" s="97"/>
    </row>
    <row r="43859" spans="25:25" x14ac:dyDescent="0.2">
      <c r="Y43859" s="97"/>
    </row>
    <row r="43860" spans="25:25" x14ac:dyDescent="0.2">
      <c r="Y43860" s="97"/>
    </row>
    <row r="43861" spans="25:25" x14ac:dyDescent="0.2">
      <c r="Y43861" s="97"/>
    </row>
    <row r="43862" spans="25:25" x14ac:dyDescent="0.2">
      <c r="Y43862" s="97"/>
    </row>
    <row r="43863" spans="25:25" x14ac:dyDescent="0.2">
      <c r="Y43863" s="97"/>
    </row>
    <row r="43864" spans="25:25" x14ac:dyDescent="0.2">
      <c r="Y43864" s="97"/>
    </row>
    <row r="43865" spans="25:25" x14ac:dyDescent="0.2">
      <c r="Y43865" s="97"/>
    </row>
    <row r="43866" spans="25:25" x14ac:dyDescent="0.2">
      <c r="Y43866" s="97"/>
    </row>
    <row r="43867" spans="25:25" x14ac:dyDescent="0.2">
      <c r="Y43867" s="97"/>
    </row>
    <row r="43868" spans="25:25" x14ac:dyDescent="0.2">
      <c r="Y43868" s="97"/>
    </row>
    <row r="43869" spans="25:25" x14ac:dyDescent="0.2">
      <c r="Y43869" s="97"/>
    </row>
    <row r="43870" spans="25:25" x14ac:dyDescent="0.2">
      <c r="Y43870" s="97"/>
    </row>
    <row r="43871" spans="25:25" x14ac:dyDescent="0.2">
      <c r="Y43871" s="97"/>
    </row>
    <row r="43872" spans="25:25" x14ac:dyDescent="0.2">
      <c r="Y43872" s="97"/>
    </row>
    <row r="43873" spans="25:25" x14ac:dyDescent="0.2">
      <c r="Y43873" s="97"/>
    </row>
    <row r="43874" spans="25:25" x14ac:dyDescent="0.2">
      <c r="Y43874" s="97"/>
    </row>
    <row r="43875" spans="25:25" x14ac:dyDescent="0.2">
      <c r="Y43875" s="97"/>
    </row>
    <row r="43876" spans="25:25" x14ac:dyDescent="0.2">
      <c r="Y43876" s="97"/>
    </row>
    <row r="43877" spans="25:25" x14ac:dyDescent="0.2">
      <c r="Y43877" s="97"/>
    </row>
    <row r="43878" spans="25:25" x14ac:dyDescent="0.2">
      <c r="Y43878" s="97"/>
    </row>
    <row r="43879" spans="25:25" x14ac:dyDescent="0.2">
      <c r="Y43879" s="97"/>
    </row>
    <row r="43880" spans="25:25" x14ac:dyDescent="0.2">
      <c r="Y43880" s="97"/>
    </row>
    <row r="43881" spans="25:25" x14ac:dyDescent="0.2">
      <c r="Y43881" s="97"/>
    </row>
    <row r="43882" spans="25:25" x14ac:dyDescent="0.2">
      <c r="Y43882" s="97"/>
    </row>
    <row r="43883" spans="25:25" x14ac:dyDescent="0.2">
      <c r="Y43883" s="97"/>
    </row>
    <row r="43884" spans="25:25" x14ac:dyDescent="0.2">
      <c r="Y43884" s="97"/>
    </row>
    <row r="43885" spans="25:25" x14ac:dyDescent="0.2">
      <c r="Y43885" s="97"/>
    </row>
    <row r="43886" spans="25:25" x14ac:dyDescent="0.2">
      <c r="Y43886" s="97"/>
    </row>
    <row r="43887" spans="25:25" x14ac:dyDescent="0.2">
      <c r="Y43887" s="97"/>
    </row>
    <row r="43888" spans="25:25" x14ac:dyDescent="0.2">
      <c r="Y43888" s="97"/>
    </row>
    <row r="43889" spans="25:25" x14ac:dyDescent="0.2">
      <c r="Y43889" s="97"/>
    </row>
    <row r="43890" spans="25:25" x14ac:dyDescent="0.2">
      <c r="Y43890" s="97"/>
    </row>
    <row r="43891" spans="25:25" x14ac:dyDescent="0.2">
      <c r="Y43891" s="97"/>
    </row>
    <row r="43892" spans="25:25" x14ac:dyDescent="0.2">
      <c r="Y43892" s="97"/>
    </row>
    <row r="43893" spans="25:25" x14ac:dyDescent="0.2">
      <c r="Y43893" s="97"/>
    </row>
    <row r="43894" spans="25:25" x14ac:dyDescent="0.2">
      <c r="Y43894" s="97"/>
    </row>
    <row r="43895" spans="25:25" x14ac:dyDescent="0.2">
      <c r="Y43895" s="97"/>
    </row>
    <row r="43896" spans="25:25" x14ac:dyDescent="0.2">
      <c r="Y43896" s="97"/>
    </row>
    <row r="43897" spans="25:25" x14ac:dyDescent="0.2">
      <c r="Y43897" s="97"/>
    </row>
    <row r="43898" spans="25:25" x14ac:dyDescent="0.2">
      <c r="Y43898" s="97"/>
    </row>
    <row r="43899" spans="25:25" x14ac:dyDescent="0.2">
      <c r="Y43899" s="97"/>
    </row>
    <row r="43900" spans="25:25" x14ac:dyDescent="0.2">
      <c r="Y43900" s="97"/>
    </row>
    <row r="43901" spans="25:25" x14ac:dyDescent="0.2">
      <c r="Y43901" s="97"/>
    </row>
    <row r="43902" spans="25:25" x14ac:dyDescent="0.2">
      <c r="Y43902" s="97"/>
    </row>
    <row r="43903" spans="25:25" x14ac:dyDescent="0.2">
      <c r="Y43903" s="97"/>
    </row>
    <row r="43904" spans="25:25" x14ac:dyDescent="0.2">
      <c r="Y43904" s="97"/>
    </row>
    <row r="43905" spans="25:25" x14ac:dyDescent="0.2">
      <c r="Y43905" s="97"/>
    </row>
    <row r="43906" spans="25:25" x14ac:dyDescent="0.2">
      <c r="Y43906" s="97"/>
    </row>
    <row r="43907" spans="25:25" x14ac:dyDescent="0.2">
      <c r="Y43907" s="97"/>
    </row>
    <row r="43908" spans="25:25" x14ac:dyDescent="0.2">
      <c r="Y43908" s="97"/>
    </row>
    <row r="43909" spans="25:25" x14ac:dyDescent="0.2">
      <c r="Y43909" s="97"/>
    </row>
    <row r="43910" spans="25:25" x14ac:dyDescent="0.2">
      <c r="Y43910" s="97"/>
    </row>
    <row r="43911" spans="25:25" x14ac:dyDescent="0.2">
      <c r="Y43911" s="97"/>
    </row>
    <row r="43912" spans="25:25" x14ac:dyDescent="0.2">
      <c r="Y43912" s="97"/>
    </row>
    <row r="43913" spans="25:25" x14ac:dyDescent="0.2">
      <c r="Y43913" s="97"/>
    </row>
    <row r="43914" spans="25:25" x14ac:dyDescent="0.2">
      <c r="Y43914" s="97"/>
    </row>
    <row r="43915" spans="25:25" x14ac:dyDescent="0.2">
      <c r="Y43915" s="97"/>
    </row>
    <row r="43916" spans="25:25" x14ac:dyDescent="0.2">
      <c r="Y43916" s="97"/>
    </row>
    <row r="43917" spans="25:25" x14ac:dyDescent="0.2">
      <c r="Y43917" s="97"/>
    </row>
    <row r="43918" spans="25:25" x14ac:dyDescent="0.2">
      <c r="Y43918" s="97"/>
    </row>
    <row r="43919" spans="25:25" x14ac:dyDescent="0.2">
      <c r="Y43919" s="97"/>
    </row>
    <row r="43920" spans="25:25" x14ac:dyDescent="0.2">
      <c r="Y43920" s="97"/>
    </row>
    <row r="43921" spans="25:25" x14ac:dyDescent="0.2">
      <c r="Y43921" s="97"/>
    </row>
    <row r="43922" spans="25:25" x14ac:dyDescent="0.2">
      <c r="Y43922" s="97"/>
    </row>
    <row r="43923" spans="25:25" x14ac:dyDescent="0.2">
      <c r="Y43923" s="97"/>
    </row>
    <row r="43924" spans="25:25" x14ac:dyDescent="0.2">
      <c r="Y43924" s="97"/>
    </row>
    <row r="43925" spans="25:25" x14ac:dyDescent="0.2">
      <c r="Y43925" s="97"/>
    </row>
    <row r="43926" spans="25:25" x14ac:dyDescent="0.2">
      <c r="Y43926" s="97"/>
    </row>
    <row r="43927" spans="25:25" x14ac:dyDescent="0.2">
      <c r="Y43927" s="97"/>
    </row>
    <row r="43928" spans="25:25" x14ac:dyDescent="0.2">
      <c r="Y43928" s="97"/>
    </row>
    <row r="43929" spans="25:25" x14ac:dyDescent="0.2">
      <c r="Y43929" s="97"/>
    </row>
    <row r="43930" spans="25:25" x14ac:dyDescent="0.2">
      <c r="Y43930" s="97"/>
    </row>
    <row r="43931" spans="25:25" x14ac:dyDescent="0.2">
      <c r="Y43931" s="97"/>
    </row>
    <row r="43932" spans="25:25" x14ac:dyDescent="0.2">
      <c r="Y43932" s="97"/>
    </row>
    <row r="43933" spans="25:25" x14ac:dyDescent="0.2">
      <c r="Y43933" s="97"/>
    </row>
    <row r="43934" spans="25:25" x14ac:dyDescent="0.2">
      <c r="Y43934" s="97"/>
    </row>
    <row r="43935" spans="25:25" x14ac:dyDescent="0.2">
      <c r="Y43935" s="97"/>
    </row>
    <row r="43936" spans="25:25" x14ac:dyDescent="0.2">
      <c r="Y43936" s="97"/>
    </row>
    <row r="43937" spans="25:25" x14ac:dyDescent="0.2">
      <c r="Y43937" s="97"/>
    </row>
    <row r="43938" spans="25:25" x14ac:dyDescent="0.2">
      <c r="Y43938" s="97"/>
    </row>
    <row r="43939" spans="25:25" x14ac:dyDescent="0.2">
      <c r="Y43939" s="97"/>
    </row>
    <row r="43940" spans="25:25" x14ac:dyDescent="0.2">
      <c r="Y43940" s="97"/>
    </row>
    <row r="43941" spans="25:25" x14ac:dyDescent="0.2">
      <c r="Y43941" s="97"/>
    </row>
    <row r="43942" spans="25:25" x14ac:dyDescent="0.2">
      <c r="Y43942" s="97"/>
    </row>
    <row r="43943" spans="25:25" x14ac:dyDescent="0.2">
      <c r="Y43943" s="97"/>
    </row>
    <row r="43944" spans="25:25" x14ac:dyDescent="0.2">
      <c r="Y43944" s="97"/>
    </row>
    <row r="43945" spans="25:25" x14ac:dyDescent="0.2">
      <c r="Y43945" s="97"/>
    </row>
    <row r="43946" spans="25:25" x14ac:dyDescent="0.2">
      <c r="Y43946" s="97"/>
    </row>
    <row r="43947" spans="25:25" x14ac:dyDescent="0.2">
      <c r="Y43947" s="97"/>
    </row>
    <row r="43948" spans="25:25" x14ac:dyDescent="0.2">
      <c r="Y43948" s="97"/>
    </row>
    <row r="43949" spans="25:25" x14ac:dyDescent="0.2">
      <c r="Y43949" s="97"/>
    </row>
    <row r="43950" spans="25:25" x14ac:dyDescent="0.2">
      <c r="Y43950" s="97"/>
    </row>
    <row r="43951" spans="25:25" x14ac:dyDescent="0.2">
      <c r="Y43951" s="97"/>
    </row>
    <row r="43952" spans="25:25" x14ac:dyDescent="0.2">
      <c r="Y43952" s="97"/>
    </row>
    <row r="43953" spans="25:25" x14ac:dyDescent="0.2">
      <c r="Y43953" s="97"/>
    </row>
    <row r="43954" spans="25:25" x14ac:dyDescent="0.2">
      <c r="Y43954" s="97"/>
    </row>
    <row r="43955" spans="25:25" x14ac:dyDescent="0.2">
      <c r="Y43955" s="97"/>
    </row>
    <row r="43956" spans="25:25" x14ac:dyDescent="0.2">
      <c r="Y43956" s="97"/>
    </row>
    <row r="43957" spans="25:25" x14ac:dyDescent="0.2">
      <c r="Y43957" s="97"/>
    </row>
    <row r="43958" spans="25:25" x14ac:dyDescent="0.2">
      <c r="Y43958" s="97"/>
    </row>
    <row r="43959" spans="25:25" x14ac:dyDescent="0.2">
      <c r="Y43959" s="97"/>
    </row>
    <row r="43960" spans="25:25" x14ac:dyDescent="0.2">
      <c r="Y43960" s="97"/>
    </row>
    <row r="43961" spans="25:25" x14ac:dyDescent="0.2">
      <c r="Y43961" s="97"/>
    </row>
    <row r="43962" spans="25:25" x14ac:dyDescent="0.2">
      <c r="Y43962" s="97"/>
    </row>
    <row r="43963" spans="25:25" x14ac:dyDescent="0.2">
      <c r="Y43963" s="97"/>
    </row>
    <row r="43964" spans="25:25" x14ac:dyDescent="0.2">
      <c r="Y43964" s="97"/>
    </row>
    <row r="43965" spans="25:25" x14ac:dyDescent="0.2">
      <c r="Y43965" s="97"/>
    </row>
    <row r="43966" spans="25:25" x14ac:dyDescent="0.2">
      <c r="Y43966" s="97"/>
    </row>
    <row r="43967" spans="25:25" x14ac:dyDescent="0.2">
      <c r="Y43967" s="97"/>
    </row>
    <row r="43968" spans="25:25" x14ac:dyDescent="0.2">
      <c r="Y43968" s="97"/>
    </row>
    <row r="43969" spans="25:25" x14ac:dyDescent="0.2">
      <c r="Y43969" s="97"/>
    </row>
    <row r="43970" spans="25:25" x14ac:dyDescent="0.2">
      <c r="Y43970" s="97"/>
    </row>
    <row r="43971" spans="25:25" x14ac:dyDescent="0.2">
      <c r="Y43971" s="97"/>
    </row>
    <row r="43972" spans="25:25" x14ac:dyDescent="0.2">
      <c r="Y43972" s="97"/>
    </row>
    <row r="43973" spans="25:25" x14ac:dyDescent="0.2">
      <c r="Y43973" s="97"/>
    </row>
    <row r="43974" spans="25:25" x14ac:dyDescent="0.2">
      <c r="Y43974" s="97"/>
    </row>
    <row r="43975" spans="25:25" x14ac:dyDescent="0.2">
      <c r="Y43975" s="97"/>
    </row>
    <row r="43976" spans="25:25" x14ac:dyDescent="0.2">
      <c r="Y43976" s="97"/>
    </row>
    <row r="43977" spans="25:25" x14ac:dyDescent="0.2">
      <c r="Y43977" s="97"/>
    </row>
    <row r="43978" spans="25:25" x14ac:dyDescent="0.2">
      <c r="Y43978" s="97"/>
    </row>
    <row r="43979" spans="25:25" x14ac:dyDescent="0.2">
      <c r="Y43979" s="97"/>
    </row>
    <row r="43980" spans="25:25" x14ac:dyDescent="0.2">
      <c r="Y43980" s="97"/>
    </row>
    <row r="43981" spans="25:25" x14ac:dyDescent="0.2">
      <c r="Y43981" s="97"/>
    </row>
    <row r="43982" spans="25:25" x14ac:dyDescent="0.2">
      <c r="Y43982" s="97"/>
    </row>
    <row r="43983" spans="25:25" x14ac:dyDescent="0.2">
      <c r="Y43983" s="97"/>
    </row>
    <row r="43984" spans="25:25" x14ac:dyDescent="0.2">
      <c r="Y43984" s="97"/>
    </row>
    <row r="43985" spans="25:25" x14ac:dyDescent="0.2">
      <c r="Y43985" s="97"/>
    </row>
    <row r="43986" spans="25:25" x14ac:dyDescent="0.2">
      <c r="Y43986" s="97"/>
    </row>
    <row r="43987" spans="25:25" x14ac:dyDescent="0.2">
      <c r="Y43987" s="97"/>
    </row>
    <row r="43988" spans="25:25" x14ac:dyDescent="0.2">
      <c r="Y43988" s="97"/>
    </row>
    <row r="43989" spans="25:25" x14ac:dyDescent="0.2">
      <c r="Y43989" s="97"/>
    </row>
    <row r="43990" spans="25:25" x14ac:dyDescent="0.2">
      <c r="Y43990" s="97"/>
    </row>
    <row r="43991" spans="25:25" x14ac:dyDescent="0.2">
      <c r="Y43991" s="97"/>
    </row>
    <row r="43992" spans="25:25" x14ac:dyDescent="0.2">
      <c r="Y43992" s="97"/>
    </row>
    <row r="43993" spans="25:25" x14ac:dyDescent="0.2">
      <c r="Y43993" s="97"/>
    </row>
    <row r="43994" spans="25:25" x14ac:dyDescent="0.2">
      <c r="Y43994" s="97"/>
    </row>
    <row r="43995" spans="25:25" x14ac:dyDescent="0.2">
      <c r="Y43995" s="97"/>
    </row>
    <row r="43996" spans="25:25" x14ac:dyDescent="0.2">
      <c r="Y43996" s="97"/>
    </row>
    <row r="43997" spans="25:25" x14ac:dyDescent="0.2">
      <c r="Y43997" s="97"/>
    </row>
    <row r="43998" spans="25:25" x14ac:dyDescent="0.2">
      <c r="Y43998" s="97"/>
    </row>
    <row r="43999" spans="25:25" x14ac:dyDescent="0.2">
      <c r="Y43999" s="97"/>
    </row>
    <row r="44000" spans="25:25" x14ac:dyDescent="0.2">
      <c r="Y44000" s="97"/>
    </row>
    <row r="44001" spans="25:25" x14ac:dyDescent="0.2">
      <c r="Y44001" s="97"/>
    </row>
    <row r="44002" spans="25:25" x14ac:dyDescent="0.2">
      <c r="Y44002" s="97"/>
    </row>
    <row r="44003" spans="25:25" x14ac:dyDescent="0.2">
      <c r="Y44003" s="97"/>
    </row>
    <row r="44004" spans="25:25" x14ac:dyDescent="0.2">
      <c r="Y44004" s="97"/>
    </row>
    <row r="44005" spans="25:25" x14ac:dyDescent="0.2">
      <c r="Y44005" s="97"/>
    </row>
    <row r="44006" spans="25:25" x14ac:dyDescent="0.2">
      <c r="Y44006" s="97"/>
    </row>
    <row r="44007" spans="25:25" x14ac:dyDescent="0.2">
      <c r="Y44007" s="97"/>
    </row>
    <row r="44008" spans="25:25" x14ac:dyDescent="0.2">
      <c r="Y44008" s="97"/>
    </row>
    <row r="44009" spans="25:25" x14ac:dyDescent="0.2">
      <c r="Y44009" s="97"/>
    </row>
    <row r="44010" spans="25:25" x14ac:dyDescent="0.2">
      <c r="Y44010" s="97"/>
    </row>
    <row r="44011" spans="25:25" x14ac:dyDescent="0.2">
      <c r="Y44011" s="97"/>
    </row>
    <row r="44012" spans="25:25" x14ac:dyDescent="0.2">
      <c r="Y44012" s="97"/>
    </row>
    <row r="44013" spans="25:25" x14ac:dyDescent="0.2">
      <c r="Y44013" s="97"/>
    </row>
    <row r="44014" spans="25:25" x14ac:dyDescent="0.2">
      <c r="Y44014" s="97"/>
    </row>
    <row r="44015" spans="25:25" x14ac:dyDescent="0.2">
      <c r="Y44015" s="97"/>
    </row>
    <row r="44016" spans="25:25" x14ac:dyDescent="0.2">
      <c r="Y44016" s="97"/>
    </row>
    <row r="44017" spans="25:25" x14ac:dyDescent="0.2">
      <c r="Y44017" s="97"/>
    </row>
    <row r="44018" spans="25:25" x14ac:dyDescent="0.2">
      <c r="Y44018" s="97"/>
    </row>
    <row r="44019" spans="25:25" x14ac:dyDescent="0.2">
      <c r="Y44019" s="97"/>
    </row>
    <row r="44020" spans="25:25" x14ac:dyDescent="0.2">
      <c r="Y44020" s="97"/>
    </row>
    <row r="44021" spans="25:25" x14ac:dyDescent="0.2">
      <c r="Y44021" s="97"/>
    </row>
    <row r="44022" spans="25:25" x14ac:dyDescent="0.2">
      <c r="Y44022" s="97"/>
    </row>
    <row r="44023" spans="25:25" x14ac:dyDescent="0.2">
      <c r="Y44023" s="97"/>
    </row>
    <row r="44024" spans="25:25" x14ac:dyDescent="0.2">
      <c r="Y44024" s="97"/>
    </row>
    <row r="44025" spans="25:25" x14ac:dyDescent="0.2">
      <c r="Y44025" s="97"/>
    </row>
    <row r="44026" spans="25:25" x14ac:dyDescent="0.2">
      <c r="Y44026" s="97"/>
    </row>
    <row r="44027" spans="25:25" x14ac:dyDescent="0.2">
      <c r="Y44027" s="97"/>
    </row>
    <row r="44028" spans="25:25" x14ac:dyDescent="0.2">
      <c r="Y44028" s="97"/>
    </row>
    <row r="44029" spans="25:25" x14ac:dyDescent="0.2">
      <c r="Y44029" s="97"/>
    </row>
    <row r="44030" spans="25:25" x14ac:dyDescent="0.2">
      <c r="Y44030" s="97"/>
    </row>
    <row r="44031" spans="25:25" x14ac:dyDescent="0.2">
      <c r="Y44031" s="97"/>
    </row>
    <row r="44032" spans="25:25" x14ac:dyDescent="0.2">
      <c r="Y44032" s="97"/>
    </row>
    <row r="44033" spans="25:25" x14ac:dyDescent="0.2">
      <c r="Y44033" s="97"/>
    </row>
    <row r="44034" spans="25:25" x14ac:dyDescent="0.2">
      <c r="Y44034" s="97"/>
    </row>
    <row r="44035" spans="25:25" x14ac:dyDescent="0.2">
      <c r="Y44035" s="97"/>
    </row>
    <row r="44036" spans="25:25" x14ac:dyDescent="0.2">
      <c r="Y44036" s="97"/>
    </row>
    <row r="44037" spans="25:25" x14ac:dyDescent="0.2">
      <c r="Y44037" s="97"/>
    </row>
    <row r="44038" spans="25:25" x14ac:dyDescent="0.2">
      <c r="Y44038" s="97"/>
    </row>
    <row r="44039" spans="25:25" x14ac:dyDescent="0.2">
      <c r="Y44039" s="97"/>
    </row>
    <row r="44040" spans="25:25" x14ac:dyDescent="0.2">
      <c r="Y44040" s="97"/>
    </row>
    <row r="44041" spans="25:25" x14ac:dyDescent="0.2">
      <c r="Y44041" s="97"/>
    </row>
    <row r="44042" spans="25:25" x14ac:dyDescent="0.2">
      <c r="Y44042" s="97"/>
    </row>
    <row r="44043" spans="25:25" x14ac:dyDescent="0.2">
      <c r="Y44043" s="97"/>
    </row>
    <row r="44044" spans="25:25" x14ac:dyDescent="0.2">
      <c r="Y44044" s="97"/>
    </row>
    <row r="44045" spans="25:25" x14ac:dyDescent="0.2">
      <c r="Y44045" s="97"/>
    </row>
    <row r="44046" spans="25:25" x14ac:dyDescent="0.2">
      <c r="Y44046" s="97"/>
    </row>
    <row r="44047" spans="25:25" x14ac:dyDescent="0.2">
      <c r="Y44047" s="97"/>
    </row>
    <row r="44048" spans="25:25" x14ac:dyDescent="0.2">
      <c r="Y44048" s="97"/>
    </row>
    <row r="44049" spans="25:25" x14ac:dyDescent="0.2">
      <c r="Y44049" s="97"/>
    </row>
    <row r="44050" spans="25:25" x14ac:dyDescent="0.2">
      <c r="Y44050" s="97"/>
    </row>
    <row r="44051" spans="25:25" x14ac:dyDescent="0.2">
      <c r="Y44051" s="97"/>
    </row>
    <row r="44052" spans="25:25" x14ac:dyDescent="0.2">
      <c r="Y44052" s="97"/>
    </row>
    <row r="44053" spans="25:25" x14ac:dyDescent="0.2">
      <c r="Y44053" s="97"/>
    </row>
    <row r="44054" spans="25:25" x14ac:dyDescent="0.2">
      <c r="Y44054" s="97"/>
    </row>
    <row r="44055" spans="25:25" x14ac:dyDescent="0.2">
      <c r="Y44055" s="97"/>
    </row>
    <row r="44056" spans="25:25" x14ac:dyDescent="0.2">
      <c r="Y44056" s="97"/>
    </row>
    <row r="44057" spans="25:25" x14ac:dyDescent="0.2">
      <c r="Y44057" s="97"/>
    </row>
    <row r="44058" spans="25:25" x14ac:dyDescent="0.2">
      <c r="Y44058" s="97"/>
    </row>
    <row r="44059" spans="25:25" x14ac:dyDescent="0.2">
      <c r="Y44059" s="97"/>
    </row>
    <row r="44060" spans="25:25" x14ac:dyDescent="0.2">
      <c r="Y44060" s="97"/>
    </row>
    <row r="44061" spans="25:25" x14ac:dyDescent="0.2">
      <c r="Y44061" s="97"/>
    </row>
    <row r="44062" spans="25:25" x14ac:dyDescent="0.2">
      <c r="Y44062" s="97"/>
    </row>
    <row r="44063" spans="25:25" x14ac:dyDescent="0.2">
      <c r="Y44063" s="97"/>
    </row>
    <row r="44064" spans="25:25" x14ac:dyDescent="0.2">
      <c r="Y44064" s="97"/>
    </row>
    <row r="44065" spans="25:25" x14ac:dyDescent="0.2">
      <c r="Y44065" s="97"/>
    </row>
    <row r="44066" spans="25:25" x14ac:dyDescent="0.2">
      <c r="Y44066" s="97"/>
    </row>
    <row r="44067" spans="25:25" x14ac:dyDescent="0.2">
      <c r="Y44067" s="97"/>
    </row>
    <row r="44068" spans="25:25" x14ac:dyDescent="0.2">
      <c r="Y44068" s="97"/>
    </row>
    <row r="44069" spans="25:25" x14ac:dyDescent="0.2">
      <c r="Y44069" s="97"/>
    </row>
    <row r="44070" spans="25:25" x14ac:dyDescent="0.2">
      <c r="Y44070" s="97"/>
    </row>
    <row r="44071" spans="25:25" x14ac:dyDescent="0.2">
      <c r="Y44071" s="97"/>
    </row>
    <row r="44072" spans="25:25" x14ac:dyDescent="0.2">
      <c r="Y44072" s="97"/>
    </row>
    <row r="44073" spans="25:25" x14ac:dyDescent="0.2">
      <c r="Y44073" s="97"/>
    </row>
    <row r="44074" spans="25:25" x14ac:dyDescent="0.2">
      <c r="Y44074" s="97"/>
    </row>
    <row r="44075" spans="25:25" x14ac:dyDescent="0.2">
      <c r="Y44075" s="97"/>
    </row>
    <row r="44076" spans="25:25" x14ac:dyDescent="0.2">
      <c r="Y44076" s="97"/>
    </row>
    <row r="44077" spans="25:25" x14ac:dyDescent="0.2">
      <c r="Y44077" s="97"/>
    </row>
    <row r="44078" spans="25:25" x14ac:dyDescent="0.2">
      <c r="Y44078" s="97"/>
    </row>
    <row r="44079" spans="25:25" x14ac:dyDescent="0.2">
      <c r="Y44079" s="97"/>
    </row>
    <row r="44080" spans="25:25" x14ac:dyDescent="0.2">
      <c r="Y44080" s="97"/>
    </row>
    <row r="44081" spans="25:25" x14ac:dyDescent="0.2">
      <c r="Y44081" s="97"/>
    </row>
    <row r="44082" spans="25:25" x14ac:dyDescent="0.2">
      <c r="Y44082" s="97"/>
    </row>
    <row r="44083" spans="25:25" x14ac:dyDescent="0.2">
      <c r="Y44083" s="97"/>
    </row>
    <row r="44084" spans="25:25" x14ac:dyDescent="0.2">
      <c r="Y44084" s="97"/>
    </row>
    <row r="44085" spans="25:25" x14ac:dyDescent="0.2">
      <c r="Y44085" s="97"/>
    </row>
    <row r="44086" spans="25:25" x14ac:dyDescent="0.2">
      <c r="Y44086" s="97"/>
    </row>
    <row r="44087" spans="25:25" x14ac:dyDescent="0.2">
      <c r="Y44087" s="97"/>
    </row>
    <row r="44088" spans="25:25" x14ac:dyDescent="0.2">
      <c r="Y44088" s="97"/>
    </row>
    <row r="44089" spans="25:25" x14ac:dyDescent="0.2">
      <c r="Y44089" s="97"/>
    </row>
    <row r="44090" spans="25:25" x14ac:dyDescent="0.2">
      <c r="Y44090" s="97"/>
    </row>
    <row r="44091" spans="25:25" x14ac:dyDescent="0.2">
      <c r="Y44091" s="97"/>
    </row>
    <row r="44092" spans="25:25" x14ac:dyDescent="0.2">
      <c r="Y44092" s="97"/>
    </row>
    <row r="44093" spans="25:25" x14ac:dyDescent="0.2">
      <c r="Y44093" s="97"/>
    </row>
    <row r="44094" spans="25:25" x14ac:dyDescent="0.2">
      <c r="Y44094" s="97"/>
    </row>
    <row r="44095" spans="25:25" x14ac:dyDescent="0.2">
      <c r="Y44095" s="97"/>
    </row>
    <row r="44096" spans="25:25" x14ac:dyDescent="0.2">
      <c r="Y44096" s="97"/>
    </row>
    <row r="44097" spans="25:25" x14ac:dyDescent="0.2">
      <c r="Y44097" s="97"/>
    </row>
    <row r="44098" spans="25:25" x14ac:dyDescent="0.2">
      <c r="Y44098" s="97"/>
    </row>
    <row r="44099" spans="25:25" x14ac:dyDescent="0.2">
      <c r="Y44099" s="97"/>
    </row>
    <row r="44100" spans="25:25" x14ac:dyDescent="0.2">
      <c r="Y44100" s="97"/>
    </row>
    <row r="44101" spans="25:25" x14ac:dyDescent="0.2">
      <c r="Y44101" s="97"/>
    </row>
    <row r="44102" spans="25:25" x14ac:dyDescent="0.2">
      <c r="Y44102" s="97"/>
    </row>
    <row r="44103" spans="25:25" x14ac:dyDescent="0.2">
      <c r="Y44103" s="97"/>
    </row>
    <row r="44104" spans="25:25" x14ac:dyDescent="0.2">
      <c r="Y44104" s="97"/>
    </row>
    <row r="44105" spans="25:25" x14ac:dyDescent="0.2">
      <c r="Y44105" s="97"/>
    </row>
    <row r="44106" spans="25:25" x14ac:dyDescent="0.2">
      <c r="Y44106" s="97"/>
    </row>
    <row r="44107" spans="25:25" x14ac:dyDescent="0.2">
      <c r="Y44107" s="97"/>
    </row>
    <row r="44108" spans="25:25" x14ac:dyDescent="0.2">
      <c r="Y44108" s="97"/>
    </row>
    <row r="44109" spans="25:25" x14ac:dyDescent="0.2">
      <c r="Y44109" s="97"/>
    </row>
    <row r="44110" spans="25:25" x14ac:dyDescent="0.2">
      <c r="Y44110" s="97"/>
    </row>
    <row r="44111" spans="25:25" x14ac:dyDescent="0.2">
      <c r="Y44111" s="97"/>
    </row>
    <row r="44112" spans="25:25" x14ac:dyDescent="0.2">
      <c r="Y44112" s="97"/>
    </row>
    <row r="44113" spans="25:25" x14ac:dyDescent="0.2">
      <c r="Y44113" s="97"/>
    </row>
    <row r="44114" spans="25:25" x14ac:dyDescent="0.2">
      <c r="Y44114" s="97"/>
    </row>
    <row r="44115" spans="25:25" x14ac:dyDescent="0.2">
      <c r="Y44115" s="97"/>
    </row>
    <row r="44116" spans="25:25" x14ac:dyDescent="0.2">
      <c r="Y44116" s="97"/>
    </row>
    <row r="44117" spans="25:25" x14ac:dyDescent="0.2">
      <c r="Y44117" s="97"/>
    </row>
    <row r="44118" spans="25:25" x14ac:dyDescent="0.2">
      <c r="Y44118" s="97"/>
    </row>
    <row r="44119" spans="25:25" x14ac:dyDescent="0.2">
      <c r="Y44119" s="97"/>
    </row>
    <row r="44120" spans="25:25" x14ac:dyDescent="0.2">
      <c r="Y44120" s="97"/>
    </row>
    <row r="44121" spans="25:25" x14ac:dyDescent="0.2">
      <c r="Y44121" s="97"/>
    </row>
    <row r="44122" spans="25:25" x14ac:dyDescent="0.2">
      <c r="Y44122" s="97"/>
    </row>
    <row r="44123" spans="25:25" x14ac:dyDescent="0.2">
      <c r="Y44123" s="97"/>
    </row>
    <row r="44124" spans="25:25" x14ac:dyDescent="0.2">
      <c r="Y44124" s="97"/>
    </row>
    <row r="44125" spans="25:25" x14ac:dyDescent="0.2">
      <c r="Y44125" s="97"/>
    </row>
    <row r="44126" spans="25:25" x14ac:dyDescent="0.2">
      <c r="Y44126" s="97"/>
    </row>
    <row r="44127" spans="25:25" x14ac:dyDescent="0.2">
      <c r="Y44127" s="97"/>
    </row>
    <row r="44128" spans="25:25" x14ac:dyDescent="0.2">
      <c r="Y44128" s="97"/>
    </row>
    <row r="44129" spans="25:25" x14ac:dyDescent="0.2">
      <c r="Y44129" s="97"/>
    </row>
    <row r="44130" spans="25:25" x14ac:dyDescent="0.2">
      <c r="Y44130" s="97"/>
    </row>
    <row r="44131" spans="25:25" x14ac:dyDescent="0.2">
      <c r="Y44131" s="97"/>
    </row>
    <row r="44132" spans="25:25" x14ac:dyDescent="0.2">
      <c r="Y44132" s="97"/>
    </row>
    <row r="44133" spans="25:25" x14ac:dyDescent="0.2">
      <c r="Y44133" s="97"/>
    </row>
    <row r="44134" spans="25:25" x14ac:dyDescent="0.2">
      <c r="Y44134" s="97"/>
    </row>
    <row r="44135" spans="25:25" x14ac:dyDescent="0.2">
      <c r="Y44135" s="97"/>
    </row>
    <row r="44136" spans="25:25" x14ac:dyDescent="0.2">
      <c r="Y44136" s="97"/>
    </row>
    <row r="44137" spans="25:25" x14ac:dyDescent="0.2">
      <c r="Y44137" s="97"/>
    </row>
    <row r="44138" spans="25:25" x14ac:dyDescent="0.2">
      <c r="Y44138" s="97"/>
    </row>
    <row r="44139" spans="25:25" x14ac:dyDescent="0.2">
      <c r="Y44139" s="97"/>
    </row>
    <row r="44140" spans="25:25" x14ac:dyDescent="0.2">
      <c r="Y44140" s="97"/>
    </row>
    <row r="44141" spans="25:25" x14ac:dyDescent="0.2">
      <c r="Y44141" s="97"/>
    </row>
    <row r="44142" spans="25:25" x14ac:dyDescent="0.2">
      <c r="Y44142" s="97"/>
    </row>
    <row r="44143" spans="25:25" x14ac:dyDescent="0.2">
      <c r="Y44143" s="97"/>
    </row>
    <row r="44144" spans="25:25" x14ac:dyDescent="0.2">
      <c r="Y44144" s="97"/>
    </row>
    <row r="44145" spans="25:25" x14ac:dyDescent="0.2">
      <c r="Y44145" s="97"/>
    </row>
    <row r="44146" spans="25:25" x14ac:dyDescent="0.2">
      <c r="Y44146" s="97"/>
    </row>
    <row r="44147" spans="25:25" x14ac:dyDescent="0.2">
      <c r="Y44147" s="97"/>
    </row>
    <row r="44148" spans="25:25" x14ac:dyDescent="0.2">
      <c r="Y44148" s="97"/>
    </row>
    <row r="44149" spans="25:25" x14ac:dyDescent="0.2">
      <c r="Y44149" s="97"/>
    </row>
    <row r="44150" spans="25:25" x14ac:dyDescent="0.2">
      <c r="Y44150" s="97"/>
    </row>
    <row r="44151" spans="25:25" x14ac:dyDescent="0.2">
      <c r="Y44151" s="97"/>
    </row>
    <row r="44152" spans="25:25" x14ac:dyDescent="0.2">
      <c r="Y44152" s="97"/>
    </row>
    <row r="44153" spans="25:25" x14ac:dyDescent="0.2">
      <c r="Y44153" s="97"/>
    </row>
    <row r="44154" spans="25:25" x14ac:dyDescent="0.2">
      <c r="Y44154" s="97"/>
    </row>
    <row r="44155" spans="25:25" x14ac:dyDescent="0.2">
      <c r="Y44155" s="97"/>
    </row>
    <row r="44156" spans="25:25" x14ac:dyDescent="0.2">
      <c r="Y44156" s="97"/>
    </row>
    <row r="44157" spans="25:25" x14ac:dyDescent="0.2">
      <c r="Y44157" s="97"/>
    </row>
    <row r="44158" spans="25:25" x14ac:dyDescent="0.2">
      <c r="Y44158" s="97"/>
    </row>
    <row r="44159" spans="25:25" x14ac:dyDescent="0.2">
      <c r="Y44159" s="97"/>
    </row>
    <row r="44160" spans="25:25" x14ac:dyDescent="0.2">
      <c r="Y44160" s="97"/>
    </row>
    <row r="44161" spans="25:25" x14ac:dyDescent="0.2">
      <c r="Y44161" s="97"/>
    </row>
    <row r="44162" spans="25:25" x14ac:dyDescent="0.2">
      <c r="Y44162" s="97"/>
    </row>
    <row r="44163" spans="25:25" x14ac:dyDescent="0.2">
      <c r="Y44163" s="97"/>
    </row>
    <row r="44164" spans="25:25" x14ac:dyDescent="0.2">
      <c r="Y44164" s="97"/>
    </row>
    <row r="44165" spans="25:25" x14ac:dyDescent="0.2">
      <c r="Y44165" s="97"/>
    </row>
    <row r="44166" spans="25:25" x14ac:dyDescent="0.2">
      <c r="Y44166" s="97"/>
    </row>
    <row r="44167" spans="25:25" x14ac:dyDescent="0.2">
      <c r="Y44167" s="97"/>
    </row>
    <row r="44168" spans="25:25" x14ac:dyDescent="0.2">
      <c r="Y44168" s="97"/>
    </row>
    <row r="44169" spans="25:25" x14ac:dyDescent="0.2">
      <c r="Y44169" s="97"/>
    </row>
    <row r="44170" spans="25:25" x14ac:dyDescent="0.2">
      <c r="Y44170" s="97"/>
    </row>
    <row r="44171" spans="25:25" x14ac:dyDescent="0.2">
      <c r="Y44171" s="97"/>
    </row>
    <row r="44172" spans="25:25" x14ac:dyDescent="0.2">
      <c r="Y44172" s="97"/>
    </row>
    <row r="44173" spans="25:25" x14ac:dyDescent="0.2">
      <c r="Y44173" s="97"/>
    </row>
    <row r="44174" spans="25:25" x14ac:dyDescent="0.2">
      <c r="Y44174" s="97"/>
    </row>
    <row r="44175" spans="25:25" x14ac:dyDescent="0.2">
      <c r="Y44175" s="97"/>
    </row>
    <row r="44176" spans="25:25" x14ac:dyDescent="0.2">
      <c r="Y44176" s="97"/>
    </row>
    <row r="44177" spans="25:25" x14ac:dyDescent="0.2">
      <c r="Y44177" s="97"/>
    </row>
    <row r="44178" spans="25:25" x14ac:dyDescent="0.2">
      <c r="Y44178" s="97"/>
    </row>
    <row r="44179" spans="25:25" x14ac:dyDescent="0.2">
      <c r="Y44179" s="97"/>
    </row>
    <row r="44180" spans="25:25" x14ac:dyDescent="0.2">
      <c r="Y44180" s="97"/>
    </row>
    <row r="44181" spans="25:25" x14ac:dyDescent="0.2">
      <c r="Y44181" s="97"/>
    </row>
    <row r="44182" spans="25:25" x14ac:dyDescent="0.2">
      <c r="Y44182" s="97"/>
    </row>
    <row r="44183" spans="25:25" x14ac:dyDescent="0.2">
      <c r="Y44183" s="97"/>
    </row>
    <row r="44184" spans="25:25" x14ac:dyDescent="0.2">
      <c r="Y44184" s="97"/>
    </row>
    <row r="44185" spans="25:25" x14ac:dyDescent="0.2">
      <c r="Y44185" s="97"/>
    </row>
    <row r="44186" spans="25:25" x14ac:dyDescent="0.2">
      <c r="Y44186" s="97"/>
    </row>
    <row r="44187" spans="25:25" x14ac:dyDescent="0.2">
      <c r="Y44187" s="97"/>
    </row>
    <row r="44188" spans="25:25" x14ac:dyDescent="0.2">
      <c r="Y44188" s="97"/>
    </row>
    <row r="44189" spans="25:25" x14ac:dyDescent="0.2">
      <c r="Y44189" s="97"/>
    </row>
    <row r="44190" spans="25:25" x14ac:dyDescent="0.2">
      <c r="Y44190" s="97"/>
    </row>
    <row r="44191" spans="25:25" x14ac:dyDescent="0.2">
      <c r="Y44191" s="97"/>
    </row>
    <row r="44192" spans="25:25" x14ac:dyDescent="0.2">
      <c r="Y44192" s="97"/>
    </row>
    <row r="44193" spans="25:25" x14ac:dyDescent="0.2">
      <c r="Y44193" s="97"/>
    </row>
    <row r="44194" spans="25:25" x14ac:dyDescent="0.2">
      <c r="Y44194" s="97"/>
    </row>
    <row r="44195" spans="25:25" x14ac:dyDescent="0.2">
      <c r="Y44195" s="97"/>
    </row>
    <row r="44196" spans="25:25" x14ac:dyDescent="0.2">
      <c r="Y44196" s="97"/>
    </row>
    <row r="44197" spans="25:25" x14ac:dyDescent="0.2">
      <c r="Y44197" s="97"/>
    </row>
    <row r="44198" spans="25:25" x14ac:dyDescent="0.2">
      <c r="Y44198" s="97"/>
    </row>
    <row r="44199" spans="25:25" x14ac:dyDescent="0.2">
      <c r="Y44199" s="97"/>
    </row>
    <row r="44200" spans="25:25" x14ac:dyDescent="0.2">
      <c r="Y44200" s="97"/>
    </row>
    <row r="44201" spans="25:25" x14ac:dyDescent="0.2">
      <c r="Y44201" s="97"/>
    </row>
    <row r="44202" spans="25:25" x14ac:dyDescent="0.2">
      <c r="Y44202" s="97"/>
    </row>
    <row r="44203" spans="25:25" x14ac:dyDescent="0.2">
      <c r="Y44203" s="97"/>
    </row>
    <row r="44204" spans="25:25" x14ac:dyDescent="0.2">
      <c r="Y44204" s="97"/>
    </row>
    <row r="44205" spans="25:25" x14ac:dyDescent="0.2">
      <c r="Y44205" s="97"/>
    </row>
    <row r="44206" spans="25:25" x14ac:dyDescent="0.2">
      <c r="Y44206" s="97"/>
    </row>
    <row r="44207" spans="25:25" x14ac:dyDescent="0.2">
      <c r="Y44207" s="97"/>
    </row>
    <row r="44208" spans="25:25" x14ac:dyDescent="0.2">
      <c r="Y44208" s="97"/>
    </row>
    <row r="44209" spans="25:25" x14ac:dyDescent="0.2">
      <c r="Y44209" s="97"/>
    </row>
    <row r="44210" spans="25:25" x14ac:dyDescent="0.2">
      <c r="Y44210" s="97"/>
    </row>
    <row r="44211" spans="25:25" x14ac:dyDescent="0.2">
      <c r="Y44211" s="97"/>
    </row>
    <row r="44212" spans="25:25" x14ac:dyDescent="0.2">
      <c r="Y44212" s="97"/>
    </row>
    <row r="44213" spans="25:25" x14ac:dyDescent="0.2">
      <c r="Y44213" s="97"/>
    </row>
    <row r="44214" spans="25:25" x14ac:dyDescent="0.2">
      <c r="Y44214" s="97"/>
    </row>
    <row r="44215" spans="25:25" x14ac:dyDescent="0.2">
      <c r="Y44215" s="97"/>
    </row>
    <row r="44216" spans="25:25" x14ac:dyDescent="0.2">
      <c r="Y44216" s="97"/>
    </row>
    <row r="44217" spans="25:25" x14ac:dyDescent="0.2">
      <c r="Y44217" s="97"/>
    </row>
    <row r="44218" spans="25:25" x14ac:dyDescent="0.2">
      <c r="Y44218" s="97"/>
    </row>
    <row r="44219" spans="25:25" x14ac:dyDescent="0.2">
      <c r="Y44219" s="97"/>
    </row>
    <row r="44220" spans="25:25" x14ac:dyDescent="0.2">
      <c r="Y44220" s="97"/>
    </row>
    <row r="44221" spans="25:25" x14ac:dyDescent="0.2">
      <c r="Y44221" s="97"/>
    </row>
    <row r="44222" spans="25:25" x14ac:dyDescent="0.2">
      <c r="Y44222" s="97"/>
    </row>
    <row r="44223" spans="25:25" x14ac:dyDescent="0.2">
      <c r="Y44223" s="97"/>
    </row>
    <row r="44224" spans="25:25" x14ac:dyDescent="0.2">
      <c r="Y44224" s="97"/>
    </row>
    <row r="44225" spans="25:25" x14ac:dyDescent="0.2">
      <c r="Y44225" s="97"/>
    </row>
    <row r="44226" spans="25:25" x14ac:dyDescent="0.2">
      <c r="Y44226" s="97"/>
    </row>
    <row r="44227" spans="25:25" x14ac:dyDescent="0.2">
      <c r="Y44227" s="97"/>
    </row>
    <row r="44228" spans="25:25" x14ac:dyDescent="0.2">
      <c r="Y44228" s="97"/>
    </row>
    <row r="44229" spans="25:25" x14ac:dyDescent="0.2">
      <c r="Y44229" s="97"/>
    </row>
    <row r="44230" spans="25:25" x14ac:dyDescent="0.2">
      <c r="Y44230" s="97"/>
    </row>
    <row r="44231" spans="25:25" x14ac:dyDescent="0.2">
      <c r="Y44231" s="97"/>
    </row>
    <row r="44232" spans="25:25" x14ac:dyDescent="0.2">
      <c r="Y44232" s="97"/>
    </row>
    <row r="44233" spans="25:25" x14ac:dyDescent="0.2">
      <c r="Y44233" s="97"/>
    </row>
    <row r="44234" spans="25:25" x14ac:dyDescent="0.2">
      <c r="Y44234" s="97"/>
    </row>
    <row r="44235" spans="25:25" x14ac:dyDescent="0.2">
      <c r="Y44235" s="97"/>
    </row>
    <row r="44236" spans="25:25" x14ac:dyDescent="0.2">
      <c r="Y44236" s="97"/>
    </row>
    <row r="44237" spans="25:25" x14ac:dyDescent="0.2">
      <c r="Y44237" s="97"/>
    </row>
    <row r="44238" spans="25:25" x14ac:dyDescent="0.2">
      <c r="Y44238" s="97"/>
    </row>
    <row r="44239" spans="25:25" x14ac:dyDescent="0.2">
      <c r="Y44239" s="97"/>
    </row>
    <row r="44240" spans="25:25" x14ac:dyDescent="0.2">
      <c r="Y44240" s="97"/>
    </row>
    <row r="44241" spans="25:25" x14ac:dyDescent="0.2">
      <c r="Y44241" s="97"/>
    </row>
    <row r="44242" spans="25:25" x14ac:dyDescent="0.2">
      <c r="Y44242" s="97"/>
    </row>
    <row r="44243" spans="25:25" x14ac:dyDescent="0.2">
      <c r="Y44243" s="97"/>
    </row>
    <row r="44244" spans="25:25" x14ac:dyDescent="0.2">
      <c r="Y44244" s="97"/>
    </row>
    <row r="44245" spans="25:25" x14ac:dyDescent="0.2">
      <c r="Y44245" s="97"/>
    </row>
    <row r="44246" spans="25:25" x14ac:dyDescent="0.2">
      <c r="Y44246" s="97"/>
    </row>
    <row r="44247" spans="25:25" x14ac:dyDescent="0.2">
      <c r="Y44247" s="97"/>
    </row>
    <row r="44248" spans="25:25" x14ac:dyDescent="0.2">
      <c r="Y44248" s="97"/>
    </row>
    <row r="44249" spans="25:25" x14ac:dyDescent="0.2">
      <c r="Y44249" s="97"/>
    </row>
    <row r="44250" spans="25:25" x14ac:dyDescent="0.2">
      <c r="Y44250" s="97"/>
    </row>
    <row r="44251" spans="25:25" x14ac:dyDescent="0.2">
      <c r="Y44251" s="97"/>
    </row>
    <row r="44252" spans="25:25" x14ac:dyDescent="0.2">
      <c r="Y44252" s="97"/>
    </row>
    <row r="44253" spans="25:25" x14ac:dyDescent="0.2">
      <c r="Y44253" s="97"/>
    </row>
    <row r="44254" spans="25:25" x14ac:dyDescent="0.2">
      <c r="Y44254" s="97"/>
    </row>
    <row r="44255" spans="25:25" x14ac:dyDescent="0.2">
      <c r="Y44255" s="97"/>
    </row>
    <row r="44256" spans="25:25" x14ac:dyDescent="0.2">
      <c r="Y44256" s="97"/>
    </row>
    <row r="44257" spans="25:25" x14ac:dyDescent="0.2">
      <c r="Y44257" s="97"/>
    </row>
    <row r="44258" spans="25:25" x14ac:dyDescent="0.2">
      <c r="Y44258" s="97"/>
    </row>
    <row r="44259" spans="25:25" x14ac:dyDescent="0.2">
      <c r="Y44259" s="97"/>
    </row>
    <row r="44260" spans="25:25" x14ac:dyDescent="0.2">
      <c r="Y44260" s="97"/>
    </row>
    <row r="44261" spans="25:25" x14ac:dyDescent="0.2">
      <c r="Y44261" s="97"/>
    </row>
    <row r="44262" spans="25:25" x14ac:dyDescent="0.2">
      <c r="Y44262" s="97"/>
    </row>
    <row r="44263" spans="25:25" x14ac:dyDescent="0.2">
      <c r="Y44263" s="97"/>
    </row>
    <row r="44264" spans="25:25" x14ac:dyDescent="0.2">
      <c r="Y44264" s="97"/>
    </row>
    <row r="44265" spans="25:25" x14ac:dyDescent="0.2">
      <c r="Y44265" s="97"/>
    </row>
    <row r="44266" spans="25:25" x14ac:dyDescent="0.2">
      <c r="Y44266" s="97"/>
    </row>
    <row r="44267" spans="25:25" x14ac:dyDescent="0.2">
      <c r="Y44267" s="97"/>
    </row>
    <row r="44268" spans="25:25" x14ac:dyDescent="0.2">
      <c r="Y44268" s="97"/>
    </row>
    <row r="44269" spans="25:25" x14ac:dyDescent="0.2">
      <c r="Y44269" s="97"/>
    </row>
    <row r="44270" spans="25:25" x14ac:dyDescent="0.2">
      <c r="Y44270" s="97"/>
    </row>
    <row r="44271" spans="25:25" x14ac:dyDescent="0.2">
      <c r="Y44271" s="97"/>
    </row>
    <row r="44272" spans="25:25" x14ac:dyDescent="0.2">
      <c r="Y44272" s="97"/>
    </row>
    <row r="44273" spans="25:25" x14ac:dyDescent="0.2">
      <c r="Y44273" s="97"/>
    </row>
    <row r="44274" spans="25:25" x14ac:dyDescent="0.2">
      <c r="Y44274" s="97"/>
    </row>
    <row r="44275" spans="25:25" x14ac:dyDescent="0.2">
      <c r="Y44275" s="97"/>
    </row>
    <row r="44276" spans="25:25" x14ac:dyDescent="0.2">
      <c r="Y44276" s="97"/>
    </row>
    <row r="44277" spans="25:25" x14ac:dyDescent="0.2">
      <c r="Y44277" s="97"/>
    </row>
    <row r="44278" spans="25:25" x14ac:dyDescent="0.2">
      <c r="Y44278" s="97"/>
    </row>
    <row r="44279" spans="25:25" x14ac:dyDescent="0.2">
      <c r="Y44279" s="97"/>
    </row>
    <row r="44280" spans="25:25" x14ac:dyDescent="0.2">
      <c r="Y44280" s="97"/>
    </row>
    <row r="44281" spans="25:25" x14ac:dyDescent="0.2">
      <c r="Y44281" s="97"/>
    </row>
    <row r="44282" spans="25:25" x14ac:dyDescent="0.2">
      <c r="Y44282" s="97"/>
    </row>
    <row r="44283" spans="25:25" x14ac:dyDescent="0.2">
      <c r="Y44283" s="97"/>
    </row>
    <row r="44284" spans="25:25" x14ac:dyDescent="0.2">
      <c r="Y44284" s="97"/>
    </row>
    <row r="44285" spans="25:25" x14ac:dyDescent="0.2">
      <c r="Y44285" s="97"/>
    </row>
    <row r="44286" spans="25:25" x14ac:dyDescent="0.2">
      <c r="Y44286" s="97"/>
    </row>
    <row r="44287" spans="25:25" x14ac:dyDescent="0.2">
      <c r="Y44287" s="97"/>
    </row>
    <row r="44288" spans="25:25" x14ac:dyDescent="0.2">
      <c r="Y44288" s="97"/>
    </row>
    <row r="44289" spans="25:25" x14ac:dyDescent="0.2">
      <c r="Y44289" s="97"/>
    </row>
    <row r="44290" spans="25:25" x14ac:dyDescent="0.2">
      <c r="Y44290" s="97"/>
    </row>
    <row r="44291" spans="25:25" x14ac:dyDescent="0.2">
      <c r="Y44291" s="97"/>
    </row>
    <row r="44292" spans="25:25" x14ac:dyDescent="0.2">
      <c r="Y44292" s="97"/>
    </row>
    <row r="44293" spans="25:25" x14ac:dyDescent="0.2">
      <c r="Y44293" s="97"/>
    </row>
    <row r="44294" spans="25:25" x14ac:dyDescent="0.2">
      <c r="Y44294" s="97"/>
    </row>
    <row r="44295" spans="25:25" x14ac:dyDescent="0.2">
      <c r="Y44295" s="97"/>
    </row>
    <row r="44296" spans="25:25" x14ac:dyDescent="0.2">
      <c r="Y44296" s="97"/>
    </row>
    <row r="44297" spans="25:25" x14ac:dyDescent="0.2">
      <c r="Y44297" s="97"/>
    </row>
    <row r="44298" spans="25:25" x14ac:dyDescent="0.2">
      <c r="Y44298" s="97"/>
    </row>
    <row r="44299" spans="25:25" x14ac:dyDescent="0.2">
      <c r="Y44299" s="97"/>
    </row>
    <row r="44300" spans="25:25" x14ac:dyDescent="0.2">
      <c r="Y44300" s="97"/>
    </row>
    <row r="44301" spans="25:25" x14ac:dyDescent="0.2">
      <c r="Y44301" s="97"/>
    </row>
    <row r="44302" spans="25:25" x14ac:dyDescent="0.2">
      <c r="Y44302" s="97"/>
    </row>
    <row r="44303" spans="25:25" x14ac:dyDescent="0.2">
      <c r="Y44303" s="97"/>
    </row>
    <row r="44304" spans="25:25" x14ac:dyDescent="0.2">
      <c r="Y44304" s="97"/>
    </row>
    <row r="44305" spans="25:25" x14ac:dyDescent="0.2">
      <c r="Y44305" s="97"/>
    </row>
    <row r="44306" spans="25:25" x14ac:dyDescent="0.2">
      <c r="Y44306" s="97"/>
    </row>
    <row r="44307" spans="25:25" x14ac:dyDescent="0.2">
      <c r="Y44307" s="97"/>
    </row>
    <row r="44308" spans="25:25" x14ac:dyDescent="0.2">
      <c r="Y44308" s="97"/>
    </row>
    <row r="44309" spans="25:25" x14ac:dyDescent="0.2">
      <c r="Y44309" s="97"/>
    </row>
    <row r="44310" spans="25:25" x14ac:dyDescent="0.2">
      <c r="Y44310" s="97"/>
    </row>
    <row r="44311" spans="25:25" x14ac:dyDescent="0.2">
      <c r="Y44311" s="97"/>
    </row>
    <row r="44312" spans="25:25" x14ac:dyDescent="0.2">
      <c r="Y44312" s="97"/>
    </row>
    <row r="44313" spans="25:25" x14ac:dyDescent="0.2">
      <c r="Y44313" s="97"/>
    </row>
    <row r="44314" spans="25:25" x14ac:dyDescent="0.2">
      <c r="Y44314" s="97"/>
    </row>
    <row r="44315" spans="25:25" x14ac:dyDescent="0.2">
      <c r="Y44315" s="97"/>
    </row>
    <row r="44316" spans="25:25" x14ac:dyDescent="0.2">
      <c r="Y44316" s="97"/>
    </row>
    <row r="44317" spans="25:25" x14ac:dyDescent="0.2">
      <c r="Y44317" s="97"/>
    </row>
    <row r="44318" spans="25:25" x14ac:dyDescent="0.2">
      <c r="Y44318" s="97"/>
    </row>
    <row r="44319" spans="25:25" x14ac:dyDescent="0.2">
      <c r="Y44319" s="97"/>
    </row>
    <row r="44320" spans="25:25" x14ac:dyDescent="0.2">
      <c r="Y44320" s="97"/>
    </row>
    <row r="44321" spans="25:25" x14ac:dyDescent="0.2">
      <c r="Y44321" s="97"/>
    </row>
    <row r="44322" spans="25:25" x14ac:dyDescent="0.2">
      <c r="Y44322" s="97"/>
    </row>
    <row r="44323" spans="25:25" x14ac:dyDescent="0.2">
      <c r="Y44323" s="97"/>
    </row>
    <row r="44324" spans="25:25" x14ac:dyDescent="0.2">
      <c r="Y44324" s="97"/>
    </row>
    <row r="44325" spans="25:25" x14ac:dyDescent="0.2">
      <c r="Y44325" s="97"/>
    </row>
    <row r="44326" spans="25:25" x14ac:dyDescent="0.2">
      <c r="Y44326" s="97"/>
    </row>
    <row r="44327" spans="25:25" x14ac:dyDescent="0.2">
      <c r="Y44327" s="97"/>
    </row>
    <row r="44328" spans="25:25" x14ac:dyDescent="0.2">
      <c r="Y44328" s="97"/>
    </row>
    <row r="44329" spans="25:25" x14ac:dyDescent="0.2">
      <c r="Y44329" s="97"/>
    </row>
    <row r="44330" spans="25:25" x14ac:dyDescent="0.2">
      <c r="Y44330" s="97"/>
    </row>
    <row r="44331" spans="25:25" x14ac:dyDescent="0.2">
      <c r="Y44331" s="97"/>
    </row>
    <row r="44332" spans="25:25" x14ac:dyDescent="0.2">
      <c r="Y44332" s="97"/>
    </row>
    <row r="44333" spans="25:25" x14ac:dyDescent="0.2">
      <c r="Y44333" s="97"/>
    </row>
    <row r="44334" spans="25:25" x14ac:dyDescent="0.2">
      <c r="Y44334" s="97"/>
    </row>
    <row r="44335" spans="25:25" x14ac:dyDescent="0.2">
      <c r="Y44335" s="97"/>
    </row>
    <row r="44336" spans="25:25" x14ac:dyDescent="0.2">
      <c r="Y44336" s="97"/>
    </row>
    <row r="44337" spans="25:25" x14ac:dyDescent="0.2">
      <c r="Y44337" s="97"/>
    </row>
    <row r="44338" spans="25:25" x14ac:dyDescent="0.2">
      <c r="Y44338" s="97"/>
    </row>
    <row r="44339" spans="25:25" x14ac:dyDescent="0.2">
      <c r="Y44339" s="97"/>
    </row>
    <row r="44340" spans="25:25" x14ac:dyDescent="0.2">
      <c r="Y44340" s="97"/>
    </row>
    <row r="44341" spans="25:25" x14ac:dyDescent="0.2">
      <c r="Y44341" s="97"/>
    </row>
    <row r="44342" spans="25:25" x14ac:dyDescent="0.2">
      <c r="Y44342" s="97"/>
    </row>
    <row r="44343" spans="25:25" x14ac:dyDescent="0.2">
      <c r="Y44343" s="97"/>
    </row>
    <row r="44344" spans="25:25" x14ac:dyDescent="0.2">
      <c r="Y44344" s="97"/>
    </row>
    <row r="44345" spans="25:25" x14ac:dyDescent="0.2">
      <c r="Y44345" s="97"/>
    </row>
    <row r="44346" spans="25:25" x14ac:dyDescent="0.2">
      <c r="Y44346" s="97"/>
    </row>
    <row r="44347" spans="25:25" x14ac:dyDescent="0.2">
      <c r="Y44347" s="97"/>
    </row>
    <row r="44348" spans="25:25" x14ac:dyDescent="0.2">
      <c r="Y44348" s="97"/>
    </row>
    <row r="44349" spans="25:25" x14ac:dyDescent="0.2">
      <c r="Y44349" s="97"/>
    </row>
    <row r="44350" spans="25:25" x14ac:dyDescent="0.2">
      <c r="Y44350" s="97"/>
    </row>
    <row r="44351" spans="25:25" x14ac:dyDescent="0.2">
      <c r="Y44351" s="97"/>
    </row>
    <row r="44352" spans="25:25" x14ac:dyDescent="0.2">
      <c r="Y44352" s="97"/>
    </row>
    <row r="44353" spans="25:25" x14ac:dyDescent="0.2">
      <c r="Y44353" s="97"/>
    </row>
    <row r="44354" spans="25:25" x14ac:dyDescent="0.2">
      <c r="Y44354" s="97"/>
    </row>
    <row r="44355" spans="25:25" x14ac:dyDescent="0.2">
      <c r="Y44355" s="97"/>
    </row>
    <row r="44356" spans="25:25" x14ac:dyDescent="0.2">
      <c r="Y44356" s="97"/>
    </row>
    <row r="44357" spans="25:25" x14ac:dyDescent="0.2">
      <c r="Y44357" s="97"/>
    </row>
    <row r="44358" spans="25:25" x14ac:dyDescent="0.2">
      <c r="Y44358" s="97"/>
    </row>
    <row r="44359" spans="25:25" x14ac:dyDescent="0.2">
      <c r="Y44359" s="97"/>
    </row>
    <row r="44360" spans="25:25" x14ac:dyDescent="0.2">
      <c r="Y44360" s="97"/>
    </row>
    <row r="44361" spans="25:25" x14ac:dyDescent="0.2">
      <c r="Y44361" s="97"/>
    </row>
    <row r="44362" spans="25:25" x14ac:dyDescent="0.2">
      <c r="Y44362" s="97"/>
    </row>
    <row r="44363" spans="25:25" x14ac:dyDescent="0.2">
      <c r="Y44363" s="97"/>
    </row>
    <row r="44364" spans="25:25" x14ac:dyDescent="0.2">
      <c r="Y44364" s="97"/>
    </row>
    <row r="44365" spans="25:25" x14ac:dyDescent="0.2">
      <c r="Y44365" s="97"/>
    </row>
    <row r="44366" spans="25:25" x14ac:dyDescent="0.2">
      <c r="Y44366" s="97"/>
    </row>
    <row r="44367" spans="25:25" x14ac:dyDescent="0.2">
      <c r="Y44367" s="97"/>
    </row>
    <row r="44368" spans="25:25" x14ac:dyDescent="0.2">
      <c r="Y44368" s="97"/>
    </row>
    <row r="44369" spans="25:25" x14ac:dyDescent="0.2">
      <c r="Y44369" s="97"/>
    </row>
    <row r="44370" spans="25:25" x14ac:dyDescent="0.2">
      <c r="Y44370" s="97"/>
    </row>
    <row r="44371" spans="25:25" x14ac:dyDescent="0.2">
      <c r="Y44371" s="97"/>
    </row>
    <row r="44372" spans="25:25" x14ac:dyDescent="0.2">
      <c r="Y44372" s="97"/>
    </row>
    <row r="44373" spans="25:25" x14ac:dyDescent="0.2">
      <c r="Y44373" s="97"/>
    </row>
    <row r="44374" spans="25:25" x14ac:dyDescent="0.2">
      <c r="Y44374" s="97"/>
    </row>
    <row r="44375" spans="25:25" x14ac:dyDescent="0.2">
      <c r="Y44375" s="97"/>
    </row>
    <row r="44376" spans="25:25" x14ac:dyDescent="0.2">
      <c r="Y44376" s="97"/>
    </row>
    <row r="44377" spans="25:25" x14ac:dyDescent="0.2">
      <c r="Y44377" s="97"/>
    </row>
    <row r="44378" spans="25:25" x14ac:dyDescent="0.2">
      <c r="Y44378" s="97"/>
    </row>
    <row r="44379" spans="25:25" x14ac:dyDescent="0.2">
      <c r="Y44379" s="97"/>
    </row>
    <row r="44380" spans="25:25" x14ac:dyDescent="0.2">
      <c r="Y44380" s="97"/>
    </row>
    <row r="44381" spans="25:25" x14ac:dyDescent="0.2">
      <c r="Y44381" s="97"/>
    </row>
    <row r="44382" spans="25:25" x14ac:dyDescent="0.2">
      <c r="Y44382" s="97"/>
    </row>
    <row r="44383" spans="25:25" x14ac:dyDescent="0.2">
      <c r="Y44383" s="97"/>
    </row>
    <row r="44384" spans="25:25" x14ac:dyDescent="0.2">
      <c r="Y44384" s="97"/>
    </row>
    <row r="44385" spans="25:25" x14ac:dyDescent="0.2">
      <c r="Y44385" s="97"/>
    </row>
    <row r="44386" spans="25:25" x14ac:dyDescent="0.2">
      <c r="Y44386" s="97"/>
    </row>
    <row r="44387" spans="25:25" x14ac:dyDescent="0.2">
      <c r="Y44387" s="97"/>
    </row>
    <row r="44388" spans="25:25" x14ac:dyDescent="0.2">
      <c r="Y44388" s="97"/>
    </row>
    <row r="44389" spans="25:25" x14ac:dyDescent="0.2">
      <c r="Y44389" s="97"/>
    </row>
    <row r="44390" spans="25:25" x14ac:dyDescent="0.2">
      <c r="Y44390" s="97"/>
    </row>
    <row r="44391" spans="25:25" x14ac:dyDescent="0.2">
      <c r="Y44391" s="97"/>
    </row>
    <row r="44392" spans="25:25" x14ac:dyDescent="0.2">
      <c r="Y44392" s="97"/>
    </row>
    <row r="44393" spans="25:25" x14ac:dyDescent="0.2">
      <c r="Y44393" s="97"/>
    </row>
    <row r="44394" spans="25:25" x14ac:dyDescent="0.2">
      <c r="Y44394" s="97"/>
    </row>
    <row r="44395" spans="25:25" x14ac:dyDescent="0.2">
      <c r="Y44395" s="97"/>
    </row>
    <row r="44396" spans="25:25" x14ac:dyDescent="0.2">
      <c r="Y44396" s="97"/>
    </row>
    <row r="44397" spans="25:25" x14ac:dyDescent="0.2">
      <c r="Y44397" s="97"/>
    </row>
    <row r="44398" spans="25:25" x14ac:dyDescent="0.2">
      <c r="Y44398" s="97"/>
    </row>
    <row r="44399" spans="25:25" x14ac:dyDescent="0.2">
      <c r="Y44399" s="97"/>
    </row>
    <row r="44400" spans="25:25" x14ac:dyDescent="0.2">
      <c r="Y44400" s="97"/>
    </row>
    <row r="44401" spans="25:25" x14ac:dyDescent="0.2">
      <c r="Y44401" s="97"/>
    </row>
    <row r="44402" spans="25:25" x14ac:dyDescent="0.2">
      <c r="Y44402" s="97"/>
    </row>
    <row r="44403" spans="25:25" x14ac:dyDescent="0.2">
      <c r="Y44403" s="97"/>
    </row>
    <row r="44404" spans="25:25" x14ac:dyDescent="0.2">
      <c r="Y44404" s="97"/>
    </row>
    <row r="44405" spans="25:25" x14ac:dyDescent="0.2">
      <c r="Y44405" s="97"/>
    </row>
    <row r="44406" spans="25:25" x14ac:dyDescent="0.2">
      <c r="Y44406" s="97"/>
    </row>
    <row r="44407" spans="25:25" x14ac:dyDescent="0.2">
      <c r="Y44407" s="97"/>
    </row>
    <row r="44408" spans="25:25" x14ac:dyDescent="0.2">
      <c r="Y44408" s="97"/>
    </row>
    <row r="44409" spans="25:25" x14ac:dyDescent="0.2">
      <c r="Y44409" s="97"/>
    </row>
    <row r="44410" spans="25:25" x14ac:dyDescent="0.2">
      <c r="Y44410" s="97"/>
    </row>
    <row r="44411" spans="25:25" x14ac:dyDescent="0.2">
      <c r="Y44411" s="97"/>
    </row>
    <row r="44412" spans="25:25" x14ac:dyDescent="0.2">
      <c r="Y44412" s="97"/>
    </row>
    <row r="44413" spans="25:25" x14ac:dyDescent="0.2">
      <c r="Y44413" s="97"/>
    </row>
    <row r="44414" spans="25:25" x14ac:dyDescent="0.2">
      <c r="Y44414" s="97"/>
    </row>
    <row r="44415" spans="25:25" x14ac:dyDescent="0.2">
      <c r="Y44415" s="97"/>
    </row>
    <row r="44416" spans="25:25" x14ac:dyDescent="0.2">
      <c r="Y44416" s="97"/>
    </row>
    <row r="44417" spans="25:25" x14ac:dyDescent="0.2">
      <c r="Y44417" s="97"/>
    </row>
    <row r="44418" spans="25:25" x14ac:dyDescent="0.2">
      <c r="Y44418" s="97"/>
    </row>
    <row r="44419" spans="25:25" x14ac:dyDescent="0.2">
      <c r="Y44419" s="97"/>
    </row>
    <row r="44420" spans="25:25" x14ac:dyDescent="0.2">
      <c r="Y44420" s="97"/>
    </row>
    <row r="44421" spans="25:25" x14ac:dyDescent="0.2">
      <c r="Y44421" s="97"/>
    </row>
    <row r="44422" spans="25:25" x14ac:dyDescent="0.2">
      <c r="Y44422" s="97"/>
    </row>
    <row r="44423" spans="25:25" x14ac:dyDescent="0.2">
      <c r="Y44423" s="97"/>
    </row>
    <row r="44424" spans="25:25" x14ac:dyDescent="0.2">
      <c r="Y44424" s="97"/>
    </row>
    <row r="44425" spans="25:25" x14ac:dyDescent="0.2">
      <c r="Y44425" s="97"/>
    </row>
    <row r="44426" spans="25:25" x14ac:dyDescent="0.2">
      <c r="Y44426" s="97"/>
    </row>
    <row r="44427" spans="25:25" x14ac:dyDescent="0.2">
      <c r="Y44427" s="97"/>
    </row>
    <row r="44428" spans="25:25" x14ac:dyDescent="0.2">
      <c r="Y44428" s="97"/>
    </row>
    <row r="44429" spans="25:25" x14ac:dyDescent="0.2">
      <c r="Y44429" s="97"/>
    </row>
    <row r="44430" spans="25:25" x14ac:dyDescent="0.2">
      <c r="Y44430" s="97"/>
    </row>
    <row r="44431" spans="25:25" x14ac:dyDescent="0.2">
      <c r="Y44431" s="97"/>
    </row>
    <row r="44432" spans="25:25" x14ac:dyDescent="0.2">
      <c r="Y44432" s="97"/>
    </row>
    <row r="44433" spans="25:25" x14ac:dyDescent="0.2">
      <c r="Y44433" s="97"/>
    </row>
    <row r="44434" spans="25:25" x14ac:dyDescent="0.2">
      <c r="Y44434" s="97"/>
    </row>
    <row r="44435" spans="25:25" x14ac:dyDescent="0.2">
      <c r="Y44435" s="97"/>
    </row>
    <row r="44436" spans="25:25" x14ac:dyDescent="0.2">
      <c r="Y44436" s="97"/>
    </row>
    <row r="44437" spans="25:25" x14ac:dyDescent="0.2">
      <c r="Y44437" s="97"/>
    </row>
    <row r="44438" spans="25:25" x14ac:dyDescent="0.2">
      <c r="Y44438" s="97"/>
    </row>
    <row r="44439" spans="25:25" x14ac:dyDescent="0.2">
      <c r="Y44439" s="97"/>
    </row>
    <row r="44440" spans="25:25" x14ac:dyDescent="0.2">
      <c r="Y44440" s="97"/>
    </row>
    <row r="44441" spans="25:25" x14ac:dyDescent="0.2">
      <c r="Y44441" s="97"/>
    </row>
    <row r="44442" spans="25:25" x14ac:dyDescent="0.2">
      <c r="Y44442" s="97"/>
    </row>
    <row r="44443" spans="25:25" x14ac:dyDescent="0.2">
      <c r="Y44443" s="97"/>
    </row>
    <row r="44444" spans="25:25" x14ac:dyDescent="0.2">
      <c r="Y44444" s="97"/>
    </row>
    <row r="44445" spans="25:25" x14ac:dyDescent="0.2">
      <c r="Y44445" s="97"/>
    </row>
    <row r="44446" spans="25:25" x14ac:dyDescent="0.2">
      <c r="Y44446" s="97"/>
    </row>
    <row r="44447" spans="25:25" x14ac:dyDescent="0.2">
      <c r="Y44447" s="97"/>
    </row>
    <row r="44448" spans="25:25" x14ac:dyDescent="0.2">
      <c r="Y44448" s="97"/>
    </row>
    <row r="44449" spans="25:25" x14ac:dyDescent="0.2">
      <c r="Y44449" s="97"/>
    </row>
    <row r="44450" spans="25:25" x14ac:dyDescent="0.2">
      <c r="Y44450" s="97"/>
    </row>
    <row r="44451" spans="25:25" x14ac:dyDescent="0.2">
      <c r="Y44451" s="97"/>
    </row>
    <row r="44452" spans="25:25" x14ac:dyDescent="0.2">
      <c r="Y44452" s="97"/>
    </row>
    <row r="44453" spans="25:25" x14ac:dyDescent="0.2">
      <c r="Y44453" s="97"/>
    </row>
    <row r="44454" spans="25:25" x14ac:dyDescent="0.2">
      <c r="Y44454" s="97"/>
    </row>
    <row r="44455" spans="25:25" x14ac:dyDescent="0.2">
      <c r="Y44455" s="97"/>
    </row>
    <row r="44456" spans="25:25" x14ac:dyDescent="0.2">
      <c r="Y44456" s="97"/>
    </row>
    <row r="44457" spans="25:25" x14ac:dyDescent="0.2">
      <c r="Y44457" s="97"/>
    </row>
    <row r="44458" spans="25:25" x14ac:dyDescent="0.2">
      <c r="Y44458" s="97"/>
    </row>
    <row r="44459" spans="25:25" x14ac:dyDescent="0.2">
      <c r="Y44459" s="97"/>
    </row>
    <row r="44460" spans="25:25" x14ac:dyDescent="0.2">
      <c r="Y44460" s="97"/>
    </row>
    <row r="44461" spans="25:25" x14ac:dyDescent="0.2">
      <c r="Y44461" s="97"/>
    </row>
    <row r="44462" spans="25:25" x14ac:dyDescent="0.2">
      <c r="Y44462" s="97"/>
    </row>
    <row r="44463" spans="25:25" x14ac:dyDescent="0.2">
      <c r="Y44463" s="97"/>
    </row>
    <row r="44464" spans="25:25" x14ac:dyDescent="0.2">
      <c r="Y44464" s="97"/>
    </row>
    <row r="44465" spans="25:25" x14ac:dyDescent="0.2">
      <c r="Y44465" s="97"/>
    </row>
    <row r="44466" spans="25:25" x14ac:dyDescent="0.2">
      <c r="Y44466" s="97"/>
    </row>
    <row r="44467" spans="25:25" x14ac:dyDescent="0.2">
      <c r="Y44467" s="97"/>
    </row>
    <row r="44468" spans="25:25" x14ac:dyDescent="0.2">
      <c r="Y44468" s="97"/>
    </row>
    <row r="44469" spans="25:25" x14ac:dyDescent="0.2">
      <c r="Y44469" s="97"/>
    </row>
    <row r="44470" spans="25:25" x14ac:dyDescent="0.2">
      <c r="Y44470" s="97"/>
    </row>
    <row r="44471" spans="25:25" x14ac:dyDescent="0.2">
      <c r="Y44471" s="97"/>
    </row>
    <row r="44472" spans="25:25" x14ac:dyDescent="0.2">
      <c r="Y44472" s="97"/>
    </row>
    <row r="44473" spans="25:25" x14ac:dyDescent="0.2">
      <c r="Y44473" s="97"/>
    </row>
    <row r="44474" spans="25:25" x14ac:dyDescent="0.2">
      <c r="Y44474" s="97"/>
    </row>
    <row r="44475" spans="25:25" x14ac:dyDescent="0.2">
      <c r="Y44475" s="97"/>
    </row>
    <row r="44476" spans="25:25" x14ac:dyDescent="0.2">
      <c r="Y44476" s="97"/>
    </row>
    <row r="44477" spans="25:25" x14ac:dyDescent="0.2">
      <c r="Y44477" s="97"/>
    </row>
    <row r="44478" spans="25:25" x14ac:dyDescent="0.2">
      <c r="Y44478" s="97"/>
    </row>
    <row r="44479" spans="25:25" x14ac:dyDescent="0.2">
      <c r="Y44479" s="97"/>
    </row>
    <row r="44480" spans="25:25" x14ac:dyDescent="0.2">
      <c r="Y44480" s="97"/>
    </row>
    <row r="44481" spans="25:25" x14ac:dyDescent="0.2">
      <c r="Y44481" s="97"/>
    </row>
    <row r="44482" spans="25:25" x14ac:dyDescent="0.2">
      <c r="Y44482" s="97"/>
    </row>
    <row r="44483" spans="25:25" x14ac:dyDescent="0.2">
      <c r="Y44483" s="97"/>
    </row>
    <row r="44484" spans="25:25" x14ac:dyDescent="0.2">
      <c r="Y44484" s="97"/>
    </row>
    <row r="44485" spans="25:25" x14ac:dyDescent="0.2">
      <c r="Y44485" s="97"/>
    </row>
    <row r="44486" spans="25:25" x14ac:dyDescent="0.2">
      <c r="Y44486" s="97"/>
    </row>
    <row r="44487" spans="25:25" x14ac:dyDescent="0.2">
      <c r="Y44487" s="97"/>
    </row>
    <row r="44488" spans="25:25" x14ac:dyDescent="0.2">
      <c r="Y44488" s="97"/>
    </row>
    <row r="44489" spans="25:25" x14ac:dyDescent="0.2">
      <c r="Y44489" s="97"/>
    </row>
    <row r="44490" spans="25:25" x14ac:dyDescent="0.2">
      <c r="Y44490" s="97"/>
    </row>
    <row r="44491" spans="25:25" x14ac:dyDescent="0.2">
      <c r="Y44491" s="97"/>
    </row>
    <row r="44492" spans="25:25" x14ac:dyDescent="0.2">
      <c r="Y44492" s="97"/>
    </row>
    <row r="44493" spans="25:25" x14ac:dyDescent="0.2">
      <c r="Y44493" s="97"/>
    </row>
    <row r="44494" spans="25:25" x14ac:dyDescent="0.2">
      <c r="Y44494" s="97"/>
    </row>
    <row r="44495" spans="25:25" x14ac:dyDescent="0.2">
      <c r="Y44495" s="97"/>
    </row>
    <row r="44496" spans="25:25" x14ac:dyDescent="0.2">
      <c r="Y44496" s="97"/>
    </row>
    <row r="44497" spans="25:25" x14ac:dyDescent="0.2">
      <c r="Y44497" s="97"/>
    </row>
    <row r="44498" spans="25:25" x14ac:dyDescent="0.2">
      <c r="Y44498" s="97"/>
    </row>
    <row r="44499" spans="25:25" x14ac:dyDescent="0.2">
      <c r="Y44499" s="97"/>
    </row>
    <row r="44500" spans="25:25" x14ac:dyDescent="0.2">
      <c r="Y44500" s="97"/>
    </row>
    <row r="44501" spans="25:25" x14ac:dyDescent="0.2">
      <c r="Y44501" s="97"/>
    </row>
    <row r="44502" spans="25:25" x14ac:dyDescent="0.2">
      <c r="Y44502" s="97"/>
    </row>
    <row r="44503" spans="25:25" x14ac:dyDescent="0.2">
      <c r="Y44503" s="97"/>
    </row>
    <row r="44504" spans="25:25" x14ac:dyDescent="0.2">
      <c r="Y44504" s="97"/>
    </row>
    <row r="44505" spans="25:25" x14ac:dyDescent="0.2">
      <c r="Y44505" s="97"/>
    </row>
    <row r="44506" spans="25:25" x14ac:dyDescent="0.2">
      <c r="Y44506" s="97"/>
    </row>
    <row r="44507" spans="25:25" x14ac:dyDescent="0.2">
      <c r="Y44507" s="97"/>
    </row>
    <row r="44508" spans="25:25" x14ac:dyDescent="0.2">
      <c r="Y44508" s="97"/>
    </row>
    <row r="44509" spans="25:25" x14ac:dyDescent="0.2">
      <c r="Y44509" s="97"/>
    </row>
    <row r="44510" spans="25:25" x14ac:dyDescent="0.2">
      <c r="Y44510" s="97"/>
    </row>
    <row r="44511" spans="25:25" x14ac:dyDescent="0.2">
      <c r="Y44511" s="97"/>
    </row>
    <row r="44512" spans="25:25" x14ac:dyDescent="0.2">
      <c r="Y44512" s="97"/>
    </row>
    <row r="44513" spans="25:25" x14ac:dyDescent="0.2">
      <c r="Y44513" s="97"/>
    </row>
    <row r="44514" spans="25:25" x14ac:dyDescent="0.2">
      <c r="Y44514" s="97"/>
    </row>
    <row r="44515" spans="25:25" x14ac:dyDescent="0.2">
      <c r="Y44515" s="97"/>
    </row>
    <row r="44516" spans="25:25" x14ac:dyDescent="0.2">
      <c r="Y44516" s="97"/>
    </row>
    <row r="44517" spans="25:25" x14ac:dyDescent="0.2">
      <c r="Y44517" s="97"/>
    </row>
    <row r="44518" spans="25:25" x14ac:dyDescent="0.2">
      <c r="Y44518" s="97"/>
    </row>
    <row r="44519" spans="25:25" x14ac:dyDescent="0.2">
      <c r="Y44519" s="97"/>
    </row>
    <row r="44520" spans="25:25" x14ac:dyDescent="0.2">
      <c r="Y44520" s="97"/>
    </row>
    <row r="44521" spans="25:25" x14ac:dyDescent="0.2">
      <c r="Y44521" s="97"/>
    </row>
    <row r="44522" spans="25:25" x14ac:dyDescent="0.2">
      <c r="Y44522" s="97"/>
    </row>
    <row r="44523" spans="25:25" x14ac:dyDescent="0.2">
      <c r="Y44523" s="97"/>
    </row>
    <row r="44524" spans="25:25" x14ac:dyDescent="0.2">
      <c r="Y44524" s="97"/>
    </row>
    <row r="44525" spans="25:25" x14ac:dyDescent="0.2">
      <c r="Y44525" s="97"/>
    </row>
    <row r="44526" spans="25:25" x14ac:dyDescent="0.2">
      <c r="Y44526" s="97"/>
    </row>
    <row r="44527" spans="25:25" x14ac:dyDescent="0.2">
      <c r="Y44527" s="97"/>
    </row>
    <row r="44528" spans="25:25" x14ac:dyDescent="0.2">
      <c r="Y44528" s="97"/>
    </row>
    <row r="44529" spans="25:25" x14ac:dyDescent="0.2">
      <c r="Y44529" s="97"/>
    </row>
    <row r="44530" spans="25:25" x14ac:dyDescent="0.2">
      <c r="Y44530" s="97"/>
    </row>
    <row r="44531" spans="25:25" x14ac:dyDescent="0.2">
      <c r="Y44531" s="97"/>
    </row>
    <row r="44532" spans="25:25" x14ac:dyDescent="0.2">
      <c r="Y44532" s="97"/>
    </row>
    <row r="44533" spans="25:25" x14ac:dyDescent="0.2">
      <c r="Y44533" s="97"/>
    </row>
    <row r="44534" spans="25:25" x14ac:dyDescent="0.2">
      <c r="Y44534" s="97"/>
    </row>
    <row r="44535" spans="25:25" x14ac:dyDescent="0.2">
      <c r="Y44535" s="97"/>
    </row>
    <row r="44536" spans="25:25" x14ac:dyDescent="0.2">
      <c r="Y44536" s="97"/>
    </row>
    <row r="44537" spans="25:25" x14ac:dyDescent="0.2">
      <c r="Y44537" s="97"/>
    </row>
    <row r="44538" spans="25:25" x14ac:dyDescent="0.2">
      <c r="Y44538" s="97"/>
    </row>
    <row r="44539" spans="25:25" x14ac:dyDescent="0.2">
      <c r="Y44539" s="97"/>
    </row>
    <row r="44540" spans="25:25" x14ac:dyDescent="0.2">
      <c r="Y44540" s="97"/>
    </row>
    <row r="44541" spans="25:25" x14ac:dyDescent="0.2">
      <c r="Y44541" s="97"/>
    </row>
    <row r="44542" spans="25:25" x14ac:dyDescent="0.2">
      <c r="Y44542" s="97"/>
    </row>
    <row r="44543" spans="25:25" x14ac:dyDescent="0.2">
      <c r="Y44543" s="97"/>
    </row>
    <row r="44544" spans="25:25" x14ac:dyDescent="0.2">
      <c r="Y44544" s="97"/>
    </row>
    <row r="44545" spans="25:25" x14ac:dyDescent="0.2">
      <c r="Y44545" s="97"/>
    </row>
    <row r="44546" spans="25:25" x14ac:dyDescent="0.2">
      <c r="Y44546" s="97"/>
    </row>
    <row r="44547" spans="25:25" x14ac:dyDescent="0.2">
      <c r="Y44547" s="97"/>
    </row>
    <row r="44548" spans="25:25" x14ac:dyDescent="0.2">
      <c r="Y44548" s="97"/>
    </row>
    <row r="44549" spans="25:25" x14ac:dyDescent="0.2">
      <c r="Y44549" s="97"/>
    </row>
    <row r="44550" spans="25:25" x14ac:dyDescent="0.2">
      <c r="Y44550" s="97"/>
    </row>
    <row r="44551" spans="25:25" x14ac:dyDescent="0.2">
      <c r="Y44551" s="97"/>
    </row>
    <row r="44552" spans="25:25" x14ac:dyDescent="0.2">
      <c r="Y44552" s="97"/>
    </row>
    <row r="44553" spans="25:25" x14ac:dyDescent="0.2">
      <c r="Y44553" s="97"/>
    </row>
    <row r="44554" spans="25:25" x14ac:dyDescent="0.2">
      <c r="Y44554" s="97"/>
    </row>
    <row r="44555" spans="25:25" x14ac:dyDescent="0.2">
      <c r="Y44555" s="97"/>
    </row>
    <row r="44556" spans="25:25" x14ac:dyDescent="0.2">
      <c r="Y44556" s="97"/>
    </row>
    <row r="44557" spans="25:25" x14ac:dyDescent="0.2">
      <c r="Y44557" s="97"/>
    </row>
    <row r="44558" spans="25:25" x14ac:dyDescent="0.2">
      <c r="Y44558" s="97"/>
    </row>
    <row r="44559" spans="25:25" x14ac:dyDescent="0.2">
      <c r="Y44559" s="97"/>
    </row>
    <row r="44560" spans="25:25" x14ac:dyDescent="0.2">
      <c r="Y44560" s="97"/>
    </row>
    <row r="44561" spans="25:25" x14ac:dyDescent="0.2">
      <c r="Y44561" s="97"/>
    </row>
    <row r="44562" spans="25:25" x14ac:dyDescent="0.2">
      <c r="Y44562" s="97"/>
    </row>
    <row r="44563" spans="25:25" x14ac:dyDescent="0.2">
      <c r="Y44563" s="97"/>
    </row>
    <row r="44564" spans="25:25" x14ac:dyDescent="0.2">
      <c r="Y44564" s="97"/>
    </row>
    <row r="44565" spans="25:25" x14ac:dyDescent="0.2">
      <c r="Y44565" s="97"/>
    </row>
    <row r="44566" spans="25:25" x14ac:dyDescent="0.2">
      <c r="Y44566" s="97"/>
    </row>
    <row r="44567" spans="25:25" x14ac:dyDescent="0.2">
      <c r="Y44567" s="97"/>
    </row>
    <row r="44568" spans="25:25" x14ac:dyDescent="0.2">
      <c r="Y44568" s="97"/>
    </row>
    <row r="44569" spans="25:25" x14ac:dyDescent="0.2">
      <c r="Y44569" s="97"/>
    </row>
    <row r="44570" spans="25:25" x14ac:dyDescent="0.2">
      <c r="Y44570" s="97"/>
    </row>
    <row r="44571" spans="25:25" x14ac:dyDescent="0.2">
      <c r="Y44571" s="97"/>
    </row>
    <row r="44572" spans="25:25" x14ac:dyDescent="0.2">
      <c r="Y44572" s="97"/>
    </row>
    <row r="44573" spans="25:25" x14ac:dyDescent="0.2">
      <c r="Y44573" s="97"/>
    </row>
    <row r="44574" spans="25:25" x14ac:dyDescent="0.2">
      <c r="Y44574" s="97"/>
    </row>
    <row r="44575" spans="25:25" x14ac:dyDescent="0.2">
      <c r="Y44575" s="97"/>
    </row>
    <row r="44576" spans="25:25" x14ac:dyDescent="0.2">
      <c r="Y44576" s="97"/>
    </row>
    <row r="44577" spans="25:25" x14ac:dyDescent="0.2">
      <c r="Y44577" s="97"/>
    </row>
    <row r="44578" spans="25:25" x14ac:dyDescent="0.2">
      <c r="Y44578" s="97"/>
    </row>
    <row r="44579" spans="25:25" x14ac:dyDescent="0.2">
      <c r="Y44579" s="97"/>
    </row>
    <row r="44580" spans="25:25" x14ac:dyDescent="0.2">
      <c r="Y44580" s="97"/>
    </row>
    <row r="44581" spans="25:25" x14ac:dyDescent="0.2">
      <c r="Y44581" s="97"/>
    </row>
    <row r="44582" spans="25:25" x14ac:dyDescent="0.2">
      <c r="Y44582" s="97"/>
    </row>
    <row r="44583" spans="25:25" x14ac:dyDescent="0.2">
      <c r="Y44583" s="97"/>
    </row>
    <row r="44584" spans="25:25" x14ac:dyDescent="0.2">
      <c r="Y44584" s="97"/>
    </row>
    <row r="44585" spans="25:25" x14ac:dyDescent="0.2">
      <c r="Y44585" s="97"/>
    </row>
    <row r="44586" spans="25:25" x14ac:dyDescent="0.2">
      <c r="Y44586" s="97"/>
    </row>
    <row r="44587" spans="25:25" x14ac:dyDescent="0.2">
      <c r="Y44587" s="97"/>
    </row>
    <row r="44588" spans="25:25" x14ac:dyDescent="0.2">
      <c r="Y44588" s="97"/>
    </row>
    <row r="44589" spans="25:25" x14ac:dyDescent="0.2">
      <c r="Y44589" s="97"/>
    </row>
    <row r="44590" spans="25:25" x14ac:dyDescent="0.2">
      <c r="Y44590" s="97"/>
    </row>
    <row r="44591" spans="25:25" x14ac:dyDescent="0.2">
      <c r="Y44591" s="97"/>
    </row>
    <row r="44592" spans="25:25" x14ac:dyDescent="0.2">
      <c r="Y44592" s="97"/>
    </row>
    <row r="44593" spans="25:25" x14ac:dyDescent="0.2">
      <c r="Y44593" s="97"/>
    </row>
    <row r="44594" spans="25:25" x14ac:dyDescent="0.2">
      <c r="Y44594" s="97"/>
    </row>
    <row r="44595" spans="25:25" x14ac:dyDescent="0.2">
      <c r="Y44595" s="97"/>
    </row>
    <row r="44596" spans="25:25" x14ac:dyDescent="0.2">
      <c r="Y44596" s="97"/>
    </row>
    <row r="44597" spans="25:25" x14ac:dyDescent="0.2">
      <c r="Y44597" s="97"/>
    </row>
    <row r="44598" spans="25:25" x14ac:dyDescent="0.2">
      <c r="Y44598" s="97"/>
    </row>
    <row r="44599" spans="25:25" x14ac:dyDescent="0.2">
      <c r="Y44599" s="97"/>
    </row>
    <row r="44600" spans="25:25" x14ac:dyDescent="0.2">
      <c r="Y44600" s="97"/>
    </row>
    <row r="44601" spans="25:25" x14ac:dyDescent="0.2">
      <c r="Y44601" s="97"/>
    </row>
    <row r="44602" spans="25:25" x14ac:dyDescent="0.2">
      <c r="Y44602" s="97"/>
    </row>
    <row r="44603" spans="25:25" x14ac:dyDescent="0.2">
      <c r="Y44603" s="97"/>
    </row>
    <row r="44604" spans="25:25" x14ac:dyDescent="0.2">
      <c r="Y44604" s="97"/>
    </row>
    <row r="44605" spans="25:25" x14ac:dyDescent="0.2">
      <c r="Y44605" s="97"/>
    </row>
    <row r="44606" spans="25:25" x14ac:dyDescent="0.2">
      <c r="Y44606" s="97"/>
    </row>
    <row r="44607" spans="25:25" x14ac:dyDescent="0.2">
      <c r="Y44607" s="97"/>
    </row>
    <row r="44608" spans="25:25" x14ac:dyDescent="0.2">
      <c r="Y44608" s="97"/>
    </row>
    <row r="44609" spans="25:25" x14ac:dyDescent="0.2">
      <c r="Y44609" s="97"/>
    </row>
    <row r="44610" spans="25:25" x14ac:dyDescent="0.2">
      <c r="Y44610" s="97"/>
    </row>
    <row r="44611" spans="25:25" x14ac:dyDescent="0.2">
      <c r="Y44611" s="97"/>
    </row>
    <row r="44612" spans="25:25" x14ac:dyDescent="0.2">
      <c r="Y44612" s="97"/>
    </row>
    <row r="44613" spans="25:25" x14ac:dyDescent="0.2">
      <c r="Y44613" s="97"/>
    </row>
    <row r="44614" spans="25:25" x14ac:dyDescent="0.2">
      <c r="Y44614" s="97"/>
    </row>
    <row r="44615" spans="25:25" x14ac:dyDescent="0.2">
      <c r="Y44615" s="97"/>
    </row>
    <row r="44616" spans="25:25" x14ac:dyDescent="0.2">
      <c r="Y44616" s="97"/>
    </row>
    <row r="44617" spans="25:25" x14ac:dyDescent="0.2">
      <c r="Y44617" s="97"/>
    </row>
    <row r="44618" spans="25:25" x14ac:dyDescent="0.2">
      <c r="Y44618" s="97"/>
    </row>
    <row r="44619" spans="25:25" x14ac:dyDescent="0.2">
      <c r="Y44619" s="97"/>
    </row>
    <row r="44620" spans="25:25" x14ac:dyDescent="0.2">
      <c r="Y44620" s="97"/>
    </row>
    <row r="44621" spans="25:25" x14ac:dyDescent="0.2">
      <c r="Y44621" s="97"/>
    </row>
    <row r="44622" spans="25:25" x14ac:dyDescent="0.2">
      <c r="Y44622" s="97"/>
    </row>
    <row r="44623" spans="25:25" x14ac:dyDescent="0.2">
      <c r="Y44623" s="97"/>
    </row>
    <row r="44624" spans="25:25" x14ac:dyDescent="0.2">
      <c r="Y44624" s="97"/>
    </row>
    <row r="44625" spans="25:25" x14ac:dyDescent="0.2">
      <c r="Y44625" s="97"/>
    </row>
    <row r="44626" spans="25:25" x14ac:dyDescent="0.2">
      <c r="Y44626" s="97"/>
    </row>
    <row r="44627" spans="25:25" x14ac:dyDescent="0.2">
      <c r="Y44627" s="97"/>
    </row>
    <row r="44628" spans="25:25" x14ac:dyDescent="0.2">
      <c r="Y44628" s="97"/>
    </row>
    <row r="44629" spans="25:25" x14ac:dyDescent="0.2">
      <c r="Y44629" s="97"/>
    </row>
    <row r="44630" spans="25:25" x14ac:dyDescent="0.2">
      <c r="Y44630" s="97"/>
    </row>
    <row r="44631" spans="25:25" x14ac:dyDescent="0.2">
      <c r="Y44631" s="97"/>
    </row>
    <row r="44632" spans="25:25" x14ac:dyDescent="0.2">
      <c r="Y44632" s="97"/>
    </row>
    <row r="44633" spans="25:25" x14ac:dyDescent="0.2">
      <c r="Y44633" s="97"/>
    </row>
    <row r="44634" spans="25:25" x14ac:dyDescent="0.2">
      <c r="Y44634" s="97"/>
    </row>
    <row r="44635" spans="25:25" x14ac:dyDescent="0.2">
      <c r="Y44635" s="97"/>
    </row>
    <row r="44636" spans="25:25" x14ac:dyDescent="0.2">
      <c r="Y44636" s="97"/>
    </row>
    <row r="44637" spans="25:25" x14ac:dyDescent="0.2">
      <c r="Y44637" s="97"/>
    </row>
    <row r="44638" spans="25:25" x14ac:dyDescent="0.2">
      <c r="Y44638" s="97"/>
    </row>
    <row r="44639" spans="25:25" x14ac:dyDescent="0.2">
      <c r="Y44639" s="97"/>
    </row>
    <row r="44640" spans="25:25" x14ac:dyDescent="0.2">
      <c r="Y44640" s="97"/>
    </row>
    <row r="44641" spans="25:25" x14ac:dyDescent="0.2">
      <c r="Y44641" s="97"/>
    </row>
    <row r="44642" spans="25:25" x14ac:dyDescent="0.2">
      <c r="Y44642" s="97"/>
    </row>
    <row r="44643" spans="25:25" x14ac:dyDescent="0.2">
      <c r="Y44643" s="97"/>
    </row>
    <row r="44644" spans="25:25" x14ac:dyDescent="0.2">
      <c r="Y44644" s="97"/>
    </row>
    <row r="44645" spans="25:25" x14ac:dyDescent="0.2">
      <c r="Y44645" s="97"/>
    </row>
    <row r="44646" spans="25:25" x14ac:dyDescent="0.2">
      <c r="Y44646" s="97"/>
    </row>
    <row r="44647" spans="25:25" x14ac:dyDescent="0.2">
      <c r="Y44647" s="97"/>
    </row>
    <row r="44648" spans="25:25" x14ac:dyDescent="0.2">
      <c r="Y44648" s="97"/>
    </row>
    <row r="44649" spans="25:25" x14ac:dyDescent="0.2">
      <c r="Y44649" s="97"/>
    </row>
    <row r="44650" spans="25:25" x14ac:dyDescent="0.2">
      <c r="Y44650" s="97"/>
    </row>
    <row r="44651" spans="25:25" x14ac:dyDescent="0.2">
      <c r="Y44651" s="97"/>
    </row>
    <row r="44652" spans="25:25" x14ac:dyDescent="0.2">
      <c r="Y44652" s="97"/>
    </row>
    <row r="44653" spans="25:25" x14ac:dyDescent="0.2">
      <c r="Y44653" s="97"/>
    </row>
    <row r="44654" spans="25:25" x14ac:dyDescent="0.2">
      <c r="Y44654" s="97"/>
    </row>
    <row r="44655" spans="25:25" x14ac:dyDescent="0.2">
      <c r="Y44655" s="97"/>
    </row>
    <row r="44656" spans="25:25" x14ac:dyDescent="0.2">
      <c r="Y44656" s="97"/>
    </row>
    <row r="44657" spans="25:25" x14ac:dyDescent="0.2">
      <c r="Y44657" s="97"/>
    </row>
    <row r="44658" spans="25:25" x14ac:dyDescent="0.2">
      <c r="Y44658" s="97"/>
    </row>
    <row r="44659" spans="25:25" x14ac:dyDescent="0.2">
      <c r="Y44659" s="97"/>
    </row>
    <row r="44660" spans="25:25" x14ac:dyDescent="0.2">
      <c r="Y44660" s="97"/>
    </row>
    <row r="44661" spans="25:25" x14ac:dyDescent="0.2">
      <c r="Y44661" s="97"/>
    </row>
    <row r="44662" spans="25:25" x14ac:dyDescent="0.2">
      <c r="Y44662" s="97"/>
    </row>
    <row r="44663" spans="25:25" x14ac:dyDescent="0.2">
      <c r="Y44663" s="97"/>
    </row>
    <row r="44664" spans="25:25" x14ac:dyDescent="0.2">
      <c r="Y44664" s="97"/>
    </row>
    <row r="44665" spans="25:25" x14ac:dyDescent="0.2">
      <c r="Y44665" s="97"/>
    </row>
    <row r="44666" spans="25:25" x14ac:dyDescent="0.2">
      <c r="Y44666" s="97"/>
    </row>
    <row r="44667" spans="25:25" x14ac:dyDescent="0.2">
      <c r="Y44667" s="97"/>
    </row>
    <row r="44668" spans="25:25" x14ac:dyDescent="0.2">
      <c r="Y44668" s="97"/>
    </row>
    <row r="44669" spans="25:25" x14ac:dyDescent="0.2">
      <c r="Y44669" s="97"/>
    </row>
    <row r="44670" spans="25:25" x14ac:dyDescent="0.2">
      <c r="Y44670" s="97"/>
    </row>
    <row r="44671" spans="25:25" x14ac:dyDescent="0.2">
      <c r="Y44671" s="97"/>
    </row>
    <row r="44672" spans="25:25" x14ac:dyDescent="0.2">
      <c r="Y44672" s="97"/>
    </row>
    <row r="44673" spans="25:25" x14ac:dyDescent="0.2">
      <c r="Y44673" s="97"/>
    </row>
    <row r="44674" spans="25:25" x14ac:dyDescent="0.2">
      <c r="Y44674" s="97"/>
    </row>
    <row r="44675" spans="25:25" x14ac:dyDescent="0.2">
      <c r="Y44675" s="97"/>
    </row>
    <row r="44676" spans="25:25" x14ac:dyDescent="0.2">
      <c r="Y44676" s="97"/>
    </row>
    <row r="44677" spans="25:25" x14ac:dyDescent="0.2">
      <c r="Y44677" s="97"/>
    </row>
    <row r="44678" spans="25:25" x14ac:dyDescent="0.2">
      <c r="Y44678" s="97"/>
    </row>
    <row r="44679" spans="25:25" x14ac:dyDescent="0.2">
      <c r="Y44679" s="97"/>
    </row>
    <row r="44680" spans="25:25" x14ac:dyDescent="0.2">
      <c r="Y44680" s="97"/>
    </row>
    <row r="44681" spans="25:25" x14ac:dyDescent="0.2">
      <c r="Y44681" s="97"/>
    </row>
    <row r="44682" spans="25:25" x14ac:dyDescent="0.2">
      <c r="Y44682" s="97"/>
    </row>
    <row r="44683" spans="25:25" x14ac:dyDescent="0.2">
      <c r="Y44683" s="97"/>
    </row>
    <row r="44684" spans="25:25" x14ac:dyDescent="0.2">
      <c r="Y44684" s="97"/>
    </row>
    <row r="44685" spans="25:25" x14ac:dyDescent="0.2">
      <c r="Y44685" s="97"/>
    </row>
    <row r="44686" spans="25:25" x14ac:dyDescent="0.2">
      <c r="Y44686" s="97"/>
    </row>
    <row r="44687" spans="25:25" x14ac:dyDescent="0.2">
      <c r="Y44687" s="97"/>
    </row>
    <row r="44688" spans="25:25" x14ac:dyDescent="0.2">
      <c r="Y44688" s="97"/>
    </row>
    <row r="44689" spans="25:25" x14ac:dyDescent="0.2">
      <c r="Y44689" s="97"/>
    </row>
    <row r="44690" spans="25:25" x14ac:dyDescent="0.2">
      <c r="Y44690" s="97"/>
    </row>
    <row r="44691" spans="25:25" x14ac:dyDescent="0.2">
      <c r="Y44691" s="97"/>
    </row>
    <row r="44692" spans="25:25" x14ac:dyDescent="0.2">
      <c r="Y44692" s="97"/>
    </row>
    <row r="44693" spans="25:25" x14ac:dyDescent="0.2">
      <c r="Y44693" s="97"/>
    </row>
    <row r="44694" spans="25:25" x14ac:dyDescent="0.2">
      <c r="Y44694" s="97"/>
    </row>
    <row r="44695" spans="25:25" x14ac:dyDescent="0.2">
      <c r="Y44695" s="97"/>
    </row>
    <row r="44696" spans="25:25" x14ac:dyDescent="0.2">
      <c r="Y44696" s="97"/>
    </row>
    <row r="44697" spans="25:25" x14ac:dyDescent="0.2">
      <c r="Y44697" s="97"/>
    </row>
    <row r="44698" spans="25:25" x14ac:dyDescent="0.2">
      <c r="Y44698" s="97"/>
    </row>
    <row r="44699" spans="25:25" x14ac:dyDescent="0.2">
      <c r="Y44699" s="97"/>
    </row>
    <row r="44700" spans="25:25" x14ac:dyDescent="0.2">
      <c r="Y44700" s="97"/>
    </row>
    <row r="44701" spans="25:25" x14ac:dyDescent="0.2">
      <c r="Y44701" s="97"/>
    </row>
    <row r="44702" spans="25:25" x14ac:dyDescent="0.2">
      <c r="Y44702" s="97"/>
    </row>
    <row r="44703" spans="25:25" x14ac:dyDescent="0.2">
      <c r="Y44703" s="97"/>
    </row>
    <row r="44704" spans="25:25" x14ac:dyDescent="0.2">
      <c r="Y44704" s="97"/>
    </row>
    <row r="44705" spans="25:25" x14ac:dyDescent="0.2">
      <c r="Y44705" s="97"/>
    </row>
    <row r="44706" spans="25:25" x14ac:dyDescent="0.2">
      <c r="Y44706" s="97"/>
    </row>
    <row r="44707" spans="25:25" x14ac:dyDescent="0.2">
      <c r="Y44707" s="97"/>
    </row>
    <row r="44708" spans="25:25" x14ac:dyDescent="0.2">
      <c r="Y44708" s="97"/>
    </row>
    <row r="44709" spans="25:25" x14ac:dyDescent="0.2">
      <c r="Y44709" s="97"/>
    </row>
    <row r="44710" spans="25:25" x14ac:dyDescent="0.2">
      <c r="Y44710" s="97"/>
    </row>
    <row r="44711" spans="25:25" x14ac:dyDescent="0.2">
      <c r="Y44711" s="97"/>
    </row>
    <row r="44712" spans="25:25" x14ac:dyDescent="0.2">
      <c r="Y44712" s="97"/>
    </row>
    <row r="44713" spans="25:25" x14ac:dyDescent="0.2">
      <c r="Y44713" s="97"/>
    </row>
    <row r="44714" spans="25:25" x14ac:dyDescent="0.2">
      <c r="Y44714" s="97"/>
    </row>
    <row r="44715" spans="25:25" x14ac:dyDescent="0.2">
      <c r="Y44715" s="97"/>
    </row>
    <row r="44716" spans="25:25" x14ac:dyDescent="0.2">
      <c r="Y44716" s="97"/>
    </row>
    <row r="44717" spans="25:25" x14ac:dyDescent="0.2">
      <c r="Y44717" s="97"/>
    </row>
    <row r="44718" spans="25:25" x14ac:dyDescent="0.2">
      <c r="Y44718" s="97"/>
    </row>
    <row r="44719" spans="25:25" x14ac:dyDescent="0.2">
      <c r="Y44719" s="97"/>
    </row>
    <row r="44720" spans="25:25" x14ac:dyDescent="0.2">
      <c r="Y44720" s="97"/>
    </row>
    <row r="44721" spans="25:25" x14ac:dyDescent="0.2">
      <c r="Y44721" s="97"/>
    </row>
    <row r="44722" spans="25:25" x14ac:dyDescent="0.2">
      <c r="Y44722" s="97"/>
    </row>
    <row r="44723" spans="25:25" x14ac:dyDescent="0.2">
      <c r="Y44723" s="97"/>
    </row>
    <row r="44724" spans="25:25" x14ac:dyDescent="0.2">
      <c r="Y44724" s="97"/>
    </row>
    <row r="44725" spans="25:25" x14ac:dyDescent="0.2">
      <c r="Y44725" s="97"/>
    </row>
    <row r="44726" spans="25:25" x14ac:dyDescent="0.2">
      <c r="Y44726" s="97"/>
    </row>
    <row r="44727" spans="25:25" x14ac:dyDescent="0.2">
      <c r="Y44727" s="97"/>
    </row>
    <row r="44728" spans="25:25" x14ac:dyDescent="0.2">
      <c r="Y44728" s="97"/>
    </row>
    <row r="44729" spans="25:25" x14ac:dyDescent="0.2">
      <c r="Y44729" s="97"/>
    </row>
    <row r="44730" spans="25:25" x14ac:dyDescent="0.2">
      <c r="Y44730" s="97"/>
    </row>
    <row r="44731" spans="25:25" x14ac:dyDescent="0.2">
      <c r="Y44731" s="97"/>
    </row>
    <row r="44732" spans="25:25" x14ac:dyDescent="0.2">
      <c r="Y44732" s="97"/>
    </row>
    <row r="44733" spans="25:25" x14ac:dyDescent="0.2">
      <c r="Y44733" s="97"/>
    </row>
    <row r="44734" spans="25:25" x14ac:dyDescent="0.2">
      <c r="Y44734" s="97"/>
    </row>
    <row r="44735" spans="25:25" x14ac:dyDescent="0.2">
      <c r="Y44735" s="97"/>
    </row>
    <row r="44736" spans="25:25" x14ac:dyDescent="0.2">
      <c r="Y44736" s="97"/>
    </row>
    <row r="44737" spans="25:25" x14ac:dyDescent="0.2">
      <c r="Y44737" s="97"/>
    </row>
    <row r="44738" spans="25:25" x14ac:dyDescent="0.2">
      <c r="Y44738" s="97"/>
    </row>
    <row r="44739" spans="25:25" x14ac:dyDescent="0.2">
      <c r="Y44739" s="97"/>
    </row>
    <row r="44740" spans="25:25" x14ac:dyDescent="0.2">
      <c r="Y44740" s="97"/>
    </row>
    <row r="44741" spans="25:25" x14ac:dyDescent="0.2">
      <c r="Y44741" s="97"/>
    </row>
    <row r="44742" spans="25:25" x14ac:dyDescent="0.2">
      <c r="Y44742" s="97"/>
    </row>
    <row r="44743" spans="25:25" x14ac:dyDescent="0.2">
      <c r="Y44743" s="97"/>
    </row>
    <row r="44744" spans="25:25" x14ac:dyDescent="0.2">
      <c r="Y44744" s="97"/>
    </row>
    <row r="44745" spans="25:25" x14ac:dyDescent="0.2">
      <c r="Y44745" s="97"/>
    </row>
    <row r="44746" spans="25:25" x14ac:dyDescent="0.2">
      <c r="Y44746" s="97"/>
    </row>
    <row r="44747" spans="25:25" x14ac:dyDescent="0.2">
      <c r="Y44747" s="97"/>
    </row>
    <row r="44748" spans="25:25" x14ac:dyDescent="0.2">
      <c r="Y44748" s="97"/>
    </row>
    <row r="44749" spans="25:25" x14ac:dyDescent="0.2">
      <c r="Y44749" s="97"/>
    </row>
    <row r="44750" spans="25:25" x14ac:dyDescent="0.2">
      <c r="Y44750" s="97"/>
    </row>
    <row r="44751" spans="25:25" x14ac:dyDescent="0.2">
      <c r="Y44751" s="97"/>
    </row>
    <row r="44752" spans="25:25" x14ac:dyDescent="0.2">
      <c r="Y44752" s="97"/>
    </row>
    <row r="44753" spans="25:25" x14ac:dyDescent="0.2">
      <c r="Y44753" s="97"/>
    </row>
    <row r="44754" spans="25:25" x14ac:dyDescent="0.2">
      <c r="Y44754" s="97"/>
    </row>
    <row r="44755" spans="25:25" x14ac:dyDescent="0.2">
      <c r="Y44755" s="97"/>
    </row>
    <row r="44756" spans="25:25" x14ac:dyDescent="0.2">
      <c r="Y44756" s="97"/>
    </row>
    <row r="44757" spans="25:25" x14ac:dyDescent="0.2">
      <c r="Y44757" s="97"/>
    </row>
    <row r="44758" spans="25:25" x14ac:dyDescent="0.2">
      <c r="Y44758" s="97"/>
    </row>
    <row r="44759" spans="25:25" x14ac:dyDescent="0.2">
      <c r="Y44759" s="97"/>
    </row>
    <row r="44760" spans="25:25" x14ac:dyDescent="0.2">
      <c r="Y44760" s="97"/>
    </row>
    <row r="44761" spans="25:25" x14ac:dyDescent="0.2">
      <c r="Y44761" s="97"/>
    </row>
    <row r="44762" spans="25:25" x14ac:dyDescent="0.2">
      <c r="Y44762" s="97"/>
    </row>
    <row r="44763" spans="25:25" x14ac:dyDescent="0.2">
      <c r="Y44763" s="97"/>
    </row>
    <row r="44764" spans="25:25" x14ac:dyDescent="0.2">
      <c r="Y44764" s="97"/>
    </row>
    <row r="44765" spans="25:25" x14ac:dyDescent="0.2">
      <c r="Y44765" s="97"/>
    </row>
    <row r="44766" spans="25:25" x14ac:dyDescent="0.2">
      <c r="Y44766" s="97"/>
    </row>
    <row r="44767" spans="25:25" x14ac:dyDescent="0.2">
      <c r="Y44767" s="97"/>
    </row>
    <row r="44768" spans="25:25" x14ac:dyDescent="0.2">
      <c r="Y44768" s="97"/>
    </row>
    <row r="44769" spans="25:25" x14ac:dyDescent="0.2">
      <c r="Y44769" s="97"/>
    </row>
    <row r="44770" spans="25:25" x14ac:dyDescent="0.2">
      <c r="Y44770" s="97"/>
    </row>
    <row r="44771" spans="25:25" x14ac:dyDescent="0.2">
      <c r="Y44771" s="97"/>
    </row>
    <row r="44772" spans="25:25" x14ac:dyDescent="0.2">
      <c r="Y44772" s="97"/>
    </row>
    <row r="44773" spans="25:25" x14ac:dyDescent="0.2">
      <c r="Y44773" s="97"/>
    </row>
    <row r="44774" spans="25:25" x14ac:dyDescent="0.2">
      <c r="Y44774" s="97"/>
    </row>
    <row r="44775" spans="25:25" x14ac:dyDescent="0.2">
      <c r="Y44775" s="97"/>
    </row>
    <row r="44776" spans="25:25" x14ac:dyDescent="0.2">
      <c r="Y44776" s="97"/>
    </row>
    <row r="44777" spans="25:25" x14ac:dyDescent="0.2">
      <c r="Y44777" s="97"/>
    </row>
    <row r="44778" spans="25:25" x14ac:dyDescent="0.2">
      <c r="Y44778" s="97"/>
    </row>
    <row r="44779" spans="25:25" x14ac:dyDescent="0.2">
      <c r="Y44779" s="97"/>
    </row>
    <row r="44780" spans="25:25" x14ac:dyDescent="0.2">
      <c r="Y44780" s="97"/>
    </row>
    <row r="44781" spans="25:25" x14ac:dyDescent="0.2">
      <c r="Y44781" s="97"/>
    </row>
    <row r="44782" spans="25:25" x14ac:dyDescent="0.2">
      <c r="Y44782" s="97"/>
    </row>
    <row r="44783" spans="25:25" x14ac:dyDescent="0.2">
      <c r="Y44783" s="97"/>
    </row>
    <row r="44784" spans="25:25" x14ac:dyDescent="0.2">
      <c r="Y44784" s="97"/>
    </row>
    <row r="44785" spans="25:25" x14ac:dyDescent="0.2">
      <c r="Y44785" s="97"/>
    </row>
    <row r="44786" spans="25:25" x14ac:dyDescent="0.2">
      <c r="Y44786" s="97"/>
    </row>
    <row r="44787" spans="25:25" x14ac:dyDescent="0.2">
      <c r="Y44787" s="97"/>
    </row>
    <row r="44788" spans="25:25" x14ac:dyDescent="0.2">
      <c r="Y44788" s="97"/>
    </row>
    <row r="44789" spans="25:25" x14ac:dyDescent="0.2">
      <c r="Y44789" s="97"/>
    </row>
    <row r="44790" spans="25:25" x14ac:dyDescent="0.2">
      <c r="Y44790" s="97"/>
    </row>
    <row r="44791" spans="25:25" x14ac:dyDescent="0.2">
      <c r="Y44791" s="97"/>
    </row>
    <row r="44792" spans="25:25" x14ac:dyDescent="0.2">
      <c r="Y44792" s="97"/>
    </row>
    <row r="44793" spans="25:25" x14ac:dyDescent="0.2">
      <c r="Y44793" s="97"/>
    </row>
    <row r="44794" spans="25:25" x14ac:dyDescent="0.2">
      <c r="Y44794" s="97"/>
    </row>
    <row r="44795" spans="25:25" x14ac:dyDescent="0.2">
      <c r="Y44795" s="97"/>
    </row>
    <row r="44796" spans="25:25" x14ac:dyDescent="0.2">
      <c r="Y44796" s="97"/>
    </row>
    <row r="44797" spans="25:25" x14ac:dyDescent="0.2">
      <c r="Y44797" s="97"/>
    </row>
    <row r="44798" spans="25:25" x14ac:dyDescent="0.2">
      <c r="Y44798" s="97"/>
    </row>
    <row r="44799" spans="25:25" x14ac:dyDescent="0.2">
      <c r="Y44799" s="97"/>
    </row>
    <row r="44800" spans="25:25" x14ac:dyDescent="0.2">
      <c r="Y44800" s="97"/>
    </row>
    <row r="44801" spans="25:25" x14ac:dyDescent="0.2">
      <c r="Y44801" s="97"/>
    </row>
    <row r="44802" spans="25:25" x14ac:dyDescent="0.2">
      <c r="Y44802" s="97"/>
    </row>
    <row r="44803" spans="25:25" x14ac:dyDescent="0.2">
      <c r="Y44803" s="97"/>
    </row>
    <row r="44804" spans="25:25" x14ac:dyDescent="0.2">
      <c r="Y44804" s="97"/>
    </row>
    <row r="44805" spans="25:25" x14ac:dyDescent="0.2">
      <c r="Y44805" s="97"/>
    </row>
    <row r="44806" spans="25:25" x14ac:dyDescent="0.2">
      <c r="Y44806" s="97"/>
    </row>
    <row r="44807" spans="25:25" x14ac:dyDescent="0.2">
      <c r="Y44807" s="97"/>
    </row>
    <row r="44808" spans="25:25" x14ac:dyDescent="0.2">
      <c r="Y44808" s="97"/>
    </row>
    <row r="44809" spans="25:25" x14ac:dyDescent="0.2">
      <c r="Y44809" s="97"/>
    </row>
    <row r="44810" spans="25:25" x14ac:dyDescent="0.2">
      <c r="Y44810" s="97"/>
    </row>
    <row r="44811" spans="25:25" x14ac:dyDescent="0.2">
      <c r="Y44811" s="97"/>
    </row>
    <row r="44812" spans="25:25" x14ac:dyDescent="0.2">
      <c r="Y44812" s="97"/>
    </row>
    <row r="44813" spans="25:25" x14ac:dyDescent="0.2">
      <c r="Y44813" s="97"/>
    </row>
    <row r="44814" spans="25:25" x14ac:dyDescent="0.2">
      <c r="Y44814" s="97"/>
    </row>
    <row r="44815" spans="25:25" x14ac:dyDescent="0.2">
      <c r="Y44815" s="97"/>
    </row>
    <row r="44816" spans="25:25" x14ac:dyDescent="0.2">
      <c r="Y44816" s="97"/>
    </row>
    <row r="44817" spans="25:25" x14ac:dyDescent="0.2">
      <c r="Y44817" s="97"/>
    </row>
    <row r="44818" spans="25:25" x14ac:dyDescent="0.2">
      <c r="Y44818" s="97"/>
    </row>
    <row r="44819" spans="25:25" x14ac:dyDescent="0.2">
      <c r="Y44819" s="97"/>
    </row>
    <row r="44820" spans="25:25" x14ac:dyDescent="0.2">
      <c r="Y44820" s="97"/>
    </row>
    <row r="44821" spans="25:25" x14ac:dyDescent="0.2">
      <c r="Y44821" s="97"/>
    </row>
    <row r="44822" spans="25:25" x14ac:dyDescent="0.2">
      <c r="Y44822" s="97"/>
    </row>
    <row r="44823" spans="25:25" x14ac:dyDescent="0.2">
      <c r="Y44823" s="97"/>
    </row>
    <row r="44824" spans="25:25" x14ac:dyDescent="0.2">
      <c r="Y44824" s="97"/>
    </row>
    <row r="44825" spans="25:25" x14ac:dyDescent="0.2">
      <c r="Y44825" s="97"/>
    </row>
    <row r="44826" spans="25:25" x14ac:dyDescent="0.2">
      <c r="Y44826" s="97"/>
    </row>
    <row r="44827" spans="25:25" x14ac:dyDescent="0.2">
      <c r="Y44827" s="97"/>
    </row>
    <row r="44828" spans="25:25" x14ac:dyDescent="0.2">
      <c r="Y44828" s="97"/>
    </row>
    <row r="44829" spans="25:25" x14ac:dyDescent="0.2">
      <c r="Y44829" s="97"/>
    </row>
    <row r="44830" spans="25:25" x14ac:dyDescent="0.2">
      <c r="Y44830" s="97"/>
    </row>
    <row r="44831" spans="25:25" x14ac:dyDescent="0.2">
      <c r="Y44831" s="97"/>
    </row>
    <row r="44832" spans="25:25" x14ac:dyDescent="0.2">
      <c r="Y44832" s="97"/>
    </row>
    <row r="44833" spans="25:25" x14ac:dyDescent="0.2">
      <c r="Y44833" s="97"/>
    </row>
    <row r="44834" spans="25:25" x14ac:dyDescent="0.2">
      <c r="Y44834" s="97"/>
    </row>
    <row r="44835" spans="25:25" x14ac:dyDescent="0.2">
      <c r="Y44835" s="97"/>
    </row>
    <row r="44836" spans="25:25" x14ac:dyDescent="0.2">
      <c r="Y44836" s="97"/>
    </row>
    <row r="44837" spans="25:25" x14ac:dyDescent="0.2">
      <c r="Y44837" s="97"/>
    </row>
    <row r="44838" spans="25:25" x14ac:dyDescent="0.2">
      <c r="Y44838" s="97"/>
    </row>
    <row r="44839" spans="25:25" x14ac:dyDescent="0.2">
      <c r="Y44839" s="97"/>
    </row>
    <row r="44840" spans="25:25" x14ac:dyDescent="0.2">
      <c r="Y44840" s="97"/>
    </row>
    <row r="44841" spans="25:25" x14ac:dyDescent="0.2">
      <c r="Y44841" s="97"/>
    </row>
    <row r="44842" spans="25:25" x14ac:dyDescent="0.2">
      <c r="Y44842" s="97"/>
    </row>
    <row r="44843" spans="25:25" x14ac:dyDescent="0.2">
      <c r="Y44843" s="97"/>
    </row>
    <row r="44844" spans="25:25" x14ac:dyDescent="0.2">
      <c r="Y44844" s="97"/>
    </row>
    <row r="44845" spans="25:25" x14ac:dyDescent="0.2">
      <c r="Y44845" s="97"/>
    </row>
    <row r="44846" spans="25:25" x14ac:dyDescent="0.2">
      <c r="Y44846" s="97"/>
    </row>
    <row r="44847" spans="25:25" x14ac:dyDescent="0.2">
      <c r="Y44847" s="97"/>
    </row>
    <row r="44848" spans="25:25" x14ac:dyDescent="0.2">
      <c r="Y44848" s="97"/>
    </row>
    <row r="44849" spans="25:25" x14ac:dyDescent="0.2">
      <c r="Y44849" s="97"/>
    </row>
    <row r="44850" spans="25:25" x14ac:dyDescent="0.2">
      <c r="Y44850" s="97"/>
    </row>
    <row r="44851" spans="25:25" x14ac:dyDescent="0.2">
      <c r="Y44851" s="97"/>
    </row>
    <row r="44852" spans="25:25" x14ac:dyDescent="0.2">
      <c r="Y44852" s="97"/>
    </row>
    <row r="44853" spans="25:25" x14ac:dyDescent="0.2">
      <c r="Y44853" s="97"/>
    </row>
    <row r="44854" spans="25:25" x14ac:dyDescent="0.2">
      <c r="Y44854" s="97"/>
    </row>
    <row r="44855" spans="25:25" x14ac:dyDescent="0.2">
      <c r="Y44855" s="97"/>
    </row>
    <row r="44856" spans="25:25" x14ac:dyDescent="0.2">
      <c r="Y44856" s="97"/>
    </row>
    <row r="44857" spans="25:25" x14ac:dyDescent="0.2">
      <c r="Y44857" s="97"/>
    </row>
    <row r="44858" spans="25:25" x14ac:dyDescent="0.2">
      <c r="Y44858" s="97"/>
    </row>
    <row r="44859" spans="25:25" x14ac:dyDescent="0.2">
      <c r="Y44859" s="97"/>
    </row>
    <row r="44860" spans="25:25" x14ac:dyDescent="0.2">
      <c r="Y44860" s="97"/>
    </row>
    <row r="44861" spans="25:25" x14ac:dyDescent="0.2">
      <c r="Y44861" s="97"/>
    </row>
    <row r="44862" spans="25:25" x14ac:dyDescent="0.2">
      <c r="Y44862" s="97"/>
    </row>
    <row r="44863" spans="25:25" x14ac:dyDescent="0.2">
      <c r="Y44863" s="97"/>
    </row>
    <row r="44864" spans="25:25" x14ac:dyDescent="0.2">
      <c r="Y44864" s="97"/>
    </row>
    <row r="44865" spans="25:25" x14ac:dyDescent="0.2">
      <c r="Y44865" s="97"/>
    </row>
    <row r="44866" spans="25:25" x14ac:dyDescent="0.2">
      <c r="Y44866" s="97"/>
    </row>
    <row r="44867" spans="25:25" x14ac:dyDescent="0.2">
      <c r="Y44867" s="97"/>
    </row>
    <row r="44868" spans="25:25" x14ac:dyDescent="0.2">
      <c r="Y44868" s="97"/>
    </row>
    <row r="44869" spans="25:25" x14ac:dyDescent="0.2">
      <c r="Y44869" s="97"/>
    </row>
    <row r="44870" spans="25:25" x14ac:dyDescent="0.2">
      <c r="Y44870" s="97"/>
    </row>
    <row r="44871" spans="25:25" x14ac:dyDescent="0.2">
      <c r="Y44871" s="97"/>
    </row>
    <row r="44872" spans="25:25" x14ac:dyDescent="0.2">
      <c r="Y44872" s="97"/>
    </row>
    <row r="44873" spans="25:25" x14ac:dyDescent="0.2">
      <c r="Y44873" s="97"/>
    </row>
    <row r="44874" spans="25:25" x14ac:dyDescent="0.2">
      <c r="Y44874" s="97"/>
    </row>
    <row r="44875" spans="25:25" x14ac:dyDescent="0.2">
      <c r="Y44875" s="97"/>
    </row>
    <row r="44876" spans="25:25" x14ac:dyDescent="0.2">
      <c r="Y44876" s="97"/>
    </row>
    <row r="44877" spans="25:25" x14ac:dyDescent="0.2">
      <c r="Y44877" s="97"/>
    </row>
    <row r="44878" spans="25:25" x14ac:dyDescent="0.2">
      <c r="Y44878" s="97"/>
    </row>
    <row r="44879" spans="25:25" x14ac:dyDescent="0.2">
      <c r="Y44879" s="97"/>
    </row>
    <row r="44880" spans="25:25" x14ac:dyDescent="0.2">
      <c r="Y44880" s="97"/>
    </row>
    <row r="44881" spans="25:25" x14ac:dyDescent="0.2">
      <c r="Y44881" s="97"/>
    </row>
    <row r="44882" spans="25:25" x14ac:dyDescent="0.2">
      <c r="Y44882" s="97"/>
    </row>
    <row r="44883" spans="25:25" x14ac:dyDescent="0.2">
      <c r="Y44883" s="97"/>
    </row>
    <row r="44884" spans="25:25" x14ac:dyDescent="0.2">
      <c r="Y44884" s="97"/>
    </row>
    <row r="44885" spans="25:25" x14ac:dyDescent="0.2">
      <c r="Y44885" s="97"/>
    </row>
    <row r="44886" spans="25:25" x14ac:dyDescent="0.2">
      <c r="Y44886" s="97"/>
    </row>
    <row r="44887" spans="25:25" x14ac:dyDescent="0.2">
      <c r="Y44887" s="97"/>
    </row>
    <row r="44888" spans="25:25" x14ac:dyDescent="0.2">
      <c r="Y44888" s="97"/>
    </row>
    <row r="44889" spans="25:25" x14ac:dyDescent="0.2">
      <c r="Y44889" s="97"/>
    </row>
    <row r="44890" spans="25:25" x14ac:dyDescent="0.2">
      <c r="Y44890" s="97"/>
    </row>
    <row r="44891" spans="25:25" x14ac:dyDescent="0.2">
      <c r="Y44891" s="97"/>
    </row>
    <row r="44892" spans="25:25" x14ac:dyDescent="0.2">
      <c r="Y44892" s="97"/>
    </row>
    <row r="44893" spans="25:25" x14ac:dyDescent="0.2">
      <c r="Y44893" s="97"/>
    </row>
    <row r="44894" spans="25:25" x14ac:dyDescent="0.2">
      <c r="Y44894" s="97"/>
    </row>
    <row r="44895" spans="25:25" x14ac:dyDescent="0.2">
      <c r="Y44895" s="97"/>
    </row>
    <row r="44896" spans="25:25" x14ac:dyDescent="0.2">
      <c r="Y44896" s="97"/>
    </row>
    <row r="44897" spans="25:25" x14ac:dyDescent="0.2">
      <c r="Y44897" s="97"/>
    </row>
    <row r="44898" spans="25:25" x14ac:dyDescent="0.2">
      <c r="Y44898" s="97"/>
    </row>
    <row r="44899" spans="25:25" x14ac:dyDescent="0.2">
      <c r="Y44899" s="97"/>
    </row>
    <row r="44900" spans="25:25" x14ac:dyDescent="0.2">
      <c r="Y44900" s="97"/>
    </row>
    <row r="44901" spans="25:25" x14ac:dyDescent="0.2">
      <c r="Y44901" s="97"/>
    </row>
    <row r="44902" spans="25:25" x14ac:dyDescent="0.2">
      <c r="Y44902" s="97"/>
    </row>
    <row r="44903" spans="25:25" x14ac:dyDescent="0.2">
      <c r="Y44903" s="97"/>
    </row>
    <row r="44904" spans="25:25" x14ac:dyDescent="0.2">
      <c r="Y44904" s="97"/>
    </row>
    <row r="44905" spans="25:25" x14ac:dyDescent="0.2">
      <c r="Y44905" s="97"/>
    </row>
    <row r="44906" spans="25:25" x14ac:dyDescent="0.2">
      <c r="Y44906" s="97"/>
    </row>
    <row r="44907" spans="25:25" x14ac:dyDescent="0.2">
      <c r="Y44907" s="97"/>
    </row>
    <row r="44908" spans="25:25" x14ac:dyDescent="0.2">
      <c r="Y44908" s="97"/>
    </row>
    <row r="44909" spans="25:25" x14ac:dyDescent="0.2">
      <c r="Y44909" s="97"/>
    </row>
    <row r="44910" spans="25:25" x14ac:dyDescent="0.2">
      <c r="Y44910" s="97"/>
    </row>
    <row r="44911" spans="25:25" x14ac:dyDescent="0.2">
      <c r="Y44911" s="97"/>
    </row>
    <row r="44912" spans="25:25" x14ac:dyDescent="0.2">
      <c r="Y44912" s="97"/>
    </row>
    <row r="44913" spans="25:25" x14ac:dyDescent="0.2">
      <c r="Y44913" s="97"/>
    </row>
    <row r="44914" spans="25:25" x14ac:dyDescent="0.2">
      <c r="Y44914" s="97"/>
    </row>
    <row r="44915" spans="25:25" x14ac:dyDescent="0.2">
      <c r="Y44915" s="97"/>
    </row>
    <row r="44916" spans="25:25" x14ac:dyDescent="0.2">
      <c r="Y44916" s="97"/>
    </row>
    <row r="44917" spans="25:25" x14ac:dyDescent="0.2">
      <c r="Y44917" s="97"/>
    </row>
    <row r="44918" spans="25:25" x14ac:dyDescent="0.2">
      <c r="Y44918" s="97"/>
    </row>
    <row r="44919" spans="25:25" x14ac:dyDescent="0.2">
      <c r="Y44919" s="97"/>
    </row>
    <row r="44920" spans="25:25" x14ac:dyDescent="0.2">
      <c r="Y44920" s="97"/>
    </row>
    <row r="44921" spans="25:25" x14ac:dyDescent="0.2">
      <c r="Y44921" s="97"/>
    </row>
    <row r="44922" spans="25:25" x14ac:dyDescent="0.2">
      <c r="Y44922" s="97"/>
    </row>
    <row r="44923" spans="25:25" x14ac:dyDescent="0.2">
      <c r="Y44923" s="97"/>
    </row>
    <row r="44924" spans="25:25" x14ac:dyDescent="0.2">
      <c r="Y44924" s="97"/>
    </row>
    <row r="44925" spans="25:25" x14ac:dyDescent="0.2">
      <c r="Y44925" s="97"/>
    </row>
    <row r="44926" spans="25:25" x14ac:dyDescent="0.2">
      <c r="Y44926" s="97"/>
    </row>
    <row r="44927" spans="25:25" x14ac:dyDescent="0.2">
      <c r="Y44927" s="97"/>
    </row>
    <row r="44928" spans="25:25" x14ac:dyDescent="0.2">
      <c r="Y44928" s="97"/>
    </row>
    <row r="44929" spans="25:25" x14ac:dyDescent="0.2">
      <c r="Y44929" s="97"/>
    </row>
    <row r="44930" spans="25:25" x14ac:dyDescent="0.2">
      <c r="Y44930" s="97"/>
    </row>
    <row r="44931" spans="25:25" x14ac:dyDescent="0.2">
      <c r="Y44931" s="97"/>
    </row>
    <row r="44932" spans="25:25" x14ac:dyDescent="0.2">
      <c r="Y44932" s="97"/>
    </row>
    <row r="44933" spans="25:25" x14ac:dyDescent="0.2">
      <c r="Y44933" s="97"/>
    </row>
    <row r="44934" spans="25:25" x14ac:dyDescent="0.2">
      <c r="Y44934" s="97"/>
    </row>
    <row r="44935" spans="25:25" x14ac:dyDescent="0.2">
      <c r="Y44935" s="97"/>
    </row>
    <row r="44936" spans="25:25" x14ac:dyDescent="0.2">
      <c r="Y44936" s="97"/>
    </row>
    <row r="44937" spans="25:25" x14ac:dyDescent="0.2">
      <c r="Y44937" s="97"/>
    </row>
    <row r="44938" spans="25:25" x14ac:dyDescent="0.2">
      <c r="Y44938" s="97"/>
    </row>
    <row r="44939" spans="25:25" x14ac:dyDescent="0.2">
      <c r="Y44939" s="97"/>
    </row>
    <row r="44940" spans="25:25" x14ac:dyDescent="0.2">
      <c r="Y44940" s="97"/>
    </row>
    <row r="44941" spans="25:25" x14ac:dyDescent="0.2">
      <c r="Y44941" s="97"/>
    </row>
    <row r="44942" spans="25:25" x14ac:dyDescent="0.2">
      <c r="Y44942" s="97"/>
    </row>
    <row r="44943" spans="25:25" x14ac:dyDescent="0.2">
      <c r="Y44943" s="97"/>
    </row>
    <row r="44944" spans="25:25" x14ac:dyDescent="0.2">
      <c r="Y44944" s="97"/>
    </row>
    <row r="44945" spans="25:25" x14ac:dyDescent="0.2">
      <c r="Y44945" s="97"/>
    </row>
    <row r="44946" spans="25:25" x14ac:dyDescent="0.2">
      <c r="Y44946" s="97"/>
    </row>
    <row r="44947" spans="25:25" x14ac:dyDescent="0.2">
      <c r="Y44947" s="97"/>
    </row>
    <row r="44948" spans="25:25" x14ac:dyDescent="0.2">
      <c r="Y44948" s="97"/>
    </row>
    <row r="44949" spans="25:25" x14ac:dyDescent="0.2">
      <c r="Y44949" s="97"/>
    </row>
    <row r="44950" spans="25:25" x14ac:dyDescent="0.2">
      <c r="Y44950" s="97"/>
    </row>
    <row r="44951" spans="25:25" x14ac:dyDescent="0.2">
      <c r="Y44951" s="97"/>
    </row>
    <row r="44952" spans="25:25" x14ac:dyDescent="0.2">
      <c r="Y44952" s="97"/>
    </row>
    <row r="44953" spans="25:25" x14ac:dyDescent="0.2">
      <c r="Y44953" s="97"/>
    </row>
    <row r="44954" spans="25:25" x14ac:dyDescent="0.2">
      <c r="Y44954" s="97"/>
    </row>
    <row r="44955" spans="25:25" x14ac:dyDescent="0.2">
      <c r="Y44955" s="97"/>
    </row>
    <row r="44956" spans="25:25" x14ac:dyDescent="0.2">
      <c r="Y44956" s="97"/>
    </row>
    <row r="44957" spans="25:25" x14ac:dyDescent="0.2">
      <c r="Y44957" s="97"/>
    </row>
    <row r="44958" spans="25:25" x14ac:dyDescent="0.2">
      <c r="Y44958" s="97"/>
    </row>
    <row r="44959" spans="25:25" x14ac:dyDescent="0.2">
      <c r="Y44959" s="97"/>
    </row>
    <row r="44960" spans="25:25" x14ac:dyDescent="0.2">
      <c r="Y44960" s="97"/>
    </row>
    <row r="44961" spans="25:25" x14ac:dyDescent="0.2">
      <c r="Y44961" s="97"/>
    </row>
    <row r="44962" spans="25:25" x14ac:dyDescent="0.2">
      <c r="Y44962" s="97"/>
    </row>
    <row r="44963" spans="25:25" x14ac:dyDescent="0.2">
      <c r="Y44963" s="97"/>
    </row>
    <row r="44964" spans="25:25" x14ac:dyDescent="0.2">
      <c r="Y44964" s="97"/>
    </row>
    <row r="44965" spans="25:25" x14ac:dyDescent="0.2">
      <c r="Y44965" s="97"/>
    </row>
    <row r="44966" spans="25:25" x14ac:dyDescent="0.2">
      <c r="Y44966" s="97"/>
    </row>
    <row r="44967" spans="25:25" x14ac:dyDescent="0.2">
      <c r="Y44967" s="97"/>
    </row>
    <row r="44968" spans="25:25" x14ac:dyDescent="0.2">
      <c r="Y44968" s="97"/>
    </row>
    <row r="44969" spans="25:25" x14ac:dyDescent="0.2">
      <c r="Y44969" s="97"/>
    </row>
    <row r="44970" spans="25:25" x14ac:dyDescent="0.2">
      <c r="Y44970" s="97"/>
    </row>
    <row r="44971" spans="25:25" x14ac:dyDescent="0.2">
      <c r="Y44971" s="97"/>
    </row>
    <row r="44972" spans="25:25" x14ac:dyDescent="0.2">
      <c r="Y44972" s="97"/>
    </row>
    <row r="44973" spans="25:25" x14ac:dyDescent="0.2">
      <c r="Y44973" s="97"/>
    </row>
    <row r="44974" spans="25:25" x14ac:dyDescent="0.2">
      <c r="Y44974" s="97"/>
    </row>
    <row r="44975" spans="25:25" x14ac:dyDescent="0.2">
      <c r="Y44975" s="97"/>
    </row>
    <row r="44976" spans="25:25" x14ac:dyDescent="0.2">
      <c r="Y44976" s="97"/>
    </row>
    <row r="44977" spans="25:25" x14ac:dyDescent="0.2">
      <c r="Y44977" s="97"/>
    </row>
    <row r="44978" spans="25:25" x14ac:dyDescent="0.2">
      <c r="Y44978" s="97"/>
    </row>
    <row r="44979" spans="25:25" x14ac:dyDescent="0.2">
      <c r="Y44979" s="97"/>
    </row>
    <row r="44980" spans="25:25" x14ac:dyDescent="0.2">
      <c r="Y44980" s="97"/>
    </row>
    <row r="44981" spans="25:25" x14ac:dyDescent="0.2">
      <c r="Y44981" s="97"/>
    </row>
    <row r="44982" spans="25:25" x14ac:dyDescent="0.2">
      <c r="Y44982" s="97"/>
    </row>
    <row r="44983" spans="25:25" x14ac:dyDescent="0.2">
      <c r="Y44983" s="97"/>
    </row>
    <row r="44984" spans="25:25" x14ac:dyDescent="0.2">
      <c r="Y44984" s="97"/>
    </row>
    <row r="44985" spans="25:25" x14ac:dyDescent="0.2">
      <c r="Y44985" s="97"/>
    </row>
    <row r="44986" spans="25:25" x14ac:dyDescent="0.2">
      <c r="Y44986" s="97"/>
    </row>
    <row r="44987" spans="25:25" x14ac:dyDescent="0.2">
      <c r="Y44987" s="97"/>
    </row>
    <row r="44988" spans="25:25" x14ac:dyDescent="0.2">
      <c r="Y44988" s="97"/>
    </row>
    <row r="44989" spans="25:25" x14ac:dyDescent="0.2">
      <c r="Y44989" s="97"/>
    </row>
    <row r="44990" spans="25:25" x14ac:dyDescent="0.2">
      <c r="Y44990" s="97"/>
    </row>
    <row r="44991" spans="25:25" x14ac:dyDescent="0.2">
      <c r="Y44991" s="97"/>
    </row>
    <row r="44992" spans="25:25" x14ac:dyDescent="0.2">
      <c r="Y44992" s="97"/>
    </row>
    <row r="44993" spans="25:25" x14ac:dyDescent="0.2">
      <c r="Y44993" s="97"/>
    </row>
    <row r="44994" spans="25:25" x14ac:dyDescent="0.2">
      <c r="Y44994" s="97"/>
    </row>
    <row r="44995" spans="25:25" x14ac:dyDescent="0.2">
      <c r="Y44995" s="97"/>
    </row>
    <row r="44996" spans="25:25" x14ac:dyDescent="0.2">
      <c r="Y44996" s="97"/>
    </row>
    <row r="44997" spans="25:25" x14ac:dyDescent="0.2">
      <c r="Y44997" s="97"/>
    </row>
    <row r="44998" spans="25:25" x14ac:dyDescent="0.2">
      <c r="Y44998" s="97"/>
    </row>
    <row r="44999" spans="25:25" x14ac:dyDescent="0.2">
      <c r="Y44999" s="97"/>
    </row>
    <row r="45000" spans="25:25" x14ac:dyDescent="0.2">
      <c r="Y45000" s="97"/>
    </row>
    <row r="45001" spans="25:25" x14ac:dyDescent="0.2">
      <c r="Y45001" s="97"/>
    </row>
    <row r="45002" spans="25:25" x14ac:dyDescent="0.2">
      <c r="Y45002" s="97"/>
    </row>
    <row r="45003" spans="25:25" x14ac:dyDescent="0.2">
      <c r="Y45003" s="97"/>
    </row>
    <row r="45004" spans="25:25" x14ac:dyDescent="0.2">
      <c r="Y45004" s="97"/>
    </row>
    <row r="45005" spans="25:25" x14ac:dyDescent="0.2">
      <c r="Y45005" s="97"/>
    </row>
    <row r="45006" spans="25:25" x14ac:dyDescent="0.2">
      <c r="Y45006" s="97"/>
    </row>
    <row r="45007" spans="25:25" x14ac:dyDescent="0.2">
      <c r="Y45007" s="97"/>
    </row>
    <row r="45008" spans="25:25" x14ac:dyDescent="0.2">
      <c r="Y45008" s="97"/>
    </row>
    <row r="45009" spans="25:25" x14ac:dyDescent="0.2">
      <c r="Y45009" s="97"/>
    </row>
    <row r="45010" spans="25:25" x14ac:dyDescent="0.2">
      <c r="Y45010" s="97"/>
    </row>
    <row r="45011" spans="25:25" x14ac:dyDescent="0.2">
      <c r="Y45011" s="97"/>
    </row>
    <row r="45012" spans="25:25" x14ac:dyDescent="0.2">
      <c r="Y45012" s="97"/>
    </row>
    <row r="45013" spans="25:25" x14ac:dyDescent="0.2">
      <c r="Y45013" s="97"/>
    </row>
    <row r="45014" spans="25:25" x14ac:dyDescent="0.2">
      <c r="Y45014" s="97"/>
    </row>
    <row r="45015" spans="25:25" x14ac:dyDescent="0.2">
      <c r="Y45015" s="97"/>
    </row>
    <row r="45016" spans="25:25" x14ac:dyDescent="0.2">
      <c r="Y45016" s="97"/>
    </row>
    <row r="45017" spans="25:25" x14ac:dyDescent="0.2">
      <c r="Y45017" s="97"/>
    </row>
    <row r="45018" spans="25:25" x14ac:dyDescent="0.2">
      <c r="Y45018" s="97"/>
    </row>
    <row r="45019" spans="25:25" x14ac:dyDescent="0.2">
      <c r="Y45019" s="97"/>
    </row>
    <row r="45020" spans="25:25" x14ac:dyDescent="0.2">
      <c r="Y45020" s="97"/>
    </row>
    <row r="45021" spans="25:25" x14ac:dyDescent="0.2">
      <c r="Y45021" s="97"/>
    </row>
    <row r="45022" spans="25:25" x14ac:dyDescent="0.2">
      <c r="Y45022" s="97"/>
    </row>
    <row r="45023" spans="25:25" x14ac:dyDescent="0.2">
      <c r="Y45023" s="97"/>
    </row>
    <row r="45024" spans="25:25" x14ac:dyDescent="0.2">
      <c r="Y45024" s="97"/>
    </row>
    <row r="45025" spans="25:25" x14ac:dyDescent="0.2">
      <c r="Y45025" s="97"/>
    </row>
    <row r="45026" spans="25:25" x14ac:dyDescent="0.2">
      <c r="Y45026" s="97"/>
    </row>
    <row r="45027" spans="25:25" x14ac:dyDescent="0.2">
      <c r="Y45027" s="97"/>
    </row>
    <row r="45028" spans="25:25" x14ac:dyDescent="0.2">
      <c r="Y45028" s="97"/>
    </row>
    <row r="45029" spans="25:25" x14ac:dyDescent="0.2">
      <c r="Y45029" s="97"/>
    </row>
    <row r="45030" spans="25:25" x14ac:dyDescent="0.2">
      <c r="Y45030" s="97"/>
    </row>
    <row r="45031" spans="25:25" x14ac:dyDescent="0.2">
      <c r="Y45031" s="97"/>
    </row>
    <row r="45032" spans="25:25" x14ac:dyDescent="0.2">
      <c r="Y45032" s="97"/>
    </row>
    <row r="45033" spans="25:25" x14ac:dyDescent="0.2">
      <c r="Y45033" s="97"/>
    </row>
    <row r="45034" spans="25:25" x14ac:dyDescent="0.2">
      <c r="Y45034" s="97"/>
    </row>
    <row r="45035" spans="25:25" x14ac:dyDescent="0.2">
      <c r="Y45035" s="97"/>
    </row>
    <row r="45036" spans="25:25" x14ac:dyDescent="0.2">
      <c r="Y45036" s="97"/>
    </row>
    <row r="45037" spans="25:25" x14ac:dyDescent="0.2">
      <c r="Y45037" s="97"/>
    </row>
    <row r="45038" spans="25:25" x14ac:dyDescent="0.2">
      <c r="Y45038" s="97"/>
    </row>
    <row r="45039" spans="25:25" x14ac:dyDescent="0.2">
      <c r="Y45039" s="97"/>
    </row>
    <row r="45040" spans="25:25" x14ac:dyDescent="0.2">
      <c r="Y45040" s="97"/>
    </row>
    <row r="45041" spans="25:25" x14ac:dyDescent="0.2">
      <c r="Y45041" s="97"/>
    </row>
    <row r="45042" spans="25:25" x14ac:dyDescent="0.2">
      <c r="Y45042" s="97"/>
    </row>
    <row r="45043" spans="25:25" x14ac:dyDescent="0.2">
      <c r="Y45043" s="97"/>
    </row>
    <row r="45044" spans="25:25" x14ac:dyDescent="0.2">
      <c r="Y45044" s="97"/>
    </row>
    <row r="45045" spans="25:25" x14ac:dyDescent="0.2">
      <c r="Y45045" s="97"/>
    </row>
    <row r="45046" spans="25:25" x14ac:dyDescent="0.2">
      <c r="Y45046" s="97"/>
    </row>
    <row r="45047" spans="25:25" x14ac:dyDescent="0.2">
      <c r="Y45047" s="97"/>
    </row>
    <row r="45048" spans="25:25" x14ac:dyDescent="0.2">
      <c r="Y45048" s="97"/>
    </row>
    <row r="45049" spans="25:25" x14ac:dyDescent="0.2">
      <c r="Y45049" s="97"/>
    </row>
    <row r="45050" spans="25:25" x14ac:dyDescent="0.2">
      <c r="Y45050" s="97"/>
    </row>
    <row r="45051" spans="25:25" x14ac:dyDescent="0.2">
      <c r="Y45051" s="97"/>
    </row>
    <row r="45052" spans="25:25" x14ac:dyDescent="0.2">
      <c r="Y45052" s="97"/>
    </row>
    <row r="45053" spans="25:25" x14ac:dyDescent="0.2">
      <c r="Y45053" s="97"/>
    </row>
    <row r="45054" spans="25:25" x14ac:dyDescent="0.2">
      <c r="Y45054" s="97"/>
    </row>
    <row r="45055" spans="25:25" x14ac:dyDescent="0.2">
      <c r="Y45055" s="97"/>
    </row>
    <row r="45056" spans="25:25" x14ac:dyDescent="0.2">
      <c r="Y45056" s="97"/>
    </row>
    <row r="45057" spans="25:25" x14ac:dyDescent="0.2">
      <c r="Y45057" s="97"/>
    </row>
    <row r="45058" spans="25:25" x14ac:dyDescent="0.2">
      <c r="Y45058" s="97"/>
    </row>
    <row r="45059" spans="25:25" x14ac:dyDescent="0.2">
      <c r="Y45059" s="97"/>
    </row>
    <row r="45060" spans="25:25" x14ac:dyDescent="0.2">
      <c r="Y45060" s="97"/>
    </row>
    <row r="45061" spans="25:25" x14ac:dyDescent="0.2">
      <c r="Y45061" s="97"/>
    </row>
    <row r="45062" spans="25:25" x14ac:dyDescent="0.2">
      <c r="Y45062" s="97"/>
    </row>
    <row r="45063" spans="25:25" x14ac:dyDescent="0.2">
      <c r="Y45063" s="97"/>
    </row>
    <row r="45064" spans="25:25" x14ac:dyDescent="0.2">
      <c r="Y45064" s="97"/>
    </row>
    <row r="45065" spans="25:25" x14ac:dyDescent="0.2">
      <c r="Y45065" s="97"/>
    </row>
    <row r="45066" spans="25:25" x14ac:dyDescent="0.2">
      <c r="Y45066" s="97"/>
    </row>
    <row r="45067" spans="25:25" x14ac:dyDescent="0.2">
      <c r="Y45067" s="97"/>
    </row>
    <row r="45068" spans="25:25" x14ac:dyDescent="0.2">
      <c r="Y45068" s="97"/>
    </row>
    <row r="45069" spans="25:25" x14ac:dyDescent="0.2">
      <c r="Y45069" s="97"/>
    </row>
    <row r="45070" spans="25:25" x14ac:dyDescent="0.2">
      <c r="Y45070" s="97"/>
    </row>
    <row r="45071" spans="25:25" x14ac:dyDescent="0.2">
      <c r="Y45071" s="97"/>
    </row>
    <row r="45072" spans="25:25" x14ac:dyDescent="0.2">
      <c r="Y45072" s="97"/>
    </row>
    <row r="45073" spans="25:25" x14ac:dyDescent="0.2">
      <c r="Y45073" s="97"/>
    </row>
    <row r="45074" spans="25:25" x14ac:dyDescent="0.2">
      <c r="Y45074" s="97"/>
    </row>
    <row r="45075" spans="25:25" x14ac:dyDescent="0.2">
      <c r="Y45075" s="97"/>
    </row>
    <row r="45076" spans="25:25" x14ac:dyDescent="0.2">
      <c r="Y45076" s="97"/>
    </row>
    <row r="45077" spans="25:25" x14ac:dyDescent="0.2">
      <c r="Y45077" s="97"/>
    </row>
    <row r="45078" spans="25:25" x14ac:dyDescent="0.2">
      <c r="Y45078" s="97"/>
    </row>
    <row r="45079" spans="25:25" x14ac:dyDescent="0.2">
      <c r="Y45079" s="97"/>
    </row>
    <row r="45080" spans="25:25" x14ac:dyDescent="0.2">
      <c r="Y45080" s="97"/>
    </row>
    <row r="45081" spans="25:25" x14ac:dyDescent="0.2">
      <c r="Y45081" s="97"/>
    </row>
    <row r="45082" spans="25:25" x14ac:dyDescent="0.2">
      <c r="Y45082" s="97"/>
    </row>
    <row r="45083" spans="25:25" x14ac:dyDescent="0.2">
      <c r="Y45083" s="97"/>
    </row>
    <row r="45084" spans="25:25" x14ac:dyDescent="0.2">
      <c r="Y45084" s="97"/>
    </row>
    <row r="45085" spans="25:25" x14ac:dyDescent="0.2">
      <c r="Y45085" s="97"/>
    </row>
    <row r="45086" spans="25:25" x14ac:dyDescent="0.2">
      <c r="Y45086" s="97"/>
    </row>
    <row r="45087" spans="25:25" x14ac:dyDescent="0.2">
      <c r="Y45087" s="97"/>
    </row>
    <row r="45088" spans="25:25" x14ac:dyDescent="0.2">
      <c r="Y45088" s="97"/>
    </row>
    <row r="45089" spans="25:25" x14ac:dyDescent="0.2">
      <c r="Y45089" s="97"/>
    </row>
    <row r="45090" spans="25:25" x14ac:dyDescent="0.2">
      <c r="Y45090" s="97"/>
    </row>
    <row r="45091" spans="25:25" x14ac:dyDescent="0.2">
      <c r="Y45091" s="97"/>
    </row>
    <row r="45092" spans="25:25" x14ac:dyDescent="0.2">
      <c r="Y45092" s="97"/>
    </row>
    <row r="45093" spans="25:25" x14ac:dyDescent="0.2">
      <c r="Y45093" s="97"/>
    </row>
    <row r="45094" spans="25:25" x14ac:dyDescent="0.2">
      <c r="Y45094" s="97"/>
    </row>
    <row r="45095" spans="25:25" x14ac:dyDescent="0.2">
      <c r="Y45095" s="97"/>
    </row>
    <row r="45096" spans="25:25" x14ac:dyDescent="0.2">
      <c r="Y45096" s="97"/>
    </row>
    <row r="45097" spans="25:25" x14ac:dyDescent="0.2">
      <c r="Y45097" s="97"/>
    </row>
    <row r="45098" spans="25:25" x14ac:dyDescent="0.2">
      <c r="Y45098" s="97"/>
    </row>
    <row r="45099" spans="25:25" x14ac:dyDescent="0.2">
      <c r="Y45099" s="97"/>
    </row>
    <row r="45100" spans="25:25" x14ac:dyDescent="0.2">
      <c r="Y45100" s="97"/>
    </row>
    <row r="45101" spans="25:25" x14ac:dyDescent="0.2">
      <c r="Y45101" s="97"/>
    </row>
    <row r="45102" spans="25:25" x14ac:dyDescent="0.2">
      <c r="Y45102" s="97"/>
    </row>
    <row r="45103" spans="25:25" x14ac:dyDescent="0.2">
      <c r="Y45103" s="97"/>
    </row>
    <row r="45104" spans="25:25" x14ac:dyDescent="0.2">
      <c r="Y45104" s="97"/>
    </row>
    <row r="45105" spans="25:25" x14ac:dyDescent="0.2">
      <c r="Y45105" s="97"/>
    </row>
    <row r="45106" spans="25:25" x14ac:dyDescent="0.2">
      <c r="Y45106" s="97"/>
    </row>
    <row r="45107" spans="25:25" x14ac:dyDescent="0.2">
      <c r="Y45107" s="97"/>
    </row>
    <row r="45108" spans="25:25" x14ac:dyDescent="0.2">
      <c r="Y45108" s="97"/>
    </row>
    <row r="45109" spans="25:25" x14ac:dyDescent="0.2">
      <c r="Y45109" s="97"/>
    </row>
    <row r="45110" spans="25:25" x14ac:dyDescent="0.2">
      <c r="Y45110" s="97"/>
    </row>
    <row r="45111" spans="25:25" x14ac:dyDescent="0.2">
      <c r="Y45111" s="97"/>
    </row>
    <row r="45112" spans="25:25" x14ac:dyDescent="0.2">
      <c r="Y45112" s="97"/>
    </row>
    <row r="45113" spans="25:25" x14ac:dyDescent="0.2">
      <c r="Y45113" s="97"/>
    </row>
    <row r="45114" spans="25:25" x14ac:dyDescent="0.2">
      <c r="Y45114" s="97"/>
    </row>
    <row r="45115" spans="25:25" x14ac:dyDescent="0.2">
      <c r="Y45115" s="97"/>
    </row>
    <row r="45116" spans="25:25" x14ac:dyDescent="0.2">
      <c r="Y45116" s="97"/>
    </row>
    <row r="45117" spans="25:25" x14ac:dyDescent="0.2">
      <c r="Y45117" s="97"/>
    </row>
    <row r="45118" spans="25:25" x14ac:dyDescent="0.2">
      <c r="Y45118" s="97"/>
    </row>
    <row r="45119" spans="25:25" x14ac:dyDescent="0.2">
      <c r="Y45119" s="97"/>
    </row>
    <row r="45120" spans="25:25" x14ac:dyDescent="0.2">
      <c r="Y45120" s="97"/>
    </row>
    <row r="45121" spans="25:25" x14ac:dyDescent="0.2">
      <c r="Y45121" s="97"/>
    </row>
    <row r="45122" spans="25:25" x14ac:dyDescent="0.2">
      <c r="Y45122" s="97"/>
    </row>
    <row r="45123" spans="25:25" x14ac:dyDescent="0.2">
      <c r="Y45123" s="97"/>
    </row>
    <row r="45124" spans="25:25" x14ac:dyDescent="0.2">
      <c r="Y45124" s="97"/>
    </row>
    <row r="45125" spans="25:25" x14ac:dyDescent="0.2">
      <c r="Y45125" s="97"/>
    </row>
    <row r="45126" spans="25:25" x14ac:dyDescent="0.2">
      <c r="Y45126" s="97"/>
    </row>
    <row r="45127" spans="25:25" x14ac:dyDescent="0.2">
      <c r="Y45127" s="97"/>
    </row>
    <row r="45128" spans="25:25" x14ac:dyDescent="0.2">
      <c r="Y45128" s="97"/>
    </row>
    <row r="45129" spans="25:25" x14ac:dyDescent="0.2">
      <c r="Y45129" s="97"/>
    </row>
    <row r="45130" spans="25:25" x14ac:dyDescent="0.2">
      <c r="Y45130" s="97"/>
    </row>
    <row r="45131" spans="25:25" x14ac:dyDescent="0.2">
      <c r="Y45131" s="97"/>
    </row>
    <row r="45132" spans="25:25" x14ac:dyDescent="0.2">
      <c r="Y45132" s="97"/>
    </row>
    <row r="45133" spans="25:25" x14ac:dyDescent="0.2">
      <c r="Y45133" s="97"/>
    </row>
    <row r="45134" spans="25:25" x14ac:dyDescent="0.2">
      <c r="Y45134" s="97"/>
    </row>
    <row r="45135" spans="25:25" x14ac:dyDescent="0.2">
      <c r="Y45135" s="97"/>
    </row>
    <row r="45136" spans="25:25" x14ac:dyDescent="0.2">
      <c r="Y45136" s="97"/>
    </row>
    <row r="45137" spans="25:25" x14ac:dyDescent="0.2">
      <c r="Y45137" s="97"/>
    </row>
    <row r="45138" spans="25:25" x14ac:dyDescent="0.2">
      <c r="Y45138" s="97"/>
    </row>
    <row r="45139" spans="25:25" x14ac:dyDescent="0.2">
      <c r="Y45139" s="97"/>
    </row>
    <row r="45140" spans="25:25" x14ac:dyDescent="0.2">
      <c r="Y45140" s="97"/>
    </row>
    <row r="45141" spans="25:25" x14ac:dyDescent="0.2">
      <c r="Y45141" s="97"/>
    </row>
    <row r="45142" spans="25:25" x14ac:dyDescent="0.2">
      <c r="Y45142" s="97"/>
    </row>
    <row r="45143" spans="25:25" x14ac:dyDescent="0.2">
      <c r="Y45143" s="97"/>
    </row>
    <row r="45144" spans="25:25" x14ac:dyDescent="0.2">
      <c r="Y45144" s="97"/>
    </row>
    <row r="45145" spans="25:25" x14ac:dyDescent="0.2">
      <c r="Y45145" s="97"/>
    </row>
    <row r="45146" spans="25:25" x14ac:dyDescent="0.2">
      <c r="Y45146" s="97"/>
    </row>
    <row r="45147" spans="25:25" x14ac:dyDescent="0.2">
      <c r="Y45147" s="97"/>
    </row>
    <row r="45148" spans="25:25" x14ac:dyDescent="0.2">
      <c r="Y45148" s="97"/>
    </row>
    <row r="45149" spans="25:25" x14ac:dyDescent="0.2">
      <c r="Y45149" s="97"/>
    </row>
    <row r="45150" spans="25:25" x14ac:dyDescent="0.2">
      <c r="Y45150" s="97"/>
    </row>
    <row r="45151" spans="25:25" x14ac:dyDescent="0.2">
      <c r="Y45151" s="97"/>
    </row>
    <row r="45152" spans="25:25" x14ac:dyDescent="0.2">
      <c r="Y45152" s="97"/>
    </row>
    <row r="45153" spans="25:25" x14ac:dyDescent="0.2">
      <c r="Y45153" s="97"/>
    </row>
    <row r="45154" spans="25:25" x14ac:dyDescent="0.2">
      <c r="Y45154" s="97"/>
    </row>
    <row r="45155" spans="25:25" x14ac:dyDescent="0.2">
      <c r="Y45155" s="97"/>
    </row>
    <row r="45156" spans="25:25" x14ac:dyDescent="0.2">
      <c r="Y45156" s="97"/>
    </row>
    <row r="45157" spans="25:25" x14ac:dyDescent="0.2">
      <c r="Y45157" s="97"/>
    </row>
    <row r="45158" spans="25:25" x14ac:dyDescent="0.2">
      <c r="Y45158" s="97"/>
    </row>
    <row r="45159" spans="25:25" x14ac:dyDescent="0.2">
      <c r="Y45159" s="97"/>
    </row>
    <row r="45160" spans="25:25" x14ac:dyDescent="0.2">
      <c r="Y45160" s="97"/>
    </row>
    <row r="45161" spans="25:25" x14ac:dyDescent="0.2">
      <c r="Y45161" s="97"/>
    </row>
    <row r="45162" spans="25:25" x14ac:dyDescent="0.2">
      <c r="Y45162" s="97"/>
    </row>
    <row r="45163" spans="25:25" x14ac:dyDescent="0.2">
      <c r="Y45163" s="97"/>
    </row>
    <row r="45164" spans="25:25" x14ac:dyDescent="0.2">
      <c r="Y45164" s="97"/>
    </row>
    <row r="45165" spans="25:25" x14ac:dyDescent="0.2">
      <c r="Y45165" s="97"/>
    </row>
    <row r="45166" spans="25:25" x14ac:dyDescent="0.2">
      <c r="Y45166" s="97"/>
    </row>
    <row r="45167" spans="25:25" x14ac:dyDescent="0.2">
      <c r="Y45167" s="97"/>
    </row>
    <row r="45168" spans="25:25" x14ac:dyDescent="0.2">
      <c r="Y45168" s="97"/>
    </row>
    <row r="45169" spans="25:25" x14ac:dyDescent="0.2">
      <c r="Y45169" s="97"/>
    </row>
    <row r="45170" spans="25:25" x14ac:dyDescent="0.2">
      <c r="Y45170" s="97"/>
    </row>
    <row r="45171" spans="25:25" x14ac:dyDescent="0.2">
      <c r="Y45171" s="97"/>
    </row>
    <row r="45172" spans="25:25" x14ac:dyDescent="0.2">
      <c r="Y45172" s="97"/>
    </row>
    <row r="45173" spans="25:25" x14ac:dyDescent="0.2">
      <c r="Y45173" s="97"/>
    </row>
    <row r="45174" spans="25:25" x14ac:dyDescent="0.2">
      <c r="Y45174" s="97"/>
    </row>
    <row r="45175" spans="25:25" x14ac:dyDescent="0.2">
      <c r="Y45175" s="97"/>
    </row>
    <row r="45176" spans="25:25" x14ac:dyDescent="0.2">
      <c r="Y45176" s="97"/>
    </row>
    <row r="45177" spans="25:25" x14ac:dyDescent="0.2">
      <c r="Y45177" s="97"/>
    </row>
    <row r="45178" spans="25:25" x14ac:dyDescent="0.2">
      <c r="Y45178" s="97"/>
    </row>
    <row r="45179" spans="25:25" x14ac:dyDescent="0.2">
      <c r="Y45179" s="97"/>
    </row>
    <row r="45180" spans="25:25" x14ac:dyDescent="0.2">
      <c r="Y45180" s="97"/>
    </row>
    <row r="45181" spans="25:25" x14ac:dyDescent="0.2">
      <c r="Y45181" s="97"/>
    </row>
    <row r="45182" spans="25:25" x14ac:dyDescent="0.2">
      <c r="Y45182" s="97"/>
    </row>
    <row r="45183" spans="25:25" x14ac:dyDescent="0.2">
      <c r="Y45183" s="97"/>
    </row>
    <row r="45184" spans="25:25" x14ac:dyDescent="0.2">
      <c r="Y45184" s="97"/>
    </row>
    <row r="45185" spans="25:25" x14ac:dyDescent="0.2">
      <c r="Y45185" s="97"/>
    </row>
    <row r="45186" spans="25:25" x14ac:dyDescent="0.2">
      <c r="Y45186" s="97"/>
    </row>
    <row r="45187" spans="25:25" x14ac:dyDescent="0.2">
      <c r="Y45187" s="97"/>
    </row>
    <row r="45188" spans="25:25" x14ac:dyDescent="0.2">
      <c r="Y45188" s="97"/>
    </row>
    <row r="45189" spans="25:25" x14ac:dyDescent="0.2">
      <c r="Y45189" s="97"/>
    </row>
    <row r="45190" spans="25:25" x14ac:dyDescent="0.2">
      <c r="Y45190" s="97"/>
    </row>
    <row r="45191" spans="25:25" x14ac:dyDescent="0.2">
      <c r="Y45191" s="97"/>
    </row>
    <row r="45192" spans="25:25" x14ac:dyDescent="0.2">
      <c r="Y45192" s="97"/>
    </row>
    <row r="45193" spans="25:25" x14ac:dyDescent="0.2">
      <c r="Y45193" s="97"/>
    </row>
    <row r="45194" spans="25:25" x14ac:dyDescent="0.2">
      <c r="Y45194" s="97"/>
    </row>
    <row r="45195" spans="25:25" x14ac:dyDescent="0.2">
      <c r="Y45195" s="97"/>
    </row>
    <row r="45196" spans="25:25" x14ac:dyDescent="0.2">
      <c r="Y45196" s="97"/>
    </row>
    <row r="45197" spans="25:25" x14ac:dyDescent="0.2">
      <c r="Y45197" s="97"/>
    </row>
    <row r="45198" spans="25:25" x14ac:dyDescent="0.2">
      <c r="Y45198" s="97"/>
    </row>
    <row r="45199" spans="25:25" x14ac:dyDescent="0.2">
      <c r="Y45199" s="97"/>
    </row>
    <row r="45200" spans="25:25" x14ac:dyDescent="0.2">
      <c r="Y45200" s="97"/>
    </row>
    <row r="45201" spans="25:25" x14ac:dyDescent="0.2">
      <c r="Y45201" s="97"/>
    </row>
    <row r="45202" spans="25:25" x14ac:dyDescent="0.2">
      <c r="Y45202" s="97"/>
    </row>
    <row r="45203" spans="25:25" x14ac:dyDescent="0.2">
      <c r="Y45203" s="97"/>
    </row>
    <row r="45204" spans="25:25" x14ac:dyDescent="0.2">
      <c r="Y45204" s="97"/>
    </row>
    <row r="45205" spans="25:25" x14ac:dyDescent="0.2">
      <c r="Y45205" s="97"/>
    </row>
    <row r="45206" spans="25:25" x14ac:dyDescent="0.2">
      <c r="Y45206" s="97"/>
    </row>
    <row r="45207" spans="25:25" x14ac:dyDescent="0.2">
      <c r="Y45207" s="97"/>
    </row>
    <row r="45208" spans="25:25" x14ac:dyDescent="0.2">
      <c r="Y45208" s="97"/>
    </row>
    <row r="45209" spans="25:25" x14ac:dyDescent="0.2">
      <c r="Y45209" s="97"/>
    </row>
    <row r="45210" spans="25:25" x14ac:dyDescent="0.2">
      <c r="Y45210" s="97"/>
    </row>
    <row r="45211" spans="25:25" x14ac:dyDescent="0.2">
      <c r="Y45211" s="97"/>
    </row>
    <row r="45212" spans="25:25" x14ac:dyDescent="0.2">
      <c r="Y45212" s="97"/>
    </row>
    <row r="45213" spans="25:25" x14ac:dyDescent="0.2">
      <c r="Y45213" s="97"/>
    </row>
    <row r="45214" spans="25:25" x14ac:dyDescent="0.2">
      <c r="Y45214" s="97"/>
    </row>
    <row r="45215" spans="25:25" x14ac:dyDescent="0.2">
      <c r="Y45215" s="97"/>
    </row>
    <row r="45216" spans="25:25" x14ac:dyDescent="0.2">
      <c r="Y45216" s="97"/>
    </row>
    <row r="45217" spans="25:25" x14ac:dyDescent="0.2">
      <c r="Y45217" s="97"/>
    </row>
    <row r="45218" spans="25:25" x14ac:dyDescent="0.2">
      <c r="Y45218" s="97"/>
    </row>
    <row r="45219" spans="25:25" x14ac:dyDescent="0.2">
      <c r="Y45219" s="97"/>
    </row>
    <row r="45220" spans="25:25" x14ac:dyDescent="0.2">
      <c r="Y45220" s="97"/>
    </row>
    <row r="45221" spans="25:25" x14ac:dyDescent="0.2">
      <c r="Y45221" s="97"/>
    </row>
    <row r="45222" spans="25:25" x14ac:dyDescent="0.2">
      <c r="Y45222" s="97"/>
    </row>
    <row r="45223" spans="25:25" x14ac:dyDescent="0.2">
      <c r="Y45223" s="97"/>
    </row>
    <row r="45224" spans="25:25" x14ac:dyDescent="0.2">
      <c r="Y45224" s="97"/>
    </row>
    <row r="45225" spans="25:25" x14ac:dyDescent="0.2">
      <c r="Y45225" s="97"/>
    </row>
    <row r="45226" spans="25:25" x14ac:dyDescent="0.2">
      <c r="Y45226" s="97"/>
    </row>
    <row r="45227" spans="25:25" x14ac:dyDescent="0.2">
      <c r="Y45227" s="97"/>
    </row>
    <row r="45228" spans="25:25" x14ac:dyDescent="0.2">
      <c r="Y45228" s="97"/>
    </row>
    <row r="45229" spans="25:25" x14ac:dyDescent="0.2">
      <c r="Y45229" s="97"/>
    </row>
    <row r="45230" spans="25:25" x14ac:dyDescent="0.2">
      <c r="Y45230" s="97"/>
    </row>
    <row r="45231" spans="25:25" x14ac:dyDescent="0.2">
      <c r="Y45231" s="97"/>
    </row>
    <row r="45232" spans="25:25" x14ac:dyDescent="0.2">
      <c r="Y45232" s="97"/>
    </row>
    <row r="45233" spans="25:25" x14ac:dyDescent="0.2">
      <c r="Y45233" s="97"/>
    </row>
    <row r="45234" spans="25:25" x14ac:dyDescent="0.2">
      <c r="Y45234" s="97"/>
    </row>
    <row r="45235" spans="25:25" x14ac:dyDescent="0.2">
      <c r="Y45235" s="97"/>
    </row>
    <row r="45236" spans="25:25" x14ac:dyDescent="0.2">
      <c r="Y45236" s="97"/>
    </row>
    <row r="45237" spans="25:25" x14ac:dyDescent="0.2">
      <c r="Y45237" s="97"/>
    </row>
    <row r="45238" spans="25:25" x14ac:dyDescent="0.2">
      <c r="Y45238" s="97"/>
    </row>
    <row r="45239" spans="25:25" x14ac:dyDescent="0.2">
      <c r="Y45239" s="97"/>
    </row>
    <row r="45240" spans="25:25" x14ac:dyDescent="0.2">
      <c r="Y45240" s="97"/>
    </row>
    <row r="45241" spans="25:25" x14ac:dyDescent="0.2">
      <c r="Y45241" s="97"/>
    </row>
    <row r="45242" spans="25:25" x14ac:dyDescent="0.2">
      <c r="Y45242" s="97"/>
    </row>
    <row r="45243" spans="25:25" x14ac:dyDescent="0.2">
      <c r="Y45243" s="97"/>
    </row>
    <row r="45244" spans="25:25" x14ac:dyDescent="0.2">
      <c r="Y45244" s="97"/>
    </row>
    <row r="45245" spans="25:25" x14ac:dyDescent="0.2">
      <c r="Y45245" s="97"/>
    </row>
    <row r="45246" spans="25:25" x14ac:dyDescent="0.2">
      <c r="Y45246" s="97"/>
    </row>
    <row r="45247" spans="25:25" x14ac:dyDescent="0.2">
      <c r="Y45247" s="97"/>
    </row>
    <row r="45248" spans="25:25" x14ac:dyDescent="0.2">
      <c r="Y45248" s="97"/>
    </row>
    <row r="45249" spans="25:25" x14ac:dyDescent="0.2">
      <c r="Y45249" s="97"/>
    </row>
    <row r="45250" spans="25:25" x14ac:dyDescent="0.2">
      <c r="Y45250" s="97"/>
    </row>
    <row r="45251" spans="25:25" x14ac:dyDescent="0.2">
      <c r="Y45251" s="97"/>
    </row>
    <row r="45252" spans="25:25" x14ac:dyDescent="0.2">
      <c r="Y45252" s="97"/>
    </row>
    <row r="45253" spans="25:25" x14ac:dyDescent="0.2">
      <c r="Y45253" s="97"/>
    </row>
    <row r="45254" spans="25:25" x14ac:dyDescent="0.2">
      <c r="Y45254" s="97"/>
    </row>
    <row r="45255" spans="25:25" x14ac:dyDescent="0.2">
      <c r="Y45255" s="97"/>
    </row>
    <row r="45256" spans="25:25" x14ac:dyDescent="0.2">
      <c r="Y45256" s="97"/>
    </row>
    <row r="45257" spans="25:25" x14ac:dyDescent="0.2">
      <c r="Y45257" s="97"/>
    </row>
    <row r="45258" spans="25:25" x14ac:dyDescent="0.2">
      <c r="Y45258" s="97"/>
    </row>
    <row r="45259" spans="25:25" x14ac:dyDescent="0.2">
      <c r="Y45259" s="97"/>
    </row>
    <row r="45260" spans="25:25" x14ac:dyDescent="0.2">
      <c r="Y45260" s="97"/>
    </row>
    <row r="45261" spans="25:25" x14ac:dyDescent="0.2">
      <c r="Y45261" s="97"/>
    </row>
    <row r="45262" spans="25:25" x14ac:dyDescent="0.2">
      <c r="Y45262" s="97"/>
    </row>
    <row r="45263" spans="25:25" x14ac:dyDescent="0.2">
      <c r="Y45263" s="97"/>
    </row>
    <row r="45264" spans="25:25" x14ac:dyDescent="0.2">
      <c r="Y45264" s="97"/>
    </row>
    <row r="45265" spans="25:25" x14ac:dyDescent="0.2">
      <c r="Y45265" s="97"/>
    </row>
    <row r="45266" spans="25:25" x14ac:dyDescent="0.2">
      <c r="Y45266" s="97"/>
    </row>
    <row r="45267" spans="25:25" x14ac:dyDescent="0.2">
      <c r="Y45267" s="97"/>
    </row>
    <row r="45268" spans="25:25" x14ac:dyDescent="0.2">
      <c r="Y45268" s="97"/>
    </row>
    <row r="45269" spans="25:25" x14ac:dyDescent="0.2">
      <c r="Y45269" s="97"/>
    </row>
    <row r="45270" spans="25:25" x14ac:dyDescent="0.2">
      <c r="Y45270" s="97"/>
    </row>
    <row r="45271" spans="25:25" x14ac:dyDescent="0.2">
      <c r="Y45271" s="97"/>
    </row>
    <row r="45272" spans="25:25" x14ac:dyDescent="0.2">
      <c r="Y45272" s="97"/>
    </row>
    <row r="45273" spans="25:25" x14ac:dyDescent="0.2">
      <c r="Y45273" s="97"/>
    </row>
    <row r="45274" spans="25:25" x14ac:dyDescent="0.2">
      <c r="Y45274" s="97"/>
    </row>
    <row r="45275" spans="25:25" x14ac:dyDescent="0.2">
      <c r="Y45275" s="97"/>
    </row>
    <row r="45276" spans="25:25" x14ac:dyDescent="0.2">
      <c r="Y45276" s="97"/>
    </row>
    <row r="45277" spans="25:25" x14ac:dyDescent="0.2">
      <c r="Y45277" s="97"/>
    </row>
    <row r="45278" spans="25:25" x14ac:dyDescent="0.2">
      <c r="Y45278" s="97"/>
    </row>
    <row r="45279" spans="25:25" x14ac:dyDescent="0.2">
      <c r="Y45279" s="97"/>
    </row>
    <row r="45280" spans="25:25" x14ac:dyDescent="0.2">
      <c r="Y45280" s="97"/>
    </row>
    <row r="45281" spans="25:25" x14ac:dyDescent="0.2">
      <c r="Y45281" s="97"/>
    </row>
    <row r="45282" spans="25:25" x14ac:dyDescent="0.2">
      <c r="Y45282" s="97"/>
    </row>
    <row r="45283" spans="25:25" x14ac:dyDescent="0.2">
      <c r="Y45283" s="97"/>
    </row>
    <row r="45284" spans="25:25" x14ac:dyDescent="0.2">
      <c r="Y45284" s="97"/>
    </row>
    <row r="45285" spans="25:25" x14ac:dyDescent="0.2">
      <c r="Y45285" s="97"/>
    </row>
    <row r="45286" spans="25:25" x14ac:dyDescent="0.2">
      <c r="Y45286" s="97"/>
    </row>
    <row r="45287" spans="25:25" x14ac:dyDescent="0.2">
      <c r="Y45287" s="97"/>
    </row>
    <row r="45288" spans="25:25" x14ac:dyDescent="0.2">
      <c r="Y45288" s="97"/>
    </row>
    <row r="45289" spans="25:25" x14ac:dyDescent="0.2">
      <c r="Y45289" s="97"/>
    </row>
    <row r="45290" spans="25:25" x14ac:dyDescent="0.2">
      <c r="Y45290" s="97"/>
    </row>
    <row r="45291" spans="25:25" x14ac:dyDescent="0.2">
      <c r="Y45291" s="97"/>
    </row>
    <row r="45292" spans="25:25" x14ac:dyDescent="0.2">
      <c r="Y45292" s="97"/>
    </row>
    <row r="45293" spans="25:25" x14ac:dyDescent="0.2">
      <c r="Y45293" s="97"/>
    </row>
    <row r="45294" spans="25:25" x14ac:dyDescent="0.2">
      <c r="Y45294" s="97"/>
    </row>
    <row r="45295" spans="25:25" x14ac:dyDescent="0.2">
      <c r="Y45295" s="97"/>
    </row>
    <row r="45296" spans="25:25" x14ac:dyDescent="0.2">
      <c r="Y45296" s="97"/>
    </row>
    <row r="45297" spans="25:25" x14ac:dyDescent="0.2">
      <c r="Y45297" s="97"/>
    </row>
    <row r="45298" spans="25:25" x14ac:dyDescent="0.2">
      <c r="Y45298" s="97"/>
    </row>
    <row r="45299" spans="25:25" x14ac:dyDescent="0.2">
      <c r="Y45299" s="97"/>
    </row>
    <row r="45300" spans="25:25" x14ac:dyDescent="0.2">
      <c r="Y45300" s="97"/>
    </row>
    <row r="45301" spans="25:25" x14ac:dyDescent="0.2">
      <c r="Y45301" s="97"/>
    </row>
    <row r="45302" spans="25:25" x14ac:dyDescent="0.2">
      <c r="Y45302" s="97"/>
    </row>
    <row r="45303" spans="25:25" x14ac:dyDescent="0.2">
      <c r="Y45303" s="97"/>
    </row>
    <row r="45304" spans="25:25" x14ac:dyDescent="0.2">
      <c r="Y45304" s="97"/>
    </row>
    <row r="45305" spans="25:25" x14ac:dyDescent="0.2">
      <c r="Y45305" s="97"/>
    </row>
    <row r="45306" spans="25:25" x14ac:dyDescent="0.2">
      <c r="Y45306" s="97"/>
    </row>
    <row r="45307" spans="25:25" x14ac:dyDescent="0.2">
      <c r="Y45307" s="97"/>
    </row>
    <row r="45308" spans="25:25" x14ac:dyDescent="0.2">
      <c r="Y45308" s="97"/>
    </row>
    <row r="45309" spans="25:25" x14ac:dyDescent="0.2">
      <c r="Y45309" s="97"/>
    </row>
    <row r="45310" spans="25:25" x14ac:dyDescent="0.2">
      <c r="Y45310" s="97"/>
    </row>
    <row r="45311" spans="25:25" x14ac:dyDescent="0.2">
      <c r="Y45311" s="97"/>
    </row>
    <row r="45312" spans="25:25" x14ac:dyDescent="0.2">
      <c r="Y45312" s="97"/>
    </row>
    <row r="45313" spans="25:25" x14ac:dyDescent="0.2">
      <c r="Y45313" s="97"/>
    </row>
    <row r="45314" spans="25:25" x14ac:dyDescent="0.2">
      <c r="Y45314" s="97"/>
    </row>
    <row r="45315" spans="25:25" x14ac:dyDescent="0.2">
      <c r="Y45315" s="97"/>
    </row>
    <row r="45316" spans="25:25" x14ac:dyDescent="0.2">
      <c r="Y45316" s="97"/>
    </row>
    <row r="45317" spans="25:25" x14ac:dyDescent="0.2">
      <c r="Y45317" s="97"/>
    </row>
    <row r="45318" spans="25:25" x14ac:dyDescent="0.2">
      <c r="Y45318" s="97"/>
    </row>
    <row r="45319" spans="25:25" x14ac:dyDescent="0.2">
      <c r="Y45319" s="97"/>
    </row>
    <row r="45320" spans="25:25" x14ac:dyDescent="0.2">
      <c r="Y45320" s="97"/>
    </row>
    <row r="45321" spans="25:25" x14ac:dyDescent="0.2">
      <c r="Y45321" s="97"/>
    </row>
    <row r="45322" spans="25:25" x14ac:dyDescent="0.2">
      <c r="Y45322" s="97"/>
    </row>
    <row r="45323" spans="25:25" x14ac:dyDescent="0.2">
      <c r="Y45323" s="97"/>
    </row>
    <row r="45324" spans="25:25" x14ac:dyDescent="0.2">
      <c r="Y45324" s="97"/>
    </row>
    <row r="45325" spans="25:25" x14ac:dyDescent="0.2">
      <c r="Y45325" s="97"/>
    </row>
    <row r="45326" spans="25:25" x14ac:dyDescent="0.2">
      <c r="Y45326" s="97"/>
    </row>
    <row r="45327" spans="25:25" x14ac:dyDescent="0.2">
      <c r="Y45327" s="97"/>
    </row>
    <row r="45328" spans="25:25" x14ac:dyDescent="0.2">
      <c r="Y45328" s="97"/>
    </row>
    <row r="45329" spans="25:25" x14ac:dyDescent="0.2">
      <c r="Y45329" s="97"/>
    </row>
    <row r="45330" spans="25:25" x14ac:dyDescent="0.2">
      <c r="Y45330" s="97"/>
    </row>
    <row r="45331" spans="25:25" x14ac:dyDescent="0.2">
      <c r="Y45331" s="97"/>
    </row>
    <row r="45332" spans="25:25" x14ac:dyDescent="0.2">
      <c r="Y45332" s="97"/>
    </row>
    <row r="45333" spans="25:25" x14ac:dyDescent="0.2">
      <c r="Y45333" s="97"/>
    </row>
    <row r="45334" spans="25:25" x14ac:dyDescent="0.2">
      <c r="Y45334" s="97"/>
    </row>
    <row r="45335" spans="25:25" x14ac:dyDescent="0.2">
      <c r="Y45335" s="97"/>
    </row>
    <row r="45336" spans="25:25" x14ac:dyDescent="0.2">
      <c r="Y45336" s="97"/>
    </row>
    <row r="45337" spans="25:25" x14ac:dyDescent="0.2">
      <c r="Y45337" s="97"/>
    </row>
    <row r="45338" spans="25:25" x14ac:dyDescent="0.2">
      <c r="Y45338" s="97"/>
    </row>
    <row r="45339" spans="25:25" x14ac:dyDescent="0.2">
      <c r="Y45339" s="97"/>
    </row>
    <row r="45340" spans="25:25" x14ac:dyDescent="0.2">
      <c r="Y45340" s="97"/>
    </row>
    <row r="45341" spans="25:25" x14ac:dyDescent="0.2">
      <c r="Y45341" s="97"/>
    </row>
    <row r="45342" spans="25:25" x14ac:dyDescent="0.2">
      <c r="Y45342" s="97"/>
    </row>
    <row r="45343" spans="25:25" x14ac:dyDescent="0.2">
      <c r="Y45343" s="97"/>
    </row>
    <row r="45344" spans="25:25" x14ac:dyDescent="0.2">
      <c r="Y45344" s="97"/>
    </row>
    <row r="45345" spans="25:25" x14ac:dyDescent="0.2">
      <c r="Y45345" s="97"/>
    </row>
    <row r="45346" spans="25:25" x14ac:dyDescent="0.2">
      <c r="Y45346" s="97"/>
    </row>
    <row r="45347" spans="25:25" x14ac:dyDescent="0.2">
      <c r="Y45347" s="97"/>
    </row>
    <row r="45348" spans="25:25" x14ac:dyDescent="0.2">
      <c r="Y45348" s="97"/>
    </row>
    <row r="45349" spans="25:25" x14ac:dyDescent="0.2">
      <c r="Y45349" s="97"/>
    </row>
    <row r="45350" spans="25:25" x14ac:dyDescent="0.2">
      <c r="Y45350" s="97"/>
    </row>
    <row r="45351" spans="25:25" x14ac:dyDescent="0.2">
      <c r="Y45351" s="97"/>
    </row>
    <row r="45352" spans="25:25" x14ac:dyDescent="0.2">
      <c r="Y45352" s="97"/>
    </row>
    <row r="45353" spans="25:25" x14ac:dyDescent="0.2">
      <c r="Y45353" s="97"/>
    </row>
    <row r="45354" spans="25:25" x14ac:dyDescent="0.2">
      <c r="Y45354" s="97"/>
    </row>
    <row r="45355" spans="25:25" x14ac:dyDescent="0.2">
      <c r="Y45355" s="97"/>
    </row>
    <row r="45356" spans="25:25" x14ac:dyDescent="0.2">
      <c r="Y45356" s="97"/>
    </row>
    <row r="45357" spans="25:25" x14ac:dyDescent="0.2">
      <c r="Y45357" s="97"/>
    </row>
    <row r="45358" spans="25:25" x14ac:dyDescent="0.2">
      <c r="Y45358" s="97"/>
    </row>
    <row r="45359" spans="25:25" x14ac:dyDescent="0.2">
      <c r="Y45359" s="97"/>
    </row>
    <row r="45360" spans="25:25" x14ac:dyDescent="0.2">
      <c r="Y45360" s="97"/>
    </row>
    <row r="45361" spans="25:25" x14ac:dyDescent="0.2">
      <c r="Y45361" s="97"/>
    </row>
    <row r="45362" spans="25:25" x14ac:dyDescent="0.2">
      <c r="Y45362" s="97"/>
    </row>
    <row r="45363" spans="25:25" x14ac:dyDescent="0.2">
      <c r="Y45363" s="97"/>
    </row>
    <row r="45364" spans="25:25" x14ac:dyDescent="0.2">
      <c r="Y45364" s="97"/>
    </row>
    <row r="45365" spans="25:25" x14ac:dyDescent="0.2">
      <c r="Y45365" s="97"/>
    </row>
    <row r="45366" spans="25:25" x14ac:dyDescent="0.2">
      <c r="Y45366" s="97"/>
    </row>
    <row r="45367" spans="25:25" x14ac:dyDescent="0.2">
      <c r="Y45367" s="97"/>
    </row>
    <row r="45368" spans="25:25" x14ac:dyDescent="0.2">
      <c r="Y45368" s="97"/>
    </row>
    <row r="45369" spans="25:25" x14ac:dyDescent="0.2">
      <c r="Y45369" s="97"/>
    </row>
    <row r="45370" spans="25:25" x14ac:dyDescent="0.2">
      <c r="Y45370" s="97"/>
    </row>
    <row r="45371" spans="25:25" x14ac:dyDescent="0.2">
      <c r="Y45371" s="97"/>
    </row>
    <row r="45372" spans="25:25" x14ac:dyDescent="0.2">
      <c r="Y45372" s="97"/>
    </row>
    <row r="45373" spans="25:25" x14ac:dyDescent="0.2">
      <c r="Y45373" s="97"/>
    </row>
    <row r="45374" spans="25:25" x14ac:dyDescent="0.2">
      <c r="Y45374" s="97"/>
    </row>
    <row r="45375" spans="25:25" x14ac:dyDescent="0.2">
      <c r="Y45375" s="97"/>
    </row>
    <row r="45376" spans="25:25" x14ac:dyDescent="0.2">
      <c r="Y45376" s="97"/>
    </row>
    <row r="45377" spans="25:25" x14ac:dyDescent="0.2">
      <c r="Y45377" s="97"/>
    </row>
    <row r="45378" spans="25:25" x14ac:dyDescent="0.2">
      <c r="Y45378" s="97"/>
    </row>
    <row r="45379" spans="25:25" x14ac:dyDescent="0.2">
      <c r="Y45379" s="97"/>
    </row>
    <row r="45380" spans="25:25" x14ac:dyDescent="0.2">
      <c r="Y45380" s="97"/>
    </row>
    <row r="45381" spans="25:25" x14ac:dyDescent="0.2">
      <c r="Y45381" s="97"/>
    </row>
    <row r="45382" spans="25:25" x14ac:dyDescent="0.2">
      <c r="Y45382" s="97"/>
    </row>
    <row r="45383" spans="25:25" x14ac:dyDescent="0.2">
      <c r="Y45383" s="97"/>
    </row>
    <row r="45384" spans="25:25" x14ac:dyDescent="0.2">
      <c r="Y45384" s="97"/>
    </row>
    <row r="45385" spans="25:25" x14ac:dyDescent="0.2">
      <c r="Y45385" s="97"/>
    </row>
    <row r="45386" spans="25:25" x14ac:dyDescent="0.2">
      <c r="Y45386" s="97"/>
    </row>
    <row r="45387" spans="25:25" x14ac:dyDescent="0.2">
      <c r="Y45387" s="97"/>
    </row>
    <row r="45388" spans="25:25" x14ac:dyDescent="0.2">
      <c r="Y45388" s="97"/>
    </row>
    <row r="45389" spans="25:25" x14ac:dyDescent="0.2">
      <c r="Y45389" s="97"/>
    </row>
    <row r="45390" spans="25:25" x14ac:dyDescent="0.2">
      <c r="Y45390" s="97"/>
    </row>
    <row r="45391" spans="25:25" x14ac:dyDescent="0.2">
      <c r="Y45391" s="97"/>
    </row>
    <row r="45392" spans="25:25" x14ac:dyDescent="0.2">
      <c r="Y45392" s="97"/>
    </row>
    <row r="45393" spans="25:25" x14ac:dyDescent="0.2">
      <c r="Y45393" s="97"/>
    </row>
    <row r="45394" spans="25:25" x14ac:dyDescent="0.2">
      <c r="Y45394" s="97"/>
    </row>
    <row r="45395" spans="25:25" x14ac:dyDescent="0.2">
      <c r="Y45395" s="97"/>
    </row>
    <row r="45396" spans="25:25" x14ac:dyDescent="0.2">
      <c r="Y45396" s="97"/>
    </row>
    <row r="45397" spans="25:25" x14ac:dyDescent="0.2">
      <c r="Y45397" s="97"/>
    </row>
    <row r="45398" spans="25:25" x14ac:dyDescent="0.2">
      <c r="Y45398" s="97"/>
    </row>
    <row r="45399" spans="25:25" x14ac:dyDescent="0.2">
      <c r="Y45399" s="97"/>
    </row>
    <row r="45400" spans="25:25" x14ac:dyDescent="0.2">
      <c r="Y45400" s="97"/>
    </row>
    <row r="45401" spans="25:25" x14ac:dyDescent="0.2">
      <c r="Y45401" s="97"/>
    </row>
    <row r="45402" spans="25:25" x14ac:dyDescent="0.2">
      <c r="Y45402" s="97"/>
    </row>
    <row r="45403" spans="25:25" x14ac:dyDescent="0.2">
      <c r="Y45403" s="97"/>
    </row>
    <row r="45404" spans="25:25" x14ac:dyDescent="0.2">
      <c r="Y45404" s="97"/>
    </row>
    <row r="45405" spans="25:25" x14ac:dyDescent="0.2">
      <c r="Y45405" s="97"/>
    </row>
    <row r="45406" spans="25:25" x14ac:dyDescent="0.2">
      <c r="Y45406" s="97"/>
    </row>
    <row r="45407" spans="25:25" x14ac:dyDescent="0.2">
      <c r="Y45407" s="97"/>
    </row>
    <row r="45408" spans="25:25" x14ac:dyDescent="0.2">
      <c r="Y45408" s="97"/>
    </row>
    <row r="45409" spans="25:25" x14ac:dyDescent="0.2">
      <c r="Y45409" s="97"/>
    </row>
    <row r="45410" spans="25:25" x14ac:dyDescent="0.2">
      <c r="Y45410" s="97"/>
    </row>
    <row r="45411" spans="25:25" x14ac:dyDescent="0.2">
      <c r="Y45411" s="97"/>
    </row>
    <row r="45412" spans="25:25" x14ac:dyDescent="0.2">
      <c r="Y45412" s="97"/>
    </row>
    <row r="45413" spans="25:25" x14ac:dyDescent="0.2">
      <c r="Y45413" s="97"/>
    </row>
    <row r="45414" spans="25:25" x14ac:dyDescent="0.2">
      <c r="Y45414" s="97"/>
    </row>
    <row r="45415" spans="25:25" x14ac:dyDescent="0.2">
      <c r="Y45415" s="97"/>
    </row>
    <row r="45416" spans="25:25" x14ac:dyDescent="0.2">
      <c r="Y45416" s="97"/>
    </row>
    <row r="45417" spans="25:25" x14ac:dyDescent="0.2">
      <c r="Y45417" s="97"/>
    </row>
    <row r="45418" spans="25:25" x14ac:dyDescent="0.2">
      <c r="Y45418" s="97"/>
    </row>
    <row r="45419" spans="25:25" x14ac:dyDescent="0.2">
      <c r="Y45419" s="97"/>
    </row>
    <row r="45420" spans="25:25" x14ac:dyDescent="0.2">
      <c r="Y45420" s="97"/>
    </row>
    <row r="45421" spans="25:25" x14ac:dyDescent="0.2">
      <c r="Y45421" s="97"/>
    </row>
    <row r="45422" spans="25:25" x14ac:dyDescent="0.2">
      <c r="Y45422" s="97"/>
    </row>
    <row r="45423" spans="25:25" x14ac:dyDescent="0.2">
      <c r="Y45423" s="97"/>
    </row>
    <row r="45424" spans="25:25" x14ac:dyDescent="0.2">
      <c r="Y45424" s="97"/>
    </row>
    <row r="45425" spans="25:25" x14ac:dyDescent="0.2">
      <c r="Y45425" s="97"/>
    </row>
    <row r="45426" spans="25:25" x14ac:dyDescent="0.2">
      <c r="Y45426" s="97"/>
    </row>
    <row r="45427" spans="25:25" x14ac:dyDescent="0.2">
      <c r="Y45427" s="97"/>
    </row>
    <row r="45428" spans="25:25" x14ac:dyDescent="0.2">
      <c r="Y45428" s="97"/>
    </row>
    <row r="45429" spans="25:25" x14ac:dyDescent="0.2">
      <c r="Y45429" s="97"/>
    </row>
    <row r="45430" spans="25:25" x14ac:dyDescent="0.2">
      <c r="Y45430" s="97"/>
    </row>
    <row r="45431" spans="25:25" x14ac:dyDescent="0.2">
      <c r="Y45431" s="97"/>
    </row>
    <row r="45432" spans="25:25" x14ac:dyDescent="0.2">
      <c r="Y45432" s="97"/>
    </row>
    <row r="45433" spans="25:25" x14ac:dyDescent="0.2">
      <c r="Y45433" s="97"/>
    </row>
    <row r="45434" spans="25:25" x14ac:dyDescent="0.2">
      <c r="Y45434" s="97"/>
    </row>
    <row r="45435" spans="25:25" x14ac:dyDescent="0.2">
      <c r="Y45435" s="97"/>
    </row>
    <row r="45436" spans="25:25" x14ac:dyDescent="0.2">
      <c r="Y45436" s="97"/>
    </row>
    <row r="45437" spans="25:25" x14ac:dyDescent="0.2">
      <c r="Y45437" s="97"/>
    </row>
    <row r="45438" spans="25:25" x14ac:dyDescent="0.2">
      <c r="Y45438" s="97"/>
    </row>
    <row r="45439" spans="25:25" x14ac:dyDescent="0.2">
      <c r="Y45439" s="97"/>
    </row>
    <row r="45440" spans="25:25" x14ac:dyDescent="0.2">
      <c r="Y45440" s="97"/>
    </row>
    <row r="45441" spans="25:25" x14ac:dyDescent="0.2">
      <c r="Y45441" s="97"/>
    </row>
    <row r="45442" spans="25:25" x14ac:dyDescent="0.2">
      <c r="Y45442" s="97"/>
    </row>
    <row r="45443" spans="25:25" x14ac:dyDescent="0.2">
      <c r="Y45443" s="97"/>
    </row>
    <row r="45444" spans="25:25" x14ac:dyDescent="0.2">
      <c r="Y45444" s="97"/>
    </row>
    <row r="45445" spans="25:25" x14ac:dyDescent="0.2">
      <c r="Y45445" s="97"/>
    </row>
    <row r="45446" spans="25:25" x14ac:dyDescent="0.2">
      <c r="Y45446" s="97"/>
    </row>
    <row r="45447" spans="25:25" x14ac:dyDescent="0.2">
      <c r="Y45447" s="97"/>
    </row>
    <row r="45448" spans="25:25" x14ac:dyDescent="0.2">
      <c r="Y45448" s="97"/>
    </row>
    <row r="45449" spans="25:25" x14ac:dyDescent="0.2">
      <c r="Y45449" s="97"/>
    </row>
    <row r="45450" spans="25:25" x14ac:dyDescent="0.2">
      <c r="Y45450" s="97"/>
    </row>
    <row r="45451" spans="25:25" x14ac:dyDescent="0.2">
      <c r="Y45451" s="97"/>
    </row>
    <row r="45452" spans="25:25" x14ac:dyDescent="0.2">
      <c r="Y45452" s="97"/>
    </row>
    <row r="45453" spans="25:25" x14ac:dyDescent="0.2">
      <c r="Y45453" s="97"/>
    </row>
    <row r="45454" spans="25:25" x14ac:dyDescent="0.2">
      <c r="Y45454" s="97"/>
    </row>
    <row r="45455" spans="25:25" x14ac:dyDescent="0.2">
      <c r="Y45455" s="97"/>
    </row>
    <row r="45456" spans="25:25" x14ac:dyDescent="0.2">
      <c r="Y45456" s="97"/>
    </row>
    <row r="45457" spans="25:25" x14ac:dyDescent="0.2">
      <c r="Y45457" s="97"/>
    </row>
    <row r="45458" spans="25:25" x14ac:dyDescent="0.2">
      <c r="Y45458" s="97"/>
    </row>
    <row r="45459" spans="25:25" x14ac:dyDescent="0.2">
      <c r="Y45459" s="97"/>
    </row>
    <row r="45460" spans="25:25" x14ac:dyDescent="0.2">
      <c r="Y45460" s="97"/>
    </row>
    <row r="45461" spans="25:25" x14ac:dyDescent="0.2">
      <c r="Y45461" s="97"/>
    </row>
    <row r="45462" spans="25:25" x14ac:dyDescent="0.2">
      <c r="Y45462" s="97"/>
    </row>
    <row r="45463" spans="25:25" x14ac:dyDescent="0.2">
      <c r="Y45463" s="97"/>
    </row>
    <row r="45464" spans="25:25" x14ac:dyDescent="0.2">
      <c r="Y45464" s="97"/>
    </row>
    <row r="45465" spans="25:25" x14ac:dyDescent="0.2">
      <c r="Y45465" s="97"/>
    </row>
    <row r="45466" spans="25:25" x14ac:dyDescent="0.2">
      <c r="Y45466" s="97"/>
    </row>
    <row r="45467" spans="25:25" x14ac:dyDescent="0.2">
      <c r="Y45467" s="97"/>
    </row>
    <row r="45468" spans="25:25" x14ac:dyDescent="0.2">
      <c r="Y45468" s="97"/>
    </row>
    <row r="45469" spans="25:25" x14ac:dyDescent="0.2">
      <c r="Y45469" s="97"/>
    </row>
    <row r="45470" spans="25:25" x14ac:dyDescent="0.2">
      <c r="Y45470" s="97"/>
    </row>
    <row r="45471" spans="25:25" x14ac:dyDescent="0.2">
      <c r="Y45471" s="97"/>
    </row>
    <row r="45472" spans="25:25" x14ac:dyDescent="0.2">
      <c r="Y45472" s="97"/>
    </row>
    <row r="45473" spans="25:25" x14ac:dyDescent="0.2">
      <c r="Y45473" s="97"/>
    </row>
    <row r="45474" spans="25:25" x14ac:dyDescent="0.2">
      <c r="Y45474" s="97"/>
    </row>
    <row r="45475" spans="25:25" x14ac:dyDescent="0.2">
      <c r="Y45475" s="97"/>
    </row>
    <row r="45476" spans="25:25" x14ac:dyDescent="0.2">
      <c r="Y45476" s="97"/>
    </row>
    <row r="45477" spans="25:25" x14ac:dyDescent="0.2">
      <c r="Y45477" s="97"/>
    </row>
    <row r="45478" spans="25:25" x14ac:dyDescent="0.2">
      <c r="Y45478" s="97"/>
    </row>
    <row r="45479" spans="25:25" x14ac:dyDescent="0.2">
      <c r="Y45479" s="97"/>
    </row>
    <row r="45480" spans="25:25" x14ac:dyDescent="0.2">
      <c r="Y45480" s="97"/>
    </row>
    <row r="45481" spans="25:25" x14ac:dyDescent="0.2">
      <c r="Y45481" s="97"/>
    </row>
    <row r="45482" spans="25:25" x14ac:dyDescent="0.2">
      <c r="Y45482" s="97"/>
    </row>
    <row r="45483" spans="25:25" x14ac:dyDescent="0.2">
      <c r="Y45483" s="97"/>
    </row>
    <row r="45484" spans="25:25" x14ac:dyDescent="0.2">
      <c r="Y45484" s="97"/>
    </row>
    <row r="45485" spans="25:25" x14ac:dyDescent="0.2">
      <c r="Y45485" s="97"/>
    </row>
    <row r="45486" spans="25:25" x14ac:dyDescent="0.2">
      <c r="Y45486" s="97"/>
    </row>
    <row r="45487" spans="25:25" x14ac:dyDescent="0.2">
      <c r="Y45487" s="97"/>
    </row>
    <row r="45488" spans="25:25" x14ac:dyDescent="0.2">
      <c r="Y45488" s="97"/>
    </row>
    <row r="45489" spans="25:25" x14ac:dyDescent="0.2">
      <c r="Y45489" s="97"/>
    </row>
    <row r="45490" spans="25:25" x14ac:dyDescent="0.2">
      <c r="Y45490" s="97"/>
    </row>
    <row r="45491" spans="25:25" x14ac:dyDescent="0.2">
      <c r="Y45491" s="97"/>
    </row>
    <row r="45492" spans="25:25" x14ac:dyDescent="0.2">
      <c r="Y45492" s="97"/>
    </row>
    <row r="45493" spans="25:25" x14ac:dyDescent="0.2">
      <c r="Y45493" s="97"/>
    </row>
    <row r="45494" spans="25:25" x14ac:dyDescent="0.2">
      <c r="Y45494" s="97"/>
    </row>
    <row r="45495" spans="25:25" x14ac:dyDescent="0.2">
      <c r="Y45495" s="97"/>
    </row>
    <row r="45496" spans="25:25" x14ac:dyDescent="0.2">
      <c r="Y45496" s="97"/>
    </row>
    <row r="45497" spans="25:25" x14ac:dyDescent="0.2">
      <c r="Y45497" s="97"/>
    </row>
    <row r="45498" spans="25:25" x14ac:dyDescent="0.2">
      <c r="Y45498" s="97"/>
    </row>
    <row r="45499" spans="25:25" x14ac:dyDescent="0.2">
      <c r="Y45499" s="97"/>
    </row>
    <row r="45500" spans="25:25" x14ac:dyDescent="0.2">
      <c r="Y45500" s="97"/>
    </row>
    <row r="45501" spans="25:25" x14ac:dyDescent="0.2">
      <c r="Y45501" s="97"/>
    </row>
    <row r="45502" spans="25:25" x14ac:dyDescent="0.2">
      <c r="Y45502" s="97"/>
    </row>
    <row r="45503" spans="25:25" x14ac:dyDescent="0.2">
      <c r="Y45503" s="97"/>
    </row>
    <row r="45504" spans="25:25" x14ac:dyDescent="0.2">
      <c r="Y45504" s="97"/>
    </row>
    <row r="45505" spans="25:25" x14ac:dyDescent="0.2">
      <c r="Y45505" s="97"/>
    </row>
    <row r="45506" spans="25:25" x14ac:dyDescent="0.2">
      <c r="Y45506" s="97"/>
    </row>
    <row r="45507" spans="25:25" x14ac:dyDescent="0.2">
      <c r="Y45507" s="97"/>
    </row>
    <row r="45508" spans="25:25" x14ac:dyDescent="0.2">
      <c r="Y45508" s="97"/>
    </row>
    <row r="45509" spans="25:25" x14ac:dyDescent="0.2">
      <c r="Y45509" s="97"/>
    </row>
    <row r="45510" spans="25:25" x14ac:dyDescent="0.2">
      <c r="Y45510" s="97"/>
    </row>
    <row r="45511" spans="25:25" x14ac:dyDescent="0.2">
      <c r="Y45511" s="97"/>
    </row>
    <row r="45512" spans="25:25" x14ac:dyDescent="0.2">
      <c r="Y45512" s="97"/>
    </row>
    <row r="45513" spans="25:25" x14ac:dyDescent="0.2">
      <c r="Y45513" s="97"/>
    </row>
    <row r="45514" spans="25:25" x14ac:dyDescent="0.2">
      <c r="Y45514" s="97"/>
    </row>
    <row r="45515" spans="25:25" x14ac:dyDescent="0.2">
      <c r="Y45515" s="97"/>
    </row>
    <row r="45516" spans="25:25" x14ac:dyDescent="0.2">
      <c r="Y45516" s="97"/>
    </row>
    <row r="45517" spans="25:25" x14ac:dyDescent="0.2">
      <c r="Y45517" s="97"/>
    </row>
    <row r="45518" spans="25:25" x14ac:dyDescent="0.2">
      <c r="Y45518" s="97"/>
    </row>
    <row r="45519" spans="25:25" x14ac:dyDescent="0.2">
      <c r="Y45519" s="97"/>
    </row>
    <row r="45520" spans="25:25" x14ac:dyDescent="0.2">
      <c r="Y45520" s="97"/>
    </row>
    <row r="45521" spans="25:25" x14ac:dyDescent="0.2">
      <c r="Y45521" s="97"/>
    </row>
    <row r="45522" spans="25:25" x14ac:dyDescent="0.2">
      <c r="Y45522" s="97"/>
    </row>
    <row r="45523" spans="25:25" x14ac:dyDescent="0.2">
      <c r="Y45523" s="97"/>
    </row>
    <row r="45524" spans="25:25" x14ac:dyDescent="0.2">
      <c r="Y45524" s="97"/>
    </row>
    <row r="45525" spans="25:25" x14ac:dyDescent="0.2">
      <c r="Y45525" s="97"/>
    </row>
    <row r="45526" spans="25:25" x14ac:dyDescent="0.2">
      <c r="Y45526" s="97"/>
    </row>
    <row r="45527" spans="25:25" x14ac:dyDescent="0.2">
      <c r="Y45527" s="97"/>
    </row>
    <row r="45528" spans="25:25" x14ac:dyDescent="0.2">
      <c r="Y45528" s="97"/>
    </row>
    <row r="45529" spans="25:25" x14ac:dyDescent="0.2">
      <c r="Y45529" s="97"/>
    </row>
    <row r="45530" spans="25:25" x14ac:dyDescent="0.2">
      <c r="Y45530" s="97"/>
    </row>
    <row r="45531" spans="25:25" x14ac:dyDescent="0.2">
      <c r="Y45531" s="97"/>
    </row>
    <row r="45532" spans="25:25" x14ac:dyDescent="0.2">
      <c r="Y45532" s="97"/>
    </row>
    <row r="45533" spans="25:25" x14ac:dyDescent="0.2">
      <c r="Y45533" s="97"/>
    </row>
    <row r="45534" spans="25:25" x14ac:dyDescent="0.2">
      <c r="Y45534" s="97"/>
    </row>
    <row r="45535" spans="25:25" x14ac:dyDescent="0.2">
      <c r="Y45535" s="97"/>
    </row>
    <row r="45536" spans="25:25" x14ac:dyDescent="0.2">
      <c r="Y45536" s="97"/>
    </row>
    <row r="45537" spans="25:25" x14ac:dyDescent="0.2">
      <c r="Y45537" s="97"/>
    </row>
    <row r="45538" spans="25:25" x14ac:dyDescent="0.2">
      <c r="Y45538" s="97"/>
    </row>
    <row r="45539" spans="25:25" x14ac:dyDescent="0.2">
      <c r="Y45539" s="97"/>
    </row>
    <row r="45540" spans="25:25" x14ac:dyDescent="0.2">
      <c r="Y45540" s="97"/>
    </row>
    <row r="45541" spans="25:25" x14ac:dyDescent="0.2">
      <c r="Y45541" s="97"/>
    </row>
    <row r="45542" spans="25:25" x14ac:dyDescent="0.2">
      <c r="Y45542" s="97"/>
    </row>
    <row r="45543" spans="25:25" x14ac:dyDescent="0.2">
      <c r="Y45543" s="97"/>
    </row>
    <row r="45544" spans="25:25" x14ac:dyDescent="0.2">
      <c r="Y45544" s="97"/>
    </row>
    <row r="45545" spans="25:25" x14ac:dyDescent="0.2">
      <c r="Y45545" s="97"/>
    </row>
    <row r="45546" spans="25:25" x14ac:dyDescent="0.2">
      <c r="Y45546" s="97"/>
    </row>
    <row r="45547" spans="25:25" x14ac:dyDescent="0.2">
      <c r="Y45547" s="97"/>
    </row>
    <row r="45548" spans="25:25" x14ac:dyDescent="0.2">
      <c r="Y45548" s="97"/>
    </row>
    <row r="45549" spans="25:25" x14ac:dyDescent="0.2">
      <c r="Y45549" s="97"/>
    </row>
    <row r="45550" spans="25:25" x14ac:dyDescent="0.2">
      <c r="Y45550" s="97"/>
    </row>
    <row r="45551" spans="25:25" x14ac:dyDescent="0.2">
      <c r="Y45551" s="97"/>
    </row>
    <row r="45552" spans="25:25" x14ac:dyDescent="0.2">
      <c r="Y45552" s="97"/>
    </row>
    <row r="45553" spans="25:25" x14ac:dyDescent="0.2">
      <c r="Y45553" s="97"/>
    </row>
    <row r="45554" spans="25:25" x14ac:dyDescent="0.2">
      <c r="Y45554" s="97"/>
    </row>
    <row r="45555" spans="25:25" x14ac:dyDescent="0.2">
      <c r="Y45555" s="97"/>
    </row>
    <row r="45556" spans="25:25" x14ac:dyDescent="0.2">
      <c r="Y45556" s="97"/>
    </row>
    <row r="45557" spans="25:25" x14ac:dyDescent="0.2">
      <c r="Y45557" s="97"/>
    </row>
    <row r="45558" spans="25:25" x14ac:dyDescent="0.2">
      <c r="Y45558" s="97"/>
    </row>
    <row r="45559" spans="25:25" x14ac:dyDescent="0.2">
      <c r="Y45559" s="97"/>
    </row>
    <row r="45560" spans="25:25" x14ac:dyDescent="0.2">
      <c r="Y45560" s="97"/>
    </row>
    <row r="45561" spans="25:25" x14ac:dyDescent="0.2">
      <c r="Y45561" s="97"/>
    </row>
    <row r="45562" spans="25:25" x14ac:dyDescent="0.2">
      <c r="Y45562" s="97"/>
    </row>
    <row r="45563" spans="25:25" x14ac:dyDescent="0.2">
      <c r="Y45563" s="97"/>
    </row>
    <row r="45564" spans="25:25" x14ac:dyDescent="0.2">
      <c r="Y45564" s="97"/>
    </row>
    <row r="45565" spans="25:25" x14ac:dyDescent="0.2">
      <c r="Y45565" s="97"/>
    </row>
    <row r="45566" spans="25:25" x14ac:dyDescent="0.2">
      <c r="Y45566" s="97"/>
    </row>
    <row r="45567" spans="25:25" x14ac:dyDescent="0.2">
      <c r="Y45567" s="97"/>
    </row>
    <row r="45568" spans="25:25" x14ac:dyDescent="0.2">
      <c r="Y45568" s="97"/>
    </row>
    <row r="45569" spans="25:25" x14ac:dyDescent="0.2">
      <c r="Y45569" s="97"/>
    </row>
    <row r="45570" spans="25:25" x14ac:dyDescent="0.2">
      <c r="Y45570" s="97"/>
    </row>
    <row r="45571" spans="25:25" x14ac:dyDescent="0.2">
      <c r="Y45571" s="97"/>
    </row>
    <row r="45572" spans="25:25" x14ac:dyDescent="0.2">
      <c r="Y45572" s="97"/>
    </row>
    <row r="45573" spans="25:25" x14ac:dyDescent="0.2">
      <c r="Y45573" s="97"/>
    </row>
    <row r="45574" spans="25:25" x14ac:dyDescent="0.2">
      <c r="Y45574" s="97"/>
    </row>
    <row r="45575" spans="25:25" x14ac:dyDescent="0.2">
      <c r="Y45575" s="97"/>
    </row>
    <row r="45576" spans="25:25" x14ac:dyDescent="0.2">
      <c r="Y45576" s="97"/>
    </row>
    <row r="45577" spans="25:25" x14ac:dyDescent="0.2">
      <c r="Y45577" s="97"/>
    </row>
    <row r="45578" spans="25:25" x14ac:dyDescent="0.2">
      <c r="Y45578" s="97"/>
    </row>
    <row r="45579" spans="25:25" x14ac:dyDescent="0.2">
      <c r="Y45579" s="97"/>
    </row>
    <row r="45580" spans="25:25" x14ac:dyDescent="0.2">
      <c r="Y45580" s="97"/>
    </row>
    <row r="45581" spans="25:25" x14ac:dyDescent="0.2">
      <c r="Y45581" s="97"/>
    </row>
    <row r="45582" spans="25:25" x14ac:dyDescent="0.2">
      <c r="Y45582" s="97"/>
    </row>
    <row r="45583" spans="25:25" x14ac:dyDescent="0.2">
      <c r="Y45583" s="97"/>
    </row>
    <row r="45584" spans="25:25" x14ac:dyDescent="0.2">
      <c r="Y45584" s="97"/>
    </row>
    <row r="45585" spans="25:25" x14ac:dyDescent="0.2">
      <c r="Y45585" s="97"/>
    </row>
    <row r="45586" spans="25:25" x14ac:dyDescent="0.2">
      <c r="Y45586" s="97"/>
    </row>
    <row r="45587" spans="25:25" x14ac:dyDescent="0.2">
      <c r="Y45587" s="97"/>
    </row>
    <row r="45588" spans="25:25" x14ac:dyDescent="0.2">
      <c r="Y45588" s="97"/>
    </row>
    <row r="45589" spans="25:25" x14ac:dyDescent="0.2">
      <c r="Y45589" s="97"/>
    </row>
    <row r="45590" spans="25:25" x14ac:dyDescent="0.2">
      <c r="Y45590" s="97"/>
    </row>
    <row r="45591" spans="25:25" x14ac:dyDescent="0.2">
      <c r="Y45591" s="97"/>
    </row>
    <row r="45592" spans="25:25" x14ac:dyDescent="0.2">
      <c r="Y45592" s="97"/>
    </row>
    <row r="45593" spans="25:25" x14ac:dyDescent="0.2">
      <c r="Y45593" s="97"/>
    </row>
    <row r="45594" spans="25:25" x14ac:dyDescent="0.2">
      <c r="Y45594" s="97"/>
    </row>
    <row r="45595" spans="25:25" x14ac:dyDescent="0.2">
      <c r="Y45595" s="97"/>
    </row>
    <row r="45596" spans="25:25" x14ac:dyDescent="0.2">
      <c r="Y45596" s="97"/>
    </row>
    <row r="45597" spans="25:25" x14ac:dyDescent="0.2">
      <c r="Y45597" s="97"/>
    </row>
    <row r="45598" spans="25:25" x14ac:dyDescent="0.2">
      <c r="Y45598" s="97"/>
    </row>
    <row r="45599" spans="25:25" x14ac:dyDescent="0.2">
      <c r="Y45599" s="97"/>
    </row>
    <row r="45600" spans="25:25" x14ac:dyDescent="0.2">
      <c r="Y45600" s="97"/>
    </row>
    <row r="45601" spans="25:25" x14ac:dyDescent="0.2">
      <c r="Y45601" s="97"/>
    </row>
    <row r="45602" spans="25:25" x14ac:dyDescent="0.2">
      <c r="Y45602" s="97"/>
    </row>
    <row r="45603" spans="25:25" x14ac:dyDescent="0.2">
      <c r="Y45603" s="97"/>
    </row>
    <row r="45604" spans="25:25" x14ac:dyDescent="0.2">
      <c r="Y45604" s="97"/>
    </row>
    <row r="45605" spans="25:25" x14ac:dyDescent="0.2">
      <c r="Y45605" s="97"/>
    </row>
    <row r="45606" spans="25:25" x14ac:dyDescent="0.2">
      <c r="Y45606" s="97"/>
    </row>
    <row r="45607" spans="25:25" x14ac:dyDescent="0.2">
      <c r="Y45607" s="97"/>
    </row>
    <row r="45608" spans="25:25" x14ac:dyDescent="0.2">
      <c r="Y45608" s="97"/>
    </row>
    <row r="45609" spans="25:25" x14ac:dyDescent="0.2">
      <c r="Y45609" s="97"/>
    </row>
    <row r="45610" spans="25:25" x14ac:dyDescent="0.2">
      <c r="Y45610" s="97"/>
    </row>
    <row r="45611" spans="25:25" x14ac:dyDescent="0.2">
      <c r="Y45611" s="97"/>
    </row>
    <row r="45612" spans="25:25" x14ac:dyDescent="0.2">
      <c r="Y45612" s="97"/>
    </row>
    <row r="45613" spans="25:25" x14ac:dyDescent="0.2">
      <c r="Y45613" s="97"/>
    </row>
    <row r="45614" spans="25:25" x14ac:dyDescent="0.2">
      <c r="Y45614" s="97"/>
    </row>
    <row r="45615" spans="25:25" x14ac:dyDescent="0.2">
      <c r="Y45615" s="97"/>
    </row>
    <row r="45616" spans="25:25" x14ac:dyDescent="0.2">
      <c r="Y45616" s="97"/>
    </row>
    <row r="45617" spans="25:25" x14ac:dyDescent="0.2">
      <c r="Y45617" s="97"/>
    </row>
    <row r="45618" spans="25:25" x14ac:dyDescent="0.2">
      <c r="Y45618" s="97"/>
    </row>
    <row r="45619" spans="25:25" x14ac:dyDescent="0.2">
      <c r="Y45619" s="97"/>
    </row>
    <row r="45620" spans="25:25" x14ac:dyDescent="0.2">
      <c r="Y45620" s="97"/>
    </row>
    <row r="45621" spans="25:25" x14ac:dyDescent="0.2">
      <c r="Y45621" s="97"/>
    </row>
    <row r="45622" spans="25:25" x14ac:dyDescent="0.2">
      <c r="Y45622" s="97"/>
    </row>
    <row r="45623" spans="25:25" x14ac:dyDescent="0.2">
      <c r="Y45623" s="97"/>
    </row>
    <row r="45624" spans="25:25" x14ac:dyDescent="0.2">
      <c r="Y45624" s="97"/>
    </row>
    <row r="45625" spans="25:25" x14ac:dyDescent="0.2">
      <c r="Y45625" s="97"/>
    </row>
    <row r="45626" spans="25:25" x14ac:dyDescent="0.2">
      <c r="Y45626" s="97"/>
    </row>
    <row r="45627" spans="25:25" x14ac:dyDescent="0.2">
      <c r="Y45627" s="97"/>
    </row>
    <row r="45628" spans="25:25" x14ac:dyDescent="0.2">
      <c r="Y45628" s="97"/>
    </row>
    <row r="45629" spans="25:25" x14ac:dyDescent="0.2">
      <c r="Y45629" s="97"/>
    </row>
    <row r="45630" spans="25:25" x14ac:dyDescent="0.2">
      <c r="Y45630" s="97"/>
    </row>
    <row r="45631" spans="25:25" x14ac:dyDescent="0.2">
      <c r="Y45631" s="97"/>
    </row>
    <row r="45632" spans="25:25" x14ac:dyDescent="0.2">
      <c r="Y45632" s="97"/>
    </row>
    <row r="45633" spans="25:25" x14ac:dyDescent="0.2">
      <c r="Y45633" s="97"/>
    </row>
    <row r="45634" spans="25:25" x14ac:dyDescent="0.2">
      <c r="Y45634" s="97"/>
    </row>
    <row r="45635" spans="25:25" x14ac:dyDescent="0.2">
      <c r="Y45635" s="97"/>
    </row>
    <row r="45636" spans="25:25" x14ac:dyDescent="0.2">
      <c r="Y45636" s="97"/>
    </row>
    <row r="45637" spans="25:25" x14ac:dyDescent="0.2">
      <c r="Y45637" s="97"/>
    </row>
    <row r="45638" spans="25:25" x14ac:dyDescent="0.2">
      <c r="Y45638" s="97"/>
    </row>
    <row r="45639" spans="25:25" x14ac:dyDescent="0.2">
      <c r="Y45639" s="97"/>
    </row>
    <row r="45640" spans="25:25" x14ac:dyDescent="0.2">
      <c r="Y45640" s="97"/>
    </row>
    <row r="45641" spans="25:25" x14ac:dyDescent="0.2">
      <c r="Y45641" s="97"/>
    </row>
    <row r="45642" spans="25:25" x14ac:dyDescent="0.2">
      <c r="Y45642" s="97"/>
    </row>
    <row r="45643" spans="25:25" x14ac:dyDescent="0.2">
      <c r="Y45643" s="97"/>
    </row>
    <row r="45644" spans="25:25" x14ac:dyDescent="0.2">
      <c r="Y45644" s="97"/>
    </row>
    <row r="45645" spans="25:25" x14ac:dyDescent="0.2">
      <c r="Y45645" s="97"/>
    </row>
    <row r="45646" spans="25:25" x14ac:dyDescent="0.2">
      <c r="Y45646" s="97"/>
    </row>
    <row r="45647" spans="25:25" x14ac:dyDescent="0.2">
      <c r="Y45647" s="97"/>
    </row>
    <row r="45648" spans="25:25" x14ac:dyDescent="0.2">
      <c r="Y45648" s="97"/>
    </row>
    <row r="45649" spans="25:25" x14ac:dyDescent="0.2">
      <c r="Y45649" s="97"/>
    </row>
    <row r="45650" spans="25:25" x14ac:dyDescent="0.2">
      <c r="Y45650" s="97"/>
    </row>
    <row r="45651" spans="25:25" x14ac:dyDescent="0.2">
      <c r="Y45651" s="97"/>
    </row>
    <row r="45652" spans="25:25" x14ac:dyDescent="0.2">
      <c r="Y45652" s="97"/>
    </row>
    <row r="45653" spans="25:25" x14ac:dyDescent="0.2">
      <c r="Y45653" s="97"/>
    </row>
    <row r="45654" spans="25:25" x14ac:dyDescent="0.2">
      <c r="Y45654" s="97"/>
    </row>
    <row r="45655" spans="25:25" x14ac:dyDescent="0.2">
      <c r="Y45655" s="97"/>
    </row>
    <row r="45656" spans="25:25" x14ac:dyDescent="0.2">
      <c r="Y45656" s="97"/>
    </row>
    <row r="45657" spans="25:25" x14ac:dyDescent="0.2">
      <c r="Y45657" s="97"/>
    </row>
    <row r="45658" spans="25:25" x14ac:dyDescent="0.2">
      <c r="Y45658" s="97"/>
    </row>
    <row r="45659" spans="25:25" x14ac:dyDescent="0.2">
      <c r="Y45659" s="97"/>
    </row>
    <row r="45660" spans="25:25" x14ac:dyDescent="0.2">
      <c r="Y45660" s="97"/>
    </row>
    <row r="45661" spans="25:25" x14ac:dyDescent="0.2">
      <c r="Y45661" s="97"/>
    </row>
    <row r="45662" spans="25:25" x14ac:dyDescent="0.2">
      <c r="Y45662" s="97"/>
    </row>
    <row r="45663" spans="25:25" x14ac:dyDescent="0.2">
      <c r="Y45663" s="97"/>
    </row>
    <row r="45664" spans="25:25" x14ac:dyDescent="0.2">
      <c r="Y45664" s="97"/>
    </row>
    <row r="45665" spans="25:25" x14ac:dyDescent="0.2">
      <c r="Y45665" s="97"/>
    </row>
    <row r="45666" spans="25:25" x14ac:dyDescent="0.2">
      <c r="Y45666" s="97"/>
    </row>
    <row r="45667" spans="25:25" x14ac:dyDescent="0.2">
      <c r="Y45667" s="97"/>
    </row>
    <row r="45668" spans="25:25" x14ac:dyDescent="0.2">
      <c r="Y45668" s="97"/>
    </row>
    <row r="45669" spans="25:25" x14ac:dyDescent="0.2">
      <c r="Y45669" s="97"/>
    </row>
    <row r="45670" spans="25:25" x14ac:dyDescent="0.2">
      <c r="Y45670" s="97"/>
    </row>
    <row r="45671" spans="25:25" x14ac:dyDescent="0.2">
      <c r="Y45671" s="97"/>
    </row>
    <row r="45672" spans="25:25" x14ac:dyDescent="0.2">
      <c r="Y45672" s="97"/>
    </row>
    <row r="45673" spans="25:25" x14ac:dyDescent="0.2">
      <c r="Y45673" s="97"/>
    </row>
    <row r="45674" spans="25:25" x14ac:dyDescent="0.2">
      <c r="Y45674" s="97"/>
    </row>
    <row r="45675" spans="25:25" x14ac:dyDescent="0.2">
      <c r="Y45675" s="97"/>
    </row>
    <row r="45676" spans="25:25" x14ac:dyDescent="0.2">
      <c r="Y45676" s="97"/>
    </row>
    <row r="45677" spans="25:25" x14ac:dyDescent="0.2">
      <c r="Y45677" s="97"/>
    </row>
    <row r="45678" spans="25:25" x14ac:dyDescent="0.2">
      <c r="Y45678" s="97"/>
    </row>
    <row r="45679" spans="25:25" x14ac:dyDescent="0.2">
      <c r="Y45679" s="97"/>
    </row>
    <row r="45680" spans="25:25" x14ac:dyDescent="0.2">
      <c r="Y45680" s="97"/>
    </row>
    <row r="45681" spans="25:25" x14ac:dyDescent="0.2">
      <c r="Y45681" s="97"/>
    </row>
    <row r="45682" spans="25:25" x14ac:dyDescent="0.2">
      <c r="Y45682" s="97"/>
    </row>
    <row r="45683" spans="25:25" x14ac:dyDescent="0.2">
      <c r="Y45683" s="97"/>
    </row>
    <row r="45684" spans="25:25" x14ac:dyDescent="0.2">
      <c r="Y45684" s="97"/>
    </row>
    <row r="45685" spans="25:25" x14ac:dyDescent="0.2">
      <c r="Y45685" s="97"/>
    </row>
    <row r="45686" spans="25:25" x14ac:dyDescent="0.2">
      <c r="Y45686" s="97"/>
    </row>
    <row r="45687" spans="25:25" x14ac:dyDescent="0.2">
      <c r="Y45687" s="97"/>
    </row>
    <row r="45688" spans="25:25" x14ac:dyDescent="0.2">
      <c r="Y45688" s="97"/>
    </row>
    <row r="45689" spans="25:25" x14ac:dyDescent="0.2">
      <c r="Y45689" s="97"/>
    </row>
    <row r="45690" spans="25:25" x14ac:dyDescent="0.2">
      <c r="Y45690" s="97"/>
    </row>
    <row r="45691" spans="25:25" x14ac:dyDescent="0.2">
      <c r="Y45691" s="97"/>
    </row>
    <row r="45692" spans="25:25" x14ac:dyDescent="0.2">
      <c r="Y45692" s="97"/>
    </row>
    <row r="45693" spans="25:25" x14ac:dyDescent="0.2">
      <c r="Y45693" s="97"/>
    </row>
    <row r="45694" spans="25:25" x14ac:dyDescent="0.2">
      <c r="Y45694" s="97"/>
    </row>
    <row r="45695" spans="25:25" x14ac:dyDescent="0.2">
      <c r="Y45695" s="97"/>
    </row>
    <row r="45696" spans="25:25" x14ac:dyDescent="0.2">
      <c r="Y45696" s="97"/>
    </row>
    <row r="45697" spans="25:25" x14ac:dyDescent="0.2">
      <c r="Y45697" s="97"/>
    </row>
    <row r="45698" spans="25:25" x14ac:dyDescent="0.2">
      <c r="Y45698" s="97"/>
    </row>
    <row r="45699" spans="25:25" x14ac:dyDescent="0.2">
      <c r="Y45699" s="97"/>
    </row>
    <row r="45700" spans="25:25" x14ac:dyDescent="0.2">
      <c r="Y45700" s="97"/>
    </row>
    <row r="45701" spans="25:25" x14ac:dyDescent="0.2">
      <c r="Y45701" s="97"/>
    </row>
    <row r="45702" spans="25:25" x14ac:dyDescent="0.2">
      <c r="Y45702" s="97"/>
    </row>
    <row r="45703" spans="25:25" x14ac:dyDescent="0.2">
      <c r="Y45703" s="97"/>
    </row>
    <row r="45704" spans="25:25" x14ac:dyDescent="0.2">
      <c r="Y45704" s="97"/>
    </row>
    <row r="45705" spans="25:25" x14ac:dyDescent="0.2">
      <c r="Y45705" s="97"/>
    </row>
    <row r="45706" spans="25:25" x14ac:dyDescent="0.2">
      <c r="Y45706" s="97"/>
    </row>
    <row r="45707" spans="25:25" x14ac:dyDescent="0.2">
      <c r="Y45707" s="97"/>
    </row>
    <row r="45708" spans="25:25" x14ac:dyDescent="0.2">
      <c r="Y45708" s="97"/>
    </row>
    <row r="45709" spans="25:25" x14ac:dyDescent="0.2">
      <c r="Y45709" s="97"/>
    </row>
    <row r="45710" spans="25:25" x14ac:dyDescent="0.2">
      <c r="Y45710" s="97"/>
    </row>
    <row r="45711" spans="25:25" x14ac:dyDescent="0.2">
      <c r="Y45711" s="97"/>
    </row>
    <row r="45712" spans="25:25" x14ac:dyDescent="0.2">
      <c r="Y45712" s="97"/>
    </row>
    <row r="45713" spans="25:25" x14ac:dyDescent="0.2">
      <c r="Y45713" s="97"/>
    </row>
    <row r="45714" spans="25:25" x14ac:dyDescent="0.2">
      <c r="Y45714" s="97"/>
    </row>
    <row r="45715" spans="25:25" x14ac:dyDescent="0.2">
      <c r="Y45715" s="97"/>
    </row>
    <row r="45716" spans="25:25" x14ac:dyDescent="0.2">
      <c r="Y45716" s="97"/>
    </row>
    <row r="45717" spans="25:25" x14ac:dyDescent="0.2">
      <c r="Y45717" s="97"/>
    </row>
    <row r="45718" spans="25:25" x14ac:dyDescent="0.2">
      <c r="Y45718" s="97"/>
    </row>
    <row r="45719" spans="25:25" x14ac:dyDescent="0.2">
      <c r="Y45719" s="97"/>
    </row>
    <row r="45720" spans="25:25" x14ac:dyDescent="0.2">
      <c r="Y45720" s="97"/>
    </row>
    <row r="45721" spans="25:25" x14ac:dyDescent="0.2">
      <c r="Y45721" s="97"/>
    </row>
    <row r="45722" spans="25:25" x14ac:dyDescent="0.2">
      <c r="Y45722" s="97"/>
    </row>
    <row r="45723" spans="25:25" x14ac:dyDescent="0.2">
      <c r="Y45723" s="97"/>
    </row>
    <row r="45724" spans="25:25" x14ac:dyDescent="0.2">
      <c r="Y45724" s="97"/>
    </row>
    <row r="45725" spans="25:25" x14ac:dyDescent="0.2">
      <c r="Y45725" s="97"/>
    </row>
    <row r="45726" spans="25:25" x14ac:dyDescent="0.2">
      <c r="Y45726" s="97"/>
    </row>
    <row r="45727" spans="25:25" x14ac:dyDescent="0.2">
      <c r="Y45727" s="97"/>
    </row>
    <row r="45728" spans="25:25" x14ac:dyDescent="0.2">
      <c r="Y45728" s="97"/>
    </row>
    <row r="45729" spans="25:25" x14ac:dyDescent="0.2">
      <c r="Y45729" s="97"/>
    </row>
    <row r="45730" spans="25:25" x14ac:dyDescent="0.2">
      <c r="Y45730" s="97"/>
    </row>
    <row r="45731" spans="25:25" x14ac:dyDescent="0.2">
      <c r="Y45731" s="97"/>
    </row>
    <row r="45732" spans="25:25" x14ac:dyDescent="0.2">
      <c r="Y45732" s="97"/>
    </row>
    <row r="45733" spans="25:25" x14ac:dyDescent="0.2">
      <c r="Y45733" s="97"/>
    </row>
    <row r="45734" spans="25:25" x14ac:dyDescent="0.2">
      <c r="Y45734" s="97"/>
    </row>
    <row r="45735" spans="25:25" x14ac:dyDescent="0.2">
      <c r="Y45735" s="97"/>
    </row>
    <row r="45736" spans="25:25" x14ac:dyDescent="0.2">
      <c r="Y45736" s="97"/>
    </row>
    <row r="45737" spans="25:25" x14ac:dyDescent="0.2">
      <c r="Y45737" s="97"/>
    </row>
    <row r="45738" spans="25:25" x14ac:dyDescent="0.2">
      <c r="Y45738" s="97"/>
    </row>
    <row r="45739" spans="25:25" x14ac:dyDescent="0.2">
      <c r="Y45739" s="97"/>
    </row>
    <row r="45740" spans="25:25" x14ac:dyDescent="0.2">
      <c r="Y45740" s="97"/>
    </row>
    <row r="45741" spans="25:25" x14ac:dyDescent="0.2">
      <c r="Y45741" s="97"/>
    </row>
    <row r="45742" spans="25:25" x14ac:dyDescent="0.2">
      <c r="Y45742" s="97"/>
    </row>
    <row r="45743" spans="25:25" x14ac:dyDescent="0.2">
      <c r="Y45743" s="97"/>
    </row>
    <row r="45744" spans="25:25" x14ac:dyDescent="0.2">
      <c r="Y45744" s="97"/>
    </row>
    <row r="45745" spans="25:25" x14ac:dyDescent="0.2">
      <c r="Y45745" s="97"/>
    </row>
    <row r="45746" spans="25:25" x14ac:dyDescent="0.2">
      <c r="Y45746" s="97"/>
    </row>
    <row r="45747" spans="25:25" x14ac:dyDescent="0.2">
      <c r="Y45747" s="97"/>
    </row>
    <row r="45748" spans="25:25" x14ac:dyDescent="0.2">
      <c r="Y45748" s="97"/>
    </row>
    <row r="45749" spans="25:25" x14ac:dyDescent="0.2">
      <c r="Y45749" s="97"/>
    </row>
    <row r="45750" spans="25:25" x14ac:dyDescent="0.2">
      <c r="Y45750" s="97"/>
    </row>
    <row r="45751" spans="25:25" x14ac:dyDescent="0.2">
      <c r="Y45751" s="97"/>
    </row>
    <row r="45752" spans="25:25" x14ac:dyDescent="0.2">
      <c r="Y45752" s="97"/>
    </row>
    <row r="45753" spans="25:25" x14ac:dyDescent="0.2">
      <c r="Y45753" s="97"/>
    </row>
    <row r="45754" spans="25:25" x14ac:dyDescent="0.2">
      <c r="Y45754" s="97"/>
    </row>
    <row r="45755" spans="25:25" x14ac:dyDescent="0.2">
      <c r="Y45755" s="97"/>
    </row>
    <row r="45756" spans="25:25" x14ac:dyDescent="0.2">
      <c r="Y45756" s="97"/>
    </row>
    <row r="45757" spans="25:25" x14ac:dyDescent="0.2">
      <c r="Y45757" s="97"/>
    </row>
    <row r="45758" spans="25:25" x14ac:dyDescent="0.2">
      <c r="Y45758" s="97"/>
    </row>
    <row r="45759" spans="25:25" x14ac:dyDescent="0.2">
      <c r="Y45759" s="97"/>
    </row>
    <row r="45760" spans="25:25" x14ac:dyDescent="0.2">
      <c r="Y45760" s="97"/>
    </row>
    <row r="45761" spans="25:25" x14ac:dyDescent="0.2">
      <c r="Y45761" s="97"/>
    </row>
    <row r="45762" spans="25:25" x14ac:dyDescent="0.2">
      <c r="Y45762" s="97"/>
    </row>
    <row r="45763" spans="25:25" x14ac:dyDescent="0.2">
      <c r="Y45763" s="97"/>
    </row>
    <row r="45764" spans="25:25" x14ac:dyDescent="0.2">
      <c r="Y45764" s="97"/>
    </row>
    <row r="45765" spans="25:25" x14ac:dyDescent="0.2">
      <c r="Y45765" s="97"/>
    </row>
    <row r="45766" spans="25:25" x14ac:dyDescent="0.2">
      <c r="Y45766" s="97"/>
    </row>
    <row r="45767" spans="25:25" x14ac:dyDescent="0.2">
      <c r="Y45767" s="97"/>
    </row>
    <row r="45768" spans="25:25" x14ac:dyDescent="0.2">
      <c r="Y45768" s="97"/>
    </row>
    <row r="45769" spans="25:25" x14ac:dyDescent="0.2">
      <c r="Y45769" s="97"/>
    </row>
    <row r="45770" spans="25:25" x14ac:dyDescent="0.2">
      <c r="Y45770" s="97"/>
    </row>
    <row r="45771" spans="25:25" x14ac:dyDescent="0.2">
      <c r="Y45771" s="97"/>
    </row>
    <row r="45772" spans="25:25" x14ac:dyDescent="0.2">
      <c r="Y45772" s="97"/>
    </row>
    <row r="45773" spans="25:25" x14ac:dyDescent="0.2">
      <c r="Y45773" s="97"/>
    </row>
    <row r="45774" spans="25:25" x14ac:dyDescent="0.2">
      <c r="Y45774" s="97"/>
    </row>
    <row r="45775" spans="25:25" x14ac:dyDescent="0.2">
      <c r="Y45775" s="97"/>
    </row>
    <row r="45776" spans="25:25" x14ac:dyDescent="0.2">
      <c r="Y45776" s="97"/>
    </row>
    <row r="45777" spans="25:25" x14ac:dyDescent="0.2">
      <c r="Y45777" s="97"/>
    </row>
    <row r="45778" spans="25:25" x14ac:dyDescent="0.2">
      <c r="Y45778" s="97"/>
    </row>
    <row r="45779" spans="25:25" x14ac:dyDescent="0.2">
      <c r="Y45779" s="97"/>
    </row>
    <row r="45780" spans="25:25" x14ac:dyDescent="0.2">
      <c r="Y45780" s="97"/>
    </row>
    <row r="45781" spans="25:25" x14ac:dyDescent="0.2">
      <c r="Y45781" s="97"/>
    </row>
    <row r="45782" spans="25:25" x14ac:dyDescent="0.2">
      <c r="Y45782" s="97"/>
    </row>
    <row r="45783" spans="25:25" x14ac:dyDescent="0.2">
      <c r="Y45783" s="97"/>
    </row>
    <row r="45784" spans="25:25" x14ac:dyDescent="0.2">
      <c r="Y45784" s="97"/>
    </row>
    <row r="45785" spans="25:25" x14ac:dyDescent="0.2">
      <c r="Y45785" s="97"/>
    </row>
    <row r="45786" spans="25:25" x14ac:dyDescent="0.2">
      <c r="Y45786" s="97"/>
    </row>
    <row r="45787" spans="25:25" x14ac:dyDescent="0.2">
      <c r="Y45787" s="97"/>
    </row>
    <row r="45788" spans="25:25" x14ac:dyDescent="0.2">
      <c r="Y45788" s="97"/>
    </row>
    <row r="45789" spans="25:25" x14ac:dyDescent="0.2">
      <c r="Y45789" s="97"/>
    </row>
    <row r="45790" spans="25:25" x14ac:dyDescent="0.2">
      <c r="Y45790" s="97"/>
    </row>
    <row r="45791" spans="25:25" x14ac:dyDescent="0.2">
      <c r="Y45791" s="97"/>
    </row>
    <row r="45792" spans="25:25" x14ac:dyDescent="0.2">
      <c r="Y45792" s="97"/>
    </row>
    <row r="45793" spans="25:25" x14ac:dyDescent="0.2">
      <c r="Y45793" s="97"/>
    </row>
    <row r="45794" spans="25:25" x14ac:dyDescent="0.2">
      <c r="Y45794" s="97"/>
    </row>
    <row r="45795" spans="25:25" x14ac:dyDescent="0.2">
      <c r="Y45795" s="97"/>
    </row>
    <row r="45796" spans="25:25" x14ac:dyDescent="0.2">
      <c r="Y45796" s="97"/>
    </row>
    <row r="45797" spans="25:25" x14ac:dyDescent="0.2">
      <c r="Y45797" s="97"/>
    </row>
    <row r="45798" spans="25:25" x14ac:dyDescent="0.2">
      <c r="Y45798" s="97"/>
    </row>
    <row r="45799" spans="25:25" x14ac:dyDescent="0.2">
      <c r="Y45799" s="97"/>
    </row>
    <row r="45800" spans="25:25" x14ac:dyDescent="0.2">
      <c r="Y45800" s="97"/>
    </row>
    <row r="45801" spans="25:25" x14ac:dyDescent="0.2">
      <c r="Y45801" s="97"/>
    </row>
    <row r="45802" spans="25:25" x14ac:dyDescent="0.2">
      <c r="Y45802" s="97"/>
    </row>
    <row r="45803" spans="25:25" x14ac:dyDescent="0.2">
      <c r="Y45803" s="97"/>
    </row>
    <row r="45804" spans="25:25" x14ac:dyDescent="0.2">
      <c r="Y45804" s="97"/>
    </row>
    <row r="45805" spans="25:25" x14ac:dyDescent="0.2">
      <c r="Y45805" s="97"/>
    </row>
    <row r="45806" spans="25:25" x14ac:dyDescent="0.2">
      <c r="Y45806" s="97"/>
    </row>
    <row r="45807" spans="25:25" x14ac:dyDescent="0.2">
      <c r="Y45807" s="97"/>
    </row>
    <row r="45808" spans="25:25" x14ac:dyDescent="0.2">
      <c r="Y45808" s="97"/>
    </row>
    <row r="45809" spans="25:25" x14ac:dyDescent="0.2">
      <c r="Y45809" s="97"/>
    </row>
    <row r="45810" spans="25:25" x14ac:dyDescent="0.2">
      <c r="Y45810" s="97"/>
    </row>
    <row r="45811" spans="25:25" x14ac:dyDescent="0.2">
      <c r="Y45811" s="97"/>
    </row>
    <row r="45812" spans="25:25" x14ac:dyDescent="0.2">
      <c r="Y45812" s="97"/>
    </row>
    <row r="45813" spans="25:25" x14ac:dyDescent="0.2">
      <c r="Y45813" s="97"/>
    </row>
    <row r="45814" spans="25:25" x14ac:dyDescent="0.2">
      <c r="Y45814" s="97"/>
    </row>
    <row r="45815" spans="25:25" x14ac:dyDescent="0.2">
      <c r="Y45815" s="97"/>
    </row>
    <row r="45816" spans="25:25" x14ac:dyDescent="0.2">
      <c r="Y45816" s="97"/>
    </row>
    <row r="45817" spans="25:25" x14ac:dyDescent="0.2">
      <c r="Y45817" s="97"/>
    </row>
    <row r="45818" spans="25:25" x14ac:dyDescent="0.2">
      <c r="Y45818" s="97"/>
    </row>
    <row r="45819" spans="25:25" x14ac:dyDescent="0.2">
      <c r="Y45819" s="97"/>
    </row>
    <row r="45820" spans="25:25" x14ac:dyDescent="0.2">
      <c r="Y45820" s="97"/>
    </row>
    <row r="45821" spans="25:25" x14ac:dyDescent="0.2">
      <c r="Y45821" s="97"/>
    </row>
    <row r="45822" spans="25:25" x14ac:dyDescent="0.2">
      <c r="Y45822" s="97"/>
    </row>
    <row r="45823" spans="25:25" x14ac:dyDescent="0.2">
      <c r="Y45823" s="97"/>
    </row>
    <row r="45824" spans="25:25" x14ac:dyDescent="0.2">
      <c r="Y45824" s="97"/>
    </row>
    <row r="45825" spans="25:25" x14ac:dyDescent="0.2">
      <c r="Y45825" s="97"/>
    </row>
    <row r="45826" spans="25:25" x14ac:dyDescent="0.2">
      <c r="Y45826" s="97"/>
    </row>
    <row r="45827" spans="25:25" x14ac:dyDescent="0.2">
      <c r="Y45827" s="97"/>
    </row>
    <row r="45828" spans="25:25" x14ac:dyDescent="0.2">
      <c r="Y45828" s="97"/>
    </row>
    <row r="45829" spans="25:25" x14ac:dyDescent="0.2">
      <c r="Y45829" s="97"/>
    </row>
    <row r="45830" spans="25:25" x14ac:dyDescent="0.2">
      <c r="Y45830" s="97"/>
    </row>
    <row r="45831" spans="25:25" x14ac:dyDescent="0.2">
      <c r="Y45831" s="97"/>
    </row>
    <row r="45832" spans="25:25" x14ac:dyDescent="0.2">
      <c r="Y45832" s="97"/>
    </row>
    <row r="45833" spans="25:25" x14ac:dyDescent="0.2">
      <c r="Y45833" s="97"/>
    </row>
    <row r="45834" spans="25:25" x14ac:dyDescent="0.2">
      <c r="Y45834" s="97"/>
    </row>
    <row r="45835" spans="25:25" x14ac:dyDescent="0.2">
      <c r="Y45835" s="97"/>
    </row>
    <row r="45836" spans="25:25" x14ac:dyDescent="0.2">
      <c r="Y45836" s="97"/>
    </row>
    <row r="45837" spans="25:25" x14ac:dyDescent="0.2">
      <c r="Y45837" s="97"/>
    </row>
    <row r="45838" spans="25:25" x14ac:dyDescent="0.2">
      <c r="Y45838" s="97"/>
    </row>
    <row r="45839" spans="25:25" x14ac:dyDescent="0.2">
      <c r="Y45839" s="97"/>
    </row>
    <row r="45840" spans="25:25" x14ac:dyDescent="0.2">
      <c r="Y45840" s="97"/>
    </row>
    <row r="45841" spans="25:25" x14ac:dyDescent="0.2">
      <c r="Y45841" s="97"/>
    </row>
    <row r="45842" spans="25:25" x14ac:dyDescent="0.2">
      <c r="Y45842" s="97"/>
    </row>
    <row r="45843" spans="25:25" x14ac:dyDescent="0.2">
      <c r="Y45843" s="97"/>
    </row>
    <row r="45844" spans="25:25" x14ac:dyDescent="0.2">
      <c r="Y45844" s="97"/>
    </row>
    <row r="45845" spans="25:25" x14ac:dyDescent="0.2">
      <c r="Y45845" s="97"/>
    </row>
    <row r="45846" spans="25:25" x14ac:dyDescent="0.2">
      <c r="Y45846" s="97"/>
    </row>
    <row r="45847" spans="25:25" x14ac:dyDescent="0.2">
      <c r="Y45847" s="97"/>
    </row>
    <row r="45848" spans="25:25" x14ac:dyDescent="0.2">
      <c r="Y45848" s="97"/>
    </row>
    <row r="45849" spans="25:25" x14ac:dyDescent="0.2">
      <c r="Y45849" s="97"/>
    </row>
    <row r="45850" spans="25:25" x14ac:dyDescent="0.2">
      <c r="Y45850" s="97"/>
    </row>
    <row r="45851" spans="25:25" x14ac:dyDescent="0.2">
      <c r="Y45851" s="97"/>
    </row>
    <row r="45852" spans="25:25" x14ac:dyDescent="0.2">
      <c r="Y45852" s="97"/>
    </row>
    <row r="45853" spans="25:25" x14ac:dyDescent="0.2">
      <c r="Y45853" s="97"/>
    </row>
    <row r="45854" spans="25:25" x14ac:dyDescent="0.2">
      <c r="Y45854" s="97"/>
    </row>
    <row r="45855" spans="25:25" x14ac:dyDescent="0.2">
      <c r="Y45855" s="97"/>
    </row>
    <row r="45856" spans="25:25" x14ac:dyDescent="0.2">
      <c r="Y45856" s="97"/>
    </row>
    <row r="45857" spans="25:25" x14ac:dyDescent="0.2">
      <c r="Y45857" s="97"/>
    </row>
    <row r="45858" spans="25:25" x14ac:dyDescent="0.2">
      <c r="Y45858" s="97"/>
    </row>
    <row r="45859" spans="25:25" x14ac:dyDescent="0.2">
      <c r="Y45859" s="97"/>
    </row>
    <row r="45860" spans="25:25" x14ac:dyDescent="0.2">
      <c r="Y45860" s="97"/>
    </row>
    <row r="45861" spans="25:25" x14ac:dyDescent="0.2">
      <c r="Y45861" s="97"/>
    </row>
    <row r="45862" spans="25:25" x14ac:dyDescent="0.2">
      <c r="Y45862" s="97"/>
    </row>
    <row r="45863" spans="25:25" x14ac:dyDescent="0.2">
      <c r="Y45863" s="97"/>
    </row>
    <row r="45864" spans="25:25" x14ac:dyDescent="0.2">
      <c r="Y45864" s="97"/>
    </row>
    <row r="45865" spans="25:25" x14ac:dyDescent="0.2">
      <c r="Y45865" s="97"/>
    </row>
    <row r="45866" spans="25:25" x14ac:dyDescent="0.2">
      <c r="Y45866" s="97"/>
    </row>
    <row r="45867" spans="25:25" x14ac:dyDescent="0.2">
      <c r="Y45867" s="97"/>
    </row>
    <row r="45868" spans="25:25" x14ac:dyDescent="0.2">
      <c r="Y45868" s="97"/>
    </row>
    <row r="45869" spans="25:25" x14ac:dyDescent="0.2">
      <c r="Y45869" s="97"/>
    </row>
    <row r="45870" spans="25:25" x14ac:dyDescent="0.2">
      <c r="Y45870" s="97"/>
    </row>
    <row r="45871" spans="25:25" x14ac:dyDescent="0.2">
      <c r="Y45871" s="97"/>
    </row>
    <row r="45872" spans="25:25" x14ac:dyDescent="0.2">
      <c r="Y45872" s="97"/>
    </row>
    <row r="45873" spans="25:25" x14ac:dyDescent="0.2">
      <c r="Y45873" s="97"/>
    </row>
    <row r="45874" spans="25:25" x14ac:dyDescent="0.2">
      <c r="Y45874" s="97"/>
    </row>
    <row r="45875" spans="25:25" x14ac:dyDescent="0.2">
      <c r="Y45875" s="97"/>
    </row>
    <row r="45876" spans="25:25" x14ac:dyDescent="0.2">
      <c r="Y45876" s="97"/>
    </row>
    <row r="45877" spans="25:25" x14ac:dyDescent="0.2">
      <c r="Y45877" s="97"/>
    </row>
    <row r="45878" spans="25:25" x14ac:dyDescent="0.2">
      <c r="Y45878" s="97"/>
    </row>
    <row r="45879" spans="25:25" x14ac:dyDescent="0.2">
      <c r="Y45879" s="97"/>
    </row>
    <row r="45880" spans="25:25" x14ac:dyDescent="0.2">
      <c r="Y45880" s="97"/>
    </row>
    <row r="45881" spans="25:25" x14ac:dyDescent="0.2">
      <c r="Y45881" s="97"/>
    </row>
    <row r="45882" spans="25:25" x14ac:dyDescent="0.2">
      <c r="Y45882" s="97"/>
    </row>
    <row r="45883" spans="25:25" x14ac:dyDescent="0.2">
      <c r="Y45883" s="97"/>
    </row>
    <row r="45884" spans="25:25" x14ac:dyDescent="0.2">
      <c r="Y45884" s="97"/>
    </row>
    <row r="45885" spans="25:25" x14ac:dyDescent="0.2">
      <c r="Y45885" s="97"/>
    </row>
    <row r="45886" spans="25:25" x14ac:dyDescent="0.2">
      <c r="Y45886" s="97"/>
    </row>
    <row r="45887" spans="25:25" x14ac:dyDescent="0.2">
      <c r="Y45887" s="97"/>
    </row>
    <row r="45888" spans="25:25" x14ac:dyDescent="0.2">
      <c r="Y45888" s="97"/>
    </row>
    <row r="45889" spans="25:25" x14ac:dyDescent="0.2">
      <c r="Y45889" s="97"/>
    </row>
    <row r="45890" spans="25:25" x14ac:dyDescent="0.2">
      <c r="Y45890" s="97"/>
    </row>
    <row r="45891" spans="25:25" x14ac:dyDescent="0.2">
      <c r="Y45891" s="97"/>
    </row>
    <row r="45892" spans="25:25" x14ac:dyDescent="0.2">
      <c r="Y45892" s="97"/>
    </row>
    <row r="45893" spans="25:25" x14ac:dyDescent="0.2">
      <c r="Y45893" s="97"/>
    </row>
    <row r="45894" spans="25:25" x14ac:dyDescent="0.2">
      <c r="Y45894" s="97"/>
    </row>
    <row r="45895" spans="25:25" x14ac:dyDescent="0.2">
      <c r="Y45895" s="97"/>
    </row>
    <row r="45896" spans="25:25" x14ac:dyDescent="0.2">
      <c r="Y45896" s="97"/>
    </row>
    <row r="45897" spans="25:25" x14ac:dyDescent="0.2">
      <c r="Y45897" s="97"/>
    </row>
    <row r="45898" spans="25:25" x14ac:dyDescent="0.2">
      <c r="Y45898" s="97"/>
    </row>
    <row r="45899" spans="25:25" x14ac:dyDescent="0.2">
      <c r="Y45899" s="97"/>
    </row>
    <row r="45900" spans="25:25" x14ac:dyDescent="0.2">
      <c r="Y45900" s="97"/>
    </row>
    <row r="45901" spans="25:25" x14ac:dyDescent="0.2">
      <c r="Y45901" s="97"/>
    </row>
    <row r="45902" spans="25:25" x14ac:dyDescent="0.2">
      <c r="Y45902" s="97"/>
    </row>
    <row r="45903" spans="25:25" x14ac:dyDescent="0.2">
      <c r="Y45903" s="97"/>
    </row>
    <row r="45904" spans="25:25" x14ac:dyDescent="0.2">
      <c r="Y45904" s="97"/>
    </row>
    <row r="45905" spans="25:25" x14ac:dyDescent="0.2">
      <c r="Y45905" s="97"/>
    </row>
    <row r="45906" spans="25:25" x14ac:dyDescent="0.2">
      <c r="Y45906" s="97"/>
    </row>
    <row r="45907" spans="25:25" x14ac:dyDescent="0.2">
      <c r="Y45907" s="97"/>
    </row>
    <row r="45908" spans="25:25" x14ac:dyDescent="0.2">
      <c r="Y45908" s="97"/>
    </row>
    <row r="45909" spans="25:25" x14ac:dyDescent="0.2">
      <c r="Y45909" s="97"/>
    </row>
    <row r="45910" spans="25:25" x14ac:dyDescent="0.2">
      <c r="Y45910" s="97"/>
    </row>
    <row r="45911" spans="25:25" x14ac:dyDescent="0.2">
      <c r="Y45911" s="97"/>
    </row>
    <row r="45912" spans="25:25" x14ac:dyDescent="0.2">
      <c r="Y45912" s="97"/>
    </row>
    <row r="45913" spans="25:25" x14ac:dyDescent="0.2">
      <c r="Y45913" s="97"/>
    </row>
    <row r="45914" spans="25:25" x14ac:dyDescent="0.2">
      <c r="Y45914" s="97"/>
    </row>
    <row r="45915" spans="25:25" x14ac:dyDescent="0.2">
      <c r="Y45915" s="97"/>
    </row>
    <row r="45916" spans="25:25" x14ac:dyDescent="0.2">
      <c r="Y45916" s="97"/>
    </row>
    <row r="45917" spans="25:25" x14ac:dyDescent="0.2">
      <c r="Y45917" s="97"/>
    </row>
    <row r="45918" spans="25:25" x14ac:dyDescent="0.2">
      <c r="Y45918" s="97"/>
    </row>
    <row r="45919" spans="25:25" x14ac:dyDescent="0.2">
      <c r="Y45919" s="97"/>
    </row>
    <row r="45920" spans="25:25" x14ac:dyDescent="0.2">
      <c r="Y45920" s="97"/>
    </row>
    <row r="45921" spans="25:25" x14ac:dyDescent="0.2">
      <c r="Y45921" s="97"/>
    </row>
    <row r="45922" spans="25:25" x14ac:dyDescent="0.2">
      <c r="Y45922" s="97"/>
    </row>
    <row r="45923" spans="25:25" x14ac:dyDescent="0.2">
      <c r="Y45923" s="97"/>
    </row>
    <row r="45924" spans="25:25" x14ac:dyDescent="0.2">
      <c r="Y45924" s="97"/>
    </row>
    <row r="45925" spans="25:25" x14ac:dyDescent="0.2">
      <c r="Y45925" s="97"/>
    </row>
    <row r="45926" spans="25:25" x14ac:dyDescent="0.2">
      <c r="Y45926" s="97"/>
    </row>
    <row r="45927" spans="25:25" x14ac:dyDescent="0.2">
      <c r="Y45927" s="97"/>
    </row>
    <row r="45928" spans="25:25" x14ac:dyDescent="0.2">
      <c r="Y45928" s="97"/>
    </row>
    <row r="45929" spans="25:25" x14ac:dyDescent="0.2">
      <c r="Y45929" s="97"/>
    </row>
    <row r="45930" spans="25:25" x14ac:dyDescent="0.2">
      <c r="Y45930" s="97"/>
    </row>
    <row r="45931" spans="25:25" x14ac:dyDescent="0.2">
      <c r="Y45931" s="97"/>
    </row>
    <row r="45932" spans="25:25" x14ac:dyDescent="0.2">
      <c r="Y45932" s="97"/>
    </row>
    <row r="45933" spans="25:25" x14ac:dyDescent="0.2">
      <c r="Y45933" s="97"/>
    </row>
    <row r="45934" spans="25:25" x14ac:dyDescent="0.2">
      <c r="Y45934" s="97"/>
    </row>
    <row r="45935" spans="25:25" x14ac:dyDescent="0.2">
      <c r="Y45935" s="97"/>
    </row>
    <row r="45936" spans="25:25" x14ac:dyDescent="0.2">
      <c r="Y45936" s="97"/>
    </row>
    <row r="45937" spans="25:25" x14ac:dyDescent="0.2">
      <c r="Y45937" s="97"/>
    </row>
    <row r="45938" spans="25:25" x14ac:dyDescent="0.2">
      <c r="Y45938" s="97"/>
    </row>
    <row r="45939" spans="25:25" x14ac:dyDescent="0.2">
      <c r="Y45939" s="97"/>
    </row>
    <row r="45940" spans="25:25" x14ac:dyDescent="0.2">
      <c r="Y45940" s="97"/>
    </row>
    <row r="45941" spans="25:25" x14ac:dyDescent="0.2">
      <c r="Y45941" s="97"/>
    </row>
    <row r="45942" spans="25:25" x14ac:dyDescent="0.2">
      <c r="Y45942" s="97"/>
    </row>
    <row r="45943" spans="25:25" x14ac:dyDescent="0.2">
      <c r="Y45943" s="97"/>
    </row>
    <row r="45944" spans="25:25" x14ac:dyDescent="0.2">
      <c r="Y45944" s="97"/>
    </row>
    <row r="45945" spans="25:25" x14ac:dyDescent="0.2">
      <c r="Y45945" s="97"/>
    </row>
    <row r="45946" spans="25:25" x14ac:dyDescent="0.2">
      <c r="Y45946" s="97"/>
    </row>
    <row r="45947" spans="25:25" x14ac:dyDescent="0.2">
      <c r="Y45947" s="97"/>
    </row>
    <row r="45948" spans="25:25" x14ac:dyDescent="0.2">
      <c r="Y45948" s="97"/>
    </row>
    <row r="45949" spans="25:25" x14ac:dyDescent="0.2">
      <c r="Y45949" s="97"/>
    </row>
    <row r="45950" spans="25:25" x14ac:dyDescent="0.2">
      <c r="Y45950" s="97"/>
    </row>
    <row r="45951" spans="25:25" x14ac:dyDescent="0.2">
      <c r="Y45951" s="97"/>
    </row>
    <row r="45952" spans="25:25" x14ac:dyDescent="0.2">
      <c r="Y45952" s="97"/>
    </row>
    <row r="45953" spans="25:25" x14ac:dyDescent="0.2">
      <c r="Y45953" s="97"/>
    </row>
    <row r="45954" spans="25:25" x14ac:dyDescent="0.2">
      <c r="Y45954" s="97"/>
    </row>
    <row r="45955" spans="25:25" x14ac:dyDescent="0.2">
      <c r="Y45955" s="97"/>
    </row>
    <row r="45956" spans="25:25" x14ac:dyDescent="0.2">
      <c r="Y45956" s="97"/>
    </row>
    <row r="45957" spans="25:25" x14ac:dyDescent="0.2">
      <c r="Y45957" s="97"/>
    </row>
    <row r="45958" spans="25:25" x14ac:dyDescent="0.2">
      <c r="Y45958" s="97"/>
    </row>
    <row r="45959" spans="25:25" x14ac:dyDescent="0.2">
      <c r="Y45959" s="97"/>
    </row>
    <row r="45960" spans="25:25" x14ac:dyDescent="0.2">
      <c r="Y45960" s="97"/>
    </row>
    <row r="45961" spans="25:25" x14ac:dyDescent="0.2">
      <c r="Y45961" s="97"/>
    </row>
    <row r="45962" spans="25:25" x14ac:dyDescent="0.2">
      <c r="Y45962" s="97"/>
    </row>
    <row r="45963" spans="25:25" x14ac:dyDescent="0.2">
      <c r="Y45963" s="97"/>
    </row>
    <row r="45964" spans="25:25" x14ac:dyDescent="0.2">
      <c r="Y45964" s="97"/>
    </row>
    <row r="45965" spans="25:25" x14ac:dyDescent="0.2">
      <c r="Y45965" s="97"/>
    </row>
    <row r="45966" spans="25:25" x14ac:dyDescent="0.2">
      <c r="Y45966" s="97"/>
    </row>
    <row r="45967" spans="25:25" x14ac:dyDescent="0.2">
      <c r="Y45967" s="97"/>
    </row>
    <row r="45968" spans="25:25" x14ac:dyDescent="0.2">
      <c r="Y45968" s="97"/>
    </row>
    <row r="45969" spans="25:25" x14ac:dyDescent="0.2">
      <c r="Y45969" s="97"/>
    </row>
    <row r="45970" spans="25:25" x14ac:dyDescent="0.2">
      <c r="Y45970" s="97"/>
    </row>
    <row r="45971" spans="25:25" x14ac:dyDescent="0.2">
      <c r="Y45971" s="97"/>
    </row>
    <row r="45972" spans="25:25" x14ac:dyDescent="0.2">
      <c r="Y45972" s="97"/>
    </row>
    <row r="45973" spans="25:25" x14ac:dyDescent="0.2">
      <c r="Y45973" s="97"/>
    </row>
    <row r="45974" spans="25:25" x14ac:dyDescent="0.2">
      <c r="Y45974" s="97"/>
    </row>
    <row r="45975" spans="25:25" x14ac:dyDescent="0.2">
      <c r="Y45975" s="97"/>
    </row>
    <row r="45976" spans="25:25" x14ac:dyDescent="0.2">
      <c r="Y45976" s="97"/>
    </row>
    <row r="45977" spans="25:25" x14ac:dyDescent="0.2">
      <c r="Y45977" s="97"/>
    </row>
    <row r="45978" spans="25:25" x14ac:dyDescent="0.2">
      <c r="Y45978" s="97"/>
    </row>
    <row r="45979" spans="25:25" x14ac:dyDescent="0.2">
      <c r="Y45979" s="97"/>
    </row>
    <row r="45980" spans="25:25" x14ac:dyDescent="0.2">
      <c r="Y45980" s="97"/>
    </row>
    <row r="45981" spans="25:25" x14ac:dyDescent="0.2">
      <c r="Y45981" s="97"/>
    </row>
    <row r="45982" spans="25:25" x14ac:dyDescent="0.2">
      <c r="Y45982" s="97"/>
    </row>
    <row r="45983" spans="25:25" x14ac:dyDescent="0.2">
      <c r="Y45983" s="97"/>
    </row>
    <row r="45984" spans="25:25" x14ac:dyDescent="0.2">
      <c r="Y45984" s="97"/>
    </row>
    <row r="45985" spans="25:25" x14ac:dyDescent="0.2">
      <c r="Y45985" s="97"/>
    </row>
    <row r="45986" spans="25:25" x14ac:dyDescent="0.2">
      <c r="Y45986" s="97"/>
    </row>
    <row r="45987" spans="25:25" x14ac:dyDescent="0.2">
      <c r="Y45987" s="97"/>
    </row>
    <row r="45988" spans="25:25" x14ac:dyDescent="0.2">
      <c r="Y45988" s="97"/>
    </row>
    <row r="45989" spans="25:25" x14ac:dyDescent="0.2">
      <c r="Y45989" s="97"/>
    </row>
    <row r="45990" spans="25:25" x14ac:dyDescent="0.2">
      <c r="Y45990" s="97"/>
    </row>
    <row r="45991" spans="25:25" x14ac:dyDescent="0.2">
      <c r="Y45991" s="97"/>
    </row>
    <row r="45992" spans="25:25" x14ac:dyDescent="0.2">
      <c r="Y45992" s="97"/>
    </row>
    <row r="45993" spans="25:25" x14ac:dyDescent="0.2">
      <c r="Y45993" s="97"/>
    </row>
    <row r="45994" spans="25:25" x14ac:dyDescent="0.2">
      <c r="Y45994" s="97"/>
    </row>
    <row r="45995" spans="25:25" x14ac:dyDescent="0.2">
      <c r="Y45995" s="97"/>
    </row>
    <row r="45996" spans="25:25" x14ac:dyDescent="0.2">
      <c r="Y45996" s="97"/>
    </row>
    <row r="45997" spans="25:25" x14ac:dyDescent="0.2">
      <c r="Y45997" s="97"/>
    </row>
    <row r="45998" spans="25:25" x14ac:dyDescent="0.2">
      <c r="Y45998" s="97"/>
    </row>
    <row r="45999" spans="25:25" x14ac:dyDescent="0.2">
      <c r="Y45999" s="97"/>
    </row>
    <row r="46000" spans="25:25" x14ac:dyDescent="0.2">
      <c r="Y46000" s="97"/>
    </row>
    <row r="46001" spans="25:25" x14ac:dyDescent="0.2">
      <c r="Y46001" s="97"/>
    </row>
    <row r="46002" spans="25:25" x14ac:dyDescent="0.2">
      <c r="Y46002" s="97"/>
    </row>
    <row r="46003" spans="25:25" x14ac:dyDescent="0.2">
      <c r="Y46003" s="97"/>
    </row>
    <row r="46004" spans="25:25" x14ac:dyDescent="0.2">
      <c r="Y46004" s="97"/>
    </row>
    <row r="46005" spans="25:25" x14ac:dyDescent="0.2">
      <c r="Y46005" s="97"/>
    </row>
    <row r="46006" spans="25:25" x14ac:dyDescent="0.2">
      <c r="Y46006" s="97"/>
    </row>
    <row r="46007" spans="25:25" x14ac:dyDescent="0.2">
      <c r="Y46007" s="97"/>
    </row>
    <row r="46008" spans="25:25" x14ac:dyDescent="0.2">
      <c r="Y46008" s="97"/>
    </row>
    <row r="46009" spans="25:25" x14ac:dyDescent="0.2">
      <c r="Y46009" s="97"/>
    </row>
    <row r="46010" spans="25:25" x14ac:dyDescent="0.2">
      <c r="Y46010" s="97"/>
    </row>
    <row r="46011" spans="25:25" x14ac:dyDescent="0.2">
      <c r="Y46011" s="97"/>
    </row>
    <row r="46012" spans="25:25" x14ac:dyDescent="0.2">
      <c r="Y46012" s="97"/>
    </row>
    <row r="46013" spans="25:25" x14ac:dyDescent="0.2">
      <c r="Y46013" s="97"/>
    </row>
    <row r="46014" spans="25:25" x14ac:dyDescent="0.2">
      <c r="Y46014" s="97"/>
    </row>
    <row r="46015" spans="25:25" x14ac:dyDescent="0.2">
      <c r="Y46015" s="97"/>
    </row>
    <row r="46016" spans="25:25" x14ac:dyDescent="0.2">
      <c r="Y46016" s="97"/>
    </row>
    <row r="46017" spans="25:25" x14ac:dyDescent="0.2">
      <c r="Y46017" s="97"/>
    </row>
    <row r="46018" spans="25:25" x14ac:dyDescent="0.2">
      <c r="Y46018" s="97"/>
    </row>
    <row r="46019" spans="25:25" x14ac:dyDescent="0.2">
      <c r="Y46019" s="97"/>
    </row>
    <row r="46020" spans="25:25" x14ac:dyDescent="0.2">
      <c r="Y46020" s="97"/>
    </row>
    <row r="46021" spans="25:25" x14ac:dyDescent="0.2">
      <c r="Y46021" s="97"/>
    </row>
    <row r="46022" spans="25:25" x14ac:dyDescent="0.2">
      <c r="Y46022" s="97"/>
    </row>
    <row r="46023" spans="25:25" x14ac:dyDescent="0.2">
      <c r="Y46023" s="97"/>
    </row>
    <row r="46024" spans="25:25" x14ac:dyDescent="0.2">
      <c r="Y46024" s="97"/>
    </row>
    <row r="46025" spans="25:25" x14ac:dyDescent="0.2">
      <c r="Y46025" s="97"/>
    </row>
    <row r="46026" spans="25:25" x14ac:dyDescent="0.2">
      <c r="Y46026" s="97"/>
    </row>
    <row r="46027" spans="25:25" x14ac:dyDescent="0.2">
      <c r="Y46027" s="97"/>
    </row>
    <row r="46028" spans="25:25" x14ac:dyDescent="0.2">
      <c r="Y46028" s="97"/>
    </row>
    <row r="46029" spans="25:25" x14ac:dyDescent="0.2">
      <c r="Y46029" s="97"/>
    </row>
    <row r="46030" spans="25:25" x14ac:dyDescent="0.2">
      <c r="Y46030" s="97"/>
    </row>
    <row r="46031" spans="25:25" x14ac:dyDescent="0.2">
      <c r="Y46031" s="97"/>
    </row>
    <row r="46032" spans="25:25" x14ac:dyDescent="0.2">
      <c r="Y46032" s="97"/>
    </row>
    <row r="46033" spans="25:25" x14ac:dyDescent="0.2">
      <c r="Y46033" s="97"/>
    </row>
    <row r="46034" spans="25:25" x14ac:dyDescent="0.2">
      <c r="Y46034" s="97"/>
    </row>
    <row r="46035" spans="25:25" x14ac:dyDescent="0.2">
      <c r="Y46035" s="97"/>
    </row>
    <row r="46036" spans="25:25" x14ac:dyDescent="0.2">
      <c r="Y46036" s="97"/>
    </row>
    <row r="46037" spans="25:25" x14ac:dyDescent="0.2">
      <c r="Y46037" s="97"/>
    </row>
    <row r="46038" spans="25:25" x14ac:dyDescent="0.2">
      <c r="Y46038" s="97"/>
    </row>
    <row r="46039" spans="25:25" x14ac:dyDescent="0.2">
      <c r="Y46039" s="97"/>
    </row>
    <row r="46040" spans="25:25" x14ac:dyDescent="0.2">
      <c r="Y46040" s="97"/>
    </row>
    <row r="46041" spans="25:25" x14ac:dyDescent="0.2">
      <c r="Y46041" s="97"/>
    </row>
    <row r="46042" spans="25:25" x14ac:dyDescent="0.2">
      <c r="Y46042" s="97"/>
    </row>
    <row r="46043" spans="25:25" x14ac:dyDescent="0.2">
      <c r="Y46043" s="97"/>
    </row>
    <row r="46044" spans="25:25" x14ac:dyDescent="0.2">
      <c r="Y46044" s="97"/>
    </row>
    <row r="46045" spans="25:25" x14ac:dyDescent="0.2">
      <c r="Y46045" s="97"/>
    </row>
    <row r="46046" spans="25:25" x14ac:dyDescent="0.2">
      <c r="Y46046" s="97"/>
    </row>
    <row r="46047" spans="25:25" x14ac:dyDescent="0.2">
      <c r="Y46047" s="97"/>
    </row>
    <row r="46048" spans="25:25" x14ac:dyDescent="0.2">
      <c r="Y46048" s="97"/>
    </row>
    <row r="46049" spans="25:25" x14ac:dyDescent="0.2">
      <c r="Y46049" s="97"/>
    </row>
    <row r="46050" spans="25:25" x14ac:dyDescent="0.2">
      <c r="Y46050" s="97"/>
    </row>
    <row r="46051" spans="25:25" x14ac:dyDescent="0.2">
      <c r="Y46051" s="97"/>
    </row>
    <row r="46052" spans="25:25" x14ac:dyDescent="0.2">
      <c r="Y46052" s="97"/>
    </row>
    <row r="46053" spans="25:25" x14ac:dyDescent="0.2">
      <c r="Y46053" s="97"/>
    </row>
    <row r="46054" spans="25:25" x14ac:dyDescent="0.2">
      <c r="Y46054" s="97"/>
    </row>
    <row r="46055" spans="25:25" x14ac:dyDescent="0.2">
      <c r="Y46055" s="97"/>
    </row>
    <row r="46056" spans="25:25" x14ac:dyDescent="0.2">
      <c r="Y46056" s="97"/>
    </row>
    <row r="46057" spans="25:25" x14ac:dyDescent="0.2">
      <c r="Y46057" s="97"/>
    </row>
    <row r="46058" spans="25:25" x14ac:dyDescent="0.2">
      <c r="Y46058" s="97"/>
    </row>
    <row r="46059" spans="25:25" x14ac:dyDescent="0.2">
      <c r="Y46059" s="97"/>
    </row>
    <row r="46060" spans="25:25" x14ac:dyDescent="0.2">
      <c r="Y46060" s="97"/>
    </row>
    <row r="46061" spans="25:25" x14ac:dyDescent="0.2">
      <c r="Y46061" s="97"/>
    </row>
    <row r="46062" spans="25:25" x14ac:dyDescent="0.2">
      <c r="Y46062" s="97"/>
    </row>
    <row r="46063" spans="25:25" x14ac:dyDescent="0.2">
      <c r="Y46063" s="97"/>
    </row>
    <row r="46064" spans="25:25" x14ac:dyDescent="0.2">
      <c r="Y46064" s="97"/>
    </row>
    <row r="46065" spans="25:25" x14ac:dyDescent="0.2">
      <c r="Y46065" s="97"/>
    </row>
    <row r="46066" spans="25:25" x14ac:dyDescent="0.2">
      <c r="Y46066" s="97"/>
    </row>
    <row r="46067" spans="25:25" x14ac:dyDescent="0.2">
      <c r="Y46067" s="97"/>
    </row>
    <row r="46068" spans="25:25" x14ac:dyDescent="0.2">
      <c r="Y46068" s="97"/>
    </row>
    <row r="46069" spans="25:25" x14ac:dyDescent="0.2">
      <c r="Y46069" s="97"/>
    </row>
    <row r="46070" spans="25:25" x14ac:dyDescent="0.2">
      <c r="Y46070" s="97"/>
    </row>
    <row r="46071" spans="25:25" x14ac:dyDescent="0.2">
      <c r="Y46071" s="97"/>
    </row>
    <row r="46072" spans="25:25" x14ac:dyDescent="0.2">
      <c r="Y46072" s="97"/>
    </row>
    <row r="46073" spans="25:25" x14ac:dyDescent="0.2">
      <c r="Y46073" s="97"/>
    </row>
    <row r="46074" spans="25:25" x14ac:dyDescent="0.2">
      <c r="Y46074" s="97"/>
    </row>
    <row r="46075" spans="25:25" x14ac:dyDescent="0.2">
      <c r="Y46075" s="97"/>
    </row>
    <row r="46076" spans="25:25" x14ac:dyDescent="0.2">
      <c r="Y46076" s="97"/>
    </row>
    <row r="46077" spans="25:25" x14ac:dyDescent="0.2">
      <c r="Y46077" s="97"/>
    </row>
    <row r="46078" spans="25:25" x14ac:dyDescent="0.2">
      <c r="Y46078" s="97"/>
    </row>
    <row r="46079" spans="25:25" x14ac:dyDescent="0.2">
      <c r="Y46079" s="97"/>
    </row>
    <row r="46080" spans="25:25" x14ac:dyDescent="0.2">
      <c r="Y46080" s="97"/>
    </row>
    <row r="46081" spans="25:25" x14ac:dyDescent="0.2">
      <c r="Y46081" s="97"/>
    </row>
    <row r="46082" spans="25:25" x14ac:dyDescent="0.2">
      <c r="Y46082" s="97"/>
    </row>
    <row r="46083" spans="25:25" x14ac:dyDescent="0.2">
      <c r="Y46083" s="97"/>
    </row>
    <row r="46084" spans="25:25" x14ac:dyDescent="0.2">
      <c r="Y46084" s="97"/>
    </row>
    <row r="46085" spans="25:25" x14ac:dyDescent="0.2">
      <c r="Y46085" s="97"/>
    </row>
    <row r="46086" spans="25:25" x14ac:dyDescent="0.2">
      <c r="Y46086" s="97"/>
    </row>
    <row r="46087" spans="25:25" x14ac:dyDescent="0.2">
      <c r="Y46087" s="97"/>
    </row>
    <row r="46088" spans="25:25" x14ac:dyDescent="0.2">
      <c r="Y46088" s="97"/>
    </row>
    <row r="46089" spans="25:25" x14ac:dyDescent="0.2">
      <c r="Y46089" s="97"/>
    </row>
    <row r="46090" spans="25:25" x14ac:dyDescent="0.2">
      <c r="Y46090" s="97"/>
    </row>
    <row r="46091" spans="25:25" x14ac:dyDescent="0.2">
      <c r="Y46091" s="97"/>
    </row>
    <row r="46092" spans="25:25" x14ac:dyDescent="0.2">
      <c r="Y46092" s="97"/>
    </row>
    <row r="46093" spans="25:25" x14ac:dyDescent="0.2">
      <c r="Y46093" s="97"/>
    </row>
    <row r="46094" spans="25:25" x14ac:dyDescent="0.2">
      <c r="Y46094" s="97"/>
    </row>
    <row r="46095" spans="25:25" x14ac:dyDescent="0.2">
      <c r="Y46095" s="97"/>
    </row>
    <row r="46096" spans="25:25" x14ac:dyDescent="0.2">
      <c r="Y46096" s="97"/>
    </row>
    <row r="46097" spans="25:25" x14ac:dyDescent="0.2">
      <c r="Y46097" s="97"/>
    </row>
    <row r="46098" spans="25:25" x14ac:dyDescent="0.2">
      <c r="Y46098" s="97"/>
    </row>
    <row r="46099" spans="25:25" x14ac:dyDescent="0.2">
      <c r="Y46099" s="97"/>
    </row>
    <row r="46100" spans="25:25" x14ac:dyDescent="0.2">
      <c r="Y46100" s="97"/>
    </row>
    <row r="46101" spans="25:25" x14ac:dyDescent="0.2">
      <c r="Y46101" s="97"/>
    </row>
    <row r="46102" spans="25:25" x14ac:dyDescent="0.2">
      <c r="Y46102" s="97"/>
    </row>
    <row r="46103" spans="25:25" x14ac:dyDescent="0.2">
      <c r="Y46103" s="97"/>
    </row>
    <row r="46104" spans="25:25" x14ac:dyDescent="0.2">
      <c r="Y46104" s="97"/>
    </row>
    <row r="46105" spans="25:25" x14ac:dyDescent="0.2">
      <c r="Y46105" s="97"/>
    </row>
    <row r="46106" spans="25:25" x14ac:dyDescent="0.2">
      <c r="Y46106" s="97"/>
    </row>
    <row r="46107" spans="25:25" x14ac:dyDescent="0.2">
      <c r="Y46107" s="97"/>
    </row>
    <row r="46108" spans="25:25" x14ac:dyDescent="0.2">
      <c r="Y46108" s="97"/>
    </row>
    <row r="46109" spans="25:25" x14ac:dyDescent="0.2">
      <c r="Y46109" s="97"/>
    </row>
    <row r="46110" spans="25:25" x14ac:dyDescent="0.2">
      <c r="Y46110" s="97"/>
    </row>
    <row r="46111" spans="25:25" x14ac:dyDescent="0.2">
      <c r="Y46111" s="97"/>
    </row>
    <row r="46112" spans="25:25" x14ac:dyDescent="0.2">
      <c r="Y46112" s="97"/>
    </row>
    <row r="46113" spans="25:25" x14ac:dyDescent="0.2">
      <c r="Y46113" s="97"/>
    </row>
    <row r="46114" spans="25:25" x14ac:dyDescent="0.2">
      <c r="Y46114" s="97"/>
    </row>
    <row r="46115" spans="25:25" x14ac:dyDescent="0.2">
      <c r="Y46115" s="97"/>
    </row>
    <row r="46116" spans="25:25" x14ac:dyDescent="0.2">
      <c r="Y46116" s="97"/>
    </row>
    <row r="46117" spans="25:25" x14ac:dyDescent="0.2">
      <c r="Y46117" s="97"/>
    </row>
    <row r="46118" spans="25:25" x14ac:dyDescent="0.2">
      <c r="Y46118" s="97"/>
    </row>
    <row r="46119" spans="25:25" x14ac:dyDescent="0.2">
      <c r="Y46119" s="97"/>
    </row>
    <row r="46120" spans="25:25" x14ac:dyDescent="0.2">
      <c r="Y46120" s="97"/>
    </row>
    <row r="46121" spans="25:25" x14ac:dyDescent="0.2">
      <c r="Y46121" s="97"/>
    </row>
    <row r="46122" spans="25:25" x14ac:dyDescent="0.2">
      <c r="Y46122" s="97"/>
    </row>
    <row r="46123" spans="25:25" x14ac:dyDescent="0.2">
      <c r="Y46123" s="97"/>
    </row>
    <row r="46124" spans="25:25" x14ac:dyDescent="0.2">
      <c r="Y46124" s="97"/>
    </row>
    <row r="46125" spans="25:25" x14ac:dyDescent="0.2">
      <c r="Y46125" s="97"/>
    </row>
    <row r="46126" spans="25:25" x14ac:dyDescent="0.2">
      <c r="Y46126" s="97"/>
    </row>
    <row r="46127" spans="25:25" x14ac:dyDescent="0.2">
      <c r="Y46127" s="97"/>
    </row>
    <row r="46128" spans="25:25" x14ac:dyDescent="0.2">
      <c r="Y46128" s="97"/>
    </row>
    <row r="46129" spans="25:25" x14ac:dyDescent="0.2">
      <c r="Y46129" s="97"/>
    </row>
    <row r="46130" spans="25:25" x14ac:dyDescent="0.2">
      <c r="Y46130" s="97"/>
    </row>
    <row r="46131" spans="25:25" x14ac:dyDescent="0.2">
      <c r="Y46131" s="97"/>
    </row>
    <row r="46132" spans="25:25" x14ac:dyDescent="0.2">
      <c r="Y46132" s="97"/>
    </row>
    <row r="46133" spans="25:25" x14ac:dyDescent="0.2">
      <c r="Y46133" s="97"/>
    </row>
    <row r="46134" spans="25:25" x14ac:dyDescent="0.2">
      <c r="Y46134" s="97"/>
    </row>
    <row r="46135" spans="25:25" x14ac:dyDescent="0.2">
      <c r="Y46135" s="97"/>
    </row>
    <row r="46136" spans="25:25" x14ac:dyDescent="0.2">
      <c r="Y46136" s="97"/>
    </row>
    <row r="46137" spans="25:25" x14ac:dyDescent="0.2">
      <c r="Y46137" s="97"/>
    </row>
    <row r="46138" spans="25:25" x14ac:dyDescent="0.2">
      <c r="Y46138" s="97"/>
    </row>
    <row r="46139" spans="25:25" x14ac:dyDescent="0.2">
      <c r="Y46139" s="97"/>
    </row>
    <row r="46140" spans="25:25" x14ac:dyDescent="0.2">
      <c r="Y46140" s="97"/>
    </row>
    <row r="46141" spans="25:25" x14ac:dyDescent="0.2">
      <c r="Y46141" s="97"/>
    </row>
    <row r="46142" spans="25:25" x14ac:dyDescent="0.2">
      <c r="Y46142" s="97"/>
    </row>
    <row r="46143" spans="25:25" x14ac:dyDescent="0.2">
      <c r="Y46143" s="97"/>
    </row>
    <row r="46144" spans="25:25" x14ac:dyDescent="0.2">
      <c r="Y46144" s="97"/>
    </row>
    <row r="46145" spans="25:25" x14ac:dyDescent="0.2">
      <c r="Y46145" s="97"/>
    </row>
    <row r="46146" spans="25:25" x14ac:dyDescent="0.2">
      <c r="Y46146" s="97"/>
    </row>
    <row r="46147" spans="25:25" x14ac:dyDescent="0.2">
      <c r="Y46147" s="97"/>
    </row>
    <row r="46148" spans="25:25" x14ac:dyDescent="0.2">
      <c r="Y46148" s="97"/>
    </row>
    <row r="46149" spans="25:25" x14ac:dyDescent="0.2">
      <c r="Y46149" s="97"/>
    </row>
    <row r="46150" spans="25:25" x14ac:dyDescent="0.2">
      <c r="Y46150" s="97"/>
    </row>
    <row r="46151" spans="25:25" x14ac:dyDescent="0.2">
      <c r="Y46151" s="97"/>
    </row>
    <row r="46152" spans="25:25" x14ac:dyDescent="0.2">
      <c r="Y46152" s="97"/>
    </row>
    <row r="46153" spans="25:25" x14ac:dyDescent="0.2">
      <c r="Y46153" s="97"/>
    </row>
    <row r="46154" spans="25:25" x14ac:dyDescent="0.2">
      <c r="Y46154" s="97"/>
    </row>
    <row r="46155" spans="25:25" x14ac:dyDescent="0.2">
      <c r="Y46155" s="97"/>
    </row>
    <row r="46156" spans="25:25" x14ac:dyDescent="0.2">
      <c r="Y46156" s="97"/>
    </row>
    <row r="46157" spans="25:25" x14ac:dyDescent="0.2">
      <c r="Y46157" s="97"/>
    </row>
    <row r="46158" spans="25:25" x14ac:dyDescent="0.2">
      <c r="Y46158" s="97"/>
    </row>
    <row r="46159" spans="25:25" x14ac:dyDescent="0.2">
      <c r="Y46159" s="97"/>
    </row>
    <row r="46160" spans="25:25" x14ac:dyDescent="0.2">
      <c r="Y46160" s="97"/>
    </row>
    <row r="46161" spans="25:25" x14ac:dyDescent="0.2">
      <c r="Y46161" s="97"/>
    </row>
    <row r="46162" spans="25:25" x14ac:dyDescent="0.2">
      <c r="Y46162" s="97"/>
    </row>
    <row r="46163" spans="25:25" x14ac:dyDescent="0.2">
      <c r="Y46163" s="97"/>
    </row>
    <row r="46164" spans="25:25" x14ac:dyDescent="0.2">
      <c r="Y46164" s="97"/>
    </row>
    <row r="46165" spans="25:25" x14ac:dyDescent="0.2">
      <c r="Y46165" s="97"/>
    </row>
    <row r="46166" spans="25:25" x14ac:dyDescent="0.2">
      <c r="Y46166" s="97"/>
    </row>
    <row r="46167" spans="25:25" x14ac:dyDescent="0.2">
      <c r="Y46167" s="97"/>
    </row>
    <row r="46168" spans="25:25" x14ac:dyDescent="0.2">
      <c r="Y46168" s="97"/>
    </row>
    <row r="46169" spans="25:25" x14ac:dyDescent="0.2">
      <c r="Y46169" s="97"/>
    </row>
    <row r="46170" spans="25:25" x14ac:dyDescent="0.2">
      <c r="Y46170" s="97"/>
    </row>
    <row r="46171" spans="25:25" x14ac:dyDescent="0.2">
      <c r="Y46171" s="97"/>
    </row>
    <row r="46172" spans="25:25" x14ac:dyDescent="0.2">
      <c r="Y46172" s="97"/>
    </row>
    <row r="46173" spans="25:25" x14ac:dyDescent="0.2">
      <c r="Y46173" s="97"/>
    </row>
    <row r="46174" spans="25:25" x14ac:dyDescent="0.2">
      <c r="Y46174" s="97"/>
    </row>
    <row r="46175" spans="25:25" x14ac:dyDescent="0.2">
      <c r="Y46175" s="97"/>
    </row>
    <row r="46176" spans="25:25" x14ac:dyDescent="0.2">
      <c r="Y46176" s="97"/>
    </row>
    <row r="46177" spans="25:25" x14ac:dyDescent="0.2">
      <c r="Y46177" s="97"/>
    </row>
    <row r="46178" spans="25:25" x14ac:dyDescent="0.2">
      <c r="Y46178" s="97"/>
    </row>
    <row r="46179" spans="25:25" x14ac:dyDescent="0.2">
      <c r="Y46179" s="97"/>
    </row>
    <row r="46180" spans="25:25" x14ac:dyDescent="0.2">
      <c r="Y46180" s="97"/>
    </row>
    <row r="46181" spans="25:25" x14ac:dyDescent="0.2">
      <c r="Y46181" s="97"/>
    </row>
    <row r="46182" spans="25:25" x14ac:dyDescent="0.2">
      <c r="Y46182" s="97"/>
    </row>
    <row r="46183" spans="25:25" x14ac:dyDescent="0.2">
      <c r="Y46183" s="97"/>
    </row>
    <row r="46184" spans="25:25" x14ac:dyDescent="0.2">
      <c r="Y46184" s="97"/>
    </row>
    <row r="46185" spans="25:25" x14ac:dyDescent="0.2">
      <c r="Y46185" s="97"/>
    </row>
    <row r="46186" spans="25:25" x14ac:dyDescent="0.2">
      <c r="Y46186" s="97"/>
    </row>
    <row r="46187" spans="25:25" x14ac:dyDescent="0.2">
      <c r="Y46187" s="97"/>
    </row>
    <row r="46188" spans="25:25" x14ac:dyDescent="0.2">
      <c r="Y46188" s="97"/>
    </row>
    <row r="46189" spans="25:25" x14ac:dyDescent="0.2">
      <c r="Y46189" s="97"/>
    </row>
    <row r="46190" spans="25:25" x14ac:dyDescent="0.2">
      <c r="Y46190" s="97"/>
    </row>
    <row r="46191" spans="25:25" x14ac:dyDescent="0.2">
      <c r="Y46191" s="97"/>
    </row>
    <row r="46192" spans="25:25" x14ac:dyDescent="0.2">
      <c r="Y46192" s="97"/>
    </row>
    <row r="46193" spans="25:25" x14ac:dyDescent="0.2">
      <c r="Y46193" s="97"/>
    </row>
    <row r="46194" spans="25:25" x14ac:dyDescent="0.2">
      <c r="Y46194" s="97"/>
    </row>
    <row r="46195" spans="25:25" x14ac:dyDescent="0.2">
      <c r="Y46195" s="97"/>
    </row>
    <row r="46196" spans="25:25" x14ac:dyDescent="0.2">
      <c r="Y46196" s="97"/>
    </row>
    <row r="46197" spans="25:25" x14ac:dyDescent="0.2">
      <c r="Y46197" s="97"/>
    </row>
    <row r="46198" spans="25:25" x14ac:dyDescent="0.2">
      <c r="Y46198" s="97"/>
    </row>
    <row r="46199" spans="25:25" x14ac:dyDescent="0.2">
      <c r="Y46199" s="97"/>
    </row>
    <row r="46200" spans="25:25" x14ac:dyDescent="0.2">
      <c r="Y46200" s="97"/>
    </row>
    <row r="46201" spans="25:25" x14ac:dyDescent="0.2">
      <c r="Y46201" s="97"/>
    </row>
    <row r="46202" spans="25:25" x14ac:dyDescent="0.2">
      <c r="Y46202" s="97"/>
    </row>
    <row r="46203" spans="25:25" x14ac:dyDescent="0.2">
      <c r="Y46203" s="97"/>
    </row>
    <row r="46204" spans="25:25" x14ac:dyDescent="0.2">
      <c r="Y46204" s="97"/>
    </row>
    <row r="46205" spans="25:25" x14ac:dyDescent="0.2">
      <c r="Y46205" s="97"/>
    </row>
    <row r="46206" spans="25:25" x14ac:dyDescent="0.2">
      <c r="Y46206" s="97"/>
    </row>
    <row r="46207" spans="25:25" x14ac:dyDescent="0.2">
      <c r="Y46207" s="97"/>
    </row>
    <row r="46208" spans="25:25" x14ac:dyDescent="0.2">
      <c r="Y46208" s="97"/>
    </row>
    <row r="46209" spans="25:25" x14ac:dyDescent="0.2">
      <c r="Y46209" s="97"/>
    </row>
    <row r="46210" spans="25:25" x14ac:dyDescent="0.2">
      <c r="Y46210" s="97"/>
    </row>
    <row r="46211" spans="25:25" x14ac:dyDescent="0.2">
      <c r="Y46211" s="97"/>
    </row>
    <row r="46212" spans="25:25" x14ac:dyDescent="0.2">
      <c r="Y46212" s="97"/>
    </row>
    <row r="46213" spans="25:25" x14ac:dyDescent="0.2">
      <c r="Y46213" s="97"/>
    </row>
    <row r="46214" spans="25:25" x14ac:dyDescent="0.2">
      <c r="Y46214" s="97"/>
    </row>
    <row r="46215" spans="25:25" x14ac:dyDescent="0.2">
      <c r="Y46215" s="97"/>
    </row>
    <row r="46216" spans="25:25" x14ac:dyDescent="0.2">
      <c r="Y46216" s="97"/>
    </row>
    <row r="46217" spans="25:25" x14ac:dyDescent="0.2">
      <c r="Y46217" s="97"/>
    </row>
    <row r="46218" spans="25:25" x14ac:dyDescent="0.2">
      <c r="Y46218" s="97"/>
    </row>
    <row r="46219" spans="25:25" x14ac:dyDescent="0.2">
      <c r="Y46219" s="97"/>
    </row>
    <row r="46220" spans="25:25" x14ac:dyDescent="0.2">
      <c r="Y46220" s="97"/>
    </row>
    <row r="46221" spans="25:25" x14ac:dyDescent="0.2">
      <c r="Y46221" s="97"/>
    </row>
    <row r="46222" spans="25:25" x14ac:dyDescent="0.2">
      <c r="Y46222" s="97"/>
    </row>
    <row r="46223" spans="25:25" x14ac:dyDescent="0.2">
      <c r="Y46223" s="97"/>
    </row>
    <row r="46224" spans="25:25" x14ac:dyDescent="0.2">
      <c r="Y46224" s="97"/>
    </row>
    <row r="46225" spans="25:25" x14ac:dyDescent="0.2">
      <c r="Y46225" s="97"/>
    </row>
    <row r="46226" spans="25:25" x14ac:dyDescent="0.2">
      <c r="Y46226" s="97"/>
    </row>
    <row r="46227" spans="25:25" x14ac:dyDescent="0.2">
      <c r="Y46227" s="97"/>
    </row>
    <row r="46228" spans="25:25" x14ac:dyDescent="0.2">
      <c r="Y46228" s="97"/>
    </row>
    <row r="46229" spans="25:25" x14ac:dyDescent="0.2">
      <c r="Y46229" s="97"/>
    </row>
    <row r="46230" spans="25:25" x14ac:dyDescent="0.2">
      <c r="Y46230" s="97"/>
    </row>
    <row r="46231" spans="25:25" x14ac:dyDescent="0.2">
      <c r="Y46231" s="97"/>
    </row>
    <row r="46232" spans="25:25" x14ac:dyDescent="0.2">
      <c r="Y46232" s="97"/>
    </row>
    <row r="46233" spans="25:25" x14ac:dyDescent="0.2">
      <c r="Y46233" s="97"/>
    </row>
    <row r="46234" spans="25:25" x14ac:dyDescent="0.2">
      <c r="Y46234" s="97"/>
    </row>
    <row r="46235" spans="25:25" x14ac:dyDescent="0.2">
      <c r="Y46235" s="97"/>
    </row>
    <row r="46236" spans="25:25" x14ac:dyDescent="0.2">
      <c r="Y46236" s="97"/>
    </row>
    <row r="46237" spans="25:25" x14ac:dyDescent="0.2">
      <c r="Y46237" s="97"/>
    </row>
    <row r="46238" spans="25:25" x14ac:dyDescent="0.2">
      <c r="Y46238" s="97"/>
    </row>
    <row r="46239" spans="25:25" x14ac:dyDescent="0.2">
      <c r="Y46239" s="97"/>
    </row>
    <row r="46240" spans="25:25" x14ac:dyDescent="0.2">
      <c r="Y46240" s="97"/>
    </row>
    <row r="46241" spans="25:25" x14ac:dyDescent="0.2">
      <c r="Y46241" s="97"/>
    </row>
    <row r="46242" spans="25:25" x14ac:dyDescent="0.2">
      <c r="Y46242" s="97"/>
    </row>
    <row r="46243" spans="25:25" x14ac:dyDescent="0.2">
      <c r="Y46243" s="97"/>
    </row>
    <row r="46244" spans="25:25" x14ac:dyDescent="0.2">
      <c r="Y46244" s="97"/>
    </row>
    <row r="46245" spans="25:25" x14ac:dyDescent="0.2">
      <c r="Y46245" s="97"/>
    </row>
    <row r="46246" spans="25:25" x14ac:dyDescent="0.2">
      <c r="Y46246" s="97"/>
    </row>
    <row r="46247" spans="25:25" x14ac:dyDescent="0.2">
      <c r="Y46247" s="97"/>
    </row>
    <row r="46248" spans="25:25" x14ac:dyDescent="0.2">
      <c r="Y46248" s="97"/>
    </row>
    <row r="46249" spans="25:25" x14ac:dyDescent="0.2">
      <c r="Y46249" s="97"/>
    </row>
    <row r="46250" spans="25:25" x14ac:dyDescent="0.2">
      <c r="Y46250" s="97"/>
    </row>
    <row r="46251" spans="25:25" x14ac:dyDescent="0.2">
      <c r="Y46251" s="97"/>
    </row>
    <row r="46252" spans="25:25" x14ac:dyDescent="0.2">
      <c r="Y46252" s="97"/>
    </row>
    <row r="46253" spans="25:25" x14ac:dyDescent="0.2">
      <c r="Y46253" s="97"/>
    </row>
    <row r="46254" spans="25:25" x14ac:dyDescent="0.2">
      <c r="Y46254" s="97"/>
    </row>
    <row r="46255" spans="25:25" x14ac:dyDescent="0.2">
      <c r="Y46255" s="97"/>
    </row>
    <row r="46256" spans="25:25" x14ac:dyDescent="0.2">
      <c r="Y46256" s="97"/>
    </row>
    <row r="46257" spans="25:25" x14ac:dyDescent="0.2">
      <c r="Y46257" s="97"/>
    </row>
    <row r="46258" spans="25:25" x14ac:dyDescent="0.2">
      <c r="Y46258" s="97"/>
    </row>
    <row r="46259" spans="25:25" x14ac:dyDescent="0.2">
      <c r="Y46259" s="97"/>
    </row>
    <row r="46260" spans="25:25" x14ac:dyDescent="0.2">
      <c r="Y46260" s="97"/>
    </row>
    <row r="46261" spans="25:25" x14ac:dyDescent="0.2">
      <c r="Y46261" s="97"/>
    </row>
    <row r="46262" spans="25:25" x14ac:dyDescent="0.2">
      <c r="Y46262" s="97"/>
    </row>
    <row r="46263" spans="25:25" x14ac:dyDescent="0.2">
      <c r="Y46263" s="97"/>
    </row>
    <row r="46264" spans="25:25" x14ac:dyDescent="0.2">
      <c r="Y46264" s="97"/>
    </row>
    <row r="46265" spans="25:25" x14ac:dyDescent="0.2">
      <c r="Y46265" s="97"/>
    </row>
    <row r="46266" spans="25:25" x14ac:dyDescent="0.2">
      <c r="Y46266" s="97"/>
    </row>
    <row r="46267" spans="25:25" x14ac:dyDescent="0.2">
      <c r="Y46267" s="97"/>
    </row>
    <row r="46268" spans="25:25" x14ac:dyDescent="0.2">
      <c r="Y46268" s="97"/>
    </row>
    <row r="46269" spans="25:25" x14ac:dyDescent="0.2">
      <c r="Y46269" s="97"/>
    </row>
    <row r="46270" spans="25:25" x14ac:dyDescent="0.2">
      <c r="Y46270" s="97"/>
    </row>
    <row r="46271" spans="25:25" x14ac:dyDescent="0.2">
      <c r="Y46271" s="97"/>
    </row>
    <row r="46272" spans="25:25" x14ac:dyDescent="0.2">
      <c r="Y46272" s="97"/>
    </row>
    <row r="46273" spans="25:25" x14ac:dyDescent="0.2">
      <c r="Y46273" s="97"/>
    </row>
    <row r="46274" spans="25:25" x14ac:dyDescent="0.2">
      <c r="Y46274" s="97"/>
    </row>
    <row r="46275" spans="25:25" x14ac:dyDescent="0.2">
      <c r="Y46275" s="97"/>
    </row>
    <row r="46276" spans="25:25" x14ac:dyDescent="0.2">
      <c r="Y46276" s="97"/>
    </row>
    <row r="46277" spans="25:25" x14ac:dyDescent="0.2">
      <c r="Y46277" s="97"/>
    </row>
    <row r="46278" spans="25:25" x14ac:dyDescent="0.2">
      <c r="Y46278" s="97"/>
    </row>
    <row r="46279" spans="25:25" x14ac:dyDescent="0.2">
      <c r="Y46279" s="97"/>
    </row>
    <row r="46280" spans="25:25" x14ac:dyDescent="0.2">
      <c r="Y46280" s="97"/>
    </row>
    <row r="46281" spans="25:25" x14ac:dyDescent="0.2">
      <c r="Y46281" s="97"/>
    </row>
    <row r="46282" spans="25:25" x14ac:dyDescent="0.2">
      <c r="Y46282" s="97"/>
    </row>
    <row r="46283" spans="25:25" x14ac:dyDescent="0.2">
      <c r="Y46283" s="97"/>
    </row>
    <row r="46284" spans="25:25" x14ac:dyDescent="0.2">
      <c r="Y46284" s="97"/>
    </row>
    <row r="46285" spans="25:25" x14ac:dyDescent="0.2">
      <c r="Y46285" s="97"/>
    </row>
    <row r="46286" spans="25:25" x14ac:dyDescent="0.2">
      <c r="Y46286" s="97"/>
    </row>
    <row r="46287" spans="25:25" x14ac:dyDescent="0.2">
      <c r="Y46287" s="97"/>
    </row>
    <row r="46288" spans="25:25" x14ac:dyDescent="0.2">
      <c r="Y46288" s="97"/>
    </row>
    <row r="46289" spans="25:25" x14ac:dyDescent="0.2">
      <c r="Y46289" s="97"/>
    </row>
    <row r="46290" spans="25:25" x14ac:dyDescent="0.2">
      <c r="Y46290" s="97"/>
    </row>
    <row r="46291" spans="25:25" x14ac:dyDescent="0.2">
      <c r="Y46291" s="97"/>
    </row>
    <row r="46292" spans="25:25" x14ac:dyDescent="0.2">
      <c r="Y46292" s="97"/>
    </row>
    <row r="46293" spans="25:25" x14ac:dyDescent="0.2">
      <c r="Y46293" s="97"/>
    </row>
    <row r="46294" spans="25:25" x14ac:dyDescent="0.2">
      <c r="Y46294" s="97"/>
    </row>
    <row r="46295" spans="25:25" x14ac:dyDescent="0.2">
      <c r="Y46295" s="97"/>
    </row>
    <row r="46296" spans="25:25" x14ac:dyDescent="0.2">
      <c r="Y46296" s="97"/>
    </row>
    <row r="46297" spans="25:25" x14ac:dyDescent="0.2">
      <c r="Y46297" s="97"/>
    </row>
    <row r="46298" spans="25:25" x14ac:dyDescent="0.2">
      <c r="Y46298" s="97"/>
    </row>
    <row r="46299" spans="25:25" x14ac:dyDescent="0.2">
      <c r="Y46299" s="97"/>
    </row>
    <row r="46300" spans="25:25" x14ac:dyDescent="0.2">
      <c r="Y46300" s="97"/>
    </row>
    <row r="46301" spans="25:25" x14ac:dyDescent="0.2">
      <c r="Y46301" s="97"/>
    </row>
    <row r="46302" spans="25:25" x14ac:dyDescent="0.2">
      <c r="Y46302" s="97"/>
    </row>
    <row r="46303" spans="25:25" x14ac:dyDescent="0.2">
      <c r="Y46303" s="97"/>
    </row>
    <row r="46304" spans="25:25" x14ac:dyDescent="0.2">
      <c r="Y46304" s="97"/>
    </row>
    <row r="46305" spans="25:25" x14ac:dyDescent="0.2">
      <c r="Y46305" s="97"/>
    </row>
    <row r="46306" spans="25:25" x14ac:dyDescent="0.2">
      <c r="Y46306" s="97"/>
    </row>
    <row r="46307" spans="25:25" x14ac:dyDescent="0.2">
      <c r="Y46307" s="97"/>
    </row>
    <row r="46308" spans="25:25" x14ac:dyDescent="0.2">
      <c r="Y46308" s="97"/>
    </row>
    <row r="46309" spans="25:25" x14ac:dyDescent="0.2">
      <c r="Y46309" s="97"/>
    </row>
    <row r="46310" spans="25:25" x14ac:dyDescent="0.2">
      <c r="Y46310" s="97"/>
    </row>
    <row r="46311" spans="25:25" x14ac:dyDescent="0.2">
      <c r="Y46311" s="97"/>
    </row>
    <row r="46312" spans="25:25" x14ac:dyDescent="0.2">
      <c r="Y46312" s="97"/>
    </row>
    <row r="46313" spans="25:25" x14ac:dyDescent="0.2">
      <c r="Y46313" s="97"/>
    </row>
    <row r="46314" spans="25:25" x14ac:dyDescent="0.2">
      <c r="Y46314" s="97"/>
    </row>
    <row r="46315" spans="25:25" x14ac:dyDescent="0.2">
      <c r="Y46315" s="97"/>
    </row>
    <row r="46316" spans="25:25" x14ac:dyDescent="0.2">
      <c r="Y46316" s="97"/>
    </row>
    <row r="46317" spans="25:25" x14ac:dyDescent="0.2">
      <c r="Y46317" s="97"/>
    </row>
    <row r="46318" spans="25:25" x14ac:dyDescent="0.2">
      <c r="Y46318" s="97"/>
    </row>
    <row r="46319" spans="25:25" x14ac:dyDescent="0.2">
      <c r="Y46319" s="97"/>
    </row>
    <row r="46320" spans="25:25" x14ac:dyDescent="0.2">
      <c r="Y46320" s="97"/>
    </row>
    <row r="46321" spans="25:25" x14ac:dyDescent="0.2">
      <c r="Y46321" s="97"/>
    </row>
    <row r="46322" spans="25:25" x14ac:dyDescent="0.2">
      <c r="Y46322" s="97"/>
    </row>
    <row r="46323" spans="25:25" x14ac:dyDescent="0.2">
      <c r="Y46323" s="97"/>
    </row>
    <row r="46324" spans="25:25" x14ac:dyDescent="0.2">
      <c r="Y46324" s="97"/>
    </row>
    <row r="46325" spans="25:25" x14ac:dyDescent="0.2">
      <c r="Y46325" s="97"/>
    </row>
    <row r="46326" spans="25:25" x14ac:dyDescent="0.2">
      <c r="Y46326" s="97"/>
    </row>
    <row r="46327" spans="25:25" x14ac:dyDescent="0.2">
      <c r="Y46327" s="97"/>
    </row>
    <row r="46328" spans="25:25" x14ac:dyDescent="0.2">
      <c r="Y46328" s="97"/>
    </row>
    <row r="46329" spans="25:25" x14ac:dyDescent="0.2">
      <c r="Y46329" s="97"/>
    </row>
    <row r="46330" spans="25:25" x14ac:dyDescent="0.2">
      <c r="Y46330" s="97"/>
    </row>
    <row r="46331" spans="25:25" x14ac:dyDescent="0.2">
      <c r="Y46331" s="97"/>
    </row>
    <row r="46332" spans="25:25" x14ac:dyDescent="0.2">
      <c r="Y46332" s="97"/>
    </row>
    <row r="46333" spans="25:25" x14ac:dyDescent="0.2">
      <c r="Y46333" s="97"/>
    </row>
    <row r="46334" spans="25:25" x14ac:dyDescent="0.2">
      <c r="Y46334" s="97"/>
    </row>
    <row r="46335" spans="25:25" x14ac:dyDescent="0.2">
      <c r="Y46335" s="97"/>
    </row>
    <row r="46336" spans="25:25" x14ac:dyDescent="0.2">
      <c r="Y46336" s="97"/>
    </row>
    <row r="46337" spans="25:25" x14ac:dyDescent="0.2">
      <c r="Y46337" s="97"/>
    </row>
    <row r="46338" spans="25:25" x14ac:dyDescent="0.2">
      <c r="Y46338" s="97"/>
    </row>
    <row r="46339" spans="25:25" x14ac:dyDescent="0.2">
      <c r="Y46339" s="97"/>
    </row>
    <row r="46340" spans="25:25" x14ac:dyDescent="0.2">
      <c r="Y46340" s="97"/>
    </row>
    <row r="46341" spans="25:25" x14ac:dyDescent="0.2">
      <c r="Y46341" s="97"/>
    </row>
    <row r="46342" spans="25:25" x14ac:dyDescent="0.2">
      <c r="Y46342" s="97"/>
    </row>
    <row r="46343" spans="25:25" x14ac:dyDescent="0.2">
      <c r="Y46343" s="97"/>
    </row>
    <row r="46344" spans="25:25" x14ac:dyDescent="0.2">
      <c r="Y46344" s="97"/>
    </row>
    <row r="46345" spans="25:25" x14ac:dyDescent="0.2">
      <c r="Y46345" s="97"/>
    </row>
    <row r="46346" spans="25:25" x14ac:dyDescent="0.2">
      <c r="Y46346" s="97"/>
    </row>
    <row r="46347" spans="25:25" x14ac:dyDescent="0.2">
      <c r="Y46347" s="97"/>
    </row>
    <row r="46348" spans="25:25" x14ac:dyDescent="0.2">
      <c r="Y46348" s="97"/>
    </row>
    <row r="46349" spans="25:25" x14ac:dyDescent="0.2">
      <c r="Y46349" s="97"/>
    </row>
    <row r="46350" spans="25:25" x14ac:dyDescent="0.2">
      <c r="Y46350" s="97"/>
    </row>
    <row r="46351" spans="25:25" x14ac:dyDescent="0.2">
      <c r="Y46351" s="97"/>
    </row>
    <row r="46352" spans="25:25" x14ac:dyDescent="0.2">
      <c r="Y46352" s="97"/>
    </row>
    <row r="46353" spans="25:25" x14ac:dyDescent="0.2">
      <c r="Y46353" s="97"/>
    </row>
    <row r="46354" spans="25:25" x14ac:dyDescent="0.2">
      <c r="Y46354" s="97"/>
    </row>
    <row r="46355" spans="25:25" x14ac:dyDescent="0.2">
      <c r="Y46355" s="97"/>
    </row>
    <row r="46356" spans="25:25" x14ac:dyDescent="0.2">
      <c r="Y46356" s="97"/>
    </row>
    <row r="46357" spans="25:25" x14ac:dyDescent="0.2">
      <c r="Y46357" s="97"/>
    </row>
    <row r="46358" spans="25:25" x14ac:dyDescent="0.2">
      <c r="Y46358" s="97"/>
    </row>
    <row r="46359" spans="25:25" x14ac:dyDescent="0.2">
      <c r="Y46359" s="97"/>
    </row>
    <row r="46360" spans="25:25" x14ac:dyDescent="0.2">
      <c r="Y46360" s="97"/>
    </row>
    <row r="46361" spans="25:25" x14ac:dyDescent="0.2">
      <c r="Y46361" s="97"/>
    </row>
    <row r="46362" spans="25:25" x14ac:dyDescent="0.2">
      <c r="Y46362" s="97"/>
    </row>
    <row r="46363" spans="25:25" x14ac:dyDescent="0.2">
      <c r="Y46363" s="97"/>
    </row>
    <row r="46364" spans="25:25" x14ac:dyDescent="0.2">
      <c r="Y46364" s="97"/>
    </row>
    <row r="46365" spans="25:25" x14ac:dyDescent="0.2">
      <c r="Y46365" s="97"/>
    </row>
    <row r="46366" spans="25:25" x14ac:dyDescent="0.2">
      <c r="Y46366" s="97"/>
    </row>
    <row r="46367" spans="25:25" x14ac:dyDescent="0.2">
      <c r="Y46367" s="97"/>
    </row>
    <row r="46368" spans="25:25" x14ac:dyDescent="0.2">
      <c r="Y46368" s="97"/>
    </row>
    <row r="46369" spans="25:25" x14ac:dyDescent="0.2">
      <c r="Y46369" s="97"/>
    </row>
    <row r="46370" spans="25:25" x14ac:dyDescent="0.2">
      <c r="Y46370" s="97"/>
    </row>
    <row r="46371" spans="25:25" x14ac:dyDescent="0.2">
      <c r="Y46371" s="97"/>
    </row>
    <row r="46372" spans="25:25" x14ac:dyDescent="0.2">
      <c r="Y46372" s="97"/>
    </row>
    <row r="46373" spans="25:25" x14ac:dyDescent="0.2">
      <c r="Y46373" s="97"/>
    </row>
    <row r="46374" spans="25:25" x14ac:dyDescent="0.2">
      <c r="Y46374" s="97"/>
    </row>
    <row r="46375" spans="25:25" x14ac:dyDescent="0.2">
      <c r="Y46375" s="97"/>
    </row>
    <row r="46376" spans="25:25" x14ac:dyDescent="0.2">
      <c r="Y46376" s="97"/>
    </row>
    <row r="46377" spans="25:25" x14ac:dyDescent="0.2">
      <c r="Y46377" s="97"/>
    </row>
    <row r="46378" spans="25:25" x14ac:dyDescent="0.2">
      <c r="Y46378" s="97"/>
    </row>
    <row r="46379" spans="25:25" x14ac:dyDescent="0.2">
      <c r="Y46379" s="97"/>
    </row>
    <row r="46380" spans="25:25" x14ac:dyDescent="0.2">
      <c r="Y46380" s="97"/>
    </row>
    <row r="46381" spans="25:25" x14ac:dyDescent="0.2">
      <c r="Y46381" s="97"/>
    </row>
    <row r="46382" spans="25:25" x14ac:dyDescent="0.2">
      <c r="Y46382" s="97"/>
    </row>
    <row r="46383" spans="25:25" x14ac:dyDescent="0.2">
      <c r="Y46383" s="97"/>
    </row>
    <row r="46384" spans="25:25" x14ac:dyDescent="0.2">
      <c r="Y46384" s="97"/>
    </row>
    <row r="46385" spans="25:25" x14ac:dyDescent="0.2">
      <c r="Y46385" s="97"/>
    </row>
    <row r="46386" spans="25:25" x14ac:dyDescent="0.2">
      <c r="Y46386" s="97"/>
    </row>
    <row r="46387" spans="25:25" x14ac:dyDescent="0.2">
      <c r="Y46387" s="97"/>
    </row>
    <row r="46388" spans="25:25" x14ac:dyDescent="0.2">
      <c r="Y46388" s="97"/>
    </row>
    <row r="46389" spans="25:25" x14ac:dyDescent="0.2">
      <c r="Y46389" s="97"/>
    </row>
    <row r="46390" spans="25:25" x14ac:dyDescent="0.2">
      <c r="Y46390" s="97"/>
    </row>
    <row r="46391" spans="25:25" x14ac:dyDescent="0.2">
      <c r="Y46391" s="97"/>
    </row>
    <row r="46392" spans="25:25" x14ac:dyDescent="0.2">
      <c r="Y46392" s="97"/>
    </row>
    <row r="46393" spans="25:25" x14ac:dyDescent="0.2">
      <c r="Y46393" s="97"/>
    </row>
    <row r="46394" spans="25:25" x14ac:dyDescent="0.2">
      <c r="Y46394" s="97"/>
    </row>
    <row r="46395" spans="25:25" x14ac:dyDescent="0.2">
      <c r="Y46395" s="97"/>
    </row>
    <row r="46396" spans="25:25" x14ac:dyDescent="0.2">
      <c r="Y46396" s="97"/>
    </row>
    <row r="46397" spans="25:25" x14ac:dyDescent="0.2">
      <c r="Y46397" s="97"/>
    </row>
    <row r="46398" spans="25:25" x14ac:dyDescent="0.2">
      <c r="Y46398" s="97"/>
    </row>
    <row r="46399" spans="25:25" x14ac:dyDescent="0.2">
      <c r="Y46399" s="97"/>
    </row>
    <row r="46400" spans="25:25" x14ac:dyDescent="0.2">
      <c r="Y46400" s="97"/>
    </row>
    <row r="46401" spans="25:25" x14ac:dyDescent="0.2">
      <c r="Y46401" s="97"/>
    </row>
    <row r="46402" spans="25:25" x14ac:dyDescent="0.2">
      <c r="Y46402" s="97"/>
    </row>
    <row r="46403" spans="25:25" x14ac:dyDescent="0.2">
      <c r="Y46403" s="97"/>
    </row>
    <row r="46404" spans="25:25" x14ac:dyDescent="0.2">
      <c r="Y46404" s="97"/>
    </row>
    <row r="46405" spans="25:25" x14ac:dyDescent="0.2">
      <c r="Y46405" s="97"/>
    </row>
    <row r="46406" spans="25:25" x14ac:dyDescent="0.2">
      <c r="Y46406" s="97"/>
    </row>
    <row r="46407" spans="25:25" x14ac:dyDescent="0.2">
      <c r="Y46407" s="97"/>
    </row>
    <row r="46408" spans="25:25" x14ac:dyDescent="0.2">
      <c r="Y46408" s="97"/>
    </row>
    <row r="46409" spans="25:25" x14ac:dyDescent="0.2">
      <c r="Y46409" s="97"/>
    </row>
    <row r="46410" spans="25:25" x14ac:dyDescent="0.2">
      <c r="Y46410" s="97"/>
    </row>
    <row r="46411" spans="25:25" x14ac:dyDescent="0.2">
      <c r="Y46411" s="97"/>
    </row>
    <row r="46412" spans="25:25" x14ac:dyDescent="0.2">
      <c r="Y46412" s="97"/>
    </row>
    <row r="46413" spans="25:25" x14ac:dyDescent="0.2">
      <c r="Y46413" s="97"/>
    </row>
    <row r="46414" spans="25:25" x14ac:dyDescent="0.2">
      <c r="Y46414" s="97"/>
    </row>
    <row r="46415" spans="25:25" x14ac:dyDescent="0.2">
      <c r="Y46415" s="97"/>
    </row>
    <row r="46416" spans="25:25" x14ac:dyDescent="0.2">
      <c r="Y46416" s="97"/>
    </row>
    <row r="46417" spans="25:25" x14ac:dyDescent="0.2">
      <c r="Y46417" s="97"/>
    </row>
    <row r="46418" spans="25:25" x14ac:dyDescent="0.2">
      <c r="Y46418" s="97"/>
    </row>
    <row r="46419" spans="25:25" x14ac:dyDescent="0.2">
      <c r="Y46419" s="97"/>
    </row>
    <row r="46420" spans="25:25" x14ac:dyDescent="0.2">
      <c r="Y46420" s="97"/>
    </row>
    <row r="46421" spans="25:25" x14ac:dyDescent="0.2">
      <c r="Y46421" s="97"/>
    </row>
    <row r="46422" spans="25:25" x14ac:dyDescent="0.2">
      <c r="Y46422" s="97"/>
    </row>
    <row r="46423" spans="25:25" x14ac:dyDescent="0.2">
      <c r="Y46423" s="97"/>
    </row>
    <row r="46424" spans="25:25" x14ac:dyDescent="0.2">
      <c r="Y46424" s="97"/>
    </row>
    <row r="46425" spans="25:25" x14ac:dyDescent="0.2">
      <c r="Y46425" s="97"/>
    </row>
    <row r="46426" spans="25:25" x14ac:dyDescent="0.2">
      <c r="Y46426" s="97"/>
    </row>
    <row r="46427" spans="25:25" x14ac:dyDescent="0.2">
      <c r="Y46427" s="97"/>
    </row>
    <row r="46428" spans="25:25" x14ac:dyDescent="0.2">
      <c r="Y46428" s="97"/>
    </row>
    <row r="46429" spans="25:25" x14ac:dyDescent="0.2">
      <c r="Y46429" s="97"/>
    </row>
    <row r="46430" spans="25:25" x14ac:dyDescent="0.2">
      <c r="Y46430" s="97"/>
    </row>
    <row r="46431" spans="25:25" x14ac:dyDescent="0.2">
      <c r="Y46431" s="97"/>
    </row>
    <row r="46432" spans="25:25" x14ac:dyDescent="0.2">
      <c r="Y46432" s="97"/>
    </row>
    <row r="46433" spans="25:25" x14ac:dyDescent="0.2">
      <c r="Y46433" s="97"/>
    </row>
    <row r="46434" spans="25:25" x14ac:dyDescent="0.2">
      <c r="Y46434" s="97"/>
    </row>
    <row r="46435" spans="25:25" x14ac:dyDescent="0.2">
      <c r="Y46435" s="97"/>
    </row>
    <row r="46436" spans="25:25" x14ac:dyDescent="0.2">
      <c r="Y46436" s="97"/>
    </row>
    <row r="46437" spans="25:25" x14ac:dyDescent="0.2">
      <c r="Y46437" s="97"/>
    </row>
    <row r="46438" spans="25:25" x14ac:dyDescent="0.2">
      <c r="Y46438" s="97"/>
    </row>
    <row r="46439" spans="25:25" x14ac:dyDescent="0.2">
      <c r="Y46439" s="97"/>
    </row>
    <row r="46440" spans="25:25" x14ac:dyDescent="0.2">
      <c r="Y46440" s="97"/>
    </row>
    <row r="46441" spans="25:25" x14ac:dyDescent="0.2">
      <c r="Y46441" s="97"/>
    </row>
    <row r="46442" spans="25:25" x14ac:dyDescent="0.2">
      <c r="Y46442" s="97"/>
    </row>
    <row r="46443" spans="25:25" x14ac:dyDescent="0.2">
      <c r="Y46443" s="97"/>
    </row>
    <row r="46444" spans="25:25" x14ac:dyDescent="0.2">
      <c r="Y46444" s="97"/>
    </row>
    <row r="46445" spans="25:25" x14ac:dyDescent="0.2">
      <c r="Y46445" s="97"/>
    </row>
    <row r="46446" spans="25:25" x14ac:dyDescent="0.2">
      <c r="Y46446" s="97"/>
    </row>
    <row r="46447" spans="25:25" x14ac:dyDescent="0.2">
      <c r="Y46447" s="97"/>
    </row>
    <row r="46448" spans="25:25" x14ac:dyDescent="0.2">
      <c r="Y46448" s="97"/>
    </row>
    <row r="46449" spans="25:25" x14ac:dyDescent="0.2">
      <c r="Y46449" s="97"/>
    </row>
    <row r="46450" spans="25:25" x14ac:dyDescent="0.2">
      <c r="Y46450" s="97"/>
    </row>
    <row r="46451" spans="25:25" x14ac:dyDescent="0.2">
      <c r="Y46451" s="97"/>
    </row>
    <row r="46452" spans="25:25" x14ac:dyDescent="0.2">
      <c r="Y46452" s="97"/>
    </row>
    <row r="46453" spans="25:25" x14ac:dyDescent="0.2">
      <c r="Y46453" s="97"/>
    </row>
    <row r="46454" spans="25:25" x14ac:dyDescent="0.2">
      <c r="Y46454" s="97"/>
    </row>
    <row r="46455" spans="25:25" x14ac:dyDescent="0.2">
      <c r="Y46455" s="97"/>
    </row>
    <row r="46456" spans="25:25" x14ac:dyDescent="0.2">
      <c r="Y46456" s="97"/>
    </row>
    <row r="46457" spans="25:25" x14ac:dyDescent="0.2">
      <c r="Y46457" s="97"/>
    </row>
    <row r="46458" spans="25:25" x14ac:dyDescent="0.2">
      <c r="Y46458" s="97"/>
    </row>
    <row r="46459" spans="25:25" x14ac:dyDescent="0.2">
      <c r="Y46459" s="97"/>
    </row>
    <row r="46460" spans="25:25" x14ac:dyDescent="0.2">
      <c r="Y46460" s="97"/>
    </row>
    <row r="46461" spans="25:25" x14ac:dyDescent="0.2">
      <c r="Y46461" s="97"/>
    </row>
    <row r="46462" spans="25:25" x14ac:dyDescent="0.2">
      <c r="Y46462" s="97"/>
    </row>
    <row r="46463" spans="25:25" x14ac:dyDescent="0.2">
      <c r="Y46463" s="97"/>
    </row>
    <row r="46464" spans="25:25" x14ac:dyDescent="0.2">
      <c r="Y46464" s="97"/>
    </row>
    <row r="46465" spans="25:25" x14ac:dyDescent="0.2">
      <c r="Y46465" s="97"/>
    </row>
    <row r="46466" spans="25:25" x14ac:dyDescent="0.2">
      <c r="Y46466" s="97"/>
    </row>
    <row r="46467" spans="25:25" x14ac:dyDescent="0.2">
      <c r="Y46467" s="97"/>
    </row>
    <row r="46468" spans="25:25" x14ac:dyDescent="0.2">
      <c r="Y46468" s="97"/>
    </row>
    <row r="46469" spans="25:25" x14ac:dyDescent="0.2">
      <c r="Y46469" s="97"/>
    </row>
    <row r="46470" spans="25:25" x14ac:dyDescent="0.2">
      <c r="Y46470" s="97"/>
    </row>
    <row r="46471" spans="25:25" x14ac:dyDescent="0.2">
      <c r="Y46471" s="97"/>
    </row>
    <row r="46472" spans="25:25" x14ac:dyDescent="0.2">
      <c r="Y46472" s="97"/>
    </row>
    <row r="46473" spans="25:25" x14ac:dyDescent="0.2">
      <c r="Y46473" s="97"/>
    </row>
    <row r="46474" spans="25:25" x14ac:dyDescent="0.2">
      <c r="Y46474" s="97"/>
    </row>
    <row r="46475" spans="25:25" x14ac:dyDescent="0.2">
      <c r="Y46475" s="97"/>
    </row>
    <row r="46476" spans="25:25" x14ac:dyDescent="0.2">
      <c r="Y46476" s="97"/>
    </row>
    <row r="46477" spans="25:25" x14ac:dyDescent="0.2">
      <c r="Y46477" s="97"/>
    </row>
    <row r="46478" spans="25:25" x14ac:dyDescent="0.2">
      <c r="Y46478" s="97"/>
    </row>
    <row r="46479" spans="25:25" x14ac:dyDescent="0.2">
      <c r="Y46479" s="97"/>
    </row>
    <row r="46480" spans="25:25" x14ac:dyDescent="0.2">
      <c r="Y46480" s="97"/>
    </row>
    <row r="46481" spans="25:25" x14ac:dyDescent="0.2">
      <c r="Y46481" s="97"/>
    </row>
    <row r="46482" spans="25:25" x14ac:dyDescent="0.2">
      <c r="Y46482" s="97"/>
    </row>
    <row r="46483" spans="25:25" x14ac:dyDescent="0.2">
      <c r="Y46483" s="97"/>
    </row>
    <row r="46484" spans="25:25" x14ac:dyDescent="0.2">
      <c r="Y46484" s="97"/>
    </row>
    <row r="46485" spans="25:25" x14ac:dyDescent="0.2">
      <c r="Y46485" s="97"/>
    </row>
    <row r="46486" spans="25:25" x14ac:dyDescent="0.2">
      <c r="Y46486" s="97"/>
    </row>
    <row r="46487" spans="25:25" x14ac:dyDescent="0.2">
      <c r="Y46487" s="97"/>
    </row>
    <row r="46488" spans="25:25" x14ac:dyDescent="0.2">
      <c r="Y46488" s="97"/>
    </row>
    <row r="46489" spans="25:25" x14ac:dyDescent="0.2">
      <c r="Y46489" s="97"/>
    </row>
    <row r="46490" spans="25:25" x14ac:dyDescent="0.2">
      <c r="Y46490" s="97"/>
    </row>
    <row r="46491" spans="25:25" x14ac:dyDescent="0.2">
      <c r="Y46491" s="97"/>
    </row>
    <row r="46492" spans="25:25" x14ac:dyDescent="0.2">
      <c r="Y46492" s="97"/>
    </row>
    <row r="46493" spans="25:25" x14ac:dyDescent="0.2">
      <c r="Y46493" s="97"/>
    </row>
    <row r="46494" spans="25:25" x14ac:dyDescent="0.2">
      <c r="Y46494" s="97"/>
    </row>
    <row r="46495" spans="25:25" x14ac:dyDescent="0.2">
      <c r="Y46495" s="97"/>
    </row>
    <row r="46496" spans="25:25" x14ac:dyDescent="0.2">
      <c r="Y46496" s="97"/>
    </row>
    <row r="46497" spans="25:25" x14ac:dyDescent="0.2">
      <c r="Y46497" s="97"/>
    </row>
    <row r="46498" spans="25:25" x14ac:dyDescent="0.2">
      <c r="Y46498" s="97"/>
    </row>
    <row r="46499" spans="25:25" x14ac:dyDescent="0.2">
      <c r="Y46499" s="97"/>
    </row>
    <row r="46500" spans="25:25" x14ac:dyDescent="0.2">
      <c r="Y46500" s="97"/>
    </row>
    <row r="46501" spans="25:25" x14ac:dyDescent="0.2">
      <c r="Y46501" s="97"/>
    </row>
    <row r="46502" spans="25:25" x14ac:dyDescent="0.2">
      <c r="Y46502" s="97"/>
    </row>
    <row r="46503" spans="25:25" x14ac:dyDescent="0.2">
      <c r="Y46503" s="97"/>
    </row>
    <row r="46504" spans="25:25" x14ac:dyDescent="0.2">
      <c r="Y46504" s="97"/>
    </row>
    <row r="46505" spans="25:25" x14ac:dyDescent="0.2">
      <c r="Y46505" s="97"/>
    </row>
    <row r="46506" spans="25:25" x14ac:dyDescent="0.2">
      <c r="Y46506" s="97"/>
    </row>
    <row r="46507" spans="25:25" x14ac:dyDescent="0.2">
      <c r="Y46507" s="97"/>
    </row>
    <row r="46508" spans="25:25" x14ac:dyDescent="0.2">
      <c r="Y46508" s="97"/>
    </row>
    <row r="46509" spans="25:25" x14ac:dyDescent="0.2">
      <c r="Y46509" s="97"/>
    </row>
    <row r="46510" spans="25:25" x14ac:dyDescent="0.2">
      <c r="Y46510" s="97"/>
    </row>
    <row r="46511" spans="25:25" x14ac:dyDescent="0.2">
      <c r="Y46511" s="97"/>
    </row>
    <row r="46512" spans="25:25" x14ac:dyDescent="0.2">
      <c r="Y46512" s="97"/>
    </row>
    <row r="46513" spans="25:25" x14ac:dyDescent="0.2">
      <c r="Y46513" s="97"/>
    </row>
    <row r="46514" spans="25:25" x14ac:dyDescent="0.2">
      <c r="Y46514" s="97"/>
    </row>
    <row r="46515" spans="25:25" x14ac:dyDescent="0.2">
      <c r="Y46515" s="97"/>
    </row>
    <row r="46516" spans="25:25" x14ac:dyDescent="0.2">
      <c r="Y46516" s="97"/>
    </row>
    <row r="46517" spans="25:25" x14ac:dyDescent="0.2">
      <c r="Y46517" s="97"/>
    </row>
    <row r="46518" spans="25:25" x14ac:dyDescent="0.2">
      <c r="Y46518" s="97"/>
    </row>
    <row r="46519" spans="25:25" x14ac:dyDescent="0.2">
      <c r="Y46519" s="97"/>
    </row>
    <row r="46520" spans="25:25" x14ac:dyDescent="0.2">
      <c r="Y46520" s="97"/>
    </row>
    <row r="46521" spans="25:25" x14ac:dyDescent="0.2">
      <c r="Y46521" s="97"/>
    </row>
    <row r="46522" spans="25:25" x14ac:dyDescent="0.2">
      <c r="Y46522" s="97"/>
    </row>
    <row r="46523" spans="25:25" x14ac:dyDescent="0.2">
      <c r="Y46523" s="97"/>
    </row>
    <row r="46524" spans="25:25" x14ac:dyDescent="0.2">
      <c r="Y46524" s="97"/>
    </row>
    <row r="46525" spans="25:25" x14ac:dyDescent="0.2">
      <c r="Y46525" s="97"/>
    </row>
    <row r="46526" spans="25:25" x14ac:dyDescent="0.2">
      <c r="Y46526" s="97"/>
    </row>
    <row r="46527" spans="25:25" x14ac:dyDescent="0.2">
      <c r="Y46527" s="97"/>
    </row>
    <row r="46528" spans="25:25" x14ac:dyDescent="0.2">
      <c r="Y46528" s="97"/>
    </row>
    <row r="46529" spans="25:25" x14ac:dyDescent="0.2">
      <c r="Y46529" s="97"/>
    </row>
    <row r="46530" spans="25:25" x14ac:dyDescent="0.2">
      <c r="Y46530" s="97"/>
    </row>
    <row r="46531" spans="25:25" x14ac:dyDescent="0.2">
      <c r="Y46531" s="97"/>
    </row>
    <row r="46532" spans="25:25" x14ac:dyDescent="0.2">
      <c r="Y46532" s="97"/>
    </row>
    <row r="46533" spans="25:25" x14ac:dyDescent="0.2">
      <c r="Y46533" s="97"/>
    </row>
    <row r="46534" spans="25:25" x14ac:dyDescent="0.2">
      <c r="Y46534" s="97"/>
    </row>
    <row r="46535" spans="25:25" x14ac:dyDescent="0.2">
      <c r="Y46535" s="97"/>
    </row>
    <row r="46536" spans="25:25" x14ac:dyDescent="0.2">
      <c r="Y46536" s="97"/>
    </row>
    <row r="46537" spans="25:25" x14ac:dyDescent="0.2">
      <c r="Y46537" s="97"/>
    </row>
    <row r="46538" spans="25:25" x14ac:dyDescent="0.2">
      <c r="Y46538" s="97"/>
    </row>
    <row r="46539" spans="25:25" x14ac:dyDescent="0.2">
      <c r="Y46539" s="97"/>
    </row>
    <row r="46540" spans="25:25" x14ac:dyDescent="0.2">
      <c r="Y46540" s="97"/>
    </row>
    <row r="46541" spans="25:25" x14ac:dyDescent="0.2">
      <c r="Y46541" s="97"/>
    </row>
    <row r="46542" spans="25:25" x14ac:dyDescent="0.2">
      <c r="Y46542" s="97"/>
    </row>
    <row r="46543" spans="25:25" x14ac:dyDescent="0.2">
      <c r="Y46543" s="97"/>
    </row>
    <row r="46544" spans="25:25" x14ac:dyDescent="0.2">
      <c r="Y46544" s="97"/>
    </row>
    <row r="46545" spans="25:25" x14ac:dyDescent="0.2">
      <c r="Y46545" s="97"/>
    </row>
    <row r="46546" spans="25:25" x14ac:dyDescent="0.2">
      <c r="Y46546" s="97"/>
    </row>
    <row r="46547" spans="25:25" x14ac:dyDescent="0.2">
      <c r="Y46547" s="97"/>
    </row>
    <row r="46548" spans="25:25" x14ac:dyDescent="0.2">
      <c r="Y46548" s="97"/>
    </row>
    <row r="46549" spans="25:25" x14ac:dyDescent="0.2">
      <c r="Y46549" s="97"/>
    </row>
    <row r="46550" spans="25:25" x14ac:dyDescent="0.2">
      <c r="Y46550" s="97"/>
    </row>
    <row r="46551" spans="25:25" x14ac:dyDescent="0.2">
      <c r="Y46551" s="97"/>
    </row>
    <row r="46552" spans="25:25" x14ac:dyDescent="0.2">
      <c r="Y46552" s="97"/>
    </row>
    <row r="46553" spans="25:25" x14ac:dyDescent="0.2">
      <c r="Y46553" s="97"/>
    </row>
    <row r="46554" spans="25:25" x14ac:dyDescent="0.2">
      <c r="Y46554" s="97"/>
    </row>
    <row r="46555" spans="25:25" x14ac:dyDescent="0.2">
      <c r="Y46555" s="97"/>
    </row>
    <row r="46556" spans="25:25" x14ac:dyDescent="0.2">
      <c r="Y46556" s="97"/>
    </row>
    <row r="46557" spans="25:25" x14ac:dyDescent="0.2">
      <c r="Y46557" s="97"/>
    </row>
    <row r="46558" spans="25:25" x14ac:dyDescent="0.2">
      <c r="Y46558" s="97"/>
    </row>
    <row r="46559" spans="25:25" x14ac:dyDescent="0.2">
      <c r="Y46559" s="97"/>
    </row>
    <row r="46560" spans="25:25" x14ac:dyDescent="0.2">
      <c r="Y46560" s="97"/>
    </row>
    <row r="46561" spans="25:25" x14ac:dyDescent="0.2">
      <c r="Y46561" s="97"/>
    </row>
    <row r="46562" spans="25:25" x14ac:dyDescent="0.2">
      <c r="Y46562" s="97"/>
    </row>
    <row r="46563" spans="25:25" x14ac:dyDescent="0.2">
      <c r="Y46563" s="97"/>
    </row>
    <row r="46564" spans="25:25" x14ac:dyDescent="0.2">
      <c r="Y46564" s="97"/>
    </row>
    <row r="46565" spans="25:25" x14ac:dyDescent="0.2">
      <c r="Y46565" s="97"/>
    </row>
    <row r="46566" spans="25:25" x14ac:dyDescent="0.2">
      <c r="Y46566" s="97"/>
    </row>
    <row r="46567" spans="25:25" x14ac:dyDescent="0.2">
      <c r="Y46567" s="97"/>
    </row>
    <row r="46568" spans="25:25" x14ac:dyDescent="0.2">
      <c r="Y46568" s="97"/>
    </row>
    <row r="46569" spans="25:25" x14ac:dyDescent="0.2">
      <c r="Y46569" s="97"/>
    </row>
    <row r="46570" spans="25:25" x14ac:dyDescent="0.2">
      <c r="Y46570" s="97"/>
    </row>
    <row r="46571" spans="25:25" x14ac:dyDescent="0.2">
      <c r="Y46571" s="97"/>
    </row>
    <row r="46572" spans="25:25" x14ac:dyDescent="0.2">
      <c r="Y46572" s="97"/>
    </row>
    <row r="46573" spans="25:25" x14ac:dyDescent="0.2">
      <c r="Y46573" s="97"/>
    </row>
    <row r="46574" spans="25:25" x14ac:dyDescent="0.2">
      <c r="Y46574" s="97"/>
    </row>
    <row r="46575" spans="25:25" x14ac:dyDescent="0.2">
      <c r="Y46575" s="97"/>
    </row>
    <row r="46576" spans="25:25" x14ac:dyDescent="0.2">
      <c r="Y46576" s="97"/>
    </row>
    <row r="46577" spans="25:25" x14ac:dyDescent="0.2">
      <c r="Y46577" s="97"/>
    </row>
    <row r="46578" spans="25:25" x14ac:dyDescent="0.2">
      <c r="Y46578" s="97"/>
    </row>
    <row r="46579" spans="25:25" x14ac:dyDescent="0.2">
      <c r="Y46579" s="97"/>
    </row>
    <row r="46580" spans="25:25" x14ac:dyDescent="0.2">
      <c r="Y46580" s="97"/>
    </row>
    <row r="46581" spans="25:25" x14ac:dyDescent="0.2">
      <c r="Y46581" s="97"/>
    </row>
    <row r="46582" spans="25:25" x14ac:dyDescent="0.2">
      <c r="Y46582" s="97"/>
    </row>
    <row r="46583" spans="25:25" x14ac:dyDescent="0.2">
      <c r="Y46583" s="97"/>
    </row>
    <row r="46584" spans="25:25" x14ac:dyDescent="0.2">
      <c r="Y46584" s="97"/>
    </row>
    <row r="46585" spans="25:25" x14ac:dyDescent="0.2">
      <c r="Y46585" s="97"/>
    </row>
    <row r="46586" spans="25:25" x14ac:dyDescent="0.2">
      <c r="Y46586" s="97"/>
    </row>
    <row r="46587" spans="25:25" x14ac:dyDescent="0.2">
      <c r="Y46587" s="97"/>
    </row>
    <row r="46588" spans="25:25" x14ac:dyDescent="0.2">
      <c r="Y46588" s="97"/>
    </row>
    <row r="46589" spans="25:25" x14ac:dyDescent="0.2">
      <c r="Y46589" s="97"/>
    </row>
    <row r="46590" spans="25:25" x14ac:dyDescent="0.2">
      <c r="Y46590" s="97"/>
    </row>
    <row r="46591" spans="25:25" x14ac:dyDescent="0.2">
      <c r="Y46591" s="97"/>
    </row>
    <row r="46592" spans="25:25" x14ac:dyDescent="0.2">
      <c r="Y46592" s="97"/>
    </row>
    <row r="46593" spans="25:25" x14ac:dyDescent="0.2">
      <c r="Y46593" s="97"/>
    </row>
    <row r="46594" spans="25:25" x14ac:dyDescent="0.2">
      <c r="Y46594" s="97"/>
    </row>
    <row r="46595" spans="25:25" x14ac:dyDescent="0.2">
      <c r="Y46595" s="97"/>
    </row>
    <row r="46596" spans="25:25" x14ac:dyDescent="0.2">
      <c r="Y46596" s="97"/>
    </row>
    <row r="46597" spans="25:25" x14ac:dyDescent="0.2">
      <c r="Y46597" s="97"/>
    </row>
    <row r="46598" spans="25:25" x14ac:dyDescent="0.2">
      <c r="Y46598" s="97"/>
    </row>
    <row r="46599" spans="25:25" x14ac:dyDescent="0.2">
      <c r="Y46599" s="97"/>
    </row>
    <row r="46600" spans="25:25" x14ac:dyDescent="0.2">
      <c r="Y46600" s="97"/>
    </row>
    <row r="46601" spans="25:25" x14ac:dyDescent="0.2">
      <c r="Y46601" s="97"/>
    </row>
    <row r="46602" spans="25:25" x14ac:dyDescent="0.2">
      <c r="Y46602" s="97"/>
    </row>
    <row r="46603" spans="25:25" x14ac:dyDescent="0.2">
      <c r="Y46603" s="97"/>
    </row>
    <row r="46604" spans="25:25" x14ac:dyDescent="0.2">
      <c r="Y46604" s="97"/>
    </row>
    <row r="46605" spans="25:25" x14ac:dyDescent="0.2">
      <c r="Y46605" s="97"/>
    </row>
    <row r="46606" spans="25:25" x14ac:dyDescent="0.2">
      <c r="Y46606" s="97"/>
    </row>
    <row r="46607" spans="25:25" x14ac:dyDescent="0.2">
      <c r="Y46607" s="97"/>
    </row>
    <row r="46608" spans="25:25" x14ac:dyDescent="0.2">
      <c r="Y46608" s="97"/>
    </row>
    <row r="46609" spans="25:25" x14ac:dyDescent="0.2">
      <c r="Y46609" s="97"/>
    </row>
    <row r="46610" spans="25:25" x14ac:dyDescent="0.2">
      <c r="Y46610" s="97"/>
    </row>
    <row r="46611" spans="25:25" x14ac:dyDescent="0.2">
      <c r="Y46611" s="97"/>
    </row>
    <row r="46612" spans="25:25" x14ac:dyDescent="0.2">
      <c r="Y46612" s="97"/>
    </row>
    <row r="46613" spans="25:25" x14ac:dyDescent="0.2">
      <c r="Y46613" s="97"/>
    </row>
    <row r="46614" spans="25:25" x14ac:dyDescent="0.2">
      <c r="Y46614" s="97"/>
    </row>
    <row r="46615" spans="25:25" x14ac:dyDescent="0.2">
      <c r="Y46615" s="97"/>
    </row>
    <row r="46616" spans="25:25" x14ac:dyDescent="0.2">
      <c r="Y46616" s="97"/>
    </row>
    <row r="46617" spans="25:25" x14ac:dyDescent="0.2">
      <c r="Y46617" s="97"/>
    </row>
    <row r="46618" spans="25:25" x14ac:dyDescent="0.2">
      <c r="Y46618" s="97"/>
    </row>
    <row r="46619" spans="25:25" x14ac:dyDescent="0.2">
      <c r="Y46619" s="97"/>
    </row>
    <row r="46620" spans="25:25" x14ac:dyDescent="0.2">
      <c r="Y46620" s="97"/>
    </row>
    <row r="46621" spans="25:25" x14ac:dyDescent="0.2">
      <c r="Y46621" s="97"/>
    </row>
    <row r="46622" spans="25:25" x14ac:dyDescent="0.2">
      <c r="Y46622" s="97"/>
    </row>
    <row r="46623" spans="25:25" x14ac:dyDescent="0.2">
      <c r="Y46623" s="97"/>
    </row>
    <row r="46624" spans="25:25" x14ac:dyDescent="0.2">
      <c r="Y46624" s="97"/>
    </row>
    <row r="46625" spans="25:25" x14ac:dyDescent="0.2">
      <c r="Y46625" s="97"/>
    </row>
    <row r="46626" spans="25:25" x14ac:dyDescent="0.2">
      <c r="Y46626" s="97"/>
    </row>
    <row r="46627" spans="25:25" x14ac:dyDescent="0.2">
      <c r="Y46627" s="97"/>
    </row>
    <row r="46628" spans="25:25" x14ac:dyDescent="0.2">
      <c r="Y46628" s="97"/>
    </row>
    <row r="46629" spans="25:25" x14ac:dyDescent="0.2">
      <c r="Y46629" s="97"/>
    </row>
    <row r="46630" spans="25:25" x14ac:dyDescent="0.2">
      <c r="Y46630" s="97"/>
    </row>
    <row r="46631" spans="25:25" x14ac:dyDescent="0.2">
      <c r="Y46631" s="97"/>
    </row>
    <row r="46632" spans="25:25" x14ac:dyDescent="0.2">
      <c r="Y46632" s="97"/>
    </row>
    <row r="46633" spans="25:25" x14ac:dyDescent="0.2">
      <c r="Y46633" s="97"/>
    </row>
    <row r="46634" spans="25:25" x14ac:dyDescent="0.2">
      <c r="Y46634" s="97"/>
    </row>
    <row r="46635" spans="25:25" x14ac:dyDescent="0.2">
      <c r="Y46635" s="97"/>
    </row>
    <row r="46636" spans="25:25" x14ac:dyDescent="0.2">
      <c r="Y46636" s="97"/>
    </row>
    <row r="46637" spans="25:25" x14ac:dyDescent="0.2">
      <c r="Y46637" s="97"/>
    </row>
    <row r="46638" spans="25:25" x14ac:dyDescent="0.2">
      <c r="Y46638" s="97"/>
    </row>
    <row r="46639" spans="25:25" x14ac:dyDescent="0.2">
      <c r="Y46639" s="97"/>
    </row>
    <row r="46640" spans="25:25" x14ac:dyDescent="0.2">
      <c r="Y46640" s="97"/>
    </row>
    <row r="46641" spans="25:25" x14ac:dyDescent="0.2">
      <c r="Y46641" s="97"/>
    </row>
    <row r="46642" spans="25:25" x14ac:dyDescent="0.2">
      <c r="Y46642" s="97"/>
    </row>
    <row r="46643" spans="25:25" x14ac:dyDescent="0.2">
      <c r="Y46643" s="97"/>
    </row>
    <row r="46644" spans="25:25" x14ac:dyDescent="0.2">
      <c r="Y46644" s="97"/>
    </row>
    <row r="46645" spans="25:25" x14ac:dyDescent="0.2">
      <c r="Y46645" s="97"/>
    </row>
    <row r="46646" spans="25:25" x14ac:dyDescent="0.2">
      <c r="Y46646" s="97"/>
    </row>
    <row r="46647" spans="25:25" x14ac:dyDescent="0.2">
      <c r="Y46647" s="97"/>
    </row>
    <row r="46648" spans="25:25" x14ac:dyDescent="0.2">
      <c r="Y46648" s="97"/>
    </row>
    <row r="46649" spans="25:25" x14ac:dyDescent="0.2">
      <c r="Y46649" s="97"/>
    </row>
    <row r="46650" spans="25:25" x14ac:dyDescent="0.2">
      <c r="Y46650" s="97"/>
    </row>
    <row r="46651" spans="25:25" x14ac:dyDescent="0.2">
      <c r="Y46651" s="97"/>
    </row>
    <row r="46652" spans="25:25" x14ac:dyDescent="0.2">
      <c r="Y46652" s="97"/>
    </row>
    <row r="46653" spans="25:25" x14ac:dyDescent="0.2">
      <c r="Y46653" s="97"/>
    </row>
    <row r="46654" spans="25:25" x14ac:dyDescent="0.2">
      <c r="Y46654" s="97"/>
    </row>
    <row r="46655" spans="25:25" x14ac:dyDescent="0.2">
      <c r="Y46655" s="97"/>
    </row>
    <row r="46656" spans="25:25" x14ac:dyDescent="0.2">
      <c r="Y46656" s="97"/>
    </row>
    <row r="46657" spans="25:25" x14ac:dyDescent="0.2">
      <c r="Y46657" s="97"/>
    </row>
    <row r="46658" spans="25:25" x14ac:dyDescent="0.2">
      <c r="Y46658" s="97"/>
    </row>
    <row r="46659" spans="25:25" x14ac:dyDescent="0.2">
      <c r="Y46659" s="97"/>
    </row>
    <row r="46660" spans="25:25" x14ac:dyDescent="0.2">
      <c r="Y46660" s="97"/>
    </row>
    <row r="46661" spans="25:25" x14ac:dyDescent="0.2">
      <c r="Y46661" s="97"/>
    </row>
    <row r="46662" spans="25:25" x14ac:dyDescent="0.2">
      <c r="Y46662" s="97"/>
    </row>
    <row r="46663" spans="25:25" x14ac:dyDescent="0.2">
      <c r="Y46663" s="97"/>
    </row>
    <row r="46664" spans="25:25" x14ac:dyDescent="0.2">
      <c r="Y46664" s="97"/>
    </row>
    <row r="46665" spans="25:25" x14ac:dyDescent="0.2">
      <c r="Y46665" s="97"/>
    </row>
    <row r="46666" spans="25:25" x14ac:dyDescent="0.2">
      <c r="Y46666" s="97"/>
    </row>
    <row r="46667" spans="25:25" x14ac:dyDescent="0.2">
      <c r="Y46667" s="97"/>
    </row>
    <row r="46668" spans="25:25" x14ac:dyDescent="0.2">
      <c r="Y46668" s="97"/>
    </row>
    <row r="46669" spans="25:25" x14ac:dyDescent="0.2">
      <c r="Y46669" s="97"/>
    </row>
    <row r="46670" spans="25:25" x14ac:dyDescent="0.2">
      <c r="Y46670" s="97"/>
    </row>
    <row r="46671" spans="25:25" x14ac:dyDescent="0.2">
      <c r="Y46671" s="97"/>
    </row>
    <row r="46672" spans="25:25" x14ac:dyDescent="0.2">
      <c r="Y46672" s="97"/>
    </row>
    <row r="46673" spans="25:25" x14ac:dyDescent="0.2">
      <c r="Y46673" s="97"/>
    </row>
    <row r="46674" spans="25:25" x14ac:dyDescent="0.2">
      <c r="Y46674" s="97"/>
    </row>
    <row r="46675" spans="25:25" x14ac:dyDescent="0.2">
      <c r="Y46675" s="97"/>
    </row>
    <row r="46676" spans="25:25" x14ac:dyDescent="0.2">
      <c r="Y46676" s="97"/>
    </row>
    <row r="46677" spans="25:25" x14ac:dyDescent="0.2">
      <c r="Y46677" s="97"/>
    </row>
    <row r="46678" spans="25:25" x14ac:dyDescent="0.2">
      <c r="Y46678" s="97"/>
    </row>
    <row r="46679" spans="25:25" x14ac:dyDescent="0.2">
      <c r="Y46679" s="97"/>
    </row>
    <row r="46680" spans="25:25" x14ac:dyDescent="0.2">
      <c r="Y46680" s="97"/>
    </row>
    <row r="46681" spans="25:25" x14ac:dyDescent="0.2">
      <c r="Y46681" s="97"/>
    </row>
    <row r="46682" spans="25:25" x14ac:dyDescent="0.2">
      <c r="Y46682" s="97"/>
    </row>
    <row r="46683" spans="25:25" x14ac:dyDescent="0.2">
      <c r="Y46683" s="97"/>
    </row>
    <row r="46684" spans="25:25" x14ac:dyDescent="0.2">
      <c r="Y46684" s="97"/>
    </row>
    <row r="46685" spans="25:25" x14ac:dyDescent="0.2">
      <c r="Y46685" s="97"/>
    </row>
    <row r="46686" spans="25:25" x14ac:dyDescent="0.2">
      <c r="Y46686" s="97"/>
    </row>
    <row r="46687" spans="25:25" x14ac:dyDescent="0.2">
      <c r="Y46687" s="97"/>
    </row>
    <row r="46688" spans="25:25" x14ac:dyDescent="0.2">
      <c r="Y46688" s="97"/>
    </row>
    <row r="46689" spans="25:25" x14ac:dyDescent="0.2">
      <c r="Y46689" s="97"/>
    </row>
    <row r="46690" spans="25:25" x14ac:dyDescent="0.2">
      <c r="Y46690" s="97"/>
    </row>
    <row r="46691" spans="25:25" x14ac:dyDescent="0.2">
      <c r="Y46691" s="97"/>
    </row>
    <row r="46692" spans="25:25" x14ac:dyDescent="0.2">
      <c r="Y46692" s="97"/>
    </row>
    <row r="46693" spans="25:25" x14ac:dyDescent="0.2">
      <c r="Y46693" s="97"/>
    </row>
    <row r="46694" spans="25:25" x14ac:dyDescent="0.2">
      <c r="Y46694" s="97"/>
    </row>
    <row r="46695" spans="25:25" x14ac:dyDescent="0.2">
      <c r="Y46695" s="97"/>
    </row>
    <row r="46696" spans="25:25" x14ac:dyDescent="0.2">
      <c r="Y46696" s="97"/>
    </row>
    <row r="46697" spans="25:25" x14ac:dyDescent="0.2">
      <c r="Y46697" s="97"/>
    </row>
    <row r="46698" spans="25:25" x14ac:dyDescent="0.2">
      <c r="Y46698" s="97"/>
    </row>
    <row r="46699" spans="25:25" x14ac:dyDescent="0.2">
      <c r="Y46699" s="97"/>
    </row>
    <row r="46700" spans="25:25" x14ac:dyDescent="0.2">
      <c r="Y46700" s="97"/>
    </row>
    <row r="46701" spans="25:25" x14ac:dyDescent="0.2">
      <c r="Y46701" s="97"/>
    </row>
    <row r="46702" spans="25:25" x14ac:dyDescent="0.2">
      <c r="Y46702" s="97"/>
    </row>
    <row r="46703" spans="25:25" x14ac:dyDescent="0.2">
      <c r="Y46703" s="97"/>
    </row>
    <row r="46704" spans="25:25" x14ac:dyDescent="0.2">
      <c r="Y46704" s="97"/>
    </row>
    <row r="46705" spans="25:25" x14ac:dyDescent="0.2">
      <c r="Y46705" s="97"/>
    </row>
    <row r="46706" spans="25:25" x14ac:dyDescent="0.2">
      <c r="Y46706" s="97"/>
    </row>
    <row r="46707" spans="25:25" x14ac:dyDescent="0.2">
      <c r="Y46707" s="97"/>
    </row>
    <row r="46708" spans="25:25" x14ac:dyDescent="0.2">
      <c r="Y46708" s="97"/>
    </row>
    <row r="46709" spans="25:25" x14ac:dyDescent="0.2">
      <c r="Y46709" s="97"/>
    </row>
    <row r="46710" spans="25:25" x14ac:dyDescent="0.2">
      <c r="Y46710" s="97"/>
    </row>
    <row r="46711" spans="25:25" x14ac:dyDescent="0.2">
      <c r="Y46711" s="97"/>
    </row>
    <row r="46712" spans="25:25" x14ac:dyDescent="0.2">
      <c r="Y46712" s="97"/>
    </row>
    <row r="46713" spans="25:25" x14ac:dyDescent="0.2">
      <c r="Y46713" s="97"/>
    </row>
    <row r="46714" spans="25:25" x14ac:dyDescent="0.2">
      <c r="Y46714" s="97"/>
    </row>
    <row r="46715" spans="25:25" x14ac:dyDescent="0.2">
      <c r="Y46715" s="97"/>
    </row>
    <row r="46716" spans="25:25" x14ac:dyDescent="0.2">
      <c r="Y46716" s="97"/>
    </row>
    <row r="46717" spans="25:25" x14ac:dyDescent="0.2">
      <c r="Y46717" s="97"/>
    </row>
    <row r="46718" spans="25:25" x14ac:dyDescent="0.2">
      <c r="Y46718" s="97"/>
    </row>
    <row r="46719" spans="25:25" x14ac:dyDescent="0.2">
      <c r="Y46719" s="97"/>
    </row>
    <row r="46720" spans="25:25" x14ac:dyDescent="0.2">
      <c r="Y46720" s="97"/>
    </row>
    <row r="46721" spans="25:25" x14ac:dyDescent="0.2">
      <c r="Y46721" s="97"/>
    </row>
    <row r="46722" spans="25:25" x14ac:dyDescent="0.2">
      <c r="Y46722" s="97"/>
    </row>
    <row r="46723" spans="25:25" x14ac:dyDescent="0.2">
      <c r="Y46723" s="97"/>
    </row>
    <row r="46724" spans="25:25" x14ac:dyDescent="0.2">
      <c r="Y46724" s="97"/>
    </row>
    <row r="46725" spans="25:25" x14ac:dyDescent="0.2">
      <c r="Y46725" s="97"/>
    </row>
    <row r="46726" spans="25:25" x14ac:dyDescent="0.2">
      <c r="Y46726" s="97"/>
    </row>
    <row r="46727" spans="25:25" x14ac:dyDescent="0.2">
      <c r="Y46727" s="97"/>
    </row>
    <row r="46728" spans="25:25" x14ac:dyDescent="0.2">
      <c r="Y46728" s="97"/>
    </row>
    <row r="46729" spans="25:25" x14ac:dyDescent="0.2">
      <c r="Y46729" s="97"/>
    </row>
    <row r="46730" spans="25:25" x14ac:dyDescent="0.2">
      <c r="Y46730" s="97"/>
    </row>
    <row r="46731" spans="25:25" x14ac:dyDescent="0.2">
      <c r="Y46731" s="97"/>
    </row>
    <row r="46732" spans="25:25" x14ac:dyDescent="0.2">
      <c r="Y46732" s="97"/>
    </row>
    <row r="46733" spans="25:25" x14ac:dyDescent="0.2">
      <c r="Y46733" s="97"/>
    </row>
    <row r="46734" spans="25:25" x14ac:dyDescent="0.2">
      <c r="Y46734" s="97"/>
    </row>
    <row r="46735" spans="25:25" x14ac:dyDescent="0.2">
      <c r="Y46735" s="97"/>
    </row>
    <row r="46736" spans="25:25" x14ac:dyDescent="0.2">
      <c r="Y46736" s="97"/>
    </row>
    <row r="46737" spans="25:25" x14ac:dyDescent="0.2">
      <c r="Y46737" s="97"/>
    </row>
    <row r="46738" spans="25:25" x14ac:dyDescent="0.2">
      <c r="Y46738" s="97"/>
    </row>
    <row r="46739" spans="25:25" x14ac:dyDescent="0.2">
      <c r="Y46739" s="97"/>
    </row>
    <row r="46740" spans="25:25" x14ac:dyDescent="0.2">
      <c r="Y46740" s="97"/>
    </row>
    <row r="46741" spans="25:25" x14ac:dyDescent="0.2">
      <c r="Y46741" s="97"/>
    </row>
    <row r="46742" spans="25:25" x14ac:dyDescent="0.2">
      <c r="Y46742" s="97"/>
    </row>
    <row r="46743" spans="25:25" x14ac:dyDescent="0.2">
      <c r="Y46743" s="97"/>
    </row>
    <row r="46744" spans="25:25" x14ac:dyDescent="0.2">
      <c r="Y46744" s="97"/>
    </row>
    <row r="46745" spans="25:25" x14ac:dyDescent="0.2">
      <c r="Y46745" s="97"/>
    </row>
    <row r="46746" spans="25:25" x14ac:dyDescent="0.2">
      <c r="Y46746" s="97"/>
    </row>
    <row r="46747" spans="25:25" x14ac:dyDescent="0.2">
      <c r="Y46747" s="97"/>
    </row>
    <row r="46748" spans="25:25" x14ac:dyDescent="0.2">
      <c r="Y46748" s="97"/>
    </row>
    <row r="46749" spans="25:25" x14ac:dyDescent="0.2">
      <c r="Y46749" s="97"/>
    </row>
    <row r="46750" spans="25:25" x14ac:dyDescent="0.2">
      <c r="Y46750" s="97"/>
    </row>
    <row r="46751" spans="25:25" x14ac:dyDescent="0.2">
      <c r="Y46751" s="97"/>
    </row>
    <row r="46752" spans="25:25" x14ac:dyDescent="0.2">
      <c r="Y46752" s="97"/>
    </row>
    <row r="46753" spans="25:25" x14ac:dyDescent="0.2">
      <c r="Y46753" s="97"/>
    </row>
    <row r="46754" spans="25:25" x14ac:dyDescent="0.2">
      <c r="Y46754" s="97"/>
    </row>
    <row r="46755" spans="25:25" x14ac:dyDescent="0.2">
      <c r="Y46755" s="97"/>
    </row>
    <row r="46756" spans="25:25" x14ac:dyDescent="0.2">
      <c r="Y46756" s="97"/>
    </row>
    <row r="46757" spans="25:25" x14ac:dyDescent="0.2">
      <c r="Y46757" s="97"/>
    </row>
    <row r="46758" spans="25:25" x14ac:dyDescent="0.2">
      <c r="Y46758" s="97"/>
    </row>
    <row r="46759" spans="25:25" x14ac:dyDescent="0.2">
      <c r="Y46759" s="97"/>
    </row>
    <row r="46760" spans="25:25" x14ac:dyDescent="0.2">
      <c r="Y46760" s="97"/>
    </row>
    <row r="46761" spans="25:25" x14ac:dyDescent="0.2">
      <c r="Y46761" s="97"/>
    </row>
    <row r="46762" spans="25:25" x14ac:dyDescent="0.2">
      <c r="Y46762" s="97"/>
    </row>
    <row r="46763" spans="25:25" x14ac:dyDescent="0.2">
      <c r="Y46763" s="97"/>
    </row>
    <row r="46764" spans="25:25" x14ac:dyDescent="0.2">
      <c r="Y46764" s="97"/>
    </row>
    <row r="46765" spans="25:25" x14ac:dyDescent="0.2">
      <c r="Y46765" s="97"/>
    </row>
    <row r="46766" spans="25:25" x14ac:dyDescent="0.2">
      <c r="Y46766" s="97"/>
    </row>
    <row r="46767" spans="25:25" x14ac:dyDescent="0.2">
      <c r="Y46767" s="97"/>
    </row>
    <row r="46768" spans="25:25" x14ac:dyDescent="0.2">
      <c r="Y46768" s="97"/>
    </row>
    <row r="46769" spans="25:25" x14ac:dyDescent="0.2">
      <c r="Y46769" s="97"/>
    </row>
    <row r="46770" spans="25:25" x14ac:dyDescent="0.2">
      <c r="Y46770" s="97"/>
    </row>
    <row r="46771" spans="25:25" x14ac:dyDescent="0.2">
      <c r="Y46771" s="97"/>
    </row>
    <row r="46772" spans="25:25" x14ac:dyDescent="0.2">
      <c r="Y46772" s="97"/>
    </row>
    <row r="46773" spans="25:25" x14ac:dyDescent="0.2">
      <c r="Y46773" s="97"/>
    </row>
    <row r="46774" spans="25:25" x14ac:dyDescent="0.2">
      <c r="Y46774" s="97"/>
    </row>
    <row r="46775" spans="25:25" x14ac:dyDescent="0.2">
      <c r="Y46775" s="97"/>
    </row>
    <row r="46776" spans="25:25" x14ac:dyDescent="0.2">
      <c r="Y46776" s="97"/>
    </row>
    <row r="46777" spans="25:25" x14ac:dyDescent="0.2">
      <c r="Y46777" s="97"/>
    </row>
    <row r="46778" spans="25:25" x14ac:dyDescent="0.2">
      <c r="Y46778" s="97"/>
    </row>
    <row r="46779" spans="25:25" x14ac:dyDescent="0.2">
      <c r="Y46779" s="97"/>
    </row>
    <row r="46780" spans="25:25" x14ac:dyDescent="0.2">
      <c r="Y46780" s="97"/>
    </row>
    <row r="46781" spans="25:25" x14ac:dyDescent="0.2">
      <c r="Y46781" s="97"/>
    </row>
    <row r="46782" spans="25:25" x14ac:dyDescent="0.2">
      <c r="Y46782" s="97"/>
    </row>
    <row r="46783" spans="25:25" x14ac:dyDescent="0.2">
      <c r="Y46783" s="97"/>
    </row>
    <row r="46784" spans="25:25" x14ac:dyDescent="0.2">
      <c r="Y46784" s="97"/>
    </row>
    <row r="46785" spans="25:25" x14ac:dyDescent="0.2">
      <c r="Y46785" s="97"/>
    </row>
    <row r="46786" spans="25:25" x14ac:dyDescent="0.2">
      <c r="Y46786" s="97"/>
    </row>
    <row r="46787" spans="25:25" x14ac:dyDescent="0.2">
      <c r="Y46787" s="97"/>
    </row>
    <row r="46788" spans="25:25" x14ac:dyDescent="0.2">
      <c r="Y46788" s="97"/>
    </row>
    <row r="46789" spans="25:25" x14ac:dyDescent="0.2">
      <c r="Y46789" s="97"/>
    </row>
    <row r="46790" spans="25:25" x14ac:dyDescent="0.2">
      <c r="Y46790" s="97"/>
    </row>
    <row r="46791" spans="25:25" x14ac:dyDescent="0.2">
      <c r="Y46791" s="97"/>
    </row>
    <row r="46792" spans="25:25" x14ac:dyDescent="0.2">
      <c r="Y46792" s="97"/>
    </row>
    <row r="46793" spans="25:25" x14ac:dyDescent="0.2">
      <c r="Y46793" s="97"/>
    </row>
    <row r="46794" spans="25:25" x14ac:dyDescent="0.2">
      <c r="Y46794" s="97"/>
    </row>
    <row r="46795" spans="25:25" x14ac:dyDescent="0.2">
      <c r="Y46795" s="97"/>
    </row>
    <row r="46796" spans="25:25" x14ac:dyDescent="0.2">
      <c r="Y46796" s="97"/>
    </row>
    <row r="46797" spans="25:25" x14ac:dyDescent="0.2">
      <c r="Y46797" s="97"/>
    </row>
    <row r="46798" spans="25:25" x14ac:dyDescent="0.2">
      <c r="Y46798" s="97"/>
    </row>
    <row r="46799" spans="25:25" x14ac:dyDescent="0.2">
      <c r="Y46799" s="97"/>
    </row>
    <row r="46800" spans="25:25" x14ac:dyDescent="0.2">
      <c r="Y46800" s="97"/>
    </row>
    <row r="46801" spans="25:25" x14ac:dyDescent="0.2">
      <c r="Y46801" s="97"/>
    </row>
    <row r="46802" spans="25:25" x14ac:dyDescent="0.2">
      <c r="Y46802" s="97"/>
    </row>
    <row r="46803" spans="25:25" x14ac:dyDescent="0.2">
      <c r="Y46803" s="97"/>
    </row>
    <row r="46804" spans="25:25" x14ac:dyDescent="0.2">
      <c r="Y46804" s="97"/>
    </row>
    <row r="46805" spans="25:25" x14ac:dyDescent="0.2">
      <c r="Y46805" s="97"/>
    </row>
    <row r="46806" spans="25:25" x14ac:dyDescent="0.2">
      <c r="Y46806" s="97"/>
    </row>
    <row r="46807" spans="25:25" x14ac:dyDescent="0.2">
      <c r="Y46807" s="97"/>
    </row>
    <row r="46808" spans="25:25" x14ac:dyDescent="0.2">
      <c r="Y46808" s="97"/>
    </row>
    <row r="46809" spans="25:25" x14ac:dyDescent="0.2">
      <c r="Y46809" s="97"/>
    </row>
    <row r="46810" spans="25:25" x14ac:dyDescent="0.2">
      <c r="Y46810" s="97"/>
    </row>
    <row r="46811" spans="25:25" x14ac:dyDescent="0.2">
      <c r="Y46811" s="97"/>
    </row>
    <row r="46812" spans="25:25" x14ac:dyDescent="0.2">
      <c r="Y46812" s="97"/>
    </row>
    <row r="46813" spans="25:25" x14ac:dyDescent="0.2">
      <c r="Y46813" s="97"/>
    </row>
    <row r="46814" spans="25:25" x14ac:dyDescent="0.2">
      <c r="Y46814" s="97"/>
    </row>
    <row r="46815" spans="25:25" x14ac:dyDescent="0.2">
      <c r="Y46815" s="97"/>
    </row>
    <row r="46816" spans="25:25" x14ac:dyDescent="0.2">
      <c r="Y46816" s="97"/>
    </row>
    <row r="46817" spans="25:25" x14ac:dyDescent="0.2">
      <c r="Y46817" s="97"/>
    </row>
    <row r="46818" spans="25:25" x14ac:dyDescent="0.2">
      <c r="Y46818" s="97"/>
    </row>
    <row r="46819" spans="25:25" x14ac:dyDescent="0.2">
      <c r="Y46819" s="97"/>
    </row>
    <row r="46820" spans="25:25" x14ac:dyDescent="0.2">
      <c r="Y46820" s="97"/>
    </row>
    <row r="46821" spans="25:25" x14ac:dyDescent="0.2">
      <c r="Y46821" s="97"/>
    </row>
    <row r="46822" spans="25:25" x14ac:dyDescent="0.2">
      <c r="Y46822" s="97"/>
    </row>
    <row r="46823" spans="25:25" x14ac:dyDescent="0.2">
      <c r="Y46823" s="97"/>
    </row>
    <row r="46824" spans="25:25" x14ac:dyDescent="0.2">
      <c r="Y46824" s="97"/>
    </row>
    <row r="46825" spans="25:25" x14ac:dyDescent="0.2">
      <c r="Y46825" s="97"/>
    </row>
    <row r="46826" spans="25:25" x14ac:dyDescent="0.2">
      <c r="Y46826" s="97"/>
    </row>
    <row r="46827" spans="25:25" x14ac:dyDescent="0.2">
      <c r="Y46827" s="97"/>
    </row>
    <row r="46828" spans="25:25" x14ac:dyDescent="0.2">
      <c r="Y46828" s="97"/>
    </row>
    <row r="46829" spans="25:25" x14ac:dyDescent="0.2">
      <c r="Y46829" s="97"/>
    </row>
    <row r="46830" spans="25:25" x14ac:dyDescent="0.2">
      <c r="Y46830" s="97"/>
    </row>
    <row r="46831" spans="25:25" x14ac:dyDescent="0.2">
      <c r="Y46831" s="97"/>
    </row>
    <row r="46832" spans="25:25" x14ac:dyDescent="0.2">
      <c r="Y46832" s="97"/>
    </row>
    <row r="46833" spans="25:25" x14ac:dyDescent="0.2">
      <c r="Y46833" s="97"/>
    </row>
    <row r="46834" spans="25:25" x14ac:dyDescent="0.2">
      <c r="Y46834" s="97"/>
    </row>
    <row r="46835" spans="25:25" x14ac:dyDescent="0.2">
      <c r="Y46835" s="97"/>
    </row>
    <row r="46836" spans="25:25" x14ac:dyDescent="0.2">
      <c r="Y46836" s="97"/>
    </row>
    <row r="46837" spans="25:25" x14ac:dyDescent="0.2">
      <c r="Y46837" s="97"/>
    </row>
    <row r="46838" spans="25:25" x14ac:dyDescent="0.2">
      <c r="Y46838" s="97"/>
    </row>
    <row r="46839" spans="25:25" x14ac:dyDescent="0.2">
      <c r="Y46839" s="97"/>
    </row>
    <row r="46840" spans="25:25" x14ac:dyDescent="0.2">
      <c r="Y46840" s="97"/>
    </row>
    <row r="46841" spans="25:25" x14ac:dyDescent="0.2">
      <c r="Y46841" s="97"/>
    </row>
    <row r="46842" spans="25:25" x14ac:dyDescent="0.2">
      <c r="Y46842" s="97"/>
    </row>
    <row r="46843" spans="25:25" x14ac:dyDescent="0.2">
      <c r="Y46843" s="97"/>
    </row>
    <row r="46844" spans="25:25" x14ac:dyDescent="0.2">
      <c r="Y46844" s="97"/>
    </row>
    <row r="46845" spans="25:25" x14ac:dyDescent="0.2">
      <c r="Y46845" s="97"/>
    </row>
    <row r="46846" spans="25:25" x14ac:dyDescent="0.2">
      <c r="Y46846" s="97"/>
    </row>
    <row r="46847" spans="25:25" x14ac:dyDescent="0.2">
      <c r="Y46847" s="97"/>
    </row>
    <row r="46848" spans="25:25" x14ac:dyDescent="0.2">
      <c r="Y46848" s="97"/>
    </row>
    <row r="46849" spans="25:25" x14ac:dyDescent="0.2">
      <c r="Y46849" s="97"/>
    </row>
    <row r="46850" spans="25:25" x14ac:dyDescent="0.2">
      <c r="Y46850" s="97"/>
    </row>
    <row r="46851" spans="25:25" x14ac:dyDescent="0.2">
      <c r="Y46851" s="97"/>
    </row>
    <row r="46852" spans="25:25" x14ac:dyDescent="0.2">
      <c r="Y46852" s="97"/>
    </row>
    <row r="46853" spans="25:25" x14ac:dyDescent="0.2">
      <c r="Y46853" s="97"/>
    </row>
    <row r="46854" spans="25:25" x14ac:dyDescent="0.2">
      <c r="Y46854" s="97"/>
    </row>
    <row r="46855" spans="25:25" x14ac:dyDescent="0.2">
      <c r="Y46855" s="97"/>
    </row>
    <row r="46856" spans="25:25" x14ac:dyDescent="0.2">
      <c r="Y46856" s="97"/>
    </row>
    <row r="46857" spans="25:25" x14ac:dyDescent="0.2">
      <c r="Y46857" s="97"/>
    </row>
    <row r="46858" spans="25:25" x14ac:dyDescent="0.2">
      <c r="Y46858" s="97"/>
    </row>
    <row r="46859" spans="25:25" x14ac:dyDescent="0.2">
      <c r="Y46859" s="97"/>
    </row>
    <row r="46860" spans="25:25" x14ac:dyDescent="0.2">
      <c r="Y46860" s="97"/>
    </row>
    <row r="46861" spans="25:25" x14ac:dyDescent="0.2">
      <c r="Y46861" s="97"/>
    </row>
    <row r="46862" spans="25:25" x14ac:dyDescent="0.2">
      <c r="Y46862" s="97"/>
    </row>
    <row r="46863" spans="25:25" x14ac:dyDescent="0.2">
      <c r="Y46863" s="97"/>
    </row>
    <row r="46864" spans="25:25" x14ac:dyDescent="0.2">
      <c r="Y46864" s="97"/>
    </row>
    <row r="46865" spans="25:25" x14ac:dyDescent="0.2">
      <c r="Y46865" s="97"/>
    </row>
    <row r="46866" spans="25:25" x14ac:dyDescent="0.2">
      <c r="Y46866" s="97"/>
    </row>
    <row r="46867" spans="25:25" x14ac:dyDescent="0.2">
      <c r="Y46867" s="97"/>
    </row>
    <row r="46868" spans="25:25" x14ac:dyDescent="0.2">
      <c r="Y46868" s="97"/>
    </row>
    <row r="46869" spans="25:25" x14ac:dyDescent="0.2">
      <c r="Y46869" s="97"/>
    </row>
    <row r="46870" spans="25:25" x14ac:dyDescent="0.2">
      <c r="Y46870" s="97"/>
    </row>
    <row r="46871" spans="25:25" x14ac:dyDescent="0.2">
      <c r="Y46871" s="97"/>
    </row>
    <row r="46872" spans="25:25" x14ac:dyDescent="0.2">
      <c r="Y46872" s="97"/>
    </row>
    <row r="46873" spans="25:25" x14ac:dyDescent="0.2">
      <c r="Y46873" s="97"/>
    </row>
    <row r="46874" spans="25:25" x14ac:dyDescent="0.2">
      <c r="Y46874" s="97"/>
    </row>
    <row r="46875" spans="25:25" x14ac:dyDescent="0.2">
      <c r="Y46875" s="97"/>
    </row>
    <row r="46876" spans="25:25" x14ac:dyDescent="0.2">
      <c r="Y46876" s="97"/>
    </row>
    <row r="46877" spans="25:25" x14ac:dyDescent="0.2">
      <c r="Y46877" s="97"/>
    </row>
    <row r="46878" spans="25:25" x14ac:dyDescent="0.2">
      <c r="Y46878" s="97"/>
    </row>
    <row r="46879" spans="25:25" x14ac:dyDescent="0.2">
      <c r="Y46879" s="97"/>
    </row>
    <row r="46880" spans="25:25" x14ac:dyDescent="0.2">
      <c r="Y46880" s="97"/>
    </row>
    <row r="46881" spans="25:25" x14ac:dyDescent="0.2">
      <c r="Y46881" s="97"/>
    </row>
    <row r="46882" spans="25:25" x14ac:dyDescent="0.2">
      <c r="Y46882" s="97"/>
    </row>
    <row r="46883" spans="25:25" x14ac:dyDescent="0.2">
      <c r="Y46883" s="97"/>
    </row>
    <row r="46884" spans="25:25" x14ac:dyDescent="0.2">
      <c r="Y46884" s="97"/>
    </row>
    <row r="46885" spans="25:25" x14ac:dyDescent="0.2">
      <c r="Y46885" s="97"/>
    </row>
    <row r="46886" spans="25:25" x14ac:dyDescent="0.2">
      <c r="Y46886" s="97"/>
    </row>
    <row r="46887" spans="25:25" x14ac:dyDescent="0.2">
      <c r="Y46887" s="97"/>
    </row>
    <row r="46888" spans="25:25" x14ac:dyDescent="0.2">
      <c r="Y46888" s="97"/>
    </row>
    <row r="46889" spans="25:25" x14ac:dyDescent="0.2">
      <c r="Y46889" s="97"/>
    </row>
    <row r="46890" spans="25:25" x14ac:dyDescent="0.2">
      <c r="Y46890" s="97"/>
    </row>
    <row r="46891" spans="25:25" x14ac:dyDescent="0.2">
      <c r="Y46891" s="97"/>
    </row>
    <row r="46892" spans="25:25" x14ac:dyDescent="0.2">
      <c r="Y46892" s="97"/>
    </row>
    <row r="46893" spans="25:25" x14ac:dyDescent="0.2">
      <c r="Y46893" s="97"/>
    </row>
    <row r="46894" spans="25:25" x14ac:dyDescent="0.2">
      <c r="Y46894" s="97"/>
    </row>
    <row r="46895" spans="25:25" x14ac:dyDescent="0.2">
      <c r="Y46895" s="97"/>
    </row>
    <row r="46896" spans="25:25" x14ac:dyDescent="0.2">
      <c r="Y46896" s="97"/>
    </row>
    <row r="46897" spans="25:25" x14ac:dyDescent="0.2">
      <c r="Y46897" s="97"/>
    </row>
    <row r="46898" spans="25:25" x14ac:dyDescent="0.2">
      <c r="Y46898" s="97"/>
    </row>
    <row r="46899" spans="25:25" x14ac:dyDescent="0.2">
      <c r="Y46899" s="97"/>
    </row>
    <row r="46900" spans="25:25" x14ac:dyDescent="0.2">
      <c r="Y46900" s="97"/>
    </row>
    <row r="46901" spans="25:25" x14ac:dyDescent="0.2">
      <c r="Y46901" s="97"/>
    </row>
    <row r="46902" spans="25:25" x14ac:dyDescent="0.2">
      <c r="Y46902" s="97"/>
    </row>
    <row r="46903" spans="25:25" x14ac:dyDescent="0.2">
      <c r="Y46903" s="97"/>
    </row>
    <row r="46904" spans="25:25" x14ac:dyDescent="0.2">
      <c r="Y46904" s="97"/>
    </row>
    <row r="46905" spans="25:25" x14ac:dyDescent="0.2">
      <c r="Y46905" s="97"/>
    </row>
    <row r="46906" spans="25:25" x14ac:dyDescent="0.2">
      <c r="Y46906" s="97"/>
    </row>
    <row r="46907" spans="25:25" x14ac:dyDescent="0.2">
      <c r="Y46907" s="97"/>
    </row>
    <row r="46908" spans="25:25" x14ac:dyDescent="0.2">
      <c r="Y46908" s="97"/>
    </row>
    <row r="46909" spans="25:25" x14ac:dyDescent="0.2">
      <c r="Y46909" s="97"/>
    </row>
    <row r="46910" spans="25:25" x14ac:dyDescent="0.2">
      <c r="Y46910" s="97"/>
    </row>
    <row r="46911" spans="25:25" x14ac:dyDescent="0.2">
      <c r="Y46911" s="97"/>
    </row>
    <row r="46912" spans="25:25" x14ac:dyDescent="0.2">
      <c r="Y46912" s="97"/>
    </row>
    <row r="46913" spans="25:25" x14ac:dyDescent="0.2">
      <c r="Y46913" s="97"/>
    </row>
    <row r="46914" spans="25:25" x14ac:dyDescent="0.2">
      <c r="Y46914" s="97"/>
    </row>
    <row r="46915" spans="25:25" x14ac:dyDescent="0.2">
      <c r="Y46915" s="97"/>
    </row>
    <row r="46916" spans="25:25" x14ac:dyDescent="0.2">
      <c r="Y46916" s="97"/>
    </row>
    <row r="46917" spans="25:25" x14ac:dyDescent="0.2">
      <c r="Y46917" s="97"/>
    </row>
    <row r="46918" spans="25:25" x14ac:dyDescent="0.2">
      <c r="Y46918" s="97"/>
    </row>
    <row r="46919" spans="25:25" x14ac:dyDescent="0.2">
      <c r="Y46919" s="97"/>
    </row>
    <row r="46920" spans="25:25" x14ac:dyDescent="0.2">
      <c r="Y46920" s="97"/>
    </row>
    <row r="46921" spans="25:25" x14ac:dyDescent="0.2">
      <c r="Y46921" s="97"/>
    </row>
    <row r="46922" spans="25:25" x14ac:dyDescent="0.2">
      <c r="Y46922" s="97"/>
    </row>
    <row r="46923" spans="25:25" x14ac:dyDescent="0.2">
      <c r="Y46923" s="97"/>
    </row>
    <row r="46924" spans="25:25" x14ac:dyDescent="0.2">
      <c r="Y46924" s="97"/>
    </row>
    <row r="46925" spans="25:25" x14ac:dyDescent="0.2">
      <c r="Y46925" s="97"/>
    </row>
    <row r="46926" spans="25:25" x14ac:dyDescent="0.2">
      <c r="Y46926" s="97"/>
    </row>
    <row r="46927" spans="25:25" x14ac:dyDescent="0.2">
      <c r="Y46927" s="97"/>
    </row>
    <row r="46928" spans="25:25" x14ac:dyDescent="0.2">
      <c r="Y46928" s="97"/>
    </row>
    <row r="46929" spans="25:25" x14ac:dyDescent="0.2">
      <c r="Y46929" s="97"/>
    </row>
    <row r="46930" spans="25:25" x14ac:dyDescent="0.2">
      <c r="Y46930" s="97"/>
    </row>
    <row r="46931" spans="25:25" x14ac:dyDescent="0.2">
      <c r="Y46931" s="97"/>
    </row>
    <row r="46932" spans="25:25" x14ac:dyDescent="0.2">
      <c r="Y46932" s="97"/>
    </row>
    <row r="46933" spans="25:25" x14ac:dyDescent="0.2">
      <c r="Y46933" s="97"/>
    </row>
    <row r="46934" spans="25:25" x14ac:dyDescent="0.2">
      <c r="Y46934" s="97"/>
    </row>
    <row r="46935" spans="25:25" x14ac:dyDescent="0.2">
      <c r="Y46935" s="97"/>
    </row>
    <row r="46936" spans="25:25" x14ac:dyDescent="0.2">
      <c r="Y46936" s="97"/>
    </row>
    <row r="46937" spans="25:25" x14ac:dyDescent="0.2">
      <c r="Y46937" s="97"/>
    </row>
    <row r="46938" spans="25:25" x14ac:dyDescent="0.2">
      <c r="Y46938" s="97"/>
    </row>
    <row r="46939" spans="25:25" x14ac:dyDescent="0.2">
      <c r="Y46939" s="97"/>
    </row>
    <row r="46940" spans="25:25" x14ac:dyDescent="0.2">
      <c r="Y46940" s="97"/>
    </row>
    <row r="46941" spans="25:25" x14ac:dyDescent="0.2">
      <c r="Y46941" s="97"/>
    </row>
    <row r="46942" spans="25:25" x14ac:dyDescent="0.2">
      <c r="Y46942" s="97"/>
    </row>
    <row r="46943" spans="25:25" x14ac:dyDescent="0.2">
      <c r="Y46943" s="97"/>
    </row>
    <row r="46944" spans="25:25" x14ac:dyDescent="0.2">
      <c r="Y46944" s="97"/>
    </row>
    <row r="46945" spans="25:25" x14ac:dyDescent="0.2">
      <c r="Y46945" s="97"/>
    </row>
    <row r="46946" spans="25:25" x14ac:dyDescent="0.2">
      <c r="Y46946" s="97"/>
    </row>
    <row r="46947" spans="25:25" x14ac:dyDescent="0.2">
      <c r="Y46947" s="97"/>
    </row>
    <row r="46948" spans="25:25" x14ac:dyDescent="0.2">
      <c r="Y46948" s="97"/>
    </row>
    <row r="46949" spans="25:25" x14ac:dyDescent="0.2">
      <c r="Y46949" s="97"/>
    </row>
    <row r="46950" spans="25:25" x14ac:dyDescent="0.2">
      <c r="Y46950" s="97"/>
    </row>
    <row r="46951" spans="25:25" x14ac:dyDescent="0.2">
      <c r="Y46951" s="97"/>
    </row>
    <row r="46952" spans="25:25" x14ac:dyDescent="0.2">
      <c r="Y46952" s="97"/>
    </row>
    <row r="46953" spans="25:25" x14ac:dyDescent="0.2">
      <c r="Y46953" s="97"/>
    </row>
    <row r="46954" spans="25:25" x14ac:dyDescent="0.2">
      <c r="Y46954" s="97"/>
    </row>
    <row r="46955" spans="25:25" x14ac:dyDescent="0.2">
      <c r="Y46955" s="97"/>
    </row>
    <row r="46956" spans="25:25" x14ac:dyDescent="0.2">
      <c r="Y46956" s="97"/>
    </row>
    <row r="46957" spans="25:25" x14ac:dyDescent="0.2">
      <c r="Y46957" s="97"/>
    </row>
    <row r="46958" spans="25:25" x14ac:dyDescent="0.2">
      <c r="Y46958" s="97"/>
    </row>
    <row r="46959" spans="25:25" x14ac:dyDescent="0.2">
      <c r="Y46959" s="97"/>
    </row>
    <row r="46960" spans="25:25" x14ac:dyDescent="0.2">
      <c r="Y46960" s="97"/>
    </row>
    <row r="46961" spans="25:25" x14ac:dyDescent="0.2">
      <c r="Y46961" s="97"/>
    </row>
    <row r="46962" spans="25:25" x14ac:dyDescent="0.2">
      <c r="Y46962" s="97"/>
    </row>
    <row r="46963" spans="25:25" x14ac:dyDescent="0.2">
      <c r="Y46963" s="97"/>
    </row>
    <row r="46964" spans="25:25" x14ac:dyDescent="0.2">
      <c r="Y46964" s="97"/>
    </row>
    <row r="46965" spans="25:25" x14ac:dyDescent="0.2">
      <c r="Y46965" s="97"/>
    </row>
    <row r="46966" spans="25:25" x14ac:dyDescent="0.2">
      <c r="Y46966" s="97"/>
    </row>
    <row r="46967" spans="25:25" x14ac:dyDescent="0.2">
      <c r="Y46967" s="97"/>
    </row>
    <row r="46968" spans="25:25" x14ac:dyDescent="0.2">
      <c r="Y46968" s="97"/>
    </row>
    <row r="46969" spans="25:25" x14ac:dyDescent="0.2">
      <c r="Y46969" s="97"/>
    </row>
    <row r="46970" spans="25:25" x14ac:dyDescent="0.2">
      <c r="Y46970" s="97"/>
    </row>
    <row r="46971" spans="25:25" x14ac:dyDescent="0.2">
      <c r="Y46971" s="97"/>
    </row>
    <row r="46972" spans="25:25" x14ac:dyDescent="0.2">
      <c r="Y46972" s="97"/>
    </row>
    <row r="46973" spans="25:25" x14ac:dyDescent="0.2">
      <c r="Y46973" s="97"/>
    </row>
    <row r="46974" spans="25:25" x14ac:dyDescent="0.2">
      <c r="Y46974" s="97"/>
    </row>
    <row r="46975" spans="25:25" x14ac:dyDescent="0.2">
      <c r="Y46975" s="97"/>
    </row>
    <row r="46976" spans="25:25" x14ac:dyDescent="0.2">
      <c r="Y46976" s="97"/>
    </row>
    <row r="46977" spans="25:25" x14ac:dyDescent="0.2">
      <c r="Y46977" s="97"/>
    </row>
    <row r="46978" spans="25:25" x14ac:dyDescent="0.2">
      <c r="Y46978" s="97"/>
    </row>
    <row r="46979" spans="25:25" x14ac:dyDescent="0.2">
      <c r="Y46979" s="97"/>
    </row>
    <row r="46980" spans="25:25" x14ac:dyDescent="0.2">
      <c r="Y46980" s="97"/>
    </row>
    <row r="46981" spans="25:25" x14ac:dyDescent="0.2">
      <c r="Y46981" s="97"/>
    </row>
    <row r="46982" spans="25:25" x14ac:dyDescent="0.2">
      <c r="Y46982" s="97"/>
    </row>
    <row r="46983" spans="25:25" x14ac:dyDescent="0.2">
      <c r="Y46983" s="97"/>
    </row>
    <row r="46984" spans="25:25" x14ac:dyDescent="0.2">
      <c r="Y46984" s="97"/>
    </row>
    <row r="46985" spans="25:25" x14ac:dyDescent="0.2">
      <c r="Y46985" s="97"/>
    </row>
    <row r="46986" spans="25:25" x14ac:dyDescent="0.2">
      <c r="Y46986" s="97"/>
    </row>
    <row r="46987" spans="25:25" x14ac:dyDescent="0.2">
      <c r="Y46987" s="97"/>
    </row>
    <row r="46988" spans="25:25" x14ac:dyDescent="0.2">
      <c r="Y46988" s="97"/>
    </row>
    <row r="46989" spans="25:25" x14ac:dyDescent="0.2">
      <c r="Y46989" s="97"/>
    </row>
    <row r="46990" spans="25:25" x14ac:dyDescent="0.2">
      <c r="Y46990" s="97"/>
    </row>
    <row r="46991" spans="25:25" x14ac:dyDescent="0.2">
      <c r="Y46991" s="97"/>
    </row>
    <row r="46992" spans="25:25" x14ac:dyDescent="0.2">
      <c r="Y46992" s="97"/>
    </row>
    <row r="46993" spans="25:25" x14ac:dyDescent="0.2">
      <c r="Y46993" s="97"/>
    </row>
    <row r="46994" spans="25:25" x14ac:dyDescent="0.2">
      <c r="Y46994" s="97"/>
    </row>
    <row r="46995" spans="25:25" x14ac:dyDescent="0.2">
      <c r="Y46995" s="97"/>
    </row>
    <row r="46996" spans="25:25" x14ac:dyDescent="0.2">
      <c r="Y46996" s="97"/>
    </row>
    <row r="46997" spans="25:25" x14ac:dyDescent="0.2">
      <c r="Y46997" s="97"/>
    </row>
    <row r="46998" spans="25:25" x14ac:dyDescent="0.2">
      <c r="Y46998" s="97"/>
    </row>
    <row r="46999" spans="25:25" x14ac:dyDescent="0.2">
      <c r="Y46999" s="97"/>
    </row>
    <row r="47000" spans="25:25" x14ac:dyDescent="0.2">
      <c r="Y47000" s="97"/>
    </row>
    <row r="47001" spans="25:25" x14ac:dyDescent="0.2">
      <c r="Y47001" s="97"/>
    </row>
    <row r="47002" spans="25:25" x14ac:dyDescent="0.2">
      <c r="Y47002" s="97"/>
    </row>
    <row r="47003" spans="25:25" x14ac:dyDescent="0.2">
      <c r="Y47003" s="97"/>
    </row>
    <row r="47004" spans="25:25" x14ac:dyDescent="0.2">
      <c r="Y47004" s="97"/>
    </row>
    <row r="47005" spans="25:25" x14ac:dyDescent="0.2">
      <c r="Y47005" s="97"/>
    </row>
    <row r="47006" spans="25:25" x14ac:dyDescent="0.2">
      <c r="Y47006" s="97"/>
    </row>
    <row r="47007" spans="25:25" x14ac:dyDescent="0.2">
      <c r="Y47007" s="97"/>
    </row>
    <row r="47008" spans="25:25" x14ac:dyDescent="0.2">
      <c r="Y47008" s="97"/>
    </row>
    <row r="47009" spans="25:25" x14ac:dyDescent="0.2">
      <c r="Y47009" s="97"/>
    </row>
    <row r="47010" spans="25:25" x14ac:dyDescent="0.2">
      <c r="Y47010" s="97"/>
    </row>
    <row r="47011" spans="25:25" x14ac:dyDescent="0.2">
      <c r="Y47011" s="97"/>
    </row>
    <row r="47012" spans="25:25" x14ac:dyDescent="0.2">
      <c r="Y47012" s="97"/>
    </row>
    <row r="47013" spans="25:25" x14ac:dyDescent="0.2">
      <c r="Y47013" s="97"/>
    </row>
    <row r="47014" spans="25:25" x14ac:dyDescent="0.2">
      <c r="Y47014" s="97"/>
    </row>
    <row r="47015" spans="25:25" x14ac:dyDescent="0.2">
      <c r="Y47015" s="97"/>
    </row>
    <row r="47016" spans="25:25" x14ac:dyDescent="0.2">
      <c r="Y47016" s="97"/>
    </row>
    <row r="47017" spans="25:25" x14ac:dyDescent="0.2">
      <c r="Y47017" s="97"/>
    </row>
    <row r="47018" spans="25:25" x14ac:dyDescent="0.2">
      <c r="Y47018" s="97"/>
    </row>
    <row r="47019" spans="25:25" x14ac:dyDescent="0.2">
      <c r="Y47019" s="97"/>
    </row>
    <row r="47020" spans="25:25" x14ac:dyDescent="0.2">
      <c r="Y47020" s="97"/>
    </row>
    <row r="47021" spans="25:25" x14ac:dyDescent="0.2">
      <c r="Y47021" s="97"/>
    </row>
    <row r="47022" spans="25:25" x14ac:dyDescent="0.2">
      <c r="Y47022" s="97"/>
    </row>
    <row r="47023" spans="25:25" x14ac:dyDescent="0.2">
      <c r="Y47023" s="97"/>
    </row>
    <row r="47024" spans="25:25" x14ac:dyDescent="0.2">
      <c r="Y47024" s="97"/>
    </row>
    <row r="47025" spans="25:25" x14ac:dyDescent="0.2">
      <c r="Y47025" s="97"/>
    </row>
    <row r="47026" spans="25:25" x14ac:dyDescent="0.2">
      <c r="Y47026" s="97"/>
    </row>
    <row r="47027" spans="25:25" x14ac:dyDescent="0.2">
      <c r="Y47027" s="97"/>
    </row>
    <row r="47028" spans="25:25" x14ac:dyDescent="0.2">
      <c r="Y47028" s="97"/>
    </row>
    <row r="47029" spans="25:25" x14ac:dyDescent="0.2">
      <c r="Y47029" s="97"/>
    </row>
    <row r="47030" spans="25:25" x14ac:dyDescent="0.2">
      <c r="Y47030" s="97"/>
    </row>
    <row r="47031" spans="25:25" x14ac:dyDescent="0.2">
      <c r="Y47031" s="97"/>
    </row>
    <row r="47032" spans="25:25" x14ac:dyDescent="0.2">
      <c r="Y47032" s="97"/>
    </row>
    <row r="47033" spans="25:25" x14ac:dyDescent="0.2">
      <c r="Y47033" s="97"/>
    </row>
    <row r="47034" spans="25:25" x14ac:dyDescent="0.2">
      <c r="Y47034" s="97"/>
    </row>
    <row r="47035" spans="25:25" x14ac:dyDescent="0.2">
      <c r="Y47035" s="97"/>
    </row>
    <row r="47036" spans="25:25" x14ac:dyDescent="0.2">
      <c r="Y47036" s="97"/>
    </row>
    <row r="47037" spans="25:25" x14ac:dyDescent="0.2">
      <c r="Y47037" s="97"/>
    </row>
    <row r="47038" spans="25:25" x14ac:dyDescent="0.2">
      <c r="Y47038" s="97"/>
    </row>
    <row r="47039" spans="25:25" x14ac:dyDescent="0.2">
      <c r="Y47039" s="97"/>
    </row>
    <row r="47040" spans="25:25" x14ac:dyDescent="0.2">
      <c r="Y47040" s="97"/>
    </row>
    <row r="47041" spans="25:25" x14ac:dyDescent="0.2">
      <c r="Y47041" s="97"/>
    </row>
    <row r="47042" spans="25:25" x14ac:dyDescent="0.2">
      <c r="Y47042" s="97"/>
    </row>
    <row r="47043" spans="25:25" x14ac:dyDescent="0.2">
      <c r="Y47043" s="97"/>
    </row>
    <row r="47044" spans="25:25" x14ac:dyDescent="0.2">
      <c r="Y47044" s="97"/>
    </row>
    <row r="47045" spans="25:25" x14ac:dyDescent="0.2">
      <c r="Y47045" s="97"/>
    </row>
    <row r="47046" spans="25:25" x14ac:dyDescent="0.2">
      <c r="Y47046" s="97"/>
    </row>
    <row r="47047" spans="25:25" x14ac:dyDescent="0.2">
      <c r="Y47047" s="97"/>
    </row>
    <row r="47048" spans="25:25" x14ac:dyDescent="0.2">
      <c r="Y47048" s="97"/>
    </row>
    <row r="47049" spans="25:25" x14ac:dyDescent="0.2">
      <c r="Y47049" s="97"/>
    </row>
    <row r="47050" spans="25:25" x14ac:dyDescent="0.2">
      <c r="Y47050" s="97"/>
    </row>
    <row r="47051" spans="25:25" x14ac:dyDescent="0.2">
      <c r="Y47051" s="97"/>
    </row>
    <row r="47052" spans="25:25" x14ac:dyDescent="0.2">
      <c r="Y47052" s="97"/>
    </row>
    <row r="47053" spans="25:25" x14ac:dyDescent="0.2">
      <c r="Y47053" s="97"/>
    </row>
    <row r="47054" spans="25:25" x14ac:dyDescent="0.2">
      <c r="Y47054" s="97"/>
    </row>
    <row r="47055" spans="25:25" x14ac:dyDescent="0.2">
      <c r="Y47055" s="97"/>
    </row>
    <row r="47056" spans="25:25" x14ac:dyDescent="0.2">
      <c r="Y47056" s="97"/>
    </row>
    <row r="47057" spans="25:25" x14ac:dyDescent="0.2">
      <c r="Y47057" s="97"/>
    </row>
    <row r="47058" spans="25:25" x14ac:dyDescent="0.2">
      <c r="Y47058" s="97"/>
    </row>
    <row r="47059" spans="25:25" x14ac:dyDescent="0.2">
      <c r="Y47059" s="97"/>
    </row>
    <row r="47060" spans="25:25" x14ac:dyDescent="0.2">
      <c r="Y47060" s="97"/>
    </row>
    <row r="47061" spans="25:25" x14ac:dyDescent="0.2">
      <c r="Y47061" s="97"/>
    </row>
    <row r="47062" spans="25:25" x14ac:dyDescent="0.2">
      <c r="Y47062" s="97"/>
    </row>
    <row r="47063" spans="25:25" x14ac:dyDescent="0.2">
      <c r="Y47063" s="97"/>
    </row>
    <row r="47064" spans="25:25" x14ac:dyDescent="0.2">
      <c r="Y47064" s="97"/>
    </row>
    <row r="47065" spans="25:25" x14ac:dyDescent="0.2">
      <c r="Y47065" s="97"/>
    </row>
    <row r="47066" spans="25:25" x14ac:dyDescent="0.2">
      <c r="Y47066" s="97"/>
    </row>
    <row r="47067" spans="25:25" x14ac:dyDescent="0.2">
      <c r="Y47067" s="97"/>
    </row>
    <row r="47068" spans="25:25" x14ac:dyDescent="0.2">
      <c r="Y47068" s="97"/>
    </row>
    <row r="47069" spans="25:25" x14ac:dyDescent="0.2">
      <c r="Y47069" s="97"/>
    </row>
    <row r="47070" spans="25:25" x14ac:dyDescent="0.2">
      <c r="Y47070" s="97"/>
    </row>
    <row r="47071" spans="25:25" x14ac:dyDescent="0.2">
      <c r="Y47071" s="97"/>
    </row>
    <row r="47072" spans="25:25" x14ac:dyDescent="0.2">
      <c r="Y47072" s="97"/>
    </row>
    <row r="47073" spans="25:25" x14ac:dyDescent="0.2">
      <c r="Y47073" s="97"/>
    </row>
    <row r="47074" spans="25:25" x14ac:dyDescent="0.2">
      <c r="Y47074" s="97"/>
    </row>
    <row r="47075" spans="25:25" x14ac:dyDescent="0.2">
      <c r="Y47075" s="97"/>
    </row>
    <row r="47076" spans="25:25" x14ac:dyDescent="0.2">
      <c r="Y47076" s="97"/>
    </row>
    <row r="47077" spans="25:25" x14ac:dyDescent="0.2">
      <c r="Y47077" s="97"/>
    </row>
    <row r="47078" spans="25:25" x14ac:dyDescent="0.2">
      <c r="Y47078" s="97"/>
    </row>
    <row r="47079" spans="25:25" x14ac:dyDescent="0.2">
      <c r="Y47079" s="97"/>
    </row>
    <row r="47080" spans="25:25" x14ac:dyDescent="0.2">
      <c r="Y47080" s="97"/>
    </row>
    <row r="47081" spans="25:25" x14ac:dyDescent="0.2">
      <c r="Y47081" s="97"/>
    </row>
    <row r="47082" spans="25:25" x14ac:dyDescent="0.2">
      <c r="Y47082" s="97"/>
    </row>
    <row r="47083" spans="25:25" x14ac:dyDescent="0.2">
      <c r="Y47083" s="97"/>
    </row>
    <row r="47084" spans="25:25" x14ac:dyDescent="0.2">
      <c r="Y47084" s="97"/>
    </row>
    <row r="47085" spans="25:25" x14ac:dyDescent="0.2">
      <c r="Y47085" s="97"/>
    </row>
    <row r="47086" spans="25:25" x14ac:dyDescent="0.2">
      <c r="Y47086" s="97"/>
    </row>
    <row r="47087" spans="25:25" x14ac:dyDescent="0.2">
      <c r="Y47087" s="97"/>
    </row>
    <row r="47088" spans="25:25" x14ac:dyDescent="0.2">
      <c r="Y47088" s="97"/>
    </row>
    <row r="47089" spans="25:25" x14ac:dyDescent="0.2">
      <c r="Y47089" s="97"/>
    </row>
    <row r="47090" spans="25:25" x14ac:dyDescent="0.2">
      <c r="Y47090" s="97"/>
    </row>
    <row r="47091" spans="25:25" x14ac:dyDescent="0.2">
      <c r="Y47091" s="97"/>
    </row>
    <row r="47092" spans="25:25" x14ac:dyDescent="0.2">
      <c r="Y47092" s="97"/>
    </row>
    <row r="47093" spans="25:25" x14ac:dyDescent="0.2">
      <c r="Y47093" s="97"/>
    </row>
    <row r="47094" spans="25:25" x14ac:dyDescent="0.2">
      <c r="Y47094" s="97"/>
    </row>
    <row r="47095" spans="25:25" x14ac:dyDescent="0.2">
      <c r="Y47095" s="97"/>
    </row>
    <row r="47096" spans="25:25" x14ac:dyDescent="0.2">
      <c r="Y47096" s="97"/>
    </row>
    <row r="47097" spans="25:25" x14ac:dyDescent="0.2">
      <c r="Y47097" s="97"/>
    </row>
    <row r="47098" spans="25:25" x14ac:dyDescent="0.2">
      <c r="Y47098" s="97"/>
    </row>
    <row r="47099" spans="25:25" x14ac:dyDescent="0.2">
      <c r="Y47099" s="97"/>
    </row>
    <row r="47100" spans="25:25" x14ac:dyDescent="0.2">
      <c r="Y47100" s="97"/>
    </row>
    <row r="47101" spans="25:25" x14ac:dyDescent="0.2">
      <c r="Y47101" s="97"/>
    </row>
    <row r="47102" spans="25:25" x14ac:dyDescent="0.2">
      <c r="Y47102" s="97"/>
    </row>
    <row r="47103" spans="25:25" x14ac:dyDescent="0.2">
      <c r="Y47103" s="97"/>
    </row>
    <row r="47104" spans="25:25" x14ac:dyDescent="0.2">
      <c r="Y47104" s="97"/>
    </row>
    <row r="47105" spans="25:25" x14ac:dyDescent="0.2">
      <c r="Y47105" s="97"/>
    </row>
    <row r="47106" spans="25:25" x14ac:dyDescent="0.2">
      <c r="Y47106" s="97"/>
    </row>
    <row r="47107" spans="25:25" x14ac:dyDescent="0.2">
      <c r="Y47107" s="97"/>
    </row>
    <row r="47108" spans="25:25" x14ac:dyDescent="0.2">
      <c r="Y47108" s="97"/>
    </row>
    <row r="47109" spans="25:25" x14ac:dyDescent="0.2">
      <c r="Y47109" s="97"/>
    </row>
    <row r="47110" spans="25:25" x14ac:dyDescent="0.2">
      <c r="Y47110" s="97"/>
    </row>
    <row r="47111" spans="25:25" x14ac:dyDescent="0.2">
      <c r="Y47111" s="97"/>
    </row>
    <row r="47112" spans="25:25" x14ac:dyDescent="0.2">
      <c r="Y47112" s="97"/>
    </row>
    <row r="47113" spans="25:25" x14ac:dyDescent="0.2">
      <c r="Y47113" s="97"/>
    </row>
    <row r="47114" spans="25:25" x14ac:dyDescent="0.2">
      <c r="Y47114" s="97"/>
    </row>
    <row r="47115" spans="25:25" x14ac:dyDescent="0.2">
      <c r="Y47115" s="97"/>
    </row>
    <row r="47116" spans="25:25" x14ac:dyDescent="0.2">
      <c r="Y47116" s="97"/>
    </row>
    <row r="47117" spans="25:25" x14ac:dyDescent="0.2">
      <c r="Y47117" s="97"/>
    </row>
    <row r="47118" spans="25:25" x14ac:dyDescent="0.2">
      <c r="Y47118" s="97"/>
    </row>
    <row r="47119" spans="25:25" x14ac:dyDescent="0.2">
      <c r="Y47119" s="97"/>
    </row>
    <row r="47120" spans="25:25" x14ac:dyDescent="0.2">
      <c r="Y47120" s="97"/>
    </row>
    <row r="47121" spans="25:25" x14ac:dyDescent="0.2">
      <c r="Y47121" s="97"/>
    </row>
    <row r="47122" spans="25:25" x14ac:dyDescent="0.2">
      <c r="Y47122" s="97"/>
    </row>
    <row r="47123" spans="25:25" x14ac:dyDescent="0.2">
      <c r="Y47123" s="97"/>
    </row>
    <row r="47124" spans="25:25" x14ac:dyDescent="0.2">
      <c r="Y47124" s="97"/>
    </row>
    <row r="47125" spans="25:25" x14ac:dyDescent="0.2">
      <c r="Y47125" s="97"/>
    </row>
    <row r="47126" spans="25:25" x14ac:dyDescent="0.2">
      <c r="Y47126" s="97"/>
    </row>
    <row r="47127" spans="25:25" x14ac:dyDescent="0.2">
      <c r="Y47127" s="97"/>
    </row>
    <row r="47128" spans="25:25" x14ac:dyDescent="0.2">
      <c r="Y47128" s="97"/>
    </row>
    <row r="47129" spans="25:25" x14ac:dyDescent="0.2">
      <c r="Y47129" s="97"/>
    </row>
    <row r="47130" spans="25:25" x14ac:dyDescent="0.2">
      <c r="Y47130" s="97"/>
    </row>
    <row r="47131" spans="25:25" x14ac:dyDescent="0.2">
      <c r="Y47131" s="97"/>
    </row>
    <row r="47132" spans="25:25" x14ac:dyDescent="0.2">
      <c r="Y47132" s="97"/>
    </row>
    <row r="47133" spans="25:25" x14ac:dyDescent="0.2">
      <c r="Y47133" s="97"/>
    </row>
    <row r="47134" spans="25:25" x14ac:dyDescent="0.2">
      <c r="Y47134" s="97"/>
    </row>
    <row r="47135" spans="25:25" x14ac:dyDescent="0.2">
      <c r="Y47135" s="97"/>
    </row>
    <row r="47136" spans="25:25" x14ac:dyDescent="0.2">
      <c r="Y47136" s="97"/>
    </row>
    <row r="47137" spans="25:25" x14ac:dyDescent="0.2">
      <c r="Y47137" s="97"/>
    </row>
    <row r="47138" spans="25:25" x14ac:dyDescent="0.2">
      <c r="Y47138" s="97"/>
    </row>
    <row r="47139" spans="25:25" x14ac:dyDescent="0.2">
      <c r="Y47139" s="97"/>
    </row>
    <row r="47140" spans="25:25" x14ac:dyDescent="0.2">
      <c r="Y47140" s="97"/>
    </row>
    <row r="47141" spans="25:25" x14ac:dyDescent="0.2">
      <c r="Y47141" s="97"/>
    </row>
    <row r="47142" spans="25:25" x14ac:dyDescent="0.2">
      <c r="Y47142" s="97"/>
    </row>
    <row r="47143" spans="25:25" x14ac:dyDescent="0.2">
      <c r="Y47143" s="97"/>
    </row>
    <row r="47144" spans="25:25" x14ac:dyDescent="0.2">
      <c r="Y47144" s="97"/>
    </row>
    <row r="47145" spans="25:25" x14ac:dyDescent="0.2">
      <c r="Y47145" s="97"/>
    </row>
    <row r="47146" spans="25:25" x14ac:dyDescent="0.2">
      <c r="Y47146" s="97"/>
    </row>
    <row r="47147" spans="25:25" x14ac:dyDescent="0.2">
      <c r="Y47147" s="97"/>
    </row>
    <row r="47148" spans="25:25" x14ac:dyDescent="0.2">
      <c r="Y47148" s="97"/>
    </row>
    <row r="47149" spans="25:25" x14ac:dyDescent="0.2">
      <c r="Y47149" s="97"/>
    </row>
    <row r="47150" spans="25:25" x14ac:dyDescent="0.2">
      <c r="Y47150" s="97"/>
    </row>
    <row r="47151" spans="25:25" x14ac:dyDescent="0.2">
      <c r="Y47151" s="97"/>
    </row>
    <row r="47152" spans="25:25" x14ac:dyDescent="0.2">
      <c r="Y47152" s="97"/>
    </row>
    <row r="47153" spans="25:25" x14ac:dyDescent="0.2">
      <c r="Y47153" s="97"/>
    </row>
    <row r="47154" spans="25:25" x14ac:dyDescent="0.2">
      <c r="Y47154" s="97"/>
    </row>
    <row r="47155" spans="25:25" x14ac:dyDescent="0.2">
      <c r="Y47155" s="97"/>
    </row>
    <row r="47156" spans="25:25" x14ac:dyDescent="0.2">
      <c r="Y47156" s="97"/>
    </row>
    <row r="47157" spans="25:25" x14ac:dyDescent="0.2">
      <c r="Y47157" s="97"/>
    </row>
    <row r="47158" spans="25:25" x14ac:dyDescent="0.2">
      <c r="Y47158" s="97"/>
    </row>
    <row r="47159" spans="25:25" x14ac:dyDescent="0.2">
      <c r="Y47159" s="97"/>
    </row>
    <row r="47160" spans="25:25" x14ac:dyDescent="0.2">
      <c r="Y47160" s="97"/>
    </row>
    <row r="47161" spans="25:25" x14ac:dyDescent="0.2">
      <c r="Y47161" s="97"/>
    </row>
    <row r="47162" spans="25:25" x14ac:dyDescent="0.2">
      <c r="Y47162" s="97"/>
    </row>
    <row r="47163" spans="25:25" x14ac:dyDescent="0.2">
      <c r="Y47163" s="97"/>
    </row>
    <row r="47164" spans="25:25" x14ac:dyDescent="0.2">
      <c r="Y47164" s="97"/>
    </row>
    <row r="47165" spans="25:25" x14ac:dyDescent="0.2">
      <c r="Y47165" s="97"/>
    </row>
    <row r="47166" spans="25:25" x14ac:dyDescent="0.2">
      <c r="Y47166" s="97"/>
    </row>
    <row r="47167" spans="25:25" x14ac:dyDescent="0.2">
      <c r="Y47167" s="97"/>
    </row>
    <row r="47168" spans="25:25" x14ac:dyDescent="0.2">
      <c r="Y47168" s="97"/>
    </row>
    <row r="47169" spans="25:25" x14ac:dyDescent="0.2">
      <c r="Y47169" s="97"/>
    </row>
    <row r="47170" spans="25:25" x14ac:dyDescent="0.2">
      <c r="Y47170" s="97"/>
    </row>
    <row r="47171" spans="25:25" x14ac:dyDescent="0.2">
      <c r="Y47171" s="97"/>
    </row>
    <row r="47172" spans="25:25" x14ac:dyDescent="0.2">
      <c r="Y47172" s="97"/>
    </row>
    <row r="47173" spans="25:25" x14ac:dyDescent="0.2">
      <c r="Y47173" s="97"/>
    </row>
    <row r="47174" spans="25:25" x14ac:dyDescent="0.2">
      <c r="Y47174" s="97"/>
    </row>
    <row r="47175" spans="25:25" x14ac:dyDescent="0.2">
      <c r="Y47175" s="97"/>
    </row>
    <row r="47176" spans="25:25" x14ac:dyDescent="0.2">
      <c r="Y47176" s="97"/>
    </row>
    <row r="47177" spans="25:25" x14ac:dyDescent="0.2">
      <c r="Y47177" s="97"/>
    </row>
    <row r="47178" spans="25:25" x14ac:dyDescent="0.2">
      <c r="Y47178" s="97"/>
    </row>
    <row r="47179" spans="25:25" x14ac:dyDescent="0.2">
      <c r="Y47179" s="97"/>
    </row>
    <row r="47180" spans="25:25" x14ac:dyDescent="0.2">
      <c r="Y47180" s="97"/>
    </row>
    <row r="47181" spans="25:25" x14ac:dyDescent="0.2">
      <c r="Y47181" s="97"/>
    </row>
    <row r="47182" spans="25:25" x14ac:dyDescent="0.2">
      <c r="Y47182" s="97"/>
    </row>
    <row r="47183" spans="25:25" x14ac:dyDescent="0.2">
      <c r="Y47183" s="97"/>
    </row>
    <row r="47184" spans="25:25" x14ac:dyDescent="0.2">
      <c r="Y47184" s="97"/>
    </row>
    <row r="47185" spans="25:25" x14ac:dyDescent="0.2">
      <c r="Y47185" s="97"/>
    </row>
    <row r="47186" spans="25:25" x14ac:dyDescent="0.2">
      <c r="Y47186" s="97"/>
    </row>
    <row r="47187" spans="25:25" x14ac:dyDescent="0.2">
      <c r="Y47187" s="97"/>
    </row>
    <row r="47188" spans="25:25" x14ac:dyDescent="0.2">
      <c r="Y47188" s="97"/>
    </row>
    <row r="47189" spans="25:25" x14ac:dyDescent="0.2">
      <c r="Y47189" s="97"/>
    </row>
    <row r="47190" spans="25:25" x14ac:dyDescent="0.2">
      <c r="Y47190" s="97"/>
    </row>
    <row r="47191" spans="25:25" x14ac:dyDescent="0.2">
      <c r="Y47191" s="97"/>
    </row>
    <row r="47192" spans="25:25" x14ac:dyDescent="0.2">
      <c r="Y47192" s="97"/>
    </row>
    <row r="47193" spans="25:25" x14ac:dyDescent="0.2">
      <c r="Y47193" s="97"/>
    </row>
    <row r="47194" spans="25:25" x14ac:dyDescent="0.2">
      <c r="Y47194" s="97"/>
    </row>
    <row r="47195" spans="25:25" x14ac:dyDescent="0.2">
      <c r="Y47195" s="97"/>
    </row>
    <row r="47196" spans="25:25" x14ac:dyDescent="0.2">
      <c r="Y47196" s="97"/>
    </row>
    <row r="47197" spans="25:25" x14ac:dyDescent="0.2">
      <c r="Y47197" s="97"/>
    </row>
    <row r="47198" spans="25:25" x14ac:dyDescent="0.2">
      <c r="Y47198" s="97"/>
    </row>
    <row r="47199" spans="25:25" x14ac:dyDescent="0.2">
      <c r="Y47199" s="97"/>
    </row>
    <row r="47200" spans="25:25" x14ac:dyDescent="0.2">
      <c r="Y47200" s="97"/>
    </row>
    <row r="47201" spans="25:25" x14ac:dyDescent="0.2">
      <c r="Y47201" s="97"/>
    </row>
    <row r="47202" spans="25:25" x14ac:dyDescent="0.2">
      <c r="Y47202" s="97"/>
    </row>
    <row r="47203" spans="25:25" x14ac:dyDescent="0.2">
      <c r="Y47203" s="97"/>
    </row>
    <row r="47204" spans="25:25" x14ac:dyDescent="0.2">
      <c r="Y47204" s="97"/>
    </row>
    <row r="47205" spans="25:25" x14ac:dyDescent="0.2">
      <c r="Y47205" s="97"/>
    </row>
    <row r="47206" spans="25:25" x14ac:dyDescent="0.2">
      <c r="Y47206" s="97"/>
    </row>
    <row r="47207" spans="25:25" x14ac:dyDescent="0.2">
      <c r="Y47207" s="97"/>
    </row>
    <row r="47208" spans="25:25" x14ac:dyDescent="0.2">
      <c r="Y47208" s="97"/>
    </row>
    <row r="47209" spans="25:25" x14ac:dyDescent="0.2">
      <c r="Y47209" s="97"/>
    </row>
    <row r="47210" spans="25:25" x14ac:dyDescent="0.2">
      <c r="Y47210" s="97"/>
    </row>
    <row r="47211" spans="25:25" x14ac:dyDescent="0.2">
      <c r="Y47211" s="97"/>
    </row>
    <row r="47212" spans="25:25" x14ac:dyDescent="0.2">
      <c r="Y47212" s="97"/>
    </row>
    <row r="47213" spans="25:25" x14ac:dyDescent="0.2">
      <c r="Y47213" s="97"/>
    </row>
    <row r="47214" spans="25:25" x14ac:dyDescent="0.2">
      <c r="Y47214" s="97"/>
    </row>
    <row r="47215" spans="25:25" x14ac:dyDescent="0.2">
      <c r="Y47215" s="97"/>
    </row>
    <row r="47216" spans="25:25" x14ac:dyDescent="0.2">
      <c r="Y47216" s="97"/>
    </row>
    <row r="47217" spans="25:25" x14ac:dyDescent="0.2">
      <c r="Y47217" s="97"/>
    </row>
    <row r="47218" spans="25:25" x14ac:dyDescent="0.2">
      <c r="Y47218" s="97"/>
    </row>
    <row r="47219" spans="25:25" x14ac:dyDescent="0.2">
      <c r="Y47219" s="97"/>
    </row>
    <row r="47220" spans="25:25" x14ac:dyDescent="0.2">
      <c r="Y47220" s="97"/>
    </row>
    <row r="47221" spans="25:25" x14ac:dyDescent="0.2">
      <c r="Y47221" s="97"/>
    </row>
    <row r="47222" spans="25:25" x14ac:dyDescent="0.2">
      <c r="Y47222" s="97"/>
    </row>
    <row r="47223" spans="25:25" x14ac:dyDescent="0.2">
      <c r="Y47223" s="97"/>
    </row>
    <row r="47224" spans="25:25" x14ac:dyDescent="0.2">
      <c r="Y47224" s="97"/>
    </row>
    <row r="47225" spans="25:25" x14ac:dyDescent="0.2">
      <c r="Y47225" s="97"/>
    </row>
    <row r="47226" spans="25:25" x14ac:dyDescent="0.2">
      <c r="Y47226" s="97"/>
    </row>
    <row r="47227" spans="25:25" x14ac:dyDescent="0.2">
      <c r="Y47227" s="97"/>
    </row>
    <row r="47228" spans="25:25" x14ac:dyDescent="0.2">
      <c r="Y47228" s="97"/>
    </row>
    <row r="47229" spans="25:25" x14ac:dyDescent="0.2">
      <c r="Y47229" s="97"/>
    </row>
    <row r="47230" spans="25:25" x14ac:dyDescent="0.2">
      <c r="Y47230" s="97"/>
    </row>
    <row r="47231" spans="25:25" x14ac:dyDescent="0.2">
      <c r="Y47231" s="97"/>
    </row>
    <row r="47232" spans="25:25" x14ac:dyDescent="0.2">
      <c r="Y47232" s="97"/>
    </row>
    <row r="47233" spans="25:25" x14ac:dyDescent="0.2">
      <c r="Y47233" s="97"/>
    </row>
    <row r="47234" spans="25:25" x14ac:dyDescent="0.2">
      <c r="Y47234" s="97"/>
    </row>
    <row r="47235" spans="25:25" x14ac:dyDescent="0.2">
      <c r="Y47235" s="97"/>
    </row>
    <row r="47236" spans="25:25" x14ac:dyDescent="0.2">
      <c r="Y47236" s="97"/>
    </row>
    <row r="47237" spans="25:25" x14ac:dyDescent="0.2">
      <c r="Y47237" s="97"/>
    </row>
    <row r="47238" spans="25:25" x14ac:dyDescent="0.2">
      <c r="Y47238" s="97"/>
    </row>
    <row r="47239" spans="25:25" x14ac:dyDescent="0.2">
      <c r="Y47239" s="97"/>
    </row>
    <row r="47240" spans="25:25" x14ac:dyDescent="0.2">
      <c r="Y47240" s="97"/>
    </row>
    <row r="47241" spans="25:25" x14ac:dyDescent="0.2">
      <c r="Y47241" s="97"/>
    </row>
    <row r="47242" spans="25:25" x14ac:dyDescent="0.2">
      <c r="Y47242" s="97"/>
    </row>
    <row r="47243" spans="25:25" x14ac:dyDescent="0.2">
      <c r="Y47243" s="97"/>
    </row>
    <row r="47244" spans="25:25" x14ac:dyDescent="0.2">
      <c r="Y47244" s="97"/>
    </row>
    <row r="47245" spans="25:25" x14ac:dyDescent="0.2">
      <c r="Y47245" s="97"/>
    </row>
    <row r="47246" spans="25:25" x14ac:dyDescent="0.2">
      <c r="Y47246" s="97"/>
    </row>
    <row r="47247" spans="25:25" x14ac:dyDescent="0.2">
      <c r="Y47247" s="97"/>
    </row>
    <row r="47248" spans="25:25" x14ac:dyDescent="0.2">
      <c r="Y47248" s="97"/>
    </row>
    <row r="47249" spans="25:25" x14ac:dyDescent="0.2">
      <c r="Y47249" s="97"/>
    </row>
    <row r="47250" spans="25:25" x14ac:dyDescent="0.2">
      <c r="Y47250" s="97"/>
    </row>
    <row r="47251" spans="25:25" x14ac:dyDescent="0.2">
      <c r="Y47251" s="97"/>
    </row>
    <row r="47252" spans="25:25" x14ac:dyDescent="0.2">
      <c r="Y47252" s="97"/>
    </row>
    <row r="47253" spans="25:25" x14ac:dyDescent="0.2">
      <c r="Y47253" s="97"/>
    </row>
    <row r="47254" spans="25:25" x14ac:dyDescent="0.2">
      <c r="Y47254" s="97"/>
    </row>
    <row r="47255" spans="25:25" x14ac:dyDescent="0.2">
      <c r="Y47255" s="97"/>
    </row>
    <row r="47256" spans="25:25" x14ac:dyDescent="0.2">
      <c r="Y47256" s="97"/>
    </row>
    <row r="47257" spans="25:25" x14ac:dyDescent="0.2">
      <c r="Y47257" s="97"/>
    </row>
    <row r="47258" spans="25:25" x14ac:dyDescent="0.2">
      <c r="Y47258" s="97"/>
    </row>
    <row r="47259" spans="25:25" x14ac:dyDescent="0.2">
      <c r="Y47259" s="97"/>
    </row>
    <row r="47260" spans="25:25" x14ac:dyDescent="0.2">
      <c r="Y47260" s="97"/>
    </row>
    <row r="47261" spans="25:25" x14ac:dyDescent="0.2">
      <c r="Y47261" s="97"/>
    </row>
    <row r="47262" spans="25:25" x14ac:dyDescent="0.2">
      <c r="Y47262" s="97"/>
    </row>
    <row r="47263" spans="25:25" x14ac:dyDescent="0.2">
      <c r="Y47263" s="97"/>
    </row>
    <row r="47264" spans="25:25" x14ac:dyDescent="0.2">
      <c r="Y47264" s="97"/>
    </row>
    <row r="47265" spans="25:25" x14ac:dyDescent="0.2">
      <c r="Y47265" s="97"/>
    </row>
    <row r="47266" spans="25:25" x14ac:dyDescent="0.2">
      <c r="Y47266" s="97"/>
    </row>
    <row r="47267" spans="25:25" x14ac:dyDescent="0.2">
      <c r="Y47267" s="97"/>
    </row>
    <row r="47268" spans="25:25" x14ac:dyDescent="0.2">
      <c r="Y47268" s="97"/>
    </row>
    <row r="47269" spans="25:25" x14ac:dyDescent="0.2">
      <c r="Y47269" s="97"/>
    </row>
    <row r="47270" spans="25:25" x14ac:dyDescent="0.2">
      <c r="Y47270" s="97"/>
    </row>
    <row r="47271" spans="25:25" x14ac:dyDescent="0.2">
      <c r="Y47271" s="97"/>
    </row>
    <row r="47272" spans="25:25" x14ac:dyDescent="0.2">
      <c r="Y47272" s="97"/>
    </row>
    <row r="47273" spans="25:25" x14ac:dyDescent="0.2">
      <c r="Y47273" s="97"/>
    </row>
    <row r="47274" spans="25:25" x14ac:dyDescent="0.2">
      <c r="Y47274" s="97"/>
    </row>
    <row r="47275" spans="25:25" x14ac:dyDescent="0.2">
      <c r="Y47275" s="97"/>
    </row>
    <row r="47276" spans="25:25" x14ac:dyDescent="0.2">
      <c r="Y47276" s="97"/>
    </row>
    <row r="47277" spans="25:25" x14ac:dyDescent="0.2">
      <c r="Y47277" s="97"/>
    </row>
    <row r="47278" spans="25:25" x14ac:dyDescent="0.2">
      <c r="Y47278" s="97"/>
    </row>
    <row r="47279" spans="25:25" x14ac:dyDescent="0.2">
      <c r="Y47279" s="97"/>
    </row>
    <row r="47280" spans="25:25" x14ac:dyDescent="0.2">
      <c r="Y47280" s="97"/>
    </row>
    <row r="47281" spans="25:25" x14ac:dyDescent="0.2">
      <c r="Y47281" s="97"/>
    </row>
    <row r="47282" spans="25:25" x14ac:dyDescent="0.2">
      <c r="Y47282" s="97"/>
    </row>
    <row r="47283" spans="25:25" x14ac:dyDescent="0.2">
      <c r="Y47283" s="97"/>
    </row>
    <row r="47284" spans="25:25" x14ac:dyDescent="0.2">
      <c r="Y47284" s="97"/>
    </row>
    <row r="47285" spans="25:25" x14ac:dyDescent="0.2">
      <c r="Y47285" s="97"/>
    </row>
    <row r="47286" spans="25:25" x14ac:dyDescent="0.2">
      <c r="Y47286" s="97"/>
    </row>
    <row r="47287" spans="25:25" x14ac:dyDescent="0.2">
      <c r="Y47287" s="97"/>
    </row>
    <row r="47288" spans="25:25" x14ac:dyDescent="0.2">
      <c r="Y47288" s="97"/>
    </row>
    <row r="47289" spans="25:25" x14ac:dyDescent="0.2">
      <c r="Y47289" s="97"/>
    </row>
    <row r="47290" spans="25:25" x14ac:dyDescent="0.2">
      <c r="Y47290" s="97"/>
    </row>
    <row r="47291" spans="25:25" x14ac:dyDescent="0.2">
      <c r="Y47291" s="97"/>
    </row>
    <row r="47292" spans="25:25" x14ac:dyDescent="0.2">
      <c r="Y47292" s="97"/>
    </row>
    <row r="47293" spans="25:25" x14ac:dyDescent="0.2">
      <c r="Y47293" s="97"/>
    </row>
    <row r="47294" spans="25:25" x14ac:dyDescent="0.2">
      <c r="Y47294" s="97"/>
    </row>
    <row r="47295" spans="25:25" x14ac:dyDescent="0.2">
      <c r="Y47295" s="97"/>
    </row>
    <row r="47296" spans="25:25" x14ac:dyDescent="0.2">
      <c r="Y47296" s="97"/>
    </row>
    <row r="47297" spans="25:25" x14ac:dyDescent="0.2">
      <c r="Y47297" s="97"/>
    </row>
    <row r="47298" spans="25:25" x14ac:dyDescent="0.2">
      <c r="Y47298" s="97"/>
    </row>
    <row r="47299" spans="25:25" x14ac:dyDescent="0.2">
      <c r="Y47299" s="97"/>
    </row>
    <row r="47300" spans="25:25" x14ac:dyDescent="0.2">
      <c r="Y47300" s="97"/>
    </row>
    <row r="47301" spans="25:25" x14ac:dyDescent="0.2">
      <c r="Y47301" s="97"/>
    </row>
    <row r="47302" spans="25:25" x14ac:dyDescent="0.2">
      <c r="Y47302" s="97"/>
    </row>
    <row r="47303" spans="25:25" x14ac:dyDescent="0.2">
      <c r="Y47303" s="97"/>
    </row>
    <row r="47304" spans="25:25" x14ac:dyDescent="0.2">
      <c r="Y47304" s="97"/>
    </row>
    <row r="47305" spans="25:25" x14ac:dyDescent="0.2">
      <c r="Y47305" s="97"/>
    </row>
    <row r="47306" spans="25:25" x14ac:dyDescent="0.2">
      <c r="Y47306" s="97"/>
    </row>
    <row r="47307" spans="25:25" x14ac:dyDescent="0.2">
      <c r="Y47307" s="97"/>
    </row>
    <row r="47308" spans="25:25" x14ac:dyDescent="0.2">
      <c r="Y47308" s="97"/>
    </row>
    <row r="47309" spans="25:25" x14ac:dyDescent="0.2">
      <c r="Y47309" s="97"/>
    </row>
    <row r="47310" spans="25:25" x14ac:dyDescent="0.2">
      <c r="Y47310" s="97"/>
    </row>
    <row r="47311" spans="25:25" x14ac:dyDescent="0.2">
      <c r="Y47311" s="97"/>
    </row>
    <row r="47312" spans="25:25" x14ac:dyDescent="0.2">
      <c r="Y47312" s="97"/>
    </row>
    <row r="47313" spans="25:25" x14ac:dyDescent="0.2">
      <c r="Y47313" s="97"/>
    </row>
    <row r="47314" spans="25:25" x14ac:dyDescent="0.2">
      <c r="Y47314" s="97"/>
    </row>
    <row r="47315" spans="25:25" x14ac:dyDescent="0.2">
      <c r="Y47315" s="97"/>
    </row>
    <row r="47316" spans="25:25" x14ac:dyDescent="0.2">
      <c r="Y47316" s="97"/>
    </row>
    <row r="47317" spans="25:25" x14ac:dyDescent="0.2">
      <c r="Y47317" s="97"/>
    </row>
    <row r="47318" spans="25:25" x14ac:dyDescent="0.2">
      <c r="Y47318" s="97"/>
    </row>
    <row r="47319" spans="25:25" x14ac:dyDescent="0.2">
      <c r="Y47319" s="97"/>
    </row>
    <row r="47320" spans="25:25" x14ac:dyDescent="0.2">
      <c r="Y47320" s="97"/>
    </row>
    <row r="47321" spans="25:25" x14ac:dyDescent="0.2">
      <c r="Y47321" s="97"/>
    </row>
    <row r="47322" spans="25:25" x14ac:dyDescent="0.2">
      <c r="Y47322" s="97"/>
    </row>
    <row r="47323" spans="25:25" x14ac:dyDescent="0.2">
      <c r="Y47323" s="97"/>
    </row>
    <row r="47324" spans="25:25" x14ac:dyDescent="0.2">
      <c r="Y47324" s="97"/>
    </row>
    <row r="47325" spans="25:25" x14ac:dyDescent="0.2">
      <c r="Y47325" s="97"/>
    </row>
    <row r="47326" spans="25:25" x14ac:dyDescent="0.2">
      <c r="Y47326" s="97"/>
    </row>
    <row r="47327" spans="25:25" x14ac:dyDescent="0.2">
      <c r="Y47327" s="97"/>
    </row>
    <row r="47328" spans="25:25" x14ac:dyDescent="0.2">
      <c r="Y47328" s="97"/>
    </row>
    <row r="47329" spans="25:25" x14ac:dyDescent="0.2">
      <c r="Y47329" s="97"/>
    </row>
    <row r="47330" spans="25:25" x14ac:dyDescent="0.2">
      <c r="Y47330" s="97"/>
    </row>
    <row r="47331" spans="25:25" x14ac:dyDescent="0.2">
      <c r="Y47331" s="97"/>
    </row>
    <row r="47332" spans="25:25" x14ac:dyDescent="0.2">
      <c r="Y47332" s="97"/>
    </row>
    <row r="47333" spans="25:25" x14ac:dyDescent="0.2">
      <c r="Y47333" s="97"/>
    </row>
    <row r="47334" spans="25:25" x14ac:dyDescent="0.2">
      <c r="Y47334" s="97"/>
    </row>
    <row r="47335" spans="25:25" x14ac:dyDescent="0.2">
      <c r="Y47335" s="97"/>
    </row>
    <row r="47336" spans="25:25" x14ac:dyDescent="0.2">
      <c r="Y47336" s="97"/>
    </row>
    <row r="47337" spans="25:25" x14ac:dyDescent="0.2">
      <c r="Y47337" s="97"/>
    </row>
    <row r="47338" spans="25:25" x14ac:dyDescent="0.2">
      <c r="Y47338" s="97"/>
    </row>
    <row r="47339" spans="25:25" x14ac:dyDescent="0.2">
      <c r="Y47339" s="97"/>
    </row>
    <row r="47340" spans="25:25" x14ac:dyDescent="0.2">
      <c r="Y47340" s="97"/>
    </row>
    <row r="47341" spans="25:25" x14ac:dyDescent="0.2">
      <c r="Y47341" s="97"/>
    </row>
    <row r="47342" spans="25:25" x14ac:dyDescent="0.2">
      <c r="Y47342" s="97"/>
    </row>
    <row r="47343" spans="25:25" x14ac:dyDescent="0.2">
      <c r="Y47343" s="97"/>
    </row>
    <row r="47344" spans="25:25" x14ac:dyDescent="0.2">
      <c r="Y47344" s="97"/>
    </row>
    <row r="47345" spans="25:25" x14ac:dyDescent="0.2">
      <c r="Y47345" s="97"/>
    </row>
    <row r="47346" spans="25:25" x14ac:dyDescent="0.2">
      <c r="Y47346" s="97"/>
    </row>
    <row r="47347" spans="25:25" x14ac:dyDescent="0.2">
      <c r="Y47347" s="97"/>
    </row>
    <row r="47348" spans="25:25" x14ac:dyDescent="0.2">
      <c r="Y47348" s="97"/>
    </row>
    <row r="47349" spans="25:25" x14ac:dyDescent="0.2">
      <c r="Y47349" s="97"/>
    </row>
    <row r="47350" spans="25:25" x14ac:dyDescent="0.2">
      <c r="Y47350" s="97"/>
    </row>
    <row r="47351" spans="25:25" x14ac:dyDescent="0.2">
      <c r="Y47351" s="97"/>
    </row>
    <row r="47352" spans="25:25" x14ac:dyDescent="0.2">
      <c r="Y47352" s="97"/>
    </row>
    <row r="47353" spans="25:25" x14ac:dyDescent="0.2">
      <c r="Y47353" s="97"/>
    </row>
    <row r="47354" spans="25:25" x14ac:dyDescent="0.2">
      <c r="Y47354" s="97"/>
    </row>
    <row r="47355" spans="25:25" x14ac:dyDescent="0.2">
      <c r="Y47355" s="97"/>
    </row>
    <row r="47356" spans="25:25" x14ac:dyDescent="0.2">
      <c r="Y47356" s="97"/>
    </row>
    <row r="47357" spans="25:25" x14ac:dyDescent="0.2">
      <c r="Y47357" s="97"/>
    </row>
    <row r="47358" spans="25:25" x14ac:dyDescent="0.2">
      <c r="Y47358" s="97"/>
    </row>
    <row r="47359" spans="25:25" x14ac:dyDescent="0.2">
      <c r="Y47359" s="97"/>
    </row>
    <row r="47360" spans="25:25" x14ac:dyDescent="0.2">
      <c r="Y47360" s="97"/>
    </row>
    <row r="47361" spans="25:25" x14ac:dyDescent="0.2">
      <c r="Y47361" s="97"/>
    </row>
    <row r="47362" spans="25:25" x14ac:dyDescent="0.2">
      <c r="Y47362" s="97"/>
    </row>
    <row r="47363" spans="25:25" x14ac:dyDescent="0.2">
      <c r="Y47363" s="97"/>
    </row>
    <row r="47364" spans="25:25" x14ac:dyDescent="0.2">
      <c r="Y47364" s="97"/>
    </row>
    <row r="47365" spans="25:25" x14ac:dyDescent="0.2">
      <c r="Y47365" s="97"/>
    </row>
    <row r="47366" spans="25:25" x14ac:dyDescent="0.2">
      <c r="Y47366" s="97"/>
    </row>
    <row r="47367" spans="25:25" x14ac:dyDescent="0.2">
      <c r="Y47367" s="97"/>
    </row>
    <row r="47368" spans="25:25" x14ac:dyDescent="0.2">
      <c r="Y47368" s="97"/>
    </row>
    <row r="47369" spans="25:25" x14ac:dyDescent="0.2">
      <c r="Y47369" s="97"/>
    </row>
    <row r="47370" spans="25:25" x14ac:dyDescent="0.2">
      <c r="Y47370" s="97"/>
    </row>
    <row r="47371" spans="25:25" x14ac:dyDescent="0.2">
      <c r="Y47371" s="97"/>
    </row>
    <row r="47372" spans="25:25" x14ac:dyDescent="0.2">
      <c r="Y47372" s="97"/>
    </row>
    <row r="47373" spans="25:25" x14ac:dyDescent="0.2">
      <c r="Y47373" s="97"/>
    </row>
    <row r="47374" spans="25:25" x14ac:dyDescent="0.2">
      <c r="Y47374" s="97"/>
    </row>
    <row r="47375" spans="25:25" x14ac:dyDescent="0.2">
      <c r="Y47375" s="97"/>
    </row>
    <row r="47376" spans="25:25" x14ac:dyDescent="0.2">
      <c r="Y47376" s="97"/>
    </row>
    <row r="47377" spans="25:25" x14ac:dyDescent="0.2">
      <c r="Y47377" s="97"/>
    </row>
    <row r="47378" spans="25:25" x14ac:dyDescent="0.2">
      <c r="Y47378" s="97"/>
    </row>
    <row r="47379" spans="25:25" x14ac:dyDescent="0.2">
      <c r="Y47379" s="97"/>
    </row>
    <row r="47380" spans="25:25" x14ac:dyDescent="0.2">
      <c r="Y47380" s="97"/>
    </row>
    <row r="47381" spans="25:25" x14ac:dyDescent="0.2">
      <c r="Y47381" s="97"/>
    </row>
    <row r="47382" spans="25:25" x14ac:dyDescent="0.2">
      <c r="Y47382" s="97"/>
    </row>
    <row r="47383" spans="25:25" x14ac:dyDescent="0.2">
      <c r="Y47383" s="97"/>
    </row>
    <row r="47384" spans="25:25" x14ac:dyDescent="0.2">
      <c r="Y47384" s="97"/>
    </row>
    <row r="47385" spans="25:25" x14ac:dyDescent="0.2">
      <c r="Y47385" s="97"/>
    </row>
    <row r="47386" spans="25:25" x14ac:dyDescent="0.2">
      <c r="Y47386" s="97"/>
    </row>
    <row r="47387" spans="25:25" x14ac:dyDescent="0.2">
      <c r="Y47387" s="97"/>
    </row>
    <row r="47388" spans="25:25" x14ac:dyDescent="0.2">
      <c r="Y47388" s="97"/>
    </row>
    <row r="47389" spans="25:25" x14ac:dyDescent="0.2">
      <c r="Y47389" s="97"/>
    </row>
    <row r="47390" spans="25:25" x14ac:dyDescent="0.2">
      <c r="Y47390" s="97"/>
    </row>
    <row r="47391" spans="25:25" x14ac:dyDescent="0.2">
      <c r="Y47391" s="97"/>
    </row>
    <row r="47392" spans="25:25" x14ac:dyDescent="0.2">
      <c r="Y47392" s="97"/>
    </row>
    <row r="47393" spans="25:25" x14ac:dyDescent="0.2">
      <c r="Y47393" s="97"/>
    </row>
    <row r="47394" spans="25:25" x14ac:dyDescent="0.2">
      <c r="Y47394" s="97"/>
    </row>
    <row r="47395" spans="25:25" x14ac:dyDescent="0.2">
      <c r="Y47395" s="97"/>
    </row>
    <row r="47396" spans="25:25" x14ac:dyDescent="0.2">
      <c r="Y47396" s="97"/>
    </row>
    <row r="47397" spans="25:25" x14ac:dyDescent="0.2">
      <c r="Y47397" s="97"/>
    </row>
    <row r="47398" spans="25:25" x14ac:dyDescent="0.2">
      <c r="Y47398" s="97"/>
    </row>
    <row r="47399" spans="25:25" x14ac:dyDescent="0.2">
      <c r="Y47399" s="97"/>
    </row>
    <row r="47400" spans="25:25" x14ac:dyDescent="0.2">
      <c r="Y47400" s="97"/>
    </row>
    <row r="47401" spans="25:25" x14ac:dyDescent="0.2">
      <c r="Y47401" s="97"/>
    </row>
    <row r="47402" spans="25:25" x14ac:dyDescent="0.2">
      <c r="Y47402" s="97"/>
    </row>
    <row r="47403" spans="25:25" x14ac:dyDescent="0.2">
      <c r="Y47403" s="97"/>
    </row>
    <row r="47404" spans="25:25" x14ac:dyDescent="0.2">
      <c r="Y47404" s="97"/>
    </row>
    <row r="47405" spans="25:25" x14ac:dyDescent="0.2">
      <c r="Y47405" s="97"/>
    </row>
    <row r="47406" spans="25:25" x14ac:dyDescent="0.2">
      <c r="Y47406" s="97"/>
    </row>
    <row r="47407" spans="25:25" x14ac:dyDescent="0.2">
      <c r="Y47407" s="97"/>
    </row>
    <row r="47408" spans="25:25" x14ac:dyDescent="0.2">
      <c r="Y47408" s="97"/>
    </row>
    <row r="47409" spans="25:25" x14ac:dyDescent="0.2">
      <c r="Y47409" s="97"/>
    </row>
    <row r="47410" spans="25:25" x14ac:dyDescent="0.2">
      <c r="Y47410" s="97"/>
    </row>
    <row r="47411" spans="25:25" x14ac:dyDescent="0.2">
      <c r="Y47411" s="97"/>
    </row>
    <row r="47412" spans="25:25" x14ac:dyDescent="0.2">
      <c r="Y47412" s="97"/>
    </row>
    <row r="47413" spans="25:25" x14ac:dyDescent="0.2">
      <c r="Y47413" s="97"/>
    </row>
    <row r="47414" spans="25:25" x14ac:dyDescent="0.2">
      <c r="Y47414" s="97"/>
    </row>
    <row r="47415" spans="25:25" x14ac:dyDescent="0.2">
      <c r="Y47415" s="97"/>
    </row>
    <row r="47416" spans="25:25" x14ac:dyDescent="0.2">
      <c r="Y47416" s="97"/>
    </row>
    <row r="47417" spans="25:25" x14ac:dyDescent="0.2">
      <c r="Y47417" s="97"/>
    </row>
    <row r="47418" spans="25:25" x14ac:dyDescent="0.2">
      <c r="Y47418" s="97"/>
    </row>
    <row r="47419" spans="25:25" x14ac:dyDescent="0.2">
      <c r="Y47419" s="97"/>
    </row>
    <row r="47420" spans="25:25" x14ac:dyDescent="0.2">
      <c r="Y47420" s="97"/>
    </row>
    <row r="47421" spans="25:25" x14ac:dyDescent="0.2">
      <c r="Y47421" s="97"/>
    </row>
    <row r="47422" spans="25:25" x14ac:dyDescent="0.2">
      <c r="Y47422" s="97"/>
    </row>
    <row r="47423" spans="25:25" x14ac:dyDescent="0.2">
      <c r="Y47423" s="97"/>
    </row>
    <row r="47424" spans="25:25" x14ac:dyDescent="0.2">
      <c r="Y47424" s="97"/>
    </row>
    <row r="47425" spans="25:25" x14ac:dyDescent="0.2">
      <c r="Y47425" s="97"/>
    </row>
    <row r="47426" spans="25:25" x14ac:dyDescent="0.2">
      <c r="Y47426" s="97"/>
    </row>
    <row r="47427" spans="25:25" x14ac:dyDescent="0.2">
      <c r="Y47427" s="97"/>
    </row>
    <row r="47428" spans="25:25" x14ac:dyDescent="0.2">
      <c r="Y47428" s="97"/>
    </row>
    <row r="47429" spans="25:25" x14ac:dyDescent="0.2">
      <c r="Y47429" s="97"/>
    </row>
    <row r="47430" spans="25:25" x14ac:dyDescent="0.2">
      <c r="Y47430" s="97"/>
    </row>
    <row r="47431" spans="25:25" x14ac:dyDescent="0.2">
      <c r="Y47431" s="97"/>
    </row>
    <row r="47432" spans="25:25" x14ac:dyDescent="0.2">
      <c r="Y47432" s="97"/>
    </row>
    <row r="47433" spans="25:25" x14ac:dyDescent="0.2">
      <c r="Y47433" s="97"/>
    </row>
    <row r="47434" spans="25:25" x14ac:dyDescent="0.2">
      <c r="Y47434" s="97"/>
    </row>
    <row r="47435" spans="25:25" x14ac:dyDescent="0.2">
      <c r="Y47435" s="97"/>
    </row>
    <row r="47436" spans="25:25" x14ac:dyDescent="0.2">
      <c r="Y47436" s="97"/>
    </row>
    <row r="47437" spans="25:25" x14ac:dyDescent="0.2">
      <c r="Y47437" s="97"/>
    </row>
    <row r="47438" spans="25:25" x14ac:dyDescent="0.2">
      <c r="Y47438" s="97"/>
    </row>
    <row r="47439" spans="25:25" x14ac:dyDescent="0.2">
      <c r="Y47439" s="97"/>
    </row>
    <row r="47440" spans="25:25" x14ac:dyDescent="0.2">
      <c r="Y47440" s="97"/>
    </row>
    <row r="47441" spans="25:25" x14ac:dyDescent="0.2">
      <c r="Y47441" s="97"/>
    </row>
    <row r="47442" spans="25:25" x14ac:dyDescent="0.2">
      <c r="Y47442" s="97"/>
    </row>
    <row r="47443" spans="25:25" x14ac:dyDescent="0.2">
      <c r="Y47443" s="97"/>
    </row>
    <row r="47444" spans="25:25" x14ac:dyDescent="0.2">
      <c r="Y47444" s="97"/>
    </row>
    <row r="47445" spans="25:25" x14ac:dyDescent="0.2">
      <c r="Y47445" s="97"/>
    </row>
    <row r="47446" spans="25:25" x14ac:dyDescent="0.2">
      <c r="Y47446" s="97"/>
    </row>
    <row r="47447" spans="25:25" x14ac:dyDescent="0.2">
      <c r="Y47447" s="97"/>
    </row>
    <row r="47448" spans="25:25" x14ac:dyDescent="0.2">
      <c r="Y47448" s="97"/>
    </row>
    <row r="47449" spans="25:25" x14ac:dyDescent="0.2">
      <c r="Y47449" s="97"/>
    </row>
    <row r="47450" spans="25:25" x14ac:dyDescent="0.2">
      <c r="Y47450" s="97"/>
    </row>
    <row r="47451" spans="25:25" x14ac:dyDescent="0.2">
      <c r="Y47451" s="97"/>
    </row>
    <row r="47452" spans="25:25" x14ac:dyDescent="0.2">
      <c r="Y47452" s="97"/>
    </row>
    <row r="47453" spans="25:25" x14ac:dyDescent="0.2">
      <c r="Y47453" s="97"/>
    </row>
    <row r="47454" spans="25:25" x14ac:dyDescent="0.2">
      <c r="Y47454" s="97"/>
    </row>
    <row r="47455" spans="25:25" x14ac:dyDescent="0.2">
      <c r="Y47455" s="97"/>
    </row>
    <row r="47456" spans="25:25" x14ac:dyDescent="0.2">
      <c r="Y47456" s="97"/>
    </row>
    <row r="47457" spans="25:25" x14ac:dyDescent="0.2">
      <c r="Y47457" s="97"/>
    </row>
    <row r="47458" spans="25:25" x14ac:dyDescent="0.2">
      <c r="Y47458" s="97"/>
    </row>
    <row r="47459" spans="25:25" x14ac:dyDescent="0.2">
      <c r="Y47459" s="97"/>
    </row>
    <row r="47460" spans="25:25" x14ac:dyDescent="0.2">
      <c r="Y47460" s="97"/>
    </row>
    <row r="47461" spans="25:25" x14ac:dyDescent="0.2">
      <c r="Y47461" s="97"/>
    </row>
    <row r="47462" spans="25:25" x14ac:dyDescent="0.2">
      <c r="Y47462" s="97"/>
    </row>
    <row r="47463" spans="25:25" x14ac:dyDescent="0.2">
      <c r="Y47463" s="97"/>
    </row>
    <row r="47464" spans="25:25" x14ac:dyDescent="0.2">
      <c r="Y47464" s="97"/>
    </row>
    <row r="47465" spans="25:25" x14ac:dyDescent="0.2">
      <c r="Y47465" s="97"/>
    </row>
    <row r="47466" spans="25:25" x14ac:dyDescent="0.2">
      <c r="Y47466" s="97"/>
    </row>
    <row r="47467" spans="25:25" x14ac:dyDescent="0.2">
      <c r="Y47467" s="97"/>
    </row>
    <row r="47468" spans="25:25" x14ac:dyDescent="0.2">
      <c r="Y47468" s="97"/>
    </row>
    <row r="47469" spans="25:25" x14ac:dyDescent="0.2">
      <c r="Y47469" s="97"/>
    </row>
    <row r="47470" spans="25:25" x14ac:dyDescent="0.2">
      <c r="Y47470" s="97"/>
    </row>
    <row r="47471" spans="25:25" x14ac:dyDescent="0.2">
      <c r="Y47471" s="97"/>
    </row>
    <row r="47472" spans="25:25" x14ac:dyDescent="0.2">
      <c r="Y47472" s="97"/>
    </row>
    <row r="47473" spans="25:25" x14ac:dyDescent="0.2">
      <c r="Y47473" s="97"/>
    </row>
    <row r="47474" spans="25:25" x14ac:dyDescent="0.2">
      <c r="Y47474" s="97"/>
    </row>
    <row r="47475" spans="25:25" x14ac:dyDescent="0.2">
      <c r="Y47475" s="97"/>
    </row>
    <row r="47476" spans="25:25" x14ac:dyDescent="0.2">
      <c r="Y47476" s="97"/>
    </row>
    <row r="47477" spans="25:25" x14ac:dyDescent="0.2">
      <c r="Y47477" s="97"/>
    </row>
    <row r="47478" spans="25:25" x14ac:dyDescent="0.2">
      <c r="Y47478" s="97"/>
    </row>
    <row r="47479" spans="25:25" x14ac:dyDescent="0.2">
      <c r="Y47479" s="97"/>
    </row>
    <row r="47480" spans="25:25" x14ac:dyDescent="0.2">
      <c r="Y47480" s="97"/>
    </row>
    <row r="47481" spans="25:25" x14ac:dyDescent="0.2">
      <c r="Y47481" s="97"/>
    </row>
    <row r="47482" spans="25:25" x14ac:dyDescent="0.2">
      <c r="Y47482" s="97"/>
    </row>
    <row r="47483" spans="25:25" x14ac:dyDescent="0.2">
      <c r="Y47483" s="97"/>
    </row>
    <row r="47484" spans="25:25" x14ac:dyDescent="0.2">
      <c r="Y47484" s="97"/>
    </row>
    <row r="47485" spans="25:25" x14ac:dyDescent="0.2">
      <c r="Y47485" s="97"/>
    </row>
    <row r="47486" spans="25:25" x14ac:dyDescent="0.2">
      <c r="Y47486" s="97"/>
    </row>
    <row r="47487" spans="25:25" x14ac:dyDescent="0.2">
      <c r="Y47487" s="97"/>
    </row>
    <row r="47488" spans="25:25" x14ac:dyDescent="0.2">
      <c r="Y47488" s="97"/>
    </row>
    <row r="47489" spans="25:25" x14ac:dyDescent="0.2">
      <c r="Y47489" s="97"/>
    </row>
    <row r="47490" spans="25:25" x14ac:dyDescent="0.2">
      <c r="Y47490" s="97"/>
    </row>
    <row r="47491" spans="25:25" x14ac:dyDescent="0.2">
      <c r="Y47491" s="97"/>
    </row>
    <row r="47492" spans="25:25" x14ac:dyDescent="0.2">
      <c r="Y47492" s="97"/>
    </row>
    <row r="47493" spans="25:25" x14ac:dyDescent="0.2">
      <c r="Y47493" s="97"/>
    </row>
    <row r="47494" spans="25:25" x14ac:dyDescent="0.2">
      <c r="Y47494" s="97"/>
    </row>
    <row r="47495" spans="25:25" x14ac:dyDescent="0.2">
      <c r="Y47495" s="97"/>
    </row>
    <row r="47496" spans="25:25" x14ac:dyDescent="0.2">
      <c r="Y47496" s="97"/>
    </row>
    <row r="47497" spans="25:25" x14ac:dyDescent="0.2">
      <c r="Y47497" s="97"/>
    </row>
    <row r="47498" spans="25:25" x14ac:dyDescent="0.2">
      <c r="Y47498" s="97"/>
    </row>
    <row r="47499" spans="25:25" x14ac:dyDescent="0.2">
      <c r="Y47499" s="97"/>
    </row>
    <row r="47500" spans="25:25" x14ac:dyDescent="0.2">
      <c r="Y47500" s="97"/>
    </row>
    <row r="47501" spans="25:25" x14ac:dyDescent="0.2">
      <c r="Y47501" s="97"/>
    </row>
    <row r="47502" spans="25:25" x14ac:dyDescent="0.2">
      <c r="Y47502" s="97"/>
    </row>
    <row r="47503" spans="25:25" x14ac:dyDescent="0.2">
      <c r="Y47503" s="97"/>
    </row>
    <row r="47504" spans="25:25" x14ac:dyDescent="0.2">
      <c r="Y47504" s="97"/>
    </row>
    <row r="47505" spans="25:25" x14ac:dyDescent="0.2">
      <c r="Y47505" s="97"/>
    </row>
    <row r="47506" spans="25:25" x14ac:dyDescent="0.2">
      <c r="Y47506" s="97"/>
    </row>
    <row r="47507" spans="25:25" x14ac:dyDescent="0.2">
      <c r="Y47507" s="97"/>
    </row>
    <row r="47508" spans="25:25" x14ac:dyDescent="0.2">
      <c r="Y47508" s="97"/>
    </row>
    <row r="47509" spans="25:25" x14ac:dyDescent="0.2">
      <c r="Y47509" s="97"/>
    </row>
    <row r="47510" spans="25:25" x14ac:dyDescent="0.2">
      <c r="Y47510" s="97"/>
    </row>
    <row r="47511" spans="25:25" x14ac:dyDescent="0.2">
      <c r="Y47511" s="97"/>
    </row>
    <row r="47512" spans="25:25" x14ac:dyDescent="0.2">
      <c r="Y47512" s="97"/>
    </row>
    <row r="47513" spans="25:25" x14ac:dyDescent="0.2">
      <c r="Y47513" s="97"/>
    </row>
    <row r="47514" spans="25:25" x14ac:dyDescent="0.2">
      <c r="Y47514" s="97"/>
    </row>
    <row r="47515" spans="25:25" x14ac:dyDescent="0.2">
      <c r="Y47515" s="97"/>
    </row>
    <row r="47516" spans="25:25" x14ac:dyDescent="0.2">
      <c r="Y47516" s="97"/>
    </row>
    <row r="47517" spans="25:25" x14ac:dyDescent="0.2">
      <c r="Y47517" s="97"/>
    </row>
    <row r="47518" spans="25:25" x14ac:dyDescent="0.2">
      <c r="Y47518" s="97"/>
    </row>
    <row r="47519" spans="25:25" x14ac:dyDescent="0.2">
      <c r="Y47519" s="97"/>
    </row>
    <row r="47520" spans="25:25" x14ac:dyDescent="0.2">
      <c r="Y47520" s="97"/>
    </row>
    <row r="47521" spans="25:25" x14ac:dyDescent="0.2">
      <c r="Y47521" s="97"/>
    </row>
    <row r="47522" spans="25:25" x14ac:dyDescent="0.2">
      <c r="Y47522" s="97"/>
    </row>
    <row r="47523" spans="25:25" x14ac:dyDescent="0.2">
      <c r="Y47523" s="97"/>
    </row>
    <row r="47524" spans="25:25" x14ac:dyDescent="0.2">
      <c r="Y47524" s="97"/>
    </row>
    <row r="47525" spans="25:25" x14ac:dyDescent="0.2">
      <c r="Y47525" s="97"/>
    </row>
    <row r="47526" spans="25:25" x14ac:dyDescent="0.2">
      <c r="Y47526" s="97"/>
    </row>
    <row r="47527" spans="25:25" x14ac:dyDescent="0.2">
      <c r="Y47527" s="97"/>
    </row>
    <row r="47528" spans="25:25" x14ac:dyDescent="0.2">
      <c r="Y47528" s="97"/>
    </row>
    <row r="47529" spans="25:25" x14ac:dyDescent="0.2">
      <c r="Y47529" s="97"/>
    </row>
    <row r="47530" spans="25:25" x14ac:dyDescent="0.2">
      <c r="Y47530" s="97"/>
    </row>
    <row r="47531" spans="25:25" x14ac:dyDescent="0.2">
      <c r="Y47531" s="97"/>
    </row>
    <row r="47532" spans="25:25" x14ac:dyDescent="0.2">
      <c r="Y47532" s="97"/>
    </row>
    <row r="47533" spans="25:25" x14ac:dyDescent="0.2">
      <c r="Y47533" s="97"/>
    </row>
    <row r="47534" spans="25:25" x14ac:dyDescent="0.2">
      <c r="Y47534" s="97"/>
    </row>
    <row r="47535" spans="25:25" x14ac:dyDescent="0.2">
      <c r="Y47535" s="97"/>
    </row>
    <row r="47536" spans="25:25" x14ac:dyDescent="0.2">
      <c r="Y47536" s="97"/>
    </row>
    <row r="47537" spans="25:25" x14ac:dyDescent="0.2">
      <c r="Y47537" s="97"/>
    </row>
    <row r="47538" spans="25:25" x14ac:dyDescent="0.2">
      <c r="Y47538" s="97"/>
    </row>
    <row r="47539" spans="25:25" x14ac:dyDescent="0.2">
      <c r="Y47539" s="97"/>
    </row>
    <row r="47540" spans="25:25" x14ac:dyDescent="0.2">
      <c r="Y47540" s="97"/>
    </row>
    <row r="47541" spans="25:25" x14ac:dyDescent="0.2">
      <c r="Y47541" s="97"/>
    </row>
    <row r="47542" spans="25:25" x14ac:dyDescent="0.2">
      <c r="Y47542" s="97"/>
    </row>
    <row r="47543" spans="25:25" x14ac:dyDescent="0.2">
      <c r="Y47543" s="97"/>
    </row>
    <row r="47544" spans="25:25" x14ac:dyDescent="0.2">
      <c r="Y47544" s="97"/>
    </row>
    <row r="47545" spans="25:25" x14ac:dyDescent="0.2">
      <c r="Y47545" s="97"/>
    </row>
    <row r="47546" spans="25:25" x14ac:dyDescent="0.2">
      <c r="Y47546" s="97"/>
    </row>
    <row r="47547" spans="25:25" x14ac:dyDescent="0.2">
      <c r="Y47547" s="97"/>
    </row>
    <row r="47548" spans="25:25" x14ac:dyDescent="0.2">
      <c r="Y47548" s="97"/>
    </row>
    <row r="47549" spans="25:25" x14ac:dyDescent="0.2">
      <c r="Y47549" s="97"/>
    </row>
    <row r="47550" spans="25:25" x14ac:dyDescent="0.2">
      <c r="Y47550" s="97"/>
    </row>
    <row r="47551" spans="25:25" x14ac:dyDescent="0.2">
      <c r="Y47551" s="97"/>
    </row>
    <row r="47552" spans="25:25" x14ac:dyDescent="0.2">
      <c r="Y47552" s="97"/>
    </row>
    <row r="47553" spans="25:25" x14ac:dyDescent="0.2">
      <c r="Y47553" s="97"/>
    </row>
    <row r="47554" spans="25:25" x14ac:dyDescent="0.2">
      <c r="Y47554" s="97"/>
    </row>
    <row r="47555" spans="25:25" x14ac:dyDescent="0.2">
      <c r="Y47555" s="97"/>
    </row>
    <row r="47556" spans="25:25" x14ac:dyDescent="0.2">
      <c r="Y47556" s="97"/>
    </row>
    <row r="47557" spans="25:25" x14ac:dyDescent="0.2">
      <c r="Y47557" s="97"/>
    </row>
    <row r="47558" spans="25:25" x14ac:dyDescent="0.2">
      <c r="Y47558" s="97"/>
    </row>
    <row r="47559" spans="25:25" x14ac:dyDescent="0.2">
      <c r="Y47559" s="97"/>
    </row>
    <row r="47560" spans="25:25" x14ac:dyDescent="0.2">
      <c r="Y47560" s="97"/>
    </row>
    <row r="47561" spans="25:25" x14ac:dyDescent="0.2">
      <c r="Y47561" s="97"/>
    </row>
    <row r="47562" spans="25:25" x14ac:dyDescent="0.2">
      <c r="Y47562" s="97"/>
    </row>
    <row r="47563" spans="25:25" x14ac:dyDescent="0.2">
      <c r="Y47563" s="97"/>
    </row>
    <row r="47564" spans="25:25" x14ac:dyDescent="0.2">
      <c r="Y47564" s="97"/>
    </row>
    <row r="47565" spans="25:25" x14ac:dyDescent="0.2">
      <c r="Y47565" s="97"/>
    </row>
    <row r="47566" spans="25:25" x14ac:dyDescent="0.2">
      <c r="Y47566" s="97"/>
    </row>
    <row r="47567" spans="25:25" x14ac:dyDescent="0.2">
      <c r="Y47567" s="97"/>
    </row>
    <row r="47568" spans="25:25" x14ac:dyDescent="0.2">
      <c r="Y47568" s="97"/>
    </row>
    <row r="47569" spans="25:25" x14ac:dyDescent="0.2">
      <c r="Y47569" s="97"/>
    </row>
    <row r="47570" spans="25:25" x14ac:dyDescent="0.2">
      <c r="Y47570" s="97"/>
    </row>
    <row r="47571" spans="25:25" x14ac:dyDescent="0.2">
      <c r="Y47571" s="97"/>
    </row>
    <row r="47572" spans="25:25" x14ac:dyDescent="0.2">
      <c r="Y47572" s="97"/>
    </row>
    <row r="47573" spans="25:25" x14ac:dyDescent="0.2">
      <c r="Y47573" s="97"/>
    </row>
    <row r="47574" spans="25:25" x14ac:dyDescent="0.2">
      <c r="Y47574" s="97"/>
    </row>
    <row r="47575" spans="25:25" x14ac:dyDescent="0.2">
      <c r="Y47575" s="97"/>
    </row>
    <row r="47576" spans="25:25" x14ac:dyDescent="0.2">
      <c r="Y47576" s="97"/>
    </row>
    <row r="47577" spans="25:25" x14ac:dyDescent="0.2">
      <c r="Y47577" s="97"/>
    </row>
    <row r="47578" spans="25:25" x14ac:dyDescent="0.2">
      <c r="Y47578" s="97"/>
    </row>
    <row r="47579" spans="25:25" x14ac:dyDescent="0.2">
      <c r="Y47579" s="97"/>
    </row>
    <row r="47580" spans="25:25" x14ac:dyDescent="0.2">
      <c r="Y47580" s="97"/>
    </row>
    <row r="47581" spans="25:25" x14ac:dyDescent="0.2">
      <c r="Y47581" s="97"/>
    </row>
    <row r="47582" spans="25:25" x14ac:dyDescent="0.2">
      <c r="Y47582" s="97"/>
    </row>
    <row r="47583" spans="25:25" x14ac:dyDescent="0.2">
      <c r="Y47583" s="97"/>
    </row>
    <row r="47584" spans="25:25" x14ac:dyDescent="0.2">
      <c r="Y47584" s="97"/>
    </row>
    <row r="47585" spans="25:25" x14ac:dyDescent="0.2">
      <c r="Y47585" s="97"/>
    </row>
    <row r="47586" spans="25:25" x14ac:dyDescent="0.2">
      <c r="Y47586" s="97"/>
    </row>
    <row r="47587" spans="25:25" x14ac:dyDescent="0.2">
      <c r="Y47587" s="97"/>
    </row>
    <row r="47588" spans="25:25" x14ac:dyDescent="0.2">
      <c r="Y47588" s="97"/>
    </row>
    <row r="47589" spans="25:25" x14ac:dyDescent="0.2">
      <c r="Y47589" s="97"/>
    </row>
    <row r="47590" spans="25:25" x14ac:dyDescent="0.2">
      <c r="Y47590" s="97"/>
    </row>
    <row r="47591" spans="25:25" x14ac:dyDescent="0.2">
      <c r="Y47591" s="97"/>
    </row>
    <row r="47592" spans="25:25" x14ac:dyDescent="0.2">
      <c r="Y47592" s="97"/>
    </row>
    <row r="47593" spans="25:25" x14ac:dyDescent="0.2">
      <c r="Y47593" s="97"/>
    </row>
    <row r="47594" spans="25:25" x14ac:dyDescent="0.2">
      <c r="Y47594" s="97"/>
    </row>
    <row r="47595" spans="25:25" x14ac:dyDescent="0.2">
      <c r="Y47595" s="97"/>
    </row>
    <row r="47596" spans="25:25" x14ac:dyDescent="0.2">
      <c r="Y47596" s="97"/>
    </row>
    <row r="47597" spans="25:25" x14ac:dyDescent="0.2">
      <c r="Y47597" s="97"/>
    </row>
    <row r="47598" spans="25:25" x14ac:dyDescent="0.2">
      <c r="Y47598" s="97"/>
    </row>
    <row r="47599" spans="25:25" x14ac:dyDescent="0.2">
      <c r="Y47599" s="97"/>
    </row>
    <row r="47600" spans="25:25" x14ac:dyDescent="0.2">
      <c r="Y47600" s="97"/>
    </row>
    <row r="47601" spans="25:25" x14ac:dyDescent="0.2">
      <c r="Y47601" s="97"/>
    </row>
    <row r="47602" spans="25:25" x14ac:dyDescent="0.2">
      <c r="Y47602" s="97"/>
    </row>
    <row r="47603" spans="25:25" x14ac:dyDescent="0.2">
      <c r="Y47603" s="97"/>
    </row>
    <row r="47604" spans="25:25" x14ac:dyDescent="0.2">
      <c r="Y47604" s="97"/>
    </row>
    <row r="47605" spans="25:25" x14ac:dyDescent="0.2">
      <c r="Y47605" s="97"/>
    </row>
    <row r="47606" spans="25:25" x14ac:dyDescent="0.2">
      <c r="Y47606" s="97"/>
    </row>
    <row r="47607" spans="25:25" x14ac:dyDescent="0.2">
      <c r="Y47607" s="97"/>
    </row>
    <row r="47608" spans="25:25" x14ac:dyDescent="0.2">
      <c r="Y47608" s="97"/>
    </row>
    <row r="47609" spans="25:25" x14ac:dyDescent="0.2">
      <c r="Y47609" s="97"/>
    </row>
    <row r="47610" spans="25:25" x14ac:dyDescent="0.2">
      <c r="Y47610" s="97"/>
    </row>
    <row r="47611" spans="25:25" x14ac:dyDescent="0.2">
      <c r="Y47611" s="97"/>
    </row>
    <row r="47612" spans="25:25" x14ac:dyDescent="0.2">
      <c r="Y47612" s="97"/>
    </row>
    <row r="47613" spans="25:25" x14ac:dyDescent="0.2">
      <c r="Y47613" s="97"/>
    </row>
    <row r="47614" spans="25:25" x14ac:dyDescent="0.2">
      <c r="Y47614" s="97"/>
    </row>
    <row r="47615" spans="25:25" x14ac:dyDescent="0.2">
      <c r="Y47615" s="97"/>
    </row>
    <row r="47616" spans="25:25" x14ac:dyDescent="0.2">
      <c r="Y47616" s="97"/>
    </row>
    <row r="47617" spans="25:25" x14ac:dyDescent="0.2">
      <c r="Y47617" s="97"/>
    </row>
    <row r="47618" spans="25:25" x14ac:dyDescent="0.2">
      <c r="Y47618" s="97"/>
    </row>
    <row r="47619" spans="25:25" x14ac:dyDescent="0.2">
      <c r="Y47619" s="97"/>
    </row>
    <row r="47620" spans="25:25" x14ac:dyDescent="0.2">
      <c r="Y47620" s="97"/>
    </row>
    <row r="47621" spans="25:25" x14ac:dyDescent="0.2">
      <c r="Y47621" s="97"/>
    </row>
    <row r="47622" spans="25:25" x14ac:dyDescent="0.2">
      <c r="Y47622" s="97"/>
    </row>
    <row r="47623" spans="25:25" x14ac:dyDescent="0.2">
      <c r="Y47623" s="97"/>
    </row>
    <row r="47624" spans="25:25" x14ac:dyDescent="0.2">
      <c r="Y47624" s="97"/>
    </row>
    <row r="47625" spans="25:25" x14ac:dyDescent="0.2">
      <c r="Y47625" s="97"/>
    </row>
    <row r="47626" spans="25:25" x14ac:dyDescent="0.2">
      <c r="Y47626" s="97"/>
    </row>
    <row r="47627" spans="25:25" x14ac:dyDescent="0.2">
      <c r="Y47627" s="97"/>
    </row>
    <row r="47628" spans="25:25" x14ac:dyDescent="0.2">
      <c r="Y47628" s="97"/>
    </row>
    <row r="47629" spans="25:25" x14ac:dyDescent="0.2">
      <c r="Y47629" s="97"/>
    </row>
    <row r="47630" spans="25:25" x14ac:dyDescent="0.2">
      <c r="Y47630" s="97"/>
    </row>
    <row r="47631" spans="25:25" x14ac:dyDescent="0.2">
      <c r="Y47631" s="97"/>
    </row>
    <row r="47632" spans="25:25" x14ac:dyDescent="0.2">
      <c r="Y47632" s="97"/>
    </row>
    <row r="47633" spans="25:25" x14ac:dyDescent="0.2">
      <c r="Y47633" s="97"/>
    </row>
    <row r="47634" spans="25:25" x14ac:dyDescent="0.2">
      <c r="Y47634" s="97"/>
    </row>
    <row r="47635" spans="25:25" x14ac:dyDescent="0.2">
      <c r="Y47635" s="97"/>
    </row>
    <row r="47636" spans="25:25" x14ac:dyDescent="0.2">
      <c r="Y47636" s="97"/>
    </row>
    <row r="47637" spans="25:25" x14ac:dyDescent="0.2">
      <c r="Y47637" s="97"/>
    </row>
    <row r="47638" spans="25:25" x14ac:dyDescent="0.2">
      <c r="Y47638" s="97"/>
    </row>
    <row r="47639" spans="25:25" x14ac:dyDescent="0.2">
      <c r="Y47639" s="97"/>
    </row>
    <row r="47640" spans="25:25" x14ac:dyDescent="0.2">
      <c r="Y47640" s="97"/>
    </row>
    <row r="47641" spans="25:25" x14ac:dyDescent="0.2">
      <c r="Y47641" s="97"/>
    </row>
    <row r="47642" spans="25:25" x14ac:dyDescent="0.2">
      <c r="Y47642" s="97"/>
    </row>
    <row r="47643" spans="25:25" x14ac:dyDescent="0.2">
      <c r="Y47643" s="97"/>
    </row>
    <row r="47644" spans="25:25" x14ac:dyDescent="0.2">
      <c r="Y47644" s="97"/>
    </row>
    <row r="47645" spans="25:25" x14ac:dyDescent="0.2">
      <c r="Y47645" s="97"/>
    </row>
    <row r="47646" spans="25:25" x14ac:dyDescent="0.2">
      <c r="Y47646" s="97"/>
    </row>
    <row r="47647" spans="25:25" x14ac:dyDescent="0.2">
      <c r="Y47647" s="97"/>
    </row>
    <row r="47648" spans="25:25" x14ac:dyDescent="0.2">
      <c r="Y47648" s="97"/>
    </row>
    <row r="47649" spans="25:25" x14ac:dyDescent="0.2">
      <c r="Y47649" s="97"/>
    </row>
    <row r="47650" spans="25:25" x14ac:dyDescent="0.2">
      <c r="Y47650" s="97"/>
    </row>
    <row r="47651" spans="25:25" x14ac:dyDescent="0.2">
      <c r="Y47651" s="97"/>
    </row>
    <row r="47652" spans="25:25" x14ac:dyDescent="0.2">
      <c r="Y47652" s="97"/>
    </row>
    <row r="47653" spans="25:25" x14ac:dyDescent="0.2">
      <c r="Y47653" s="97"/>
    </row>
    <row r="47654" spans="25:25" x14ac:dyDescent="0.2">
      <c r="Y47654" s="97"/>
    </row>
    <row r="47655" spans="25:25" x14ac:dyDescent="0.2">
      <c r="Y47655" s="97"/>
    </row>
    <row r="47656" spans="25:25" x14ac:dyDescent="0.2">
      <c r="Y47656" s="97"/>
    </row>
    <row r="47657" spans="25:25" x14ac:dyDescent="0.2">
      <c r="Y47657" s="97"/>
    </row>
    <row r="47658" spans="25:25" x14ac:dyDescent="0.2">
      <c r="Y47658" s="97"/>
    </row>
    <row r="47659" spans="25:25" x14ac:dyDescent="0.2">
      <c r="Y47659" s="97"/>
    </row>
    <row r="47660" spans="25:25" x14ac:dyDescent="0.2">
      <c r="Y47660" s="97"/>
    </row>
    <row r="47661" spans="25:25" x14ac:dyDescent="0.2">
      <c r="Y47661" s="97"/>
    </row>
    <row r="47662" spans="25:25" x14ac:dyDescent="0.2">
      <c r="Y47662" s="97"/>
    </row>
    <row r="47663" spans="25:25" x14ac:dyDescent="0.2">
      <c r="Y47663" s="97"/>
    </row>
    <row r="47664" spans="25:25" x14ac:dyDescent="0.2">
      <c r="Y47664" s="97"/>
    </row>
    <row r="47665" spans="25:25" x14ac:dyDescent="0.2">
      <c r="Y47665" s="97"/>
    </row>
    <row r="47666" spans="25:25" x14ac:dyDescent="0.2">
      <c r="Y47666" s="97"/>
    </row>
    <row r="47667" spans="25:25" x14ac:dyDescent="0.2">
      <c r="Y47667" s="97"/>
    </row>
    <row r="47668" spans="25:25" x14ac:dyDescent="0.2">
      <c r="Y47668" s="97"/>
    </row>
    <row r="47669" spans="25:25" x14ac:dyDescent="0.2">
      <c r="Y47669" s="97"/>
    </row>
    <row r="47670" spans="25:25" x14ac:dyDescent="0.2">
      <c r="Y47670" s="97"/>
    </row>
    <row r="47671" spans="25:25" x14ac:dyDescent="0.2">
      <c r="Y47671" s="97"/>
    </row>
    <row r="47672" spans="25:25" x14ac:dyDescent="0.2">
      <c r="Y47672" s="97"/>
    </row>
    <row r="47673" spans="25:25" x14ac:dyDescent="0.2">
      <c r="Y47673" s="97"/>
    </row>
    <row r="47674" spans="25:25" x14ac:dyDescent="0.2">
      <c r="Y47674" s="97"/>
    </row>
    <row r="47675" spans="25:25" x14ac:dyDescent="0.2">
      <c r="Y47675" s="97"/>
    </row>
    <row r="47676" spans="25:25" x14ac:dyDescent="0.2">
      <c r="Y47676" s="97"/>
    </row>
    <row r="47677" spans="25:25" x14ac:dyDescent="0.2">
      <c r="Y47677" s="97"/>
    </row>
    <row r="47678" spans="25:25" x14ac:dyDescent="0.2">
      <c r="Y47678" s="97"/>
    </row>
    <row r="47679" spans="25:25" x14ac:dyDescent="0.2">
      <c r="Y47679" s="97"/>
    </row>
    <row r="47680" spans="25:25" x14ac:dyDescent="0.2">
      <c r="Y47680" s="97"/>
    </row>
    <row r="47681" spans="25:25" x14ac:dyDescent="0.2">
      <c r="Y47681" s="97"/>
    </row>
    <row r="47682" spans="25:25" x14ac:dyDescent="0.2">
      <c r="Y47682" s="97"/>
    </row>
    <row r="47683" spans="25:25" x14ac:dyDescent="0.2">
      <c r="Y47683" s="97"/>
    </row>
    <row r="47684" spans="25:25" x14ac:dyDescent="0.2">
      <c r="Y47684" s="97"/>
    </row>
    <row r="47685" spans="25:25" x14ac:dyDescent="0.2">
      <c r="Y47685" s="97"/>
    </row>
    <row r="47686" spans="25:25" x14ac:dyDescent="0.2">
      <c r="Y47686" s="97"/>
    </row>
    <row r="47687" spans="25:25" x14ac:dyDescent="0.2">
      <c r="Y47687" s="97"/>
    </row>
    <row r="47688" spans="25:25" x14ac:dyDescent="0.2">
      <c r="Y47688" s="97"/>
    </row>
    <row r="47689" spans="25:25" x14ac:dyDescent="0.2">
      <c r="Y47689" s="97"/>
    </row>
    <row r="47690" spans="25:25" x14ac:dyDescent="0.2">
      <c r="Y47690" s="97"/>
    </row>
    <row r="47691" spans="25:25" x14ac:dyDescent="0.2">
      <c r="Y47691" s="97"/>
    </row>
    <row r="47692" spans="25:25" x14ac:dyDescent="0.2">
      <c r="Y47692" s="97"/>
    </row>
    <row r="47693" spans="25:25" x14ac:dyDescent="0.2">
      <c r="Y47693" s="97"/>
    </row>
    <row r="47694" spans="25:25" x14ac:dyDescent="0.2">
      <c r="Y47694" s="97"/>
    </row>
    <row r="47695" spans="25:25" x14ac:dyDescent="0.2">
      <c r="Y47695" s="97"/>
    </row>
    <row r="47696" spans="25:25" x14ac:dyDescent="0.2">
      <c r="Y47696" s="97"/>
    </row>
    <row r="47697" spans="25:25" x14ac:dyDescent="0.2">
      <c r="Y47697" s="97"/>
    </row>
    <row r="47698" spans="25:25" x14ac:dyDescent="0.2">
      <c r="Y47698" s="97"/>
    </row>
    <row r="47699" spans="25:25" x14ac:dyDescent="0.2">
      <c r="Y47699" s="97"/>
    </row>
    <row r="47700" spans="25:25" x14ac:dyDescent="0.2">
      <c r="Y47700" s="97"/>
    </row>
    <row r="47701" spans="25:25" x14ac:dyDescent="0.2">
      <c r="Y47701" s="97"/>
    </row>
    <row r="47702" spans="25:25" x14ac:dyDescent="0.2">
      <c r="Y47702" s="97"/>
    </row>
    <row r="47703" spans="25:25" x14ac:dyDescent="0.2">
      <c r="Y47703" s="97"/>
    </row>
    <row r="47704" spans="25:25" x14ac:dyDescent="0.2">
      <c r="Y47704" s="97"/>
    </row>
    <row r="47705" spans="25:25" x14ac:dyDescent="0.2">
      <c r="Y47705" s="97"/>
    </row>
    <row r="47706" spans="25:25" x14ac:dyDescent="0.2">
      <c r="Y47706" s="97"/>
    </row>
    <row r="47707" spans="25:25" x14ac:dyDescent="0.2">
      <c r="Y47707" s="97"/>
    </row>
    <row r="47708" spans="25:25" x14ac:dyDescent="0.2">
      <c r="Y47708" s="97"/>
    </row>
    <row r="47709" spans="25:25" x14ac:dyDescent="0.2">
      <c r="Y47709" s="97"/>
    </row>
    <row r="47710" spans="25:25" x14ac:dyDescent="0.2">
      <c r="Y47710" s="97"/>
    </row>
    <row r="47711" spans="25:25" x14ac:dyDescent="0.2">
      <c r="Y47711" s="97"/>
    </row>
    <row r="47712" spans="25:25" x14ac:dyDescent="0.2">
      <c r="Y47712" s="97"/>
    </row>
    <row r="47713" spans="25:25" x14ac:dyDescent="0.2">
      <c r="Y47713" s="97"/>
    </row>
    <row r="47714" spans="25:25" x14ac:dyDescent="0.2">
      <c r="Y47714" s="97"/>
    </row>
    <row r="47715" spans="25:25" x14ac:dyDescent="0.2">
      <c r="Y47715" s="97"/>
    </row>
    <row r="47716" spans="25:25" x14ac:dyDescent="0.2">
      <c r="Y47716" s="97"/>
    </row>
    <row r="47717" spans="25:25" x14ac:dyDescent="0.2">
      <c r="Y47717" s="97"/>
    </row>
    <row r="47718" spans="25:25" x14ac:dyDescent="0.2">
      <c r="Y47718" s="97"/>
    </row>
    <row r="47719" spans="25:25" x14ac:dyDescent="0.2">
      <c r="Y47719" s="97"/>
    </row>
    <row r="47720" spans="25:25" x14ac:dyDescent="0.2">
      <c r="Y47720" s="97"/>
    </row>
    <row r="47721" spans="25:25" x14ac:dyDescent="0.2">
      <c r="Y47721" s="97"/>
    </row>
    <row r="47722" spans="25:25" x14ac:dyDescent="0.2">
      <c r="Y47722" s="97"/>
    </row>
    <row r="47723" spans="25:25" x14ac:dyDescent="0.2">
      <c r="Y47723" s="97"/>
    </row>
    <row r="47724" spans="25:25" x14ac:dyDescent="0.2">
      <c r="Y47724" s="97"/>
    </row>
    <row r="47725" spans="25:25" x14ac:dyDescent="0.2">
      <c r="Y47725" s="97"/>
    </row>
    <row r="47726" spans="25:25" x14ac:dyDescent="0.2">
      <c r="Y47726" s="97"/>
    </row>
    <row r="47727" spans="25:25" x14ac:dyDescent="0.2">
      <c r="Y47727" s="97"/>
    </row>
    <row r="47728" spans="25:25" x14ac:dyDescent="0.2">
      <c r="Y47728" s="97"/>
    </row>
    <row r="47729" spans="25:25" x14ac:dyDescent="0.2">
      <c r="Y47729" s="97"/>
    </row>
    <row r="47730" spans="25:25" x14ac:dyDescent="0.2">
      <c r="Y47730" s="97"/>
    </row>
    <row r="47731" spans="25:25" x14ac:dyDescent="0.2">
      <c r="Y47731" s="97"/>
    </row>
    <row r="47732" spans="25:25" x14ac:dyDescent="0.2">
      <c r="Y47732" s="97"/>
    </row>
    <row r="47733" spans="25:25" x14ac:dyDescent="0.2">
      <c r="Y47733" s="97"/>
    </row>
    <row r="47734" spans="25:25" x14ac:dyDescent="0.2">
      <c r="Y47734" s="97"/>
    </row>
    <row r="47735" spans="25:25" x14ac:dyDescent="0.2">
      <c r="Y47735" s="97"/>
    </row>
    <row r="47736" spans="25:25" x14ac:dyDescent="0.2">
      <c r="Y47736" s="97"/>
    </row>
    <row r="47737" spans="25:25" x14ac:dyDescent="0.2">
      <c r="Y47737" s="97"/>
    </row>
    <row r="47738" spans="25:25" x14ac:dyDescent="0.2">
      <c r="Y47738" s="97"/>
    </row>
    <row r="47739" spans="25:25" x14ac:dyDescent="0.2">
      <c r="Y47739" s="97"/>
    </row>
    <row r="47740" spans="25:25" x14ac:dyDescent="0.2">
      <c r="Y47740" s="97"/>
    </row>
    <row r="47741" spans="25:25" x14ac:dyDescent="0.2">
      <c r="Y47741" s="97"/>
    </row>
    <row r="47742" spans="25:25" x14ac:dyDescent="0.2">
      <c r="Y47742" s="97"/>
    </row>
    <row r="47743" spans="25:25" x14ac:dyDescent="0.2">
      <c r="Y47743" s="97"/>
    </row>
    <row r="47744" spans="25:25" x14ac:dyDescent="0.2">
      <c r="Y47744" s="97"/>
    </row>
    <row r="47745" spans="25:25" x14ac:dyDescent="0.2">
      <c r="Y47745" s="97"/>
    </row>
    <row r="47746" spans="25:25" x14ac:dyDescent="0.2">
      <c r="Y47746" s="97"/>
    </row>
    <row r="47747" spans="25:25" x14ac:dyDescent="0.2">
      <c r="Y47747" s="97"/>
    </row>
    <row r="47748" spans="25:25" x14ac:dyDescent="0.2">
      <c r="Y47748" s="97"/>
    </row>
    <row r="47749" spans="25:25" x14ac:dyDescent="0.2">
      <c r="Y47749" s="97"/>
    </row>
    <row r="47750" spans="25:25" x14ac:dyDescent="0.2">
      <c r="Y47750" s="97"/>
    </row>
    <row r="47751" spans="25:25" x14ac:dyDescent="0.2">
      <c r="Y47751" s="97"/>
    </row>
    <row r="47752" spans="25:25" x14ac:dyDescent="0.2">
      <c r="Y47752" s="97"/>
    </row>
    <row r="47753" spans="25:25" x14ac:dyDescent="0.2">
      <c r="Y47753" s="97"/>
    </row>
    <row r="47754" spans="25:25" x14ac:dyDescent="0.2">
      <c r="Y47754" s="97"/>
    </row>
    <row r="47755" spans="25:25" x14ac:dyDescent="0.2">
      <c r="Y47755" s="97"/>
    </row>
    <row r="47756" spans="25:25" x14ac:dyDescent="0.2">
      <c r="Y47756" s="97"/>
    </row>
    <row r="47757" spans="25:25" x14ac:dyDescent="0.2">
      <c r="Y47757" s="97"/>
    </row>
    <row r="47758" spans="25:25" x14ac:dyDescent="0.2">
      <c r="Y47758" s="97"/>
    </row>
    <row r="47759" spans="25:25" x14ac:dyDescent="0.2">
      <c r="Y47759" s="97"/>
    </row>
    <row r="47760" spans="25:25" x14ac:dyDescent="0.2">
      <c r="Y47760" s="97"/>
    </row>
    <row r="47761" spans="25:25" x14ac:dyDescent="0.2">
      <c r="Y47761" s="97"/>
    </row>
    <row r="47762" spans="25:25" x14ac:dyDescent="0.2">
      <c r="Y47762" s="97"/>
    </row>
    <row r="47763" spans="25:25" x14ac:dyDescent="0.2">
      <c r="Y47763" s="97"/>
    </row>
    <row r="47764" spans="25:25" x14ac:dyDescent="0.2">
      <c r="Y47764" s="97"/>
    </row>
    <row r="47765" spans="25:25" x14ac:dyDescent="0.2">
      <c r="Y47765" s="97"/>
    </row>
    <row r="47766" spans="25:25" x14ac:dyDescent="0.2">
      <c r="Y47766" s="97"/>
    </row>
    <row r="47767" spans="25:25" x14ac:dyDescent="0.2">
      <c r="Y47767" s="97"/>
    </row>
    <row r="47768" spans="25:25" x14ac:dyDescent="0.2">
      <c r="Y47768" s="97"/>
    </row>
    <row r="47769" spans="25:25" x14ac:dyDescent="0.2">
      <c r="Y47769" s="97"/>
    </row>
    <row r="47770" spans="25:25" x14ac:dyDescent="0.2">
      <c r="Y47770" s="97"/>
    </row>
    <row r="47771" spans="25:25" x14ac:dyDescent="0.2">
      <c r="Y47771" s="97"/>
    </row>
    <row r="47772" spans="25:25" x14ac:dyDescent="0.2">
      <c r="Y47772" s="97"/>
    </row>
    <row r="47773" spans="25:25" x14ac:dyDescent="0.2">
      <c r="Y47773" s="97"/>
    </row>
    <row r="47774" spans="25:25" x14ac:dyDescent="0.2">
      <c r="Y47774" s="97"/>
    </row>
    <row r="47775" spans="25:25" x14ac:dyDescent="0.2">
      <c r="Y47775" s="97"/>
    </row>
    <row r="47776" spans="25:25" x14ac:dyDescent="0.2">
      <c r="Y47776" s="97"/>
    </row>
    <row r="47777" spans="25:25" x14ac:dyDescent="0.2">
      <c r="Y47777" s="97"/>
    </row>
    <row r="47778" spans="25:25" x14ac:dyDescent="0.2">
      <c r="Y47778" s="97"/>
    </row>
    <row r="47779" spans="25:25" x14ac:dyDescent="0.2">
      <c r="Y47779" s="97"/>
    </row>
    <row r="47780" spans="25:25" x14ac:dyDescent="0.2">
      <c r="Y47780" s="97"/>
    </row>
    <row r="47781" spans="25:25" x14ac:dyDescent="0.2">
      <c r="Y47781" s="97"/>
    </row>
    <row r="47782" spans="25:25" x14ac:dyDescent="0.2">
      <c r="Y47782" s="97"/>
    </row>
    <row r="47783" spans="25:25" x14ac:dyDescent="0.2">
      <c r="Y47783" s="97"/>
    </row>
    <row r="47784" spans="25:25" x14ac:dyDescent="0.2">
      <c r="Y47784" s="97"/>
    </row>
    <row r="47785" spans="25:25" x14ac:dyDescent="0.2">
      <c r="Y47785" s="97"/>
    </row>
    <row r="47786" spans="25:25" x14ac:dyDescent="0.2">
      <c r="Y47786" s="97"/>
    </row>
    <row r="47787" spans="25:25" x14ac:dyDescent="0.2">
      <c r="Y47787" s="97"/>
    </row>
    <row r="47788" spans="25:25" x14ac:dyDescent="0.2">
      <c r="Y47788" s="97"/>
    </row>
    <row r="47789" spans="25:25" x14ac:dyDescent="0.2">
      <c r="Y47789" s="97"/>
    </row>
    <row r="47790" spans="25:25" x14ac:dyDescent="0.2">
      <c r="Y47790" s="97"/>
    </row>
    <row r="47791" spans="25:25" x14ac:dyDescent="0.2">
      <c r="Y47791" s="97"/>
    </row>
    <row r="47792" spans="25:25" x14ac:dyDescent="0.2">
      <c r="Y47792" s="97"/>
    </row>
    <row r="47793" spans="25:25" x14ac:dyDescent="0.2">
      <c r="Y47793" s="97"/>
    </row>
    <row r="47794" spans="25:25" x14ac:dyDescent="0.2">
      <c r="Y47794" s="97"/>
    </row>
    <row r="47795" spans="25:25" x14ac:dyDescent="0.2">
      <c r="Y47795" s="97"/>
    </row>
    <row r="47796" spans="25:25" x14ac:dyDescent="0.2">
      <c r="Y47796" s="97"/>
    </row>
    <row r="47797" spans="25:25" x14ac:dyDescent="0.2">
      <c r="Y47797" s="97"/>
    </row>
    <row r="47798" spans="25:25" x14ac:dyDescent="0.2">
      <c r="Y47798" s="97"/>
    </row>
    <row r="47799" spans="25:25" x14ac:dyDescent="0.2">
      <c r="Y47799" s="97"/>
    </row>
    <row r="47800" spans="25:25" x14ac:dyDescent="0.2">
      <c r="Y47800" s="97"/>
    </row>
    <row r="47801" spans="25:25" x14ac:dyDescent="0.2">
      <c r="Y47801" s="97"/>
    </row>
    <row r="47802" spans="25:25" x14ac:dyDescent="0.2">
      <c r="Y47802" s="97"/>
    </row>
    <row r="47803" spans="25:25" x14ac:dyDescent="0.2">
      <c r="Y47803" s="97"/>
    </row>
    <row r="47804" spans="25:25" x14ac:dyDescent="0.2">
      <c r="Y47804" s="97"/>
    </row>
    <row r="47805" spans="25:25" x14ac:dyDescent="0.2">
      <c r="Y47805" s="97"/>
    </row>
    <row r="47806" spans="25:25" x14ac:dyDescent="0.2">
      <c r="Y47806" s="97"/>
    </row>
    <row r="47807" spans="25:25" x14ac:dyDescent="0.2">
      <c r="Y47807" s="97"/>
    </row>
    <row r="47808" spans="25:25" x14ac:dyDescent="0.2">
      <c r="Y47808" s="97"/>
    </row>
    <row r="47809" spans="25:25" x14ac:dyDescent="0.2">
      <c r="Y47809" s="97"/>
    </row>
    <row r="47810" spans="25:25" x14ac:dyDescent="0.2">
      <c r="Y47810" s="97"/>
    </row>
    <row r="47811" spans="25:25" x14ac:dyDescent="0.2">
      <c r="Y47811" s="97"/>
    </row>
    <row r="47812" spans="25:25" x14ac:dyDescent="0.2">
      <c r="Y47812" s="97"/>
    </row>
    <row r="47813" spans="25:25" x14ac:dyDescent="0.2">
      <c r="Y47813" s="97"/>
    </row>
    <row r="47814" spans="25:25" x14ac:dyDescent="0.2">
      <c r="Y47814" s="97"/>
    </row>
    <row r="47815" spans="25:25" x14ac:dyDescent="0.2">
      <c r="Y47815" s="97"/>
    </row>
    <row r="47816" spans="25:25" x14ac:dyDescent="0.2">
      <c r="Y47816" s="97"/>
    </row>
    <row r="47817" spans="25:25" x14ac:dyDescent="0.2">
      <c r="Y47817" s="97"/>
    </row>
    <row r="47818" spans="25:25" x14ac:dyDescent="0.2">
      <c r="Y47818" s="97"/>
    </row>
    <row r="47819" spans="25:25" x14ac:dyDescent="0.2">
      <c r="Y47819" s="97"/>
    </row>
    <row r="47820" spans="25:25" x14ac:dyDescent="0.2">
      <c r="Y47820" s="97"/>
    </row>
    <row r="47821" spans="25:25" x14ac:dyDescent="0.2">
      <c r="Y47821" s="97"/>
    </row>
    <row r="47822" spans="25:25" x14ac:dyDescent="0.2">
      <c r="Y47822" s="97"/>
    </row>
    <row r="47823" spans="25:25" x14ac:dyDescent="0.2">
      <c r="Y47823" s="97"/>
    </row>
    <row r="47824" spans="25:25" x14ac:dyDescent="0.2">
      <c r="Y47824" s="97"/>
    </row>
    <row r="47825" spans="25:25" x14ac:dyDescent="0.2">
      <c r="Y47825" s="97"/>
    </row>
    <row r="47826" spans="25:25" x14ac:dyDescent="0.2">
      <c r="Y47826" s="97"/>
    </row>
    <row r="47827" spans="25:25" x14ac:dyDescent="0.2">
      <c r="Y47827" s="97"/>
    </row>
    <row r="47828" spans="25:25" x14ac:dyDescent="0.2">
      <c r="Y47828" s="97"/>
    </row>
    <row r="47829" spans="25:25" x14ac:dyDescent="0.2">
      <c r="Y47829" s="97"/>
    </row>
    <row r="47830" spans="25:25" x14ac:dyDescent="0.2">
      <c r="Y47830" s="97"/>
    </row>
    <row r="47831" spans="25:25" x14ac:dyDescent="0.2">
      <c r="Y47831" s="97"/>
    </row>
    <row r="47832" spans="25:25" x14ac:dyDescent="0.2">
      <c r="Y47832" s="97"/>
    </row>
    <row r="47833" spans="25:25" x14ac:dyDescent="0.2">
      <c r="Y47833" s="97"/>
    </row>
    <row r="47834" spans="25:25" x14ac:dyDescent="0.2">
      <c r="Y47834" s="97"/>
    </row>
    <row r="47835" spans="25:25" x14ac:dyDescent="0.2">
      <c r="Y47835" s="97"/>
    </row>
    <row r="47836" spans="25:25" x14ac:dyDescent="0.2">
      <c r="Y47836" s="97"/>
    </row>
    <row r="47837" spans="25:25" x14ac:dyDescent="0.2">
      <c r="Y47837" s="97"/>
    </row>
    <row r="47838" spans="25:25" x14ac:dyDescent="0.2">
      <c r="Y47838" s="97"/>
    </row>
    <row r="47839" spans="25:25" x14ac:dyDescent="0.2">
      <c r="Y47839" s="97"/>
    </row>
    <row r="47840" spans="25:25" x14ac:dyDescent="0.2">
      <c r="Y47840" s="97"/>
    </row>
    <row r="47841" spans="25:25" x14ac:dyDescent="0.2">
      <c r="Y47841" s="97"/>
    </row>
    <row r="47842" spans="25:25" x14ac:dyDescent="0.2">
      <c r="Y47842" s="97"/>
    </row>
    <row r="47843" spans="25:25" x14ac:dyDescent="0.2">
      <c r="Y47843" s="97"/>
    </row>
    <row r="47844" spans="25:25" x14ac:dyDescent="0.2">
      <c r="Y47844" s="97"/>
    </row>
    <row r="47845" spans="25:25" x14ac:dyDescent="0.2">
      <c r="Y47845" s="97"/>
    </row>
    <row r="47846" spans="25:25" x14ac:dyDescent="0.2">
      <c r="Y47846" s="97"/>
    </row>
    <row r="47847" spans="25:25" x14ac:dyDescent="0.2">
      <c r="Y47847" s="97"/>
    </row>
    <row r="47848" spans="25:25" x14ac:dyDescent="0.2">
      <c r="Y47848" s="97"/>
    </row>
    <row r="47849" spans="25:25" x14ac:dyDescent="0.2">
      <c r="Y47849" s="97"/>
    </row>
    <row r="47850" spans="25:25" x14ac:dyDescent="0.2">
      <c r="Y47850" s="97"/>
    </row>
    <row r="47851" spans="25:25" x14ac:dyDescent="0.2">
      <c r="Y47851" s="97"/>
    </row>
    <row r="47852" spans="25:25" x14ac:dyDescent="0.2">
      <c r="Y47852" s="97"/>
    </row>
    <row r="47853" spans="25:25" x14ac:dyDescent="0.2">
      <c r="Y47853" s="97"/>
    </row>
    <row r="47854" spans="25:25" x14ac:dyDescent="0.2">
      <c r="Y47854" s="97"/>
    </row>
    <row r="47855" spans="25:25" x14ac:dyDescent="0.2">
      <c r="Y47855" s="97"/>
    </row>
    <row r="47856" spans="25:25" x14ac:dyDescent="0.2">
      <c r="Y47856" s="97"/>
    </row>
    <row r="47857" spans="25:25" x14ac:dyDescent="0.2">
      <c r="Y47857" s="97"/>
    </row>
    <row r="47858" spans="25:25" x14ac:dyDescent="0.2">
      <c r="Y47858" s="97"/>
    </row>
    <row r="47859" spans="25:25" x14ac:dyDescent="0.2">
      <c r="Y47859" s="97"/>
    </row>
    <row r="47860" spans="25:25" x14ac:dyDescent="0.2">
      <c r="Y47860" s="97"/>
    </row>
    <row r="47861" spans="25:25" x14ac:dyDescent="0.2">
      <c r="Y47861" s="97"/>
    </row>
    <row r="47862" spans="25:25" x14ac:dyDescent="0.2">
      <c r="Y47862" s="97"/>
    </row>
    <row r="47863" spans="25:25" x14ac:dyDescent="0.2">
      <c r="Y47863" s="97"/>
    </row>
    <row r="47864" spans="25:25" x14ac:dyDescent="0.2">
      <c r="Y47864" s="97"/>
    </row>
    <row r="47865" spans="25:25" x14ac:dyDescent="0.2">
      <c r="Y47865" s="97"/>
    </row>
    <row r="47866" spans="25:25" x14ac:dyDescent="0.2">
      <c r="Y47866" s="97"/>
    </row>
    <row r="47867" spans="25:25" x14ac:dyDescent="0.2">
      <c r="Y47867" s="97"/>
    </row>
    <row r="47868" spans="25:25" x14ac:dyDescent="0.2">
      <c r="Y47868" s="97"/>
    </row>
    <row r="47869" spans="25:25" x14ac:dyDescent="0.2">
      <c r="Y47869" s="97"/>
    </row>
    <row r="47870" spans="25:25" x14ac:dyDescent="0.2">
      <c r="Y47870" s="97"/>
    </row>
    <row r="47871" spans="25:25" x14ac:dyDescent="0.2">
      <c r="Y47871" s="97"/>
    </row>
    <row r="47872" spans="25:25" x14ac:dyDescent="0.2">
      <c r="Y47872" s="97"/>
    </row>
    <row r="47873" spans="25:25" x14ac:dyDescent="0.2">
      <c r="Y47873" s="97"/>
    </row>
    <row r="47874" spans="25:25" x14ac:dyDescent="0.2">
      <c r="Y47874" s="97"/>
    </row>
    <row r="47875" spans="25:25" x14ac:dyDescent="0.2">
      <c r="Y47875" s="97"/>
    </row>
    <row r="47876" spans="25:25" x14ac:dyDescent="0.2">
      <c r="Y47876" s="97"/>
    </row>
    <row r="47877" spans="25:25" x14ac:dyDescent="0.2">
      <c r="Y47877" s="97"/>
    </row>
    <row r="47878" spans="25:25" x14ac:dyDescent="0.2">
      <c r="Y47878" s="97"/>
    </row>
    <row r="47879" spans="25:25" x14ac:dyDescent="0.2">
      <c r="Y47879" s="97"/>
    </row>
    <row r="47880" spans="25:25" x14ac:dyDescent="0.2">
      <c r="Y47880" s="97"/>
    </row>
    <row r="47881" spans="25:25" x14ac:dyDescent="0.2">
      <c r="Y47881" s="97"/>
    </row>
    <row r="47882" spans="25:25" x14ac:dyDescent="0.2">
      <c r="Y47882" s="97"/>
    </row>
    <row r="47883" spans="25:25" x14ac:dyDescent="0.2">
      <c r="Y47883" s="97"/>
    </row>
    <row r="47884" spans="25:25" x14ac:dyDescent="0.2">
      <c r="Y47884" s="97"/>
    </row>
    <row r="47885" spans="25:25" x14ac:dyDescent="0.2">
      <c r="Y47885" s="97"/>
    </row>
    <row r="47886" spans="25:25" x14ac:dyDescent="0.2">
      <c r="Y47886" s="97"/>
    </row>
    <row r="47887" spans="25:25" x14ac:dyDescent="0.2">
      <c r="Y47887" s="97"/>
    </row>
    <row r="47888" spans="25:25" x14ac:dyDescent="0.2">
      <c r="Y47888" s="97"/>
    </row>
    <row r="47889" spans="25:25" x14ac:dyDescent="0.2">
      <c r="Y47889" s="97"/>
    </row>
    <row r="47890" spans="25:25" x14ac:dyDescent="0.2">
      <c r="Y47890" s="97"/>
    </row>
    <row r="47891" spans="25:25" x14ac:dyDescent="0.2">
      <c r="Y47891" s="97"/>
    </row>
    <row r="47892" spans="25:25" x14ac:dyDescent="0.2">
      <c r="Y47892" s="97"/>
    </row>
    <row r="47893" spans="25:25" x14ac:dyDescent="0.2">
      <c r="Y47893" s="97"/>
    </row>
    <row r="47894" spans="25:25" x14ac:dyDescent="0.2">
      <c r="Y47894" s="97"/>
    </row>
    <row r="47895" spans="25:25" x14ac:dyDescent="0.2">
      <c r="Y47895" s="97"/>
    </row>
    <row r="47896" spans="25:25" x14ac:dyDescent="0.2">
      <c r="Y47896" s="97"/>
    </row>
    <row r="47897" spans="25:25" x14ac:dyDescent="0.2">
      <c r="Y47897" s="97"/>
    </row>
    <row r="47898" spans="25:25" x14ac:dyDescent="0.2">
      <c r="Y47898" s="97"/>
    </row>
    <row r="47899" spans="25:25" x14ac:dyDescent="0.2">
      <c r="Y47899" s="97"/>
    </row>
    <row r="47900" spans="25:25" x14ac:dyDescent="0.2">
      <c r="Y47900" s="97"/>
    </row>
    <row r="47901" spans="25:25" x14ac:dyDescent="0.2">
      <c r="Y47901" s="97"/>
    </row>
    <row r="47902" spans="25:25" x14ac:dyDescent="0.2">
      <c r="Y47902" s="97"/>
    </row>
    <row r="47903" spans="25:25" x14ac:dyDescent="0.2">
      <c r="Y47903" s="97"/>
    </row>
    <row r="47904" spans="25:25" x14ac:dyDescent="0.2">
      <c r="Y47904" s="97"/>
    </row>
    <row r="47905" spans="25:25" x14ac:dyDescent="0.2">
      <c r="Y47905" s="97"/>
    </row>
    <row r="47906" spans="25:25" x14ac:dyDescent="0.2">
      <c r="Y47906" s="97"/>
    </row>
    <row r="47907" spans="25:25" x14ac:dyDescent="0.2">
      <c r="Y47907" s="97"/>
    </row>
    <row r="47908" spans="25:25" x14ac:dyDescent="0.2">
      <c r="Y47908" s="97"/>
    </row>
    <row r="47909" spans="25:25" x14ac:dyDescent="0.2">
      <c r="Y47909" s="97"/>
    </row>
    <row r="47910" spans="25:25" x14ac:dyDescent="0.2">
      <c r="Y47910" s="97"/>
    </row>
    <row r="47911" spans="25:25" x14ac:dyDescent="0.2">
      <c r="Y47911" s="97"/>
    </row>
    <row r="47912" spans="25:25" x14ac:dyDescent="0.2">
      <c r="Y47912" s="97"/>
    </row>
    <row r="47913" spans="25:25" x14ac:dyDescent="0.2">
      <c r="Y47913" s="97"/>
    </row>
    <row r="47914" spans="25:25" x14ac:dyDescent="0.2">
      <c r="Y47914" s="97"/>
    </row>
    <row r="47915" spans="25:25" x14ac:dyDescent="0.2">
      <c r="Y47915" s="97"/>
    </row>
    <row r="47916" spans="25:25" x14ac:dyDescent="0.2">
      <c r="Y47916" s="97"/>
    </row>
    <row r="47917" spans="25:25" x14ac:dyDescent="0.2">
      <c r="Y47917" s="97"/>
    </row>
    <row r="47918" spans="25:25" x14ac:dyDescent="0.2">
      <c r="Y47918" s="97"/>
    </row>
    <row r="47919" spans="25:25" x14ac:dyDescent="0.2">
      <c r="Y47919" s="97"/>
    </row>
    <row r="47920" spans="25:25" x14ac:dyDescent="0.2">
      <c r="Y47920" s="97"/>
    </row>
    <row r="47921" spans="25:25" x14ac:dyDescent="0.2">
      <c r="Y47921" s="97"/>
    </row>
    <row r="47922" spans="25:25" x14ac:dyDescent="0.2">
      <c r="Y47922" s="97"/>
    </row>
    <row r="47923" spans="25:25" x14ac:dyDescent="0.2">
      <c r="Y47923" s="97"/>
    </row>
    <row r="47924" spans="25:25" x14ac:dyDescent="0.2">
      <c r="Y47924" s="97"/>
    </row>
    <row r="47925" spans="25:25" x14ac:dyDescent="0.2">
      <c r="Y47925" s="97"/>
    </row>
    <row r="47926" spans="25:25" x14ac:dyDescent="0.2">
      <c r="Y47926" s="97"/>
    </row>
    <row r="47927" spans="25:25" x14ac:dyDescent="0.2">
      <c r="Y47927" s="97"/>
    </row>
    <row r="47928" spans="25:25" x14ac:dyDescent="0.2">
      <c r="Y47928" s="97"/>
    </row>
    <row r="47929" spans="25:25" x14ac:dyDescent="0.2">
      <c r="Y47929" s="97"/>
    </row>
    <row r="47930" spans="25:25" x14ac:dyDescent="0.2">
      <c r="Y47930" s="97"/>
    </row>
    <row r="47931" spans="25:25" x14ac:dyDescent="0.2">
      <c r="Y47931" s="97"/>
    </row>
    <row r="47932" spans="25:25" x14ac:dyDescent="0.2">
      <c r="Y47932" s="97"/>
    </row>
    <row r="47933" spans="25:25" x14ac:dyDescent="0.2">
      <c r="Y47933" s="97"/>
    </row>
    <row r="47934" spans="25:25" x14ac:dyDescent="0.2">
      <c r="Y47934" s="97"/>
    </row>
    <row r="47935" spans="25:25" x14ac:dyDescent="0.2">
      <c r="Y47935" s="97"/>
    </row>
    <row r="47936" spans="25:25" x14ac:dyDescent="0.2">
      <c r="Y47936" s="97"/>
    </row>
    <row r="47937" spans="25:25" x14ac:dyDescent="0.2">
      <c r="Y47937" s="97"/>
    </row>
    <row r="47938" spans="25:25" x14ac:dyDescent="0.2">
      <c r="Y47938" s="97"/>
    </row>
    <row r="47939" spans="25:25" x14ac:dyDescent="0.2">
      <c r="Y47939" s="97"/>
    </row>
    <row r="47940" spans="25:25" x14ac:dyDescent="0.2">
      <c r="Y47940" s="97"/>
    </row>
    <row r="47941" spans="25:25" x14ac:dyDescent="0.2">
      <c r="Y47941" s="97"/>
    </row>
    <row r="47942" spans="25:25" x14ac:dyDescent="0.2">
      <c r="Y47942" s="97"/>
    </row>
    <row r="47943" spans="25:25" x14ac:dyDescent="0.2">
      <c r="Y47943" s="97"/>
    </row>
    <row r="47944" spans="25:25" x14ac:dyDescent="0.2">
      <c r="Y47944" s="97"/>
    </row>
    <row r="47945" spans="25:25" x14ac:dyDescent="0.2">
      <c r="Y47945" s="97"/>
    </row>
    <row r="47946" spans="25:25" x14ac:dyDescent="0.2">
      <c r="Y47946" s="97"/>
    </row>
    <row r="47947" spans="25:25" x14ac:dyDescent="0.2">
      <c r="Y47947" s="97"/>
    </row>
    <row r="47948" spans="25:25" x14ac:dyDescent="0.2">
      <c r="Y47948" s="97"/>
    </row>
    <row r="47949" spans="25:25" x14ac:dyDescent="0.2">
      <c r="Y47949" s="97"/>
    </row>
    <row r="47950" spans="25:25" x14ac:dyDescent="0.2">
      <c r="Y47950" s="97"/>
    </row>
    <row r="47951" spans="25:25" x14ac:dyDescent="0.2">
      <c r="Y47951" s="97"/>
    </row>
    <row r="47952" spans="25:25" x14ac:dyDescent="0.2">
      <c r="Y47952" s="97"/>
    </row>
    <row r="47953" spans="25:25" x14ac:dyDescent="0.2">
      <c r="Y47953" s="97"/>
    </row>
    <row r="47954" spans="25:25" x14ac:dyDescent="0.2">
      <c r="Y47954" s="97"/>
    </row>
    <row r="47955" spans="25:25" x14ac:dyDescent="0.2">
      <c r="Y47955" s="97"/>
    </row>
    <row r="47956" spans="25:25" x14ac:dyDescent="0.2">
      <c r="Y47956" s="97"/>
    </row>
    <row r="47957" spans="25:25" x14ac:dyDescent="0.2">
      <c r="Y47957" s="97"/>
    </row>
    <row r="47958" spans="25:25" x14ac:dyDescent="0.2">
      <c r="Y47958" s="97"/>
    </row>
    <row r="47959" spans="25:25" x14ac:dyDescent="0.2">
      <c r="Y47959" s="97"/>
    </row>
    <row r="47960" spans="25:25" x14ac:dyDescent="0.2">
      <c r="Y47960" s="97"/>
    </row>
    <row r="47961" spans="25:25" x14ac:dyDescent="0.2">
      <c r="Y47961" s="97"/>
    </row>
    <row r="47962" spans="25:25" x14ac:dyDescent="0.2">
      <c r="Y47962" s="97"/>
    </row>
    <row r="47963" spans="25:25" x14ac:dyDescent="0.2">
      <c r="Y47963" s="97"/>
    </row>
    <row r="47964" spans="25:25" x14ac:dyDescent="0.2">
      <c r="Y47964" s="97"/>
    </row>
    <row r="47965" spans="25:25" x14ac:dyDescent="0.2">
      <c r="Y47965" s="97"/>
    </row>
    <row r="47966" spans="25:25" x14ac:dyDescent="0.2">
      <c r="Y47966" s="97"/>
    </row>
    <row r="47967" spans="25:25" x14ac:dyDescent="0.2">
      <c r="Y47967" s="97"/>
    </row>
    <row r="47968" spans="25:25" x14ac:dyDescent="0.2">
      <c r="Y47968" s="97"/>
    </row>
    <row r="47969" spans="25:25" x14ac:dyDescent="0.2">
      <c r="Y47969" s="97"/>
    </row>
    <row r="47970" spans="25:25" x14ac:dyDescent="0.2">
      <c r="Y47970" s="97"/>
    </row>
    <row r="47971" spans="25:25" x14ac:dyDescent="0.2">
      <c r="Y47971" s="97"/>
    </row>
    <row r="47972" spans="25:25" x14ac:dyDescent="0.2">
      <c r="Y47972" s="97"/>
    </row>
    <row r="47973" spans="25:25" x14ac:dyDescent="0.2">
      <c r="Y47973" s="97"/>
    </row>
    <row r="47974" spans="25:25" x14ac:dyDescent="0.2">
      <c r="Y47974" s="97"/>
    </row>
    <row r="47975" spans="25:25" x14ac:dyDescent="0.2">
      <c r="Y47975" s="97"/>
    </row>
    <row r="47976" spans="25:25" x14ac:dyDescent="0.2">
      <c r="Y47976" s="97"/>
    </row>
    <row r="47977" spans="25:25" x14ac:dyDescent="0.2">
      <c r="Y47977" s="97"/>
    </row>
    <row r="47978" spans="25:25" x14ac:dyDescent="0.2">
      <c r="Y47978" s="97"/>
    </row>
    <row r="47979" spans="25:25" x14ac:dyDescent="0.2">
      <c r="Y47979" s="97"/>
    </row>
    <row r="47980" spans="25:25" x14ac:dyDescent="0.2">
      <c r="Y47980" s="97"/>
    </row>
    <row r="47981" spans="25:25" x14ac:dyDescent="0.2">
      <c r="Y47981" s="97"/>
    </row>
    <row r="47982" spans="25:25" x14ac:dyDescent="0.2">
      <c r="Y47982" s="97"/>
    </row>
    <row r="47983" spans="25:25" x14ac:dyDescent="0.2">
      <c r="Y47983" s="97"/>
    </row>
    <row r="47984" spans="25:25" x14ac:dyDescent="0.2">
      <c r="Y47984" s="97"/>
    </row>
    <row r="47985" spans="25:25" x14ac:dyDescent="0.2">
      <c r="Y47985" s="97"/>
    </row>
    <row r="47986" spans="25:25" x14ac:dyDescent="0.2">
      <c r="Y47986" s="97"/>
    </row>
    <row r="47987" spans="25:25" x14ac:dyDescent="0.2">
      <c r="Y47987" s="97"/>
    </row>
    <row r="47988" spans="25:25" x14ac:dyDescent="0.2">
      <c r="Y47988" s="97"/>
    </row>
    <row r="47989" spans="25:25" x14ac:dyDescent="0.2">
      <c r="Y47989" s="97"/>
    </row>
    <row r="47990" spans="25:25" x14ac:dyDescent="0.2">
      <c r="Y47990" s="97"/>
    </row>
    <row r="47991" spans="25:25" x14ac:dyDescent="0.2">
      <c r="Y47991" s="97"/>
    </row>
    <row r="47992" spans="25:25" x14ac:dyDescent="0.2">
      <c r="Y47992" s="97"/>
    </row>
    <row r="47993" spans="25:25" x14ac:dyDescent="0.2">
      <c r="Y47993" s="97"/>
    </row>
    <row r="47994" spans="25:25" x14ac:dyDescent="0.2">
      <c r="Y47994" s="97"/>
    </row>
    <row r="47995" spans="25:25" x14ac:dyDescent="0.2">
      <c r="Y47995" s="97"/>
    </row>
    <row r="47996" spans="25:25" x14ac:dyDescent="0.2">
      <c r="Y47996" s="97"/>
    </row>
    <row r="47997" spans="25:25" x14ac:dyDescent="0.2">
      <c r="Y47997" s="97"/>
    </row>
    <row r="47998" spans="25:25" x14ac:dyDescent="0.2">
      <c r="Y47998" s="97"/>
    </row>
    <row r="47999" spans="25:25" x14ac:dyDescent="0.2">
      <c r="Y47999" s="97"/>
    </row>
    <row r="48000" spans="25:25" x14ac:dyDescent="0.2">
      <c r="Y48000" s="97"/>
    </row>
    <row r="48001" spans="25:25" x14ac:dyDescent="0.2">
      <c r="Y48001" s="97"/>
    </row>
    <row r="48002" spans="25:25" x14ac:dyDescent="0.2">
      <c r="Y48002" s="97"/>
    </row>
    <row r="48003" spans="25:25" x14ac:dyDescent="0.2">
      <c r="Y48003" s="97"/>
    </row>
    <row r="48004" spans="25:25" x14ac:dyDescent="0.2">
      <c r="Y48004" s="97"/>
    </row>
    <row r="48005" spans="25:25" x14ac:dyDescent="0.2">
      <c r="Y48005" s="97"/>
    </row>
    <row r="48006" spans="25:25" x14ac:dyDescent="0.2">
      <c r="Y48006" s="97"/>
    </row>
    <row r="48007" spans="25:25" x14ac:dyDescent="0.2">
      <c r="Y48007" s="97"/>
    </row>
    <row r="48008" spans="25:25" x14ac:dyDescent="0.2">
      <c r="Y48008" s="97"/>
    </row>
    <row r="48009" spans="25:25" x14ac:dyDescent="0.2">
      <c r="Y48009" s="97"/>
    </row>
    <row r="48010" spans="25:25" x14ac:dyDescent="0.2">
      <c r="Y48010" s="97"/>
    </row>
    <row r="48011" spans="25:25" x14ac:dyDescent="0.2">
      <c r="Y48011" s="97"/>
    </row>
    <row r="48012" spans="25:25" x14ac:dyDescent="0.2">
      <c r="Y48012" s="97"/>
    </row>
    <row r="48013" spans="25:25" x14ac:dyDescent="0.2">
      <c r="Y48013" s="97"/>
    </row>
    <row r="48014" spans="25:25" x14ac:dyDescent="0.2">
      <c r="Y48014" s="97"/>
    </row>
    <row r="48015" spans="25:25" x14ac:dyDescent="0.2">
      <c r="Y48015" s="97"/>
    </row>
    <row r="48016" spans="25:25" x14ac:dyDescent="0.2">
      <c r="Y48016" s="97"/>
    </row>
    <row r="48017" spans="25:25" x14ac:dyDescent="0.2">
      <c r="Y48017" s="97"/>
    </row>
    <row r="48018" spans="25:25" x14ac:dyDescent="0.2">
      <c r="Y48018" s="97"/>
    </row>
    <row r="48019" spans="25:25" x14ac:dyDescent="0.2">
      <c r="Y48019" s="97"/>
    </row>
    <row r="48020" spans="25:25" x14ac:dyDescent="0.2">
      <c r="Y48020" s="97"/>
    </row>
    <row r="48021" spans="25:25" x14ac:dyDescent="0.2">
      <c r="Y48021" s="97"/>
    </row>
    <row r="48022" spans="25:25" x14ac:dyDescent="0.2">
      <c r="Y48022" s="97"/>
    </row>
    <row r="48023" spans="25:25" x14ac:dyDescent="0.2">
      <c r="Y48023" s="97"/>
    </row>
    <row r="48024" spans="25:25" x14ac:dyDescent="0.2">
      <c r="Y48024" s="97"/>
    </row>
    <row r="48025" spans="25:25" x14ac:dyDescent="0.2">
      <c r="Y48025" s="97"/>
    </row>
    <row r="48026" spans="25:25" x14ac:dyDescent="0.2">
      <c r="Y48026" s="97"/>
    </row>
    <row r="48027" spans="25:25" x14ac:dyDescent="0.2">
      <c r="Y48027" s="97"/>
    </row>
    <row r="48028" spans="25:25" x14ac:dyDescent="0.2">
      <c r="Y48028" s="97"/>
    </row>
    <row r="48029" spans="25:25" x14ac:dyDescent="0.2">
      <c r="Y48029" s="97"/>
    </row>
    <row r="48030" spans="25:25" x14ac:dyDescent="0.2">
      <c r="Y48030" s="97"/>
    </row>
    <row r="48031" spans="25:25" x14ac:dyDescent="0.2">
      <c r="Y48031" s="97"/>
    </row>
    <row r="48032" spans="25:25" x14ac:dyDescent="0.2">
      <c r="Y48032" s="97"/>
    </row>
    <row r="48033" spans="25:25" x14ac:dyDescent="0.2">
      <c r="Y48033" s="97"/>
    </row>
    <row r="48034" spans="25:25" x14ac:dyDescent="0.2">
      <c r="Y48034" s="97"/>
    </row>
    <row r="48035" spans="25:25" x14ac:dyDescent="0.2">
      <c r="Y48035" s="97"/>
    </row>
    <row r="48036" spans="25:25" x14ac:dyDescent="0.2">
      <c r="Y48036" s="97"/>
    </row>
    <row r="48037" spans="25:25" x14ac:dyDescent="0.2">
      <c r="Y48037" s="97"/>
    </row>
    <row r="48038" spans="25:25" x14ac:dyDescent="0.2">
      <c r="Y48038" s="97"/>
    </row>
    <row r="48039" spans="25:25" x14ac:dyDescent="0.2">
      <c r="Y48039" s="97"/>
    </row>
    <row r="48040" spans="25:25" x14ac:dyDescent="0.2">
      <c r="Y48040" s="97"/>
    </row>
    <row r="48041" spans="25:25" x14ac:dyDescent="0.2">
      <c r="Y48041" s="97"/>
    </row>
    <row r="48042" spans="25:25" x14ac:dyDescent="0.2">
      <c r="Y48042" s="97"/>
    </row>
    <row r="48043" spans="25:25" x14ac:dyDescent="0.2">
      <c r="Y48043" s="97"/>
    </row>
    <row r="48044" spans="25:25" x14ac:dyDescent="0.2">
      <c r="Y48044" s="97"/>
    </row>
    <row r="48045" spans="25:25" x14ac:dyDescent="0.2">
      <c r="Y48045" s="97"/>
    </row>
    <row r="48046" spans="25:25" x14ac:dyDescent="0.2">
      <c r="Y48046" s="97"/>
    </row>
    <row r="48047" spans="25:25" x14ac:dyDescent="0.2">
      <c r="Y48047" s="97"/>
    </row>
    <row r="48048" spans="25:25" x14ac:dyDescent="0.2">
      <c r="Y48048" s="97"/>
    </row>
    <row r="48049" spans="25:25" x14ac:dyDescent="0.2">
      <c r="Y48049" s="97"/>
    </row>
    <row r="48050" spans="25:25" x14ac:dyDescent="0.2">
      <c r="Y48050" s="97"/>
    </row>
    <row r="48051" spans="25:25" x14ac:dyDescent="0.2">
      <c r="Y48051" s="97"/>
    </row>
    <row r="48052" spans="25:25" x14ac:dyDescent="0.2">
      <c r="Y48052" s="97"/>
    </row>
    <row r="48053" spans="25:25" x14ac:dyDescent="0.2">
      <c r="Y48053" s="97"/>
    </row>
    <row r="48054" spans="25:25" x14ac:dyDescent="0.2">
      <c r="Y48054" s="97"/>
    </row>
    <row r="48055" spans="25:25" x14ac:dyDescent="0.2">
      <c r="Y48055" s="97"/>
    </row>
    <row r="48056" spans="25:25" x14ac:dyDescent="0.2">
      <c r="Y48056" s="97"/>
    </row>
    <row r="48057" spans="25:25" x14ac:dyDescent="0.2">
      <c r="Y48057" s="97"/>
    </row>
    <row r="48058" spans="25:25" x14ac:dyDescent="0.2">
      <c r="Y48058" s="97"/>
    </row>
    <row r="48059" spans="25:25" x14ac:dyDescent="0.2">
      <c r="Y48059" s="97"/>
    </row>
    <row r="48060" spans="25:25" x14ac:dyDescent="0.2">
      <c r="Y48060" s="97"/>
    </row>
    <row r="48061" spans="25:25" x14ac:dyDescent="0.2">
      <c r="Y48061" s="97"/>
    </row>
    <row r="48062" spans="25:25" x14ac:dyDescent="0.2">
      <c r="Y48062" s="97"/>
    </row>
    <row r="48063" spans="25:25" x14ac:dyDescent="0.2">
      <c r="Y48063" s="97"/>
    </row>
    <row r="48064" spans="25:25" x14ac:dyDescent="0.2">
      <c r="Y48064" s="97"/>
    </row>
    <row r="48065" spans="25:25" x14ac:dyDescent="0.2">
      <c r="Y48065" s="97"/>
    </row>
    <row r="48066" spans="25:25" x14ac:dyDescent="0.2">
      <c r="Y48066" s="97"/>
    </row>
    <row r="48067" spans="25:25" x14ac:dyDescent="0.2">
      <c r="Y48067" s="97"/>
    </row>
    <row r="48068" spans="25:25" x14ac:dyDescent="0.2">
      <c r="Y48068" s="97"/>
    </row>
    <row r="48069" spans="25:25" x14ac:dyDescent="0.2">
      <c r="Y48069" s="97"/>
    </row>
    <row r="48070" spans="25:25" x14ac:dyDescent="0.2">
      <c r="Y48070" s="97"/>
    </row>
    <row r="48071" spans="25:25" x14ac:dyDescent="0.2">
      <c r="Y48071" s="97"/>
    </row>
    <row r="48072" spans="25:25" x14ac:dyDescent="0.2">
      <c r="Y48072" s="97"/>
    </row>
    <row r="48073" spans="25:25" x14ac:dyDescent="0.2">
      <c r="Y48073" s="97"/>
    </row>
    <row r="48074" spans="25:25" x14ac:dyDescent="0.2">
      <c r="Y48074" s="97"/>
    </row>
    <row r="48075" spans="25:25" x14ac:dyDescent="0.2">
      <c r="Y48075" s="97"/>
    </row>
    <row r="48076" spans="25:25" x14ac:dyDescent="0.2">
      <c r="Y48076" s="97"/>
    </row>
    <row r="48077" spans="25:25" x14ac:dyDescent="0.2">
      <c r="Y48077" s="97"/>
    </row>
    <row r="48078" spans="25:25" x14ac:dyDescent="0.2">
      <c r="Y48078" s="97"/>
    </row>
    <row r="48079" spans="25:25" x14ac:dyDescent="0.2">
      <c r="Y48079" s="97"/>
    </row>
    <row r="48080" spans="25:25" x14ac:dyDescent="0.2">
      <c r="Y48080" s="97"/>
    </row>
    <row r="48081" spans="25:25" x14ac:dyDescent="0.2">
      <c r="Y48081" s="97"/>
    </row>
    <row r="48082" spans="25:25" x14ac:dyDescent="0.2">
      <c r="Y48082" s="97"/>
    </row>
    <row r="48083" spans="25:25" x14ac:dyDescent="0.2">
      <c r="Y48083" s="97"/>
    </row>
    <row r="48084" spans="25:25" x14ac:dyDescent="0.2">
      <c r="Y48084" s="97"/>
    </row>
    <row r="48085" spans="25:25" x14ac:dyDescent="0.2">
      <c r="Y48085" s="97"/>
    </row>
    <row r="48086" spans="25:25" x14ac:dyDescent="0.2">
      <c r="Y48086" s="97"/>
    </row>
    <row r="48087" spans="25:25" x14ac:dyDescent="0.2">
      <c r="Y48087" s="97"/>
    </row>
    <row r="48088" spans="25:25" x14ac:dyDescent="0.2">
      <c r="Y48088" s="97"/>
    </row>
    <row r="48089" spans="25:25" x14ac:dyDescent="0.2">
      <c r="Y48089" s="97"/>
    </row>
    <row r="48090" spans="25:25" x14ac:dyDescent="0.2">
      <c r="Y48090" s="97"/>
    </row>
    <row r="48091" spans="25:25" x14ac:dyDescent="0.2">
      <c r="Y48091" s="97"/>
    </row>
    <row r="48092" spans="25:25" x14ac:dyDescent="0.2">
      <c r="Y48092" s="97"/>
    </row>
    <row r="48093" spans="25:25" x14ac:dyDescent="0.2">
      <c r="Y48093" s="97"/>
    </row>
    <row r="48094" spans="25:25" x14ac:dyDescent="0.2">
      <c r="Y48094" s="97"/>
    </row>
    <row r="48095" spans="25:25" x14ac:dyDescent="0.2">
      <c r="Y48095" s="97"/>
    </row>
    <row r="48096" spans="25:25" x14ac:dyDescent="0.2">
      <c r="Y48096" s="97"/>
    </row>
    <row r="48097" spans="25:25" x14ac:dyDescent="0.2">
      <c r="Y48097" s="97"/>
    </row>
    <row r="48098" spans="25:25" x14ac:dyDescent="0.2">
      <c r="Y48098" s="97"/>
    </row>
    <row r="48099" spans="25:25" x14ac:dyDescent="0.2">
      <c r="Y48099" s="97"/>
    </row>
    <row r="48100" spans="25:25" x14ac:dyDescent="0.2">
      <c r="Y48100" s="97"/>
    </row>
    <row r="48101" spans="25:25" x14ac:dyDescent="0.2">
      <c r="Y48101" s="97"/>
    </row>
    <row r="48102" spans="25:25" x14ac:dyDescent="0.2">
      <c r="Y48102" s="97"/>
    </row>
    <row r="48103" spans="25:25" x14ac:dyDescent="0.2">
      <c r="Y48103" s="97"/>
    </row>
    <row r="48104" spans="25:25" x14ac:dyDescent="0.2">
      <c r="Y48104" s="97"/>
    </row>
    <row r="48105" spans="25:25" x14ac:dyDescent="0.2">
      <c r="Y48105" s="97"/>
    </row>
    <row r="48106" spans="25:25" x14ac:dyDescent="0.2">
      <c r="Y48106" s="97"/>
    </row>
    <row r="48107" spans="25:25" x14ac:dyDescent="0.2">
      <c r="Y48107" s="97"/>
    </row>
    <row r="48108" spans="25:25" x14ac:dyDescent="0.2">
      <c r="Y48108" s="97"/>
    </row>
    <row r="48109" spans="25:25" x14ac:dyDescent="0.2">
      <c r="Y48109" s="97"/>
    </row>
    <row r="48110" spans="25:25" x14ac:dyDescent="0.2">
      <c r="Y48110" s="97"/>
    </row>
    <row r="48111" spans="25:25" x14ac:dyDescent="0.2">
      <c r="Y48111" s="97"/>
    </row>
    <row r="48112" spans="25:25" x14ac:dyDescent="0.2">
      <c r="Y48112" s="97"/>
    </row>
    <row r="48113" spans="25:25" x14ac:dyDescent="0.2">
      <c r="Y48113" s="97"/>
    </row>
    <row r="48114" spans="25:25" x14ac:dyDescent="0.2">
      <c r="Y48114" s="97"/>
    </row>
    <row r="48115" spans="25:25" x14ac:dyDescent="0.2">
      <c r="Y48115" s="97"/>
    </row>
    <row r="48116" spans="25:25" x14ac:dyDescent="0.2">
      <c r="Y48116" s="97"/>
    </row>
    <row r="48117" spans="25:25" x14ac:dyDescent="0.2">
      <c r="Y48117" s="97"/>
    </row>
    <row r="48118" spans="25:25" x14ac:dyDescent="0.2">
      <c r="Y48118" s="97"/>
    </row>
    <row r="48119" spans="25:25" x14ac:dyDescent="0.2">
      <c r="Y48119" s="97"/>
    </row>
    <row r="48120" spans="25:25" x14ac:dyDescent="0.2">
      <c r="Y48120" s="97"/>
    </row>
    <row r="48121" spans="25:25" x14ac:dyDescent="0.2">
      <c r="Y48121" s="97"/>
    </row>
    <row r="48122" spans="25:25" x14ac:dyDescent="0.2">
      <c r="Y48122" s="97"/>
    </row>
    <row r="48123" spans="25:25" x14ac:dyDescent="0.2">
      <c r="Y48123" s="97"/>
    </row>
    <row r="48124" spans="25:25" x14ac:dyDescent="0.2">
      <c r="Y48124" s="97"/>
    </row>
    <row r="48125" spans="25:25" x14ac:dyDescent="0.2">
      <c r="Y48125" s="97"/>
    </row>
    <row r="48126" spans="25:25" x14ac:dyDescent="0.2">
      <c r="Y48126" s="97"/>
    </row>
    <row r="48127" spans="25:25" x14ac:dyDescent="0.2">
      <c r="Y48127" s="97"/>
    </row>
    <row r="48128" spans="25:25" x14ac:dyDescent="0.2">
      <c r="Y48128" s="97"/>
    </row>
    <row r="48129" spans="25:25" x14ac:dyDescent="0.2">
      <c r="Y48129" s="97"/>
    </row>
    <row r="48130" spans="25:25" x14ac:dyDescent="0.2">
      <c r="Y48130" s="97"/>
    </row>
    <row r="48131" spans="25:25" x14ac:dyDescent="0.2">
      <c r="Y48131" s="97"/>
    </row>
    <row r="48132" spans="25:25" x14ac:dyDescent="0.2">
      <c r="Y48132" s="97"/>
    </row>
    <row r="48133" spans="25:25" x14ac:dyDescent="0.2">
      <c r="Y48133" s="97"/>
    </row>
    <row r="48134" spans="25:25" x14ac:dyDescent="0.2">
      <c r="Y48134" s="97"/>
    </row>
    <row r="48135" spans="25:25" x14ac:dyDescent="0.2">
      <c r="Y48135" s="97"/>
    </row>
    <row r="48136" spans="25:25" x14ac:dyDescent="0.2">
      <c r="Y48136" s="97"/>
    </row>
    <row r="48137" spans="25:25" x14ac:dyDescent="0.2">
      <c r="Y48137" s="97"/>
    </row>
    <row r="48138" spans="25:25" x14ac:dyDescent="0.2">
      <c r="Y48138" s="97"/>
    </row>
    <row r="48139" spans="25:25" x14ac:dyDescent="0.2">
      <c r="Y48139" s="97"/>
    </row>
    <row r="48140" spans="25:25" x14ac:dyDescent="0.2">
      <c r="Y48140" s="97"/>
    </row>
    <row r="48141" spans="25:25" x14ac:dyDescent="0.2">
      <c r="Y48141" s="97"/>
    </row>
    <row r="48142" spans="25:25" x14ac:dyDescent="0.2">
      <c r="Y48142" s="97"/>
    </row>
    <row r="48143" spans="25:25" x14ac:dyDescent="0.2">
      <c r="Y48143" s="97"/>
    </row>
    <row r="48144" spans="25:25" x14ac:dyDescent="0.2">
      <c r="Y48144" s="97"/>
    </row>
    <row r="48145" spans="25:25" x14ac:dyDescent="0.2">
      <c r="Y48145" s="97"/>
    </row>
    <row r="48146" spans="25:25" x14ac:dyDescent="0.2">
      <c r="Y48146" s="97"/>
    </row>
    <row r="48147" spans="25:25" x14ac:dyDescent="0.2">
      <c r="Y48147" s="97"/>
    </row>
    <row r="48148" spans="25:25" x14ac:dyDescent="0.2">
      <c r="Y48148" s="97"/>
    </row>
    <row r="48149" spans="25:25" x14ac:dyDescent="0.2">
      <c r="Y48149" s="97"/>
    </row>
    <row r="48150" spans="25:25" x14ac:dyDescent="0.2">
      <c r="Y48150" s="97"/>
    </row>
    <row r="48151" spans="25:25" x14ac:dyDescent="0.2">
      <c r="Y48151" s="97"/>
    </row>
    <row r="48152" spans="25:25" x14ac:dyDescent="0.2">
      <c r="Y48152" s="97"/>
    </row>
    <row r="48153" spans="25:25" x14ac:dyDescent="0.2">
      <c r="Y48153" s="97"/>
    </row>
    <row r="48154" spans="25:25" x14ac:dyDescent="0.2">
      <c r="Y48154" s="97"/>
    </row>
    <row r="48155" spans="25:25" x14ac:dyDescent="0.2">
      <c r="Y48155" s="97"/>
    </row>
    <row r="48156" spans="25:25" x14ac:dyDescent="0.2">
      <c r="Y48156" s="97"/>
    </row>
    <row r="48157" spans="25:25" x14ac:dyDescent="0.2">
      <c r="Y48157" s="97"/>
    </row>
    <row r="48158" spans="25:25" x14ac:dyDescent="0.2">
      <c r="Y48158" s="97"/>
    </row>
    <row r="48159" spans="25:25" x14ac:dyDescent="0.2">
      <c r="Y48159" s="97"/>
    </row>
    <row r="48160" spans="25:25" x14ac:dyDescent="0.2">
      <c r="Y48160" s="97"/>
    </row>
    <row r="48161" spans="25:25" x14ac:dyDescent="0.2">
      <c r="Y48161" s="97"/>
    </row>
    <row r="48162" spans="25:25" x14ac:dyDescent="0.2">
      <c r="Y48162" s="97"/>
    </row>
    <row r="48163" spans="25:25" x14ac:dyDescent="0.2">
      <c r="Y48163" s="97"/>
    </row>
    <row r="48164" spans="25:25" x14ac:dyDescent="0.2">
      <c r="Y48164" s="97"/>
    </row>
    <row r="48165" spans="25:25" x14ac:dyDescent="0.2">
      <c r="Y48165" s="97"/>
    </row>
    <row r="48166" spans="25:25" x14ac:dyDescent="0.2">
      <c r="Y48166" s="97"/>
    </row>
    <row r="48167" spans="25:25" x14ac:dyDescent="0.2">
      <c r="Y48167" s="97"/>
    </row>
    <row r="48168" spans="25:25" x14ac:dyDescent="0.2">
      <c r="Y48168" s="97"/>
    </row>
    <row r="48169" spans="25:25" x14ac:dyDescent="0.2">
      <c r="Y48169" s="97"/>
    </row>
    <row r="48170" spans="25:25" x14ac:dyDescent="0.2">
      <c r="Y48170" s="97"/>
    </row>
    <row r="48171" spans="25:25" x14ac:dyDescent="0.2">
      <c r="Y48171" s="97"/>
    </row>
    <row r="48172" spans="25:25" x14ac:dyDescent="0.2">
      <c r="Y48172" s="97"/>
    </row>
    <row r="48173" spans="25:25" x14ac:dyDescent="0.2">
      <c r="Y48173" s="97"/>
    </row>
    <row r="48174" spans="25:25" x14ac:dyDescent="0.2">
      <c r="Y48174" s="97"/>
    </row>
    <row r="48175" spans="25:25" x14ac:dyDescent="0.2">
      <c r="Y48175" s="97"/>
    </row>
    <row r="48176" spans="25:25" x14ac:dyDescent="0.2">
      <c r="Y48176" s="97"/>
    </row>
    <row r="48177" spans="25:25" x14ac:dyDescent="0.2">
      <c r="Y48177" s="97"/>
    </row>
    <row r="48178" spans="25:25" x14ac:dyDescent="0.2">
      <c r="Y48178" s="97"/>
    </row>
    <row r="48179" spans="25:25" x14ac:dyDescent="0.2">
      <c r="Y48179" s="97"/>
    </row>
    <row r="48180" spans="25:25" x14ac:dyDescent="0.2">
      <c r="Y48180" s="97"/>
    </row>
    <row r="48181" spans="25:25" x14ac:dyDescent="0.2">
      <c r="Y48181" s="97"/>
    </row>
    <row r="48182" spans="25:25" x14ac:dyDescent="0.2">
      <c r="Y48182" s="97"/>
    </row>
    <row r="48183" spans="25:25" x14ac:dyDescent="0.2">
      <c r="Y48183" s="97"/>
    </row>
    <row r="48184" spans="25:25" x14ac:dyDescent="0.2">
      <c r="Y48184" s="97"/>
    </row>
    <row r="48185" spans="25:25" x14ac:dyDescent="0.2">
      <c r="Y48185" s="97"/>
    </row>
    <row r="48186" spans="25:25" x14ac:dyDescent="0.2">
      <c r="Y48186" s="97"/>
    </row>
    <row r="48187" spans="25:25" x14ac:dyDescent="0.2">
      <c r="Y48187" s="97"/>
    </row>
    <row r="48188" spans="25:25" x14ac:dyDescent="0.2">
      <c r="Y48188" s="97"/>
    </row>
    <row r="48189" spans="25:25" x14ac:dyDescent="0.2">
      <c r="Y48189" s="97"/>
    </row>
    <row r="48190" spans="25:25" x14ac:dyDescent="0.2">
      <c r="Y48190" s="97"/>
    </row>
    <row r="48191" spans="25:25" x14ac:dyDescent="0.2">
      <c r="Y48191" s="97"/>
    </row>
    <row r="48192" spans="25:25" x14ac:dyDescent="0.2">
      <c r="Y48192" s="97"/>
    </row>
    <row r="48193" spans="25:25" x14ac:dyDescent="0.2">
      <c r="Y48193" s="97"/>
    </row>
    <row r="48194" spans="25:25" x14ac:dyDescent="0.2">
      <c r="Y48194" s="97"/>
    </row>
    <row r="48195" spans="25:25" x14ac:dyDescent="0.2">
      <c r="Y48195" s="97"/>
    </row>
    <row r="48196" spans="25:25" x14ac:dyDescent="0.2">
      <c r="Y48196" s="97"/>
    </row>
    <row r="48197" spans="25:25" x14ac:dyDescent="0.2">
      <c r="Y48197" s="97"/>
    </row>
    <row r="48198" spans="25:25" x14ac:dyDescent="0.2">
      <c r="Y48198" s="97"/>
    </row>
    <row r="48199" spans="25:25" x14ac:dyDescent="0.2">
      <c r="Y48199" s="97"/>
    </row>
    <row r="48200" spans="25:25" x14ac:dyDescent="0.2">
      <c r="Y48200" s="97"/>
    </row>
    <row r="48201" spans="25:25" x14ac:dyDescent="0.2">
      <c r="Y48201" s="97"/>
    </row>
    <row r="48202" spans="25:25" x14ac:dyDescent="0.2">
      <c r="Y48202" s="97"/>
    </row>
    <row r="48203" spans="25:25" x14ac:dyDescent="0.2">
      <c r="Y48203" s="97"/>
    </row>
    <row r="48204" spans="25:25" x14ac:dyDescent="0.2">
      <c r="Y48204" s="97"/>
    </row>
    <row r="48205" spans="25:25" x14ac:dyDescent="0.2">
      <c r="Y48205" s="97"/>
    </row>
    <row r="48206" spans="25:25" x14ac:dyDescent="0.2">
      <c r="Y48206" s="97"/>
    </row>
    <row r="48207" spans="25:25" x14ac:dyDescent="0.2">
      <c r="Y48207" s="97"/>
    </row>
    <row r="48208" spans="25:25" x14ac:dyDescent="0.2">
      <c r="Y48208" s="97"/>
    </row>
    <row r="48209" spans="25:25" x14ac:dyDescent="0.2">
      <c r="Y48209" s="97"/>
    </row>
    <row r="48210" spans="25:25" x14ac:dyDescent="0.2">
      <c r="Y48210" s="97"/>
    </row>
    <row r="48211" spans="25:25" x14ac:dyDescent="0.2">
      <c r="Y48211" s="97"/>
    </row>
    <row r="48212" spans="25:25" x14ac:dyDescent="0.2">
      <c r="Y48212" s="97"/>
    </row>
    <row r="48213" spans="25:25" x14ac:dyDescent="0.2">
      <c r="Y48213" s="97"/>
    </row>
    <row r="48214" spans="25:25" x14ac:dyDescent="0.2">
      <c r="Y48214" s="97"/>
    </row>
    <row r="48215" spans="25:25" x14ac:dyDescent="0.2">
      <c r="Y48215" s="97"/>
    </row>
    <row r="48216" spans="25:25" x14ac:dyDescent="0.2">
      <c r="Y48216" s="97"/>
    </row>
    <row r="48217" spans="25:25" x14ac:dyDescent="0.2">
      <c r="Y48217" s="97"/>
    </row>
    <row r="48218" spans="25:25" x14ac:dyDescent="0.2">
      <c r="Y48218" s="97"/>
    </row>
    <row r="48219" spans="25:25" x14ac:dyDescent="0.2">
      <c r="Y48219" s="97"/>
    </row>
    <row r="48220" spans="25:25" x14ac:dyDescent="0.2">
      <c r="Y48220" s="97"/>
    </row>
    <row r="48221" spans="25:25" x14ac:dyDescent="0.2">
      <c r="Y48221" s="97"/>
    </row>
    <row r="48222" spans="25:25" x14ac:dyDescent="0.2">
      <c r="Y48222" s="97"/>
    </row>
    <row r="48223" spans="25:25" x14ac:dyDescent="0.2">
      <c r="Y48223" s="97"/>
    </row>
    <row r="48224" spans="25:25" x14ac:dyDescent="0.2">
      <c r="Y48224" s="97"/>
    </row>
    <row r="48225" spans="25:25" x14ac:dyDescent="0.2">
      <c r="Y48225" s="97"/>
    </row>
    <row r="48226" spans="25:25" x14ac:dyDescent="0.2">
      <c r="Y48226" s="97"/>
    </row>
    <row r="48227" spans="25:25" x14ac:dyDescent="0.2">
      <c r="Y48227" s="97"/>
    </row>
    <row r="48228" spans="25:25" x14ac:dyDescent="0.2">
      <c r="Y48228" s="97"/>
    </row>
    <row r="48229" spans="25:25" x14ac:dyDescent="0.2">
      <c r="Y48229" s="97"/>
    </row>
    <row r="48230" spans="25:25" x14ac:dyDescent="0.2">
      <c r="Y48230" s="97"/>
    </row>
    <row r="48231" spans="25:25" x14ac:dyDescent="0.2">
      <c r="Y48231" s="97"/>
    </row>
    <row r="48232" spans="25:25" x14ac:dyDescent="0.2">
      <c r="Y48232" s="97"/>
    </row>
    <row r="48233" spans="25:25" x14ac:dyDescent="0.2">
      <c r="Y48233" s="97"/>
    </row>
    <row r="48234" spans="25:25" x14ac:dyDescent="0.2">
      <c r="Y48234" s="97"/>
    </row>
    <row r="48235" spans="25:25" x14ac:dyDescent="0.2">
      <c r="Y48235" s="97"/>
    </row>
    <row r="48236" spans="25:25" x14ac:dyDescent="0.2">
      <c r="Y48236" s="97"/>
    </row>
    <row r="48237" spans="25:25" x14ac:dyDescent="0.2">
      <c r="Y48237" s="97"/>
    </row>
    <row r="48238" spans="25:25" x14ac:dyDescent="0.2">
      <c r="Y48238" s="97"/>
    </row>
    <row r="48239" spans="25:25" x14ac:dyDescent="0.2">
      <c r="Y48239" s="97"/>
    </row>
    <row r="48240" spans="25:25" x14ac:dyDescent="0.2">
      <c r="Y48240" s="97"/>
    </row>
    <row r="48241" spans="25:25" x14ac:dyDescent="0.2">
      <c r="Y48241" s="97"/>
    </row>
    <row r="48242" spans="25:25" x14ac:dyDescent="0.2">
      <c r="Y48242" s="97"/>
    </row>
    <row r="48243" spans="25:25" x14ac:dyDescent="0.2">
      <c r="Y48243" s="97"/>
    </row>
    <row r="48244" spans="25:25" x14ac:dyDescent="0.2">
      <c r="Y48244" s="97"/>
    </row>
    <row r="48245" spans="25:25" x14ac:dyDescent="0.2">
      <c r="Y48245" s="97"/>
    </row>
    <row r="48246" spans="25:25" x14ac:dyDescent="0.2">
      <c r="Y48246" s="97"/>
    </row>
    <row r="48247" spans="25:25" x14ac:dyDescent="0.2">
      <c r="Y48247" s="97"/>
    </row>
    <row r="48248" spans="25:25" x14ac:dyDescent="0.2">
      <c r="Y48248" s="97"/>
    </row>
    <row r="48249" spans="25:25" x14ac:dyDescent="0.2">
      <c r="Y48249" s="97"/>
    </row>
    <row r="48250" spans="25:25" x14ac:dyDescent="0.2">
      <c r="Y48250" s="97"/>
    </row>
    <row r="48251" spans="25:25" x14ac:dyDescent="0.2">
      <c r="Y48251" s="97"/>
    </row>
    <row r="48252" spans="25:25" x14ac:dyDescent="0.2">
      <c r="Y48252" s="97"/>
    </row>
    <row r="48253" spans="25:25" x14ac:dyDescent="0.2">
      <c r="Y48253" s="97"/>
    </row>
    <row r="48254" spans="25:25" x14ac:dyDescent="0.2">
      <c r="Y48254" s="97"/>
    </row>
    <row r="48255" spans="25:25" x14ac:dyDescent="0.2">
      <c r="Y48255" s="97"/>
    </row>
    <row r="48256" spans="25:25" x14ac:dyDescent="0.2">
      <c r="Y48256" s="97"/>
    </row>
    <row r="48257" spans="25:25" x14ac:dyDescent="0.2">
      <c r="Y48257" s="97"/>
    </row>
    <row r="48258" spans="25:25" x14ac:dyDescent="0.2">
      <c r="Y48258" s="97"/>
    </row>
    <row r="48259" spans="25:25" x14ac:dyDescent="0.2">
      <c r="Y48259" s="97"/>
    </row>
    <row r="48260" spans="25:25" x14ac:dyDescent="0.2">
      <c r="Y48260" s="97"/>
    </row>
    <row r="48261" spans="25:25" x14ac:dyDescent="0.2">
      <c r="Y48261" s="97"/>
    </row>
    <row r="48262" spans="25:25" x14ac:dyDescent="0.2">
      <c r="Y48262" s="97"/>
    </row>
    <row r="48263" spans="25:25" x14ac:dyDescent="0.2">
      <c r="Y48263" s="97"/>
    </row>
    <row r="48264" spans="25:25" x14ac:dyDescent="0.2">
      <c r="Y48264" s="97"/>
    </row>
    <row r="48265" spans="25:25" x14ac:dyDescent="0.2">
      <c r="Y48265" s="97"/>
    </row>
    <row r="48266" spans="25:25" x14ac:dyDescent="0.2">
      <c r="Y48266" s="97"/>
    </row>
    <row r="48267" spans="25:25" x14ac:dyDescent="0.2">
      <c r="Y48267" s="97"/>
    </row>
    <row r="48268" spans="25:25" x14ac:dyDescent="0.2">
      <c r="Y48268" s="97"/>
    </row>
    <row r="48269" spans="25:25" x14ac:dyDescent="0.2">
      <c r="Y48269" s="97"/>
    </row>
    <row r="48270" spans="25:25" x14ac:dyDescent="0.2">
      <c r="Y48270" s="97"/>
    </row>
    <row r="48271" spans="25:25" x14ac:dyDescent="0.2">
      <c r="Y48271" s="97"/>
    </row>
    <row r="48272" spans="25:25" x14ac:dyDescent="0.2">
      <c r="Y48272" s="97"/>
    </row>
    <row r="48273" spans="25:25" x14ac:dyDescent="0.2">
      <c r="Y48273" s="97"/>
    </row>
    <row r="48274" spans="25:25" x14ac:dyDescent="0.2">
      <c r="Y48274" s="97"/>
    </row>
    <row r="48275" spans="25:25" x14ac:dyDescent="0.2">
      <c r="Y48275" s="97"/>
    </row>
    <row r="48276" spans="25:25" x14ac:dyDescent="0.2">
      <c r="Y48276" s="97"/>
    </row>
    <row r="48277" spans="25:25" x14ac:dyDescent="0.2">
      <c r="Y48277" s="97"/>
    </row>
    <row r="48278" spans="25:25" x14ac:dyDescent="0.2">
      <c r="Y48278" s="97"/>
    </row>
    <row r="48279" spans="25:25" x14ac:dyDescent="0.2">
      <c r="Y48279" s="97"/>
    </row>
    <row r="48280" spans="25:25" x14ac:dyDescent="0.2">
      <c r="Y48280" s="97"/>
    </row>
    <row r="48281" spans="25:25" x14ac:dyDescent="0.2">
      <c r="Y48281" s="97"/>
    </row>
    <row r="48282" spans="25:25" x14ac:dyDescent="0.2">
      <c r="Y48282" s="97"/>
    </row>
    <row r="48283" spans="25:25" x14ac:dyDescent="0.2">
      <c r="Y48283" s="97"/>
    </row>
    <row r="48284" spans="25:25" x14ac:dyDescent="0.2">
      <c r="Y48284" s="97"/>
    </row>
    <row r="48285" spans="25:25" x14ac:dyDescent="0.2">
      <c r="Y48285" s="97"/>
    </row>
    <row r="48286" spans="25:25" x14ac:dyDescent="0.2">
      <c r="Y48286" s="97"/>
    </row>
    <row r="48287" spans="25:25" x14ac:dyDescent="0.2">
      <c r="Y48287" s="97"/>
    </row>
    <row r="48288" spans="25:25" x14ac:dyDescent="0.2">
      <c r="Y48288" s="97"/>
    </row>
    <row r="48289" spans="25:25" x14ac:dyDescent="0.2">
      <c r="Y48289" s="97"/>
    </row>
    <row r="48290" spans="25:25" x14ac:dyDescent="0.2">
      <c r="Y48290" s="97"/>
    </row>
    <row r="48291" spans="25:25" x14ac:dyDescent="0.2">
      <c r="Y48291" s="97"/>
    </row>
    <row r="48292" spans="25:25" x14ac:dyDescent="0.2">
      <c r="Y48292" s="97"/>
    </row>
    <row r="48293" spans="25:25" x14ac:dyDescent="0.2">
      <c r="Y48293" s="97"/>
    </row>
    <row r="48294" spans="25:25" x14ac:dyDescent="0.2">
      <c r="Y48294" s="97"/>
    </row>
    <row r="48295" spans="25:25" x14ac:dyDescent="0.2">
      <c r="Y48295" s="97"/>
    </row>
    <row r="48296" spans="25:25" x14ac:dyDescent="0.2">
      <c r="Y48296" s="97"/>
    </row>
    <row r="48297" spans="25:25" x14ac:dyDescent="0.2">
      <c r="Y48297" s="97"/>
    </row>
    <row r="48298" spans="25:25" x14ac:dyDescent="0.2">
      <c r="Y48298" s="97"/>
    </row>
    <row r="48299" spans="25:25" x14ac:dyDescent="0.2">
      <c r="Y48299" s="97"/>
    </row>
    <row r="48300" spans="25:25" x14ac:dyDescent="0.2">
      <c r="Y48300" s="97"/>
    </row>
    <row r="48301" spans="25:25" x14ac:dyDescent="0.2">
      <c r="Y48301" s="97"/>
    </row>
    <row r="48302" spans="25:25" x14ac:dyDescent="0.2">
      <c r="Y48302" s="97"/>
    </row>
    <row r="48303" spans="25:25" x14ac:dyDescent="0.2">
      <c r="Y48303" s="97"/>
    </row>
    <row r="48304" spans="25:25" x14ac:dyDescent="0.2">
      <c r="Y48304" s="97"/>
    </row>
    <row r="48305" spans="25:25" x14ac:dyDescent="0.2">
      <c r="Y48305" s="97"/>
    </row>
    <row r="48306" spans="25:25" x14ac:dyDescent="0.2">
      <c r="Y48306" s="97"/>
    </row>
    <row r="48307" spans="25:25" x14ac:dyDescent="0.2">
      <c r="Y48307" s="97"/>
    </row>
    <row r="48308" spans="25:25" x14ac:dyDescent="0.2">
      <c r="Y48308" s="97"/>
    </row>
    <row r="48309" spans="25:25" x14ac:dyDescent="0.2">
      <c r="Y48309" s="97"/>
    </row>
    <row r="48310" spans="25:25" x14ac:dyDescent="0.2">
      <c r="Y48310" s="97"/>
    </row>
    <row r="48311" spans="25:25" x14ac:dyDescent="0.2">
      <c r="Y48311" s="97"/>
    </row>
    <row r="48312" spans="25:25" x14ac:dyDescent="0.2">
      <c r="Y48312" s="97"/>
    </row>
    <row r="48313" spans="25:25" x14ac:dyDescent="0.2">
      <c r="Y48313" s="97"/>
    </row>
    <row r="48314" spans="25:25" x14ac:dyDescent="0.2">
      <c r="Y48314" s="97"/>
    </row>
    <row r="48315" spans="25:25" x14ac:dyDescent="0.2">
      <c r="Y48315" s="97"/>
    </row>
    <row r="48316" spans="25:25" x14ac:dyDescent="0.2">
      <c r="Y48316" s="97"/>
    </row>
    <row r="48317" spans="25:25" x14ac:dyDescent="0.2">
      <c r="Y48317" s="97"/>
    </row>
    <row r="48318" spans="25:25" x14ac:dyDescent="0.2">
      <c r="Y48318" s="97"/>
    </row>
    <row r="48319" spans="25:25" x14ac:dyDescent="0.2">
      <c r="Y48319" s="97"/>
    </row>
    <row r="48320" spans="25:25" x14ac:dyDescent="0.2">
      <c r="Y48320" s="97"/>
    </row>
    <row r="48321" spans="25:25" x14ac:dyDescent="0.2">
      <c r="Y48321" s="97"/>
    </row>
    <row r="48322" spans="25:25" x14ac:dyDescent="0.2">
      <c r="Y48322" s="97"/>
    </row>
    <row r="48323" spans="25:25" x14ac:dyDescent="0.2">
      <c r="Y48323" s="97"/>
    </row>
    <row r="48324" spans="25:25" x14ac:dyDescent="0.2">
      <c r="Y48324" s="97"/>
    </row>
    <row r="48325" spans="25:25" x14ac:dyDescent="0.2">
      <c r="Y48325" s="97"/>
    </row>
    <row r="48326" spans="25:25" x14ac:dyDescent="0.2">
      <c r="Y48326" s="97"/>
    </row>
    <row r="48327" spans="25:25" x14ac:dyDescent="0.2">
      <c r="Y48327" s="97"/>
    </row>
    <row r="48328" spans="25:25" x14ac:dyDescent="0.2">
      <c r="Y48328" s="97"/>
    </row>
    <row r="48329" spans="25:25" x14ac:dyDescent="0.2">
      <c r="Y48329" s="97"/>
    </row>
    <row r="48330" spans="25:25" x14ac:dyDescent="0.2">
      <c r="Y48330" s="97"/>
    </row>
    <row r="48331" spans="25:25" x14ac:dyDescent="0.2">
      <c r="Y48331" s="97"/>
    </row>
    <row r="48332" spans="25:25" x14ac:dyDescent="0.2">
      <c r="Y48332" s="97"/>
    </row>
    <row r="48333" spans="25:25" x14ac:dyDescent="0.2">
      <c r="Y48333" s="97"/>
    </row>
    <row r="48334" spans="25:25" x14ac:dyDescent="0.2">
      <c r="Y48334" s="97"/>
    </row>
    <row r="48335" spans="25:25" x14ac:dyDescent="0.2">
      <c r="Y48335" s="97"/>
    </row>
    <row r="48336" spans="25:25" x14ac:dyDescent="0.2">
      <c r="Y48336" s="97"/>
    </row>
    <row r="48337" spans="25:25" x14ac:dyDescent="0.2">
      <c r="Y48337" s="97"/>
    </row>
    <row r="48338" spans="25:25" x14ac:dyDescent="0.2">
      <c r="Y48338" s="97"/>
    </row>
    <row r="48339" spans="25:25" x14ac:dyDescent="0.2">
      <c r="Y48339" s="97"/>
    </row>
    <row r="48340" spans="25:25" x14ac:dyDescent="0.2">
      <c r="Y48340" s="97"/>
    </row>
    <row r="48341" spans="25:25" x14ac:dyDescent="0.2">
      <c r="Y48341" s="97"/>
    </row>
    <row r="48342" spans="25:25" x14ac:dyDescent="0.2">
      <c r="Y48342" s="97"/>
    </row>
    <row r="48343" spans="25:25" x14ac:dyDescent="0.2">
      <c r="Y48343" s="97"/>
    </row>
    <row r="48344" spans="25:25" x14ac:dyDescent="0.2">
      <c r="Y48344" s="97"/>
    </row>
    <row r="48345" spans="25:25" x14ac:dyDescent="0.2">
      <c r="Y48345" s="97"/>
    </row>
    <row r="48346" spans="25:25" x14ac:dyDescent="0.2">
      <c r="Y48346" s="97"/>
    </row>
    <row r="48347" spans="25:25" x14ac:dyDescent="0.2">
      <c r="Y48347" s="97"/>
    </row>
    <row r="48348" spans="25:25" x14ac:dyDescent="0.2">
      <c r="Y48348" s="97"/>
    </row>
    <row r="48349" spans="25:25" x14ac:dyDescent="0.2">
      <c r="Y48349" s="97"/>
    </row>
    <row r="48350" spans="25:25" x14ac:dyDescent="0.2">
      <c r="Y48350" s="97"/>
    </row>
    <row r="48351" spans="25:25" x14ac:dyDescent="0.2">
      <c r="Y48351" s="97"/>
    </row>
    <row r="48352" spans="25:25" x14ac:dyDescent="0.2">
      <c r="Y48352" s="97"/>
    </row>
    <row r="48353" spans="25:25" x14ac:dyDescent="0.2">
      <c r="Y48353" s="97"/>
    </row>
    <row r="48354" spans="25:25" x14ac:dyDescent="0.2">
      <c r="Y48354" s="97"/>
    </row>
    <row r="48355" spans="25:25" x14ac:dyDescent="0.2">
      <c r="Y48355" s="97"/>
    </row>
    <row r="48356" spans="25:25" x14ac:dyDescent="0.2">
      <c r="Y48356" s="97"/>
    </row>
    <row r="48357" spans="25:25" x14ac:dyDescent="0.2">
      <c r="Y48357" s="97"/>
    </row>
    <row r="48358" spans="25:25" x14ac:dyDescent="0.2">
      <c r="Y48358" s="97"/>
    </row>
    <row r="48359" spans="25:25" x14ac:dyDescent="0.2">
      <c r="Y48359" s="97"/>
    </row>
    <row r="48360" spans="25:25" x14ac:dyDescent="0.2">
      <c r="Y48360" s="97"/>
    </row>
    <row r="48361" spans="25:25" x14ac:dyDescent="0.2">
      <c r="Y48361" s="97"/>
    </row>
    <row r="48362" spans="25:25" x14ac:dyDescent="0.2">
      <c r="Y48362" s="97"/>
    </row>
    <row r="48363" spans="25:25" x14ac:dyDescent="0.2">
      <c r="Y48363" s="97"/>
    </row>
    <row r="48364" spans="25:25" x14ac:dyDescent="0.2">
      <c r="Y48364" s="97"/>
    </row>
    <row r="48365" spans="25:25" x14ac:dyDescent="0.2">
      <c r="Y48365" s="97"/>
    </row>
    <row r="48366" spans="25:25" x14ac:dyDescent="0.2">
      <c r="Y48366" s="97"/>
    </row>
    <row r="48367" spans="25:25" x14ac:dyDescent="0.2">
      <c r="Y48367" s="97"/>
    </row>
    <row r="48368" spans="25:25" x14ac:dyDescent="0.2">
      <c r="Y48368" s="97"/>
    </row>
    <row r="48369" spans="25:25" x14ac:dyDescent="0.2">
      <c r="Y48369" s="97"/>
    </row>
    <row r="48370" spans="25:25" x14ac:dyDescent="0.2">
      <c r="Y48370" s="97"/>
    </row>
    <row r="48371" spans="25:25" x14ac:dyDescent="0.2">
      <c r="Y48371" s="97"/>
    </row>
    <row r="48372" spans="25:25" x14ac:dyDescent="0.2">
      <c r="Y48372" s="97"/>
    </row>
    <row r="48373" spans="25:25" x14ac:dyDescent="0.2">
      <c r="Y48373" s="97"/>
    </row>
    <row r="48374" spans="25:25" x14ac:dyDescent="0.2">
      <c r="Y48374" s="97"/>
    </row>
    <row r="48375" spans="25:25" x14ac:dyDescent="0.2">
      <c r="Y48375" s="97"/>
    </row>
    <row r="48376" spans="25:25" x14ac:dyDescent="0.2">
      <c r="Y48376" s="97"/>
    </row>
    <row r="48377" spans="25:25" x14ac:dyDescent="0.2">
      <c r="Y48377" s="97"/>
    </row>
    <row r="48378" spans="25:25" x14ac:dyDescent="0.2">
      <c r="Y48378" s="97"/>
    </row>
    <row r="48379" spans="25:25" x14ac:dyDescent="0.2">
      <c r="Y48379" s="97"/>
    </row>
    <row r="48380" spans="25:25" x14ac:dyDescent="0.2">
      <c r="Y48380" s="97"/>
    </row>
    <row r="48381" spans="25:25" x14ac:dyDescent="0.2">
      <c r="Y48381" s="97"/>
    </row>
    <row r="48382" spans="25:25" x14ac:dyDescent="0.2">
      <c r="Y48382" s="97"/>
    </row>
    <row r="48383" spans="25:25" x14ac:dyDescent="0.2">
      <c r="Y48383" s="97"/>
    </row>
    <row r="48384" spans="25:25" x14ac:dyDescent="0.2">
      <c r="Y48384" s="97"/>
    </row>
    <row r="48385" spans="25:25" x14ac:dyDescent="0.2">
      <c r="Y48385" s="97"/>
    </row>
    <row r="48386" spans="25:25" x14ac:dyDescent="0.2">
      <c r="Y48386" s="97"/>
    </row>
    <row r="48387" spans="25:25" x14ac:dyDescent="0.2">
      <c r="Y48387" s="97"/>
    </row>
    <row r="48388" spans="25:25" x14ac:dyDescent="0.2">
      <c r="Y48388" s="97"/>
    </row>
    <row r="48389" spans="25:25" x14ac:dyDescent="0.2">
      <c r="Y48389" s="97"/>
    </row>
    <row r="48390" spans="25:25" x14ac:dyDescent="0.2">
      <c r="Y48390" s="97"/>
    </row>
    <row r="48391" spans="25:25" x14ac:dyDescent="0.2">
      <c r="Y48391" s="97"/>
    </row>
    <row r="48392" spans="25:25" x14ac:dyDescent="0.2">
      <c r="Y48392" s="97"/>
    </row>
    <row r="48393" spans="25:25" x14ac:dyDescent="0.2">
      <c r="Y48393" s="97"/>
    </row>
    <row r="48394" spans="25:25" x14ac:dyDescent="0.2">
      <c r="Y48394" s="97"/>
    </row>
    <row r="48395" spans="25:25" x14ac:dyDescent="0.2">
      <c r="Y48395" s="97"/>
    </row>
    <row r="48396" spans="25:25" x14ac:dyDescent="0.2">
      <c r="Y48396" s="97"/>
    </row>
    <row r="48397" spans="25:25" x14ac:dyDescent="0.2">
      <c r="Y48397" s="97"/>
    </row>
    <row r="48398" spans="25:25" x14ac:dyDescent="0.2">
      <c r="Y48398" s="97"/>
    </row>
    <row r="48399" spans="25:25" x14ac:dyDescent="0.2">
      <c r="Y48399" s="97"/>
    </row>
    <row r="48400" spans="25:25" x14ac:dyDescent="0.2">
      <c r="Y48400" s="97"/>
    </row>
    <row r="48401" spans="25:25" x14ac:dyDescent="0.2">
      <c r="Y48401" s="97"/>
    </row>
    <row r="48402" spans="25:25" x14ac:dyDescent="0.2">
      <c r="Y48402" s="97"/>
    </row>
    <row r="48403" spans="25:25" x14ac:dyDescent="0.2">
      <c r="Y48403" s="97"/>
    </row>
    <row r="48404" spans="25:25" x14ac:dyDescent="0.2">
      <c r="Y48404" s="97"/>
    </row>
    <row r="48405" spans="25:25" x14ac:dyDescent="0.2">
      <c r="Y48405" s="97"/>
    </row>
    <row r="48406" spans="25:25" x14ac:dyDescent="0.2">
      <c r="Y48406" s="97"/>
    </row>
    <row r="48407" spans="25:25" x14ac:dyDescent="0.2">
      <c r="Y48407" s="97"/>
    </row>
    <row r="48408" spans="25:25" x14ac:dyDescent="0.2">
      <c r="Y48408" s="97"/>
    </row>
    <row r="48409" spans="25:25" x14ac:dyDescent="0.2">
      <c r="Y48409" s="97"/>
    </row>
    <row r="48410" spans="25:25" x14ac:dyDescent="0.2">
      <c r="Y48410" s="97"/>
    </row>
    <row r="48411" spans="25:25" x14ac:dyDescent="0.2">
      <c r="Y48411" s="97"/>
    </row>
    <row r="48412" spans="25:25" x14ac:dyDescent="0.2">
      <c r="Y48412" s="97"/>
    </row>
    <row r="48413" spans="25:25" x14ac:dyDescent="0.2">
      <c r="Y48413" s="97"/>
    </row>
    <row r="48414" spans="25:25" x14ac:dyDescent="0.2">
      <c r="Y48414" s="97"/>
    </row>
    <row r="48415" spans="25:25" x14ac:dyDescent="0.2">
      <c r="Y48415" s="97"/>
    </row>
    <row r="48416" spans="25:25" x14ac:dyDescent="0.2">
      <c r="Y48416" s="97"/>
    </row>
    <row r="48417" spans="25:25" x14ac:dyDescent="0.2">
      <c r="Y48417" s="97"/>
    </row>
    <row r="48418" spans="25:25" x14ac:dyDescent="0.2">
      <c r="Y48418" s="97"/>
    </row>
    <row r="48419" spans="25:25" x14ac:dyDescent="0.2">
      <c r="Y48419" s="97"/>
    </row>
    <row r="48420" spans="25:25" x14ac:dyDescent="0.2">
      <c r="Y48420" s="97"/>
    </row>
    <row r="48421" spans="25:25" x14ac:dyDescent="0.2">
      <c r="Y48421" s="97"/>
    </row>
    <row r="48422" spans="25:25" x14ac:dyDescent="0.2">
      <c r="Y48422" s="97"/>
    </row>
    <row r="48423" spans="25:25" x14ac:dyDescent="0.2">
      <c r="Y48423" s="97"/>
    </row>
    <row r="48424" spans="25:25" x14ac:dyDescent="0.2">
      <c r="Y48424" s="97"/>
    </row>
    <row r="48425" spans="25:25" x14ac:dyDescent="0.2">
      <c r="Y48425" s="97"/>
    </row>
    <row r="48426" spans="25:25" x14ac:dyDescent="0.2">
      <c r="Y48426" s="97"/>
    </row>
    <row r="48427" spans="25:25" x14ac:dyDescent="0.2">
      <c r="Y48427" s="97"/>
    </row>
    <row r="48428" spans="25:25" x14ac:dyDescent="0.2">
      <c r="Y48428" s="97"/>
    </row>
    <row r="48429" spans="25:25" x14ac:dyDescent="0.2">
      <c r="Y48429" s="97"/>
    </row>
    <row r="48430" spans="25:25" x14ac:dyDescent="0.2">
      <c r="Y48430" s="97"/>
    </row>
    <row r="48431" spans="25:25" x14ac:dyDescent="0.2">
      <c r="Y48431" s="97"/>
    </row>
    <row r="48432" spans="25:25" x14ac:dyDescent="0.2">
      <c r="Y48432" s="97"/>
    </row>
    <row r="48433" spans="25:25" x14ac:dyDescent="0.2">
      <c r="Y48433" s="97"/>
    </row>
    <row r="48434" spans="25:25" x14ac:dyDescent="0.2">
      <c r="Y48434" s="97"/>
    </row>
    <row r="48435" spans="25:25" x14ac:dyDescent="0.2">
      <c r="Y48435" s="97"/>
    </row>
    <row r="48436" spans="25:25" x14ac:dyDescent="0.2">
      <c r="Y48436" s="97"/>
    </row>
    <row r="48437" spans="25:25" x14ac:dyDescent="0.2">
      <c r="Y48437" s="97"/>
    </row>
    <row r="48438" spans="25:25" x14ac:dyDescent="0.2">
      <c r="Y48438" s="97"/>
    </row>
    <row r="48439" spans="25:25" x14ac:dyDescent="0.2">
      <c r="Y48439" s="97"/>
    </row>
    <row r="48440" spans="25:25" x14ac:dyDescent="0.2">
      <c r="Y48440" s="97"/>
    </row>
    <row r="48441" spans="25:25" x14ac:dyDescent="0.2">
      <c r="Y48441" s="97"/>
    </row>
    <row r="48442" spans="25:25" x14ac:dyDescent="0.2">
      <c r="Y48442" s="97"/>
    </row>
    <row r="48443" spans="25:25" x14ac:dyDescent="0.2">
      <c r="Y48443" s="97"/>
    </row>
    <row r="48444" spans="25:25" x14ac:dyDescent="0.2">
      <c r="Y48444" s="97"/>
    </row>
    <row r="48445" spans="25:25" x14ac:dyDescent="0.2">
      <c r="Y48445" s="97"/>
    </row>
    <row r="48446" spans="25:25" x14ac:dyDescent="0.2">
      <c r="Y48446" s="97"/>
    </row>
    <row r="48447" spans="25:25" x14ac:dyDescent="0.2">
      <c r="Y48447" s="97"/>
    </row>
    <row r="48448" spans="25:25" x14ac:dyDescent="0.2">
      <c r="Y48448" s="97"/>
    </row>
    <row r="48449" spans="25:25" x14ac:dyDescent="0.2">
      <c r="Y48449" s="97"/>
    </row>
    <row r="48450" spans="25:25" x14ac:dyDescent="0.2">
      <c r="Y48450" s="97"/>
    </row>
    <row r="48451" spans="25:25" x14ac:dyDescent="0.2">
      <c r="Y48451" s="97"/>
    </row>
    <row r="48452" spans="25:25" x14ac:dyDescent="0.2">
      <c r="Y48452" s="97"/>
    </row>
    <row r="48453" spans="25:25" x14ac:dyDescent="0.2">
      <c r="Y48453" s="97"/>
    </row>
    <row r="48454" spans="25:25" x14ac:dyDescent="0.2">
      <c r="Y48454" s="97"/>
    </row>
    <row r="48455" spans="25:25" x14ac:dyDescent="0.2">
      <c r="Y48455" s="97"/>
    </row>
    <row r="48456" spans="25:25" x14ac:dyDescent="0.2">
      <c r="Y48456" s="97"/>
    </row>
    <row r="48457" spans="25:25" x14ac:dyDescent="0.2">
      <c r="Y48457" s="97"/>
    </row>
    <row r="48458" spans="25:25" x14ac:dyDescent="0.2">
      <c r="Y48458" s="97"/>
    </row>
    <row r="48459" spans="25:25" x14ac:dyDescent="0.2">
      <c r="Y48459" s="97"/>
    </row>
    <row r="48460" spans="25:25" x14ac:dyDescent="0.2">
      <c r="Y48460" s="97"/>
    </row>
    <row r="48461" spans="25:25" x14ac:dyDescent="0.2">
      <c r="Y48461" s="97"/>
    </row>
    <row r="48462" spans="25:25" x14ac:dyDescent="0.2">
      <c r="Y48462" s="97"/>
    </row>
    <row r="48463" spans="25:25" x14ac:dyDescent="0.2">
      <c r="Y48463" s="97"/>
    </row>
    <row r="48464" spans="25:25" x14ac:dyDescent="0.2">
      <c r="Y48464" s="97"/>
    </row>
    <row r="48465" spans="25:25" x14ac:dyDescent="0.2">
      <c r="Y48465" s="97"/>
    </row>
    <row r="48466" spans="25:25" x14ac:dyDescent="0.2">
      <c r="Y48466" s="97"/>
    </row>
    <row r="48467" spans="25:25" x14ac:dyDescent="0.2">
      <c r="Y48467" s="97"/>
    </row>
    <row r="48468" spans="25:25" x14ac:dyDescent="0.2">
      <c r="Y48468" s="97"/>
    </row>
    <row r="48469" spans="25:25" x14ac:dyDescent="0.2">
      <c r="Y48469" s="97"/>
    </row>
    <row r="48470" spans="25:25" x14ac:dyDescent="0.2">
      <c r="Y48470" s="97"/>
    </row>
    <row r="48471" spans="25:25" x14ac:dyDescent="0.2">
      <c r="Y48471" s="97"/>
    </row>
    <row r="48472" spans="25:25" x14ac:dyDescent="0.2">
      <c r="Y48472" s="97"/>
    </row>
    <row r="48473" spans="25:25" x14ac:dyDescent="0.2">
      <c r="Y48473" s="97"/>
    </row>
    <row r="48474" spans="25:25" x14ac:dyDescent="0.2">
      <c r="Y48474" s="97"/>
    </row>
    <row r="48475" spans="25:25" x14ac:dyDescent="0.2">
      <c r="Y48475" s="97"/>
    </row>
    <row r="48476" spans="25:25" x14ac:dyDescent="0.2">
      <c r="Y48476" s="97"/>
    </row>
    <row r="48477" spans="25:25" x14ac:dyDescent="0.2">
      <c r="Y48477" s="97"/>
    </row>
    <row r="48478" spans="25:25" x14ac:dyDescent="0.2">
      <c r="Y48478" s="97"/>
    </row>
    <row r="48479" spans="25:25" x14ac:dyDescent="0.2">
      <c r="Y48479" s="97"/>
    </row>
    <row r="48480" spans="25:25" x14ac:dyDescent="0.2">
      <c r="Y48480" s="97"/>
    </row>
    <row r="48481" spans="25:25" x14ac:dyDescent="0.2">
      <c r="Y48481" s="97"/>
    </row>
    <row r="48482" spans="25:25" x14ac:dyDescent="0.2">
      <c r="Y48482" s="97"/>
    </row>
    <row r="48483" spans="25:25" x14ac:dyDescent="0.2">
      <c r="Y48483" s="97"/>
    </row>
    <row r="48484" spans="25:25" x14ac:dyDescent="0.2">
      <c r="Y48484" s="97"/>
    </row>
    <row r="48485" spans="25:25" x14ac:dyDescent="0.2">
      <c r="Y48485" s="97"/>
    </row>
    <row r="48486" spans="25:25" x14ac:dyDescent="0.2">
      <c r="Y48486" s="97"/>
    </row>
    <row r="48487" spans="25:25" x14ac:dyDescent="0.2">
      <c r="Y48487" s="97"/>
    </row>
    <row r="48488" spans="25:25" x14ac:dyDescent="0.2">
      <c r="Y48488" s="97"/>
    </row>
    <row r="48489" spans="25:25" x14ac:dyDescent="0.2">
      <c r="Y48489" s="97"/>
    </row>
    <row r="48490" spans="25:25" x14ac:dyDescent="0.2">
      <c r="Y48490" s="97"/>
    </row>
    <row r="48491" spans="25:25" x14ac:dyDescent="0.2">
      <c r="Y48491" s="97"/>
    </row>
    <row r="48492" spans="25:25" x14ac:dyDescent="0.2">
      <c r="Y48492" s="97"/>
    </row>
    <row r="48493" spans="25:25" x14ac:dyDescent="0.2">
      <c r="Y48493" s="97"/>
    </row>
    <row r="48494" spans="25:25" x14ac:dyDescent="0.2">
      <c r="Y48494" s="97"/>
    </row>
    <row r="48495" spans="25:25" x14ac:dyDescent="0.2">
      <c r="Y48495" s="97"/>
    </row>
    <row r="48496" spans="25:25" x14ac:dyDescent="0.2">
      <c r="Y48496" s="97"/>
    </row>
    <row r="48497" spans="25:25" x14ac:dyDescent="0.2">
      <c r="Y48497" s="97"/>
    </row>
    <row r="48498" spans="25:25" x14ac:dyDescent="0.2">
      <c r="Y48498" s="97"/>
    </row>
    <row r="48499" spans="25:25" x14ac:dyDescent="0.2">
      <c r="Y48499" s="97"/>
    </row>
    <row r="48500" spans="25:25" x14ac:dyDescent="0.2">
      <c r="Y48500" s="97"/>
    </row>
    <row r="48501" spans="25:25" x14ac:dyDescent="0.2">
      <c r="Y48501" s="97"/>
    </row>
    <row r="48502" spans="25:25" x14ac:dyDescent="0.2">
      <c r="Y48502" s="97"/>
    </row>
    <row r="48503" spans="25:25" x14ac:dyDescent="0.2">
      <c r="Y48503" s="97"/>
    </row>
    <row r="48504" spans="25:25" x14ac:dyDescent="0.2">
      <c r="Y48504" s="97"/>
    </row>
    <row r="48505" spans="25:25" x14ac:dyDescent="0.2">
      <c r="Y48505" s="97"/>
    </row>
    <row r="48506" spans="25:25" x14ac:dyDescent="0.2">
      <c r="Y48506" s="97"/>
    </row>
    <row r="48507" spans="25:25" x14ac:dyDescent="0.2">
      <c r="Y48507" s="97"/>
    </row>
    <row r="48508" spans="25:25" x14ac:dyDescent="0.2">
      <c r="Y48508" s="97"/>
    </row>
    <row r="48509" spans="25:25" x14ac:dyDescent="0.2">
      <c r="Y48509" s="97"/>
    </row>
    <row r="48510" spans="25:25" x14ac:dyDescent="0.2">
      <c r="Y48510" s="97"/>
    </row>
    <row r="48511" spans="25:25" x14ac:dyDescent="0.2">
      <c r="Y48511" s="97"/>
    </row>
    <row r="48512" spans="25:25" x14ac:dyDescent="0.2">
      <c r="Y48512" s="97"/>
    </row>
    <row r="48513" spans="25:25" x14ac:dyDescent="0.2">
      <c r="Y48513" s="97"/>
    </row>
    <row r="48514" spans="25:25" x14ac:dyDescent="0.2">
      <c r="Y48514" s="97"/>
    </row>
    <row r="48515" spans="25:25" x14ac:dyDescent="0.2">
      <c r="Y48515" s="97"/>
    </row>
    <row r="48516" spans="25:25" x14ac:dyDescent="0.2">
      <c r="Y48516" s="97"/>
    </row>
    <row r="48517" spans="25:25" x14ac:dyDescent="0.2">
      <c r="Y48517" s="97"/>
    </row>
    <row r="48518" spans="25:25" x14ac:dyDescent="0.2">
      <c r="Y48518" s="97"/>
    </row>
    <row r="48519" spans="25:25" x14ac:dyDescent="0.2">
      <c r="Y48519" s="97"/>
    </row>
    <row r="48520" spans="25:25" x14ac:dyDescent="0.2">
      <c r="Y48520" s="97"/>
    </row>
    <row r="48521" spans="25:25" x14ac:dyDescent="0.2">
      <c r="Y48521" s="97"/>
    </row>
    <row r="48522" spans="25:25" x14ac:dyDescent="0.2">
      <c r="Y48522" s="97"/>
    </row>
    <row r="48523" spans="25:25" x14ac:dyDescent="0.2">
      <c r="Y48523" s="97"/>
    </row>
    <row r="48524" spans="25:25" x14ac:dyDescent="0.2">
      <c r="Y48524" s="97"/>
    </row>
    <row r="48525" spans="25:25" x14ac:dyDescent="0.2">
      <c r="Y48525" s="97"/>
    </row>
    <row r="48526" spans="25:25" x14ac:dyDescent="0.2">
      <c r="Y48526" s="97"/>
    </row>
    <row r="48527" spans="25:25" x14ac:dyDescent="0.2">
      <c r="Y48527" s="97"/>
    </row>
    <row r="48528" spans="25:25" x14ac:dyDescent="0.2">
      <c r="Y48528" s="97"/>
    </row>
    <row r="48529" spans="25:25" x14ac:dyDescent="0.2">
      <c r="Y48529" s="97"/>
    </row>
    <row r="48530" spans="25:25" x14ac:dyDescent="0.2">
      <c r="Y48530" s="97"/>
    </row>
    <row r="48531" spans="25:25" x14ac:dyDescent="0.2">
      <c r="Y48531" s="97"/>
    </row>
    <row r="48532" spans="25:25" x14ac:dyDescent="0.2">
      <c r="Y48532" s="97"/>
    </row>
    <row r="48533" spans="25:25" x14ac:dyDescent="0.2">
      <c r="Y48533" s="97"/>
    </row>
    <row r="48534" spans="25:25" x14ac:dyDescent="0.2">
      <c r="Y48534" s="97"/>
    </row>
    <row r="48535" spans="25:25" x14ac:dyDescent="0.2">
      <c r="Y48535" s="97"/>
    </row>
    <row r="48536" spans="25:25" x14ac:dyDescent="0.2">
      <c r="Y48536" s="97"/>
    </row>
    <row r="48537" spans="25:25" x14ac:dyDescent="0.2">
      <c r="Y48537" s="97"/>
    </row>
    <row r="48538" spans="25:25" x14ac:dyDescent="0.2">
      <c r="Y48538" s="97"/>
    </row>
    <row r="48539" spans="25:25" x14ac:dyDescent="0.2">
      <c r="Y48539" s="97"/>
    </row>
    <row r="48540" spans="25:25" x14ac:dyDescent="0.2">
      <c r="Y48540" s="97"/>
    </row>
    <row r="48541" spans="25:25" x14ac:dyDescent="0.2">
      <c r="Y48541" s="97"/>
    </row>
    <row r="48542" spans="25:25" x14ac:dyDescent="0.2">
      <c r="Y48542" s="97"/>
    </row>
    <row r="48543" spans="25:25" x14ac:dyDescent="0.2">
      <c r="Y48543" s="97"/>
    </row>
    <row r="48544" spans="25:25" x14ac:dyDescent="0.2">
      <c r="Y48544" s="97"/>
    </row>
    <row r="48545" spans="25:25" x14ac:dyDescent="0.2">
      <c r="Y48545" s="97"/>
    </row>
    <row r="48546" spans="25:25" x14ac:dyDescent="0.2">
      <c r="Y48546" s="97"/>
    </row>
    <row r="48547" spans="25:25" x14ac:dyDescent="0.2">
      <c r="Y48547" s="97"/>
    </row>
    <row r="48548" spans="25:25" x14ac:dyDescent="0.2">
      <c r="Y48548" s="97"/>
    </row>
    <row r="48549" spans="25:25" x14ac:dyDescent="0.2">
      <c r="Y48549" s="97"/>
    </row>
    <row r="48550" spans="25:25" x14ac:dyDescent="0.2">
      <c r="Y48550" s="97"/>
    </row>
    <row r="48551" spans="25:25" x14ac:dyDescent="0.2">
      <c r="Y48551" s="97"/>
    </row>
    <row r="48552" spans="25:25" x14ac:dyDescent="0.2">
      <c r="Y48552" s="97"/>
    </row>
    <row r="48553" spans="25:25" x14ac:dyDescent="0.2">
      <c r="Y48553" s="97"/>
    </row>
    <row r="48554" spans="25:25" x14ac:dyDescent="0.2">
      <c r="Y48554" s="97"/>
    </row>
    <row r="48555" spans="25:25" x14ac:dyDescent="0.2">
      <c r="Y48555" s="97"/>
    </row>
    <row r="48556" spans="25:25" x14ac:dyDescent="0.2">
      <c r="Y48556" s="97"/>
    </row>
    <row r="48557" spans="25:25" x14ac:dyDescent="0.2">
      <c r="Y48557" s="97"/>
    </row>
    <row r="48558" spans="25:25" x14ac:dyDescent="0.2">
      <c r="Y48558" s="97"/>
    </row>
    <row r="48559" spans="25:25" x14ac:dyDescent="0.2">
      <c r="Y48559" s="97"/>
    </row>
    <row r="48560" spans="25:25" x14ac:dyDescent="0.2">
      <c r="Y48560" s="97"/>
    </row>
    <row r="48561" spans="25:25" x14ac:dyDescent="0.2">
      <c r="Y48561" s="97"/>
    </row>
    <row r="48562" spans="25:25" x14ac:dyDescent="0.2">
      <c r="Y48562" s="97"/>
    </row>
    <row r="48563" spans="25:25" x14ac:dyDescent="0.2">
      <c r="Y48563" s="97"/>
    </row>
    <row r="48564" spans="25:25" x14ac:dyDescent="0.2">
      <c r="Y48564" s="97"/>
    </row>
    <row r="48565" spans="25:25" x14ac:dyDescent="0.2">
      <c r="Y48565" s="97"/>
    </row>
    <row r="48566" spans="25:25" x14ac:dyDescent="0.2">
      <c r="Y48566" s="97"/>
    </row>
    <row r="48567" spans="25:25" x14ac:dyDescent="0.2">
      <c r="Y48567" s="97"/>
    </row>
    <row r="48568" spans="25:25" x14ac:dyDescent="0.2">
      <c r="Y48568" s="97"/>
    </row>
    <row r="48569" spans="25:25" x14ac:dyDescent="0.2">
      <c r="Y48569" s="97"/>
    </row>
    <row r="48570" spans="25:25" x14ac:dyDescent="0.2">
      <c r="Y48570" s="97"/>
    </row>
    <row r="48571" spans="25:25" x14ac:dyDescent="0.2">
      <c r="Y48571" s="97"/>
    </row>
    <row r="48572" spans="25:25" x14ac:dyDescent="0.2">
      <c r="Y48572" s="97"/>
    </row>
    <row r="48573" spans="25:25" x14ac:dyDescent="0.2">
      <c r="Y48573" s="97"/>
    </row>
    <row r="48574" spans="25:25" x14ac:dyDescent="0.2">
      <c r="Y48574" s="97"/>
    </row>
    <row r="48575" spans="25:25" x14ac:dyDescent="0.2">
      <c r="Y48575" s="97"/>
    </row>
    <row r="48576" spans="25:25" x14ac:dyDescent="0.2">
      <c r="Y48576" s="97"/>
    </row>
    <row r="48577" spans="25:25" x14ac:dyDescent="0.2">
      <c r="Y48577" s="97"/>
    </row>
    <row r="48578" spans="25:25" x14ac:dyDescent="0.2">
      <c r="Y48578" s="97"/>
    </row>
    <row r="48579" spans="25:25" x14ac:dyDescent="0.2">
      <c r="Y48579" s="97"/>
    </row>
    <row r="48580" spans="25:25" x14ac:dyDescent="0.2">
      <c r="Y48580" s="97"/>
    </row>
    <row r="48581" spans="25:25" x14ac:dyDescent="0.2">
      <c r="Y48581" s="97"/>
    </row>
    <row r="48582" spans="25:25" x14ac:dyDescent="0.2">
      <c r="Y48582" s="97"/>
    </row>
    <row r="48583" spans="25:25" x14ac:dyDescent="0.2">
      <c r="Y48583" s="97"/>
    </row>
    <row r="48584" spans="25:25" x14ac:dyDescent="0.2">
      <c r="Y48584" s="97"/>
    </row>
    <row r="48585" spans="25:25" x14ac:dyDescent="0.2">
      <c r="Y48585" s="97"/>
    </row>
    <row r="48586" spans="25:25" x14ac:dyDescent="0.2">
      <c r="Y48586" s="97"/>
    </row>
    <row r="48587" spans="25:25" x14ac:dyDescent="0.2">
      <c r="Y48587" s="97"/>
    </row>
    <row r="48588" spans="25:25" x14ac:dyDescent="0.2">
      <c r="Y48588" s="97"/>
    </row>
    <row r="48589" spans="25:25" x14ac:dyDescent="0.2">
      <c r="Y48589" s="97"/>
    </row>
    <row r="48590" spans="25:25" x14ac:dyDescent="0.2">
      <c r="Y48590" s="97"/>
    </row>
    <row r="48591" spans="25:25" x14ac:dyDescent="0.2">
      <c r="Y48591" s="97"/>
    </row>
    <row r="48592" spans="25:25" x14ac:dyDescent="0.2">
      <c r="Y48592" s="97"/>
    </row>
    <row r="48593" spans="25:25" x14ac:dyDescent="0.2">
      <c r="Y48593" s="97"/>
    </row>
    <row r="48594" spans="25:25" x14ac:dyDescent="0.2">
      <c r="Y48594" s="97"/>
    </row>
    <row r="48595" spans="25:25" x14ac:dyDescent="0.2">
      <c r="Y48595" s="97"/>
    </row>
    <row r="48596" spans="25:25" x14ac:dyDescent="0.2">
      <c r="Y48596" s="97"/>
    </row>
    <row r="48597" spans="25:25" x14ac:dyDescent="0.2">
      <c r="Y48597" s="97"/>
    </row>
    <row r="48598" spans="25:25" x14ac:dyDescent="0.2">
      <c r="Y48598" s="97"/>
    </row>
    <row r="48599" spans="25:25" x14ac:dyDescent="0.2">
      <c r="Y48599" s="97"/>
    </row>
    <row r="48600" spans="25:25" x14ac:dyDescent="0.2">
      <c r="Y48600" s="97"/>
    </row>
    <row r="48601" spans="25:25" x14ac:dyDescent="0.2">
      <c r="Y48601" s="97"/>
    </row>
    <row r="48602" spans="25:25" x14ac:dyDescent="0.2">
      <c r="Y48602" s="97"/>
    </row>
    <row r="48603" spans="25:25" x14ac:dyDescent="0.2">
      <c r="Y48603" s="97"/>
    </row>
    <row r="48604" spans="25:25" x14ac:dyDescent="0.2">
      <c r="Y48604" s="97"/>
    </row>
    <row r="48605" spans="25:25" x14ac:dyDescent="0.2">
      <c r="Y48605" s="97"/>
    </row>
    <row r="48606" spans="25:25" x14ac:dyDescent="0.2">
      <c r="Y48606" s="97"/>
    </row>
    <row r="48607" spans="25:25" x14ac:dyDescent="0.2">
      <c r="Y48607" s="97"/>
    </row>
    <row r="48608" spans="25:25" x14ac:dyDescent="0.2">
      <c r="Y48608" s="97"/>
    </row>
    <row r="48609" spans="25:25" x14ac:dyDescent="0.2">
      <c r="Y48609" s="97"/>
    </row>
    <row r="48610" spans="25:25" x14ac:dyDescent="0.2">
      <c r="Y48610" s="97"/>
    </row>
    <row r="48611" spans="25:25" x14ac:dyDescent="0.2">
      <c r="Y48611" s="97"/>
    </row>
    <row r="48612" spans="25:25" x14ac:dyDescent="0.2">
      <c r="Y48612" s="97"/>
    </row>
    <row r="48613" spans="25:25" x14ac:dyDescent="0.2">
      <c r="Y48613" s="97"/>
    </row>
    <row r="48614" spans="25:25" x14ac:dyDescent="0.2">
      <c r="Y48614" s="97"/>
    </row>
    <row r="48615" spans="25:25" x14ac:dyDescent="0.2">
      <c r="Y48615" s="97"/>
    </row>
    <row r="48616" spans="25:25" x14ac:dyDescent="0.2">
      <c r="Y48616" s="97"/>
    </row>
    <row r="48617" spans="25:25" x14ac:dyDescent="0.2">
      <c r="Y48617" s="97"/>
    </row>
    <row r="48618" spans="25:25" x14ac:dyDescent="0.2">
      <c r="Y48618" s="97"/>
    </row>
    <row r="48619" spans="25:25" x14ac:dyDescent="0.2">
      <c r="Y48619" s="97"/>
    </row>
    <row r="48620" spans="25:25" x14ac:dyDescent="0.2">
      <c r="Y48620" s="97"/>
    </row>
    <row r="48621" spans="25:25" x14ac:dyDescent="0.2">
      <c r="Y48621" s="97"/>
    </row>
    <row r="48622" spans="25:25" x14ac:dyDescent="0.2">
      <c r="Y48622" s="97"/>
    </row>
    <row r="48623" spans="25:25" x14ac:dyDescent="0.2">
      <c r="Y48623" s="97"/>
    </row>
    <row r="48624" spans="25:25" x14ac:dyDescent="0.2">
      <c r="Y48624" s="97"/>
    </row>
    <row r="48625" spans="25:25" x14ac:dyDescent="0.2">
      <c r="Y48625" s="97"/>
    </row>
    <row r="48626" spans="25:25" x14ac:dyDescent="0.2">
      <c r="Y48626" s="97"/>
    </row>
    <row r="48627" spans="25:25" x14ac:dyDescent="0.2">
      <c r="Y48627" s="97"/>
    </row>
    <row r="48628" spans="25:25" x14ac:dyDescent="0.2">
      <c r="Y48628" s="97"/>
    </row>
    <row r="48629" spans="25:25" x14ac:dyDescent="0.2">
      <c r="Y48629" s="97"/>
    </row>
    <row r="48630" spans="25:25" x14ac:dyDescent="0.2">
      <c r="Y48630" s="97"/>
    </row>
    <row r="48631" spans="25:25" x14ac:dyDescent="0.2">
      <c r="Y48631" s="97"/>
    </row>
    <row r="48632" spans="25:25" x14ac:dyDescent="0.2">
      <c r="Y48632" s="97"/>
    </row>
    <row r="48633" spans="25:25" x14ac:dyDescent="0.2">
      <c r="Y48633" s="97"/>
    </row>
    <row r="48634" spans="25:25" x14ac:dyDescent="0.2">
      <c r="Y48634" s="97"/>
    </row>
    <row r="48635" spans="25:25" x14ac:dyDescent="0.2">
      <c r="Y48635" s="97"/>
    </row>
    <row r="48636" spans="25:25" x14ac:dyDescent="0.2">
      <c r="Y48636" s="97"/>
    </row>
    <row r="48637" spans="25:25" x14ac:dyDescent="0.2">
      <c r="Y48637" s="97"/>
    </row>
    <row r="48638" spans="25:25" x14ac:dyDescent="0.2">
      <c r="Y48638" s="97"/>
    </row>
    <row r="48639" spans="25:25" x14ac:dyDescent="0.2">
      <c r="Y48639" s="97"/>
    </row>
    <row r="48640" spans="25:25" x14ac:dyDescent="0.2">
      <c r="Y48640" s="97"/>
    </row>
    <row r="48641" spans="25:25" x14ac:dyDescent="0.2">
      <c r="Y48641" s="97"/>
    </row>
    <row r="48642" spans="25:25" x14ac:dyDescent="0.2">
      <c r="Y48642" s="97"/>
    </row>
    <row r="48643" spans="25:25" x14ac:dyDescent="0.2">
      <c r="Y48643" s="97"/>
    </row>
    <row r="48644" spans="25:25" x14ac:dyDescent="0.2">
      <c r="Y48644" s="97"/>
    </row>
    <row r="48645" spans="25:25" x14ac:dyDescent="0.2">
      <c r="Y48645" s="97"/>
    </row>
    <row r="48646" spans="25:25" x14ac:dyDescent="0.2">
      <c r="Y48646" s="97"/>
    </row>
    <row r="48647" spans="25:25" x14ac:dyDescent="0.2">
      <c r="Y48647" s="97"/>
    </row>
    <row r="48648" spans="25:25" x14ac:dyDescent="0.2">
      <c r="Y48648" s="97"/>
    </row>
    <row r="48649" spans="25:25" x14ac:dyDescent="0.2">
      <c r="Y48649" s="97"/>
    </row>
    <row r="48650" spans="25:25" x14ac:dyDescent="0.2">
      <c r="Y48650" s="97"/>
    </row>
    <row r="48651" spans="25:25" x14ac:dyDescent="0.2">
      <c r="Y48651" s="97"/>
    </row>
    <row r="48652" spans="25:25" x14ac:dyDescent="0.2">
      <c r="Y48652" s="97"/>
    </row>
    <row r="48653" spans="25:25" x14ac:dyDescent="0.2">
      <c r="Y48653" s="97"/>
    </row>
    <row r="48654" spans="25:25" x14ac:dyDescent="0.2">
      <c r="Y48654" s="97"/>
    </row>
    <row r="48655" spans="25:25" x14ac:dyDescent="0.2">
      <c r="Y48655" s="97"/>
    </row>
    <row r="48656" spans="25:25" x14ac:dyDescent="0.2">
      <c r="Y48656" s="97"/>
    </row>
    <row r="48657" spans="25:25" x14ac:dyDescent="0.2">
      <c r="Y48657" s="97"/>
    </row>
    <row r="48658" spans="25:25" x14ac:dyDescent="0.2">
      <c r="Y48658" s="97"/>
    </row>
    <row r="48659" spans="25:25" x14ac:dyDescent="0.2">
      <c r="Y48659" s="97"/>
    </row>
    <row r="48660" spans="25:25" x14ac:dyDescent="0.2">
      <c r="Y48660" s="97"/>
    </row>
    <row r="48661" spans="25:25" x14ac:dyDescent="0.2">
      <c r="Y48661" s="97"/>
    </row>
    <row r="48662" spans="25:25" x14ac:dyDescent="0.2">
      <c r="Y48662" s="97"/>
    </row>
    <row r="48663" spans="25:25" x14ac:dyDescent="0.2">
      <c r="Y48663" s="97"/>
    </row>
    <row r="48664" spans="25:25" x14ac:dyDescent="0.2">
      <c r="Y48664" s="97"/>
    </row>
    <row r="48665" spans="25:25" x14ac:dyDescent="0.2">
      <c r="Y48665" s="97"/>
    </row>
    <row r="48666" spans="25:25" x14ac:dyDescent="0.2">
      <c r="Y48666" s="97"/>
    </row>
    <row r="48667" spans="25:25" x14ac:dyDescent="0.2">
      <c r="Y48667" s="97"/>
    </row>
    <row r="48668" spans="25:25" x14ac:dyDescent="0.2">
      <c r="Y48668" s="97"/>
    </row>
    <row r="48669" spans="25:25" x14ac:dyDescent="0.2">
      <c r="Y48669" s="97"/>
    </row>
    <row r="48670" spans="25:25" x14ac:dyDescent="0.2">
      <c r="Y48670" s="97"/>
    </row>
    <row r="48671" spans="25:25" x14ac:dyDescent="0.2">
      <c r="Y48671" s="97"/>
    </row>
    <row r="48672" spans="25:25" x14ac:dyDescent="0.2">
      <c r="Y48672" s="97"/>
    </row>
    <row r="48673" spans="25:25" x14ac:dyDescent="0.2">
      <c r="Y48673" s="97"/>
    </row>
    <row r="48674" spans="25:25" x14ac:dyDescent="0.2">
      <c r="Y48674" s="97"/>
    </row>
    <row r="48675" spans="25:25" x14ac:dyDescent="0.2">
      <c r="Y48675" s="97"/>
    </row>
    <row r="48676" spans="25:25" x14ac:dyDescent="0.2">
      <c r="Y48676" s="97"/>
    </row>
    <row r="48677" spans="25:25" x14ac:dyDescent="0.2">
      <c r="Y48677" s="97"/>
    </row>
    <row r="48678" spans="25:25" x14ac:dyDescent="0.2">
      <c r="Y48678" s="97"/>
    </row>
    <row r="48679" spans="25:25" x14ac:dyDescent="0.2">
      <c r="Y48679" s="97"/>
    </row>
    <row r="48680" spans="25:25" x14ac:dyDescent="0.2">
      <c r="Y48680" s="97"/>
    </row>
    <row r="48681" spans="25:25" x14ac:dyDescent="0.2">
      <c r="Y48681" s="97"/>
    </row>
    <row r="48682" spans="25:25" x14ac:dyDescent="0.2">
      <c r="Y48682" s="97"/>
    </row>
    <row r="48683" spans="25:25" x14ac:dyDescent="0.2">
      <c r="Y48683" s="97"/>
    </row>
    <row r="48684" spans="25:25" x14ac:dyDescent="0.2">
      <c r="Y48684" s="97"/>
    </row>
    <row r="48685" spans="25:25" x14ac:dyDescent="0.2">
      <c r="Y48685" s="97"/>
    </row>
    <row r="48686" spans="25:25" x14ac:dyDescent="0.2">
      <c r="Y48686" s="97"/>
    </row>
    <row r="48687" spans="25:25" x14ac:dyDescent="0.2">
      <c r="Y48687" s="97"/>
    </row>
    <row r="48688" spans="25:25" x14ac:dyDescent="0.2">
      <c r="Y48688" s="97"/>
    </row>
    <row r="48689" spans="25:25" x14ac:dyDescent="0.2">
      <c r="Y48689" s="97"/>
    </row>
    <row r="48690" spans="25:25" x14ac:dyDescent="0.2">
      <c r="Y48690" s="97"/>
    </row>
    <row r="48691" spans="25:25" x14ac:dyDescent="0.2">
      <c r="Y48691" s="97"/>
    </row>
    <row r="48692" spans="25:25" x14ac:dyDescent="0.2">
      <c r="Y48692" s="97"/>
    </row>
    <row r="48693" spans="25:25" x14ac:dyDescent="0.2">
      <c r="Y48693" s="97"/>
    </row>
    <row r="48694" spans="25:25" x14ac:dyDescent="0.2">
      <c r="Y48694" s="97"/>
    </row>
    <row r="48695" spans="25:25" x14ac:dyDescent="0.2">
      <c r="Y48695" s="97"/>
    </row>
    <row r="48696" spans="25:25" x14ac:dyDescent="0.2">
      <c r="Y48696" s="97"/>
    </row>
    <row r="48697" spans="25:25" x14ac:dyDescent="0.2">
      <c r="Y48697" s="97"/>
    </row>
    <row r="48698" spans="25:25" x14ac:dyDescent="0.2">
      <c r="Y48698" s="97"/>
    </row>
    <row r="48699" spans="25:25" x14ac:dyDescent="0.2">
      <c r="Y48699" s="97"/>
    </row>
    <row r="48700" spans="25:25" x14ac:dyDescent="0.2">
      <c r="Y48700" s="97"/>
    </row>
    <row r="48701" spans="25:25" x14ac:dyDescent="0.2">
      <c r="Y48701" s="97"/>
    </row>
    <row r="48702" spans="25:25" x14ac:dyDescent="0.2">
      <c r="Y48702" s="97"/>
    </row>
    <row r="48703" spans="25:25" x14ac:dyDescent="0.2">
      <c r="Y48703" s="97"/>
    </row>
    <row r="48704" spans="25:25" x14ac:dyDescent="0.2">
      <c r="Y48704" s="97"/>
    </row>
    <row r="48705" spans="25:25" x14ac:dyDescent="0.2">
      <c r="Y48705" s="97"/>
    </row>
    <row r="48706" spans="25:25" x14ac:dyDescent="0.2">
      <c r="Y48706" s="97"/>
    </row>
    <row r="48707" spans="25:25" x14ac:dyDescent="0.2">
      <c r="Y48707" s="97"/>
    </row>
    <row r="48708" spans="25:25" x14ac:dyDescent="0.2">
      <c r="Y48708" s="97"/>
    </row>
    <row r="48709" spans="25:25" x14ac:dyDescent="0.2">
      <c r="Y48709" s="97"/>
    </row>
    <row r="48710" spans="25:25" x14ac:dyDescent="0.2">
      <c r="Y48710" s="97"/>
    </row>
    <row r="48711" spans="25:25" x14ac:dyDescent="0.2">
      <c r="Y48711" s="97"/>
    </row>
    <row r="48712" spans="25:25" x14ac:dyDescent="0.2">
      <c r="Y48712" s="97"/>
    </row>
    <row r="48713" spans="25:25" x14ac:dyDescent="0.2">
      <c r="Y48713" s="97"/>
    </row>
    <row r="48714" spans="25:25" x14ac:dyDescent="0.2">
      <c r="Y48714" s="97"/>
    </row>
    <row r="48715" spans="25:25" x14ac:dyDescent="0.2">
      <c r="Y48715" s="97"/>
    </row>
    <row r="48716" spans="25:25" x14ac:dyDescent="0.2">
      <c r="Y48716" s="97"/>
    </row>
    <row r="48717" spans="25:25" x14ac:dyDescent="0.2">
      <c r="Y48717" s="97"/>
    </row>
    <row r="48718" spans="25:25" x14ac:dyDescent="0.2">
      <c r="Y48718" s="97"/>
    </row>
    <row r="48719" spans="25:25" x14ac:dyDescent="0.2">
      <c r="Y48719" s="97"/>
    </row>
    <row r="48720" spans="25:25" x14ac:dyDescent="0.2">
      <c r="Y48720" s="97"/>
    </row>
    <row r="48721" spans="25:25" x14ac:dyDescent="0.2">
      <c r="Y48721" s="97"/>
    </row>
    <row r="48722" spans="25:25" x14ac:dyDescent="0.2">
      <c r="Y48722" s="97"/>
    </row>
    <row r="48723" spans="25:25" x14ac:dyDescent="0.2">
      <c r="Y48723" s="97"/>
    </row>
    <row r="48724" spans="25:25" x14ac:dyDescent="0.2">
      <c r="Y48724" s="97"/>
    </row>
    <row r="48725" spans="25:25" x14ac:dyDescent="0.2">
      <c r="Y48725" s="97"/>
    </row>
    <row r="48726" spans="25:25" x14ac:dyDescent="0.2">
      <c r="Y48726" s="97"/>
    </row>
    <row r="48727" spans="25:25" x14ac:dyDescent="0.2">
      <c r="Y48727" s="97"/>
    </row>
    <row r="48728" spans="25:25" x14ac:dyDescent="0.2">
      <c r="Y48728" s="97"/>
    </row>
    <row r="48729" spans="25:25" x14ac:dyDescent="0.2">
      <c r="Y48729" s="97"/>
    </row>
    <row r="48730" spans="25:25" x14ac:dyDescent="0.2">
      <c r="Y48730" s="97"/>
    </row>
    <row r="48731" spans="25:25" x14ac:dyDescent="0.2">
      <c r="Y48731" s="97"/>
    </row>
    <row r="48732" spans="25:25" x14ac:dyDescent="0.2">
      <c r="Y48732" s="97"/>
    </row>
    <row r="48733" spans="25:25" x14ac:dyDescent="0.2">
      <c r="Y48733" s="97"/>
    </row>
    <row r="48734" spans="25:25" x14ac:dyDescent="0.2">
      <c r="Y48734" s="97"/>
    </row>
    <row r="48735" spans="25:25" x14ac:dyDescent="0.2">
      <c r="Y48735" s="97"/>
    </row>
    <row r="48736" spans="25:25" x14ac:dyDescent="0.2">
      <c r="Y48736" s="97"/>
    </row>
    <row r="48737" spans="25:25" x14ac:dyDescent="0.2">
      <c r="Y48737" s="97"/>
    </row>
    <row r="48738" spans="25:25" x14ac:dyDescent="0.2">
      <c r="Y48738" s="97"/>
    </row>
    <row r="48739" spans="25:25" x14ac:dyDescent="0.2">
      <c r="Y48739" s="97"/>
    </row>
    <row r="48740" spans="25:25" x14ac:dyDescent="0.2">
      <c r="Y48740" s="97"/>
    </row>
    <row r="48741" spans="25:25" x14ac:dyDescent="0.2">
      <c r="Y48741" s="97"/>
    </row>
    <row r="48742" spans="25:25" x14ac:dyDescent="0.2">
      <c r="Y48742" s="97"/>
    </row>
    <row r="48743" spans="25:25" x14ac:dyDescent="0.2">
      <c r="Y48743" s="97"/>
    </row>
    <row r="48744" spans="25:25" x14ac:dyDescent="0.2">
      <c r="Y48744" s="97"/>
    </row>
    <row r="48745" spans="25:25" x14ac:dyDescent="0.2">
      <c r="Y48745" s="97"/>
    </row>
    <row r="48746" spans="25:25" x14ac:dyDescent="0.2">
      <c r="Y48746" s="97"/>
    </row>
    <row r="48747" spans="25:25" x14ac:dyDescent="0.2">
      <c r="Y48747" s="97"/>
    </row>
    <row r="48748" spans="25:25" x14ac:dyDescent="0.2">
      <c r="Y48748" s="97"/>
    </row>
    <row r="48749" spans="25:25" x14ac:dyDescent="0.2">
      <c r="Y48749" s="97"/>
    </row>
    <row r="48750" spans="25:25" x14ac:dyDescent="0.2">
      <c r="Y48750" s="97"/>
    </row>
    <row r="48751" spans="25:25" x14ac:dyDescent="0.2">
      <c r="Y48751" s="97"/>
    </row>
    <row r="48752" spans="25:25" x14ac:dyDescent="0.2">
      <c r="Y48752" s="97"/>
    </row>
    <row r="48753" spans="25:25" x14ac:dyDescent="0.2">
      <c r="Y48753" s="97"/>
    </row>
    <row r="48754" spans="25:25" x14ac:dyDescent="0.2">
      <c r="Y48754" s="97"/>
    </row>
    <row r="48755" spans="25:25" x14ac:dyDescent="0.2">
      <c r="Y48755" s="97"/>
    </row>
    <row r="48756" spans="25:25" x14ac:dyDescent="0.2">
      <c r="Y48756" s="97"/>
    </row>
    <row r="48757" spans="25:25" x14ac:dyDescent="0.2">
      <c r="Y48757" s="97"/>
    </row>
    <row r="48758" spans="25:25" x14ac:dyDescent="0.2">
      <c r="Y48758" s="97"/>
    </row>
    <row r="48759" spans="25:25" x14ac:dyDescent="0.2">
      <c r="Y48759" s="97"/>
    </row>
    <row r="48760" spans="25:25" x14ac:dyDescent="0.2">
      <c r="Y48760" s="97"/>
    </row>
    <row r="48761" spans="25:25" x14ac:dyDescent="0.2">
      <c r="Y48761" s="97"/>
    </row>
    <row r="48762" spans="25:25" x14ac:dyDescent="0.2">
      <c r="Y48762" s="97"/>
    </row>
    <row r="48763" spans="25:25" x14ac:dyDescent="0.2">
      <c r="Y48763" s="97"/>
    </row>
    <row r="48764" spans="25:25" x14ac:dyDescent="0.2">
      <c r="Y48764" s="97"/>
    </row>
    <row r="48765" spans="25:25" x14ac:dyDescent="0.2">
      <c r="Y48765" s="97"/>
    </row>
    <row r="48766" spans="25:25" x14ac:dyDescent="0.2">
      <c r="Y48766" s="97"/>
    </row>
    <row r="48767" spans="25:25" x14ac:dyDescent="0.2">
      <c r="Y48767" s="97"/>
    </row>
    <row r="48768" spans="25:25" x14ac:dyDescent="0.2">
      <c r="Y48768" s="97"/>
    </row>
    <row r="48769" spans="25:25" x14ac:dyDescent="0.2">
      <c r="Y48769" s="97"/>
    </row>
    <row r="48770" spans="25:25" x14ac:dyDescent="0.2">
      <c r="Y48770" s="97"/>
    </row>
    <row r="48771" spans="25:25" x14ac:dyDescent="0.2">
      <c r="Y48771" s="97"/>
    </row>
    <row r="48772" spans="25:25" x14ac:dyDescent="0.2">
      <c r="Y48772" s="97"/>
    </row>
    <row r="48773" spans="25:25" x14ac:dyDescent="0.2">
      <c r="Y48773" s="97"/>
    </row>
    <row r="48774" spans="25:25" x14ac:dyDescent="0.2">
      <c r="Y48774" s="97"/>
    </row>
    <row r="48775" spans="25:25" x14ac:dyDescent="0.2">
      <c r="Y48775" s="97"/>
    </row>
    <row r="48776" spans="25:25" x14ac:dyDescent="0.2">
      <c r="Y48776" s="97"/>
    </row>
    <row r="48777" spans="25:25" x14ac:dyDescent="0.2">
      <c r="Y48777" s="97"/>
    </row>
    <row r="48778" spans="25:25" x14ac:dyDescent="0.2">
      <c r="Y48778" s="97"/>
    </row>
    <row r="48779" spans="25:25" x14ac:dyDescent="0.2">
      <c r="Y48779" s="97"/>
    </row>
    <row r="48780" spans="25:25" x14ac:dyDescent="0.2">
      <c r="Y48780" s="97"/>
    </row>
    <row r="48781" spans="25:25" x14ac:dyDescent="0.2">
      <c r="Y48781" s="97"/>
    </row>
    <row r="48782" spans="25:25" x14ac:dyDescent="0.2">
      <c r="Y48782" s="97"/>
    </row>
    <row r="48783" spans="25:25" x14ac:dyDescent="0.2">
      <c r="Y48783" s="97"/>
    </row>
    <row r="48784" spans="25:25" x14ac:dyDescent="0.2">
      <c r="Y48784" s="97"/>
    </row>
    <row r="48785" spans="25:25" x14ac:dyDescent="0.2">
      <c r="Y48785" s="97"/>
    </row>
    <row r="48786" spans="25:25" x14ac:dyDescent="0.2">
      <c r="Y48786" s="97"/>
    </row>
    <row r="48787" spans="25:25" x14ac:dyDescent="0.2">
      <c r="Y48787" s="97"/>
    </row>
    <row r="48788" spans="25:25" x14ac:dyDescent="0.2">
      <c r="Y48788" s="97"/>
    </row>
    <row r="48789" spans="25:25" x14ac:dyDescent="0.2">
      <c r="Y48789" s="97"/>
    </row>
    <row r="48790" spans="25:25" x14ac:dyDescent="0.2">
      <c r="Y48790" s="97"/>
    </row>
    <row r="48791" spans="25:25" x14ac:dyDescent="0.2">
      <c r="Y48791" s="97"/>
    </row>
    <row r="48792" spans="25:25" x14ac:dyDescent="0.2">
      <c r="Y48792" s="97"/>
    </row>
    <row r="48793" spans="25:25" x14ac:dyDescent="0.2">
      <c r="Y48793" s="97"/>
    </row>
    <row r="48794" spans="25:25" x14ac:dyDescent="0.2">
      <c r="Y48794" s="97"/>
    </row>
    <row r="48795" spans="25:25" x14ac:dyDescent="0.2">
      <c r="Y48795" s="97"/>
    </row>
    <row r="48796" spans="25:25" x14ac:dyDescent="0.2">
      <c r="Y48796" s="97"/>
    </row>
    <row r="48797" spans="25:25" x14ac:dyDescent="0.2">
      <c r="Y48797" s="97"/>
    </row>
    <row r="48798" spans="25:25" x14ac:dyDescent="0.2">
      <c r="Y48798" s="97"/>
    </row>
    <row r="48799" spans="25:25" x14ac:dyDescent="0.2">
      <c r="Y48799" s="97"/>
    </row>
    <row r="48800" spans="25:25" x14ac:dyDescent="0.2">
      <c r="Y48800" s="97"/>
    </row>
    <row r="48801" spans="25:25" x14ac:dyDescent="0.2">
      <c r="Y48801" s="97"/>
    </row>
    <row r="48802" spans="25:25" x14ac:dyDescent="0.2">
      <c r="Y48802" s="97"/>
    </row>
    <row r="48803" spans="25:25" x14ac:dyDescent="0.2">
      <c r="Y48803" s="97"/>
    </row>
    <row r="48804" spans="25:25" x14ac:dyDescent="0.2">
      <c r="Y48804" s="97"/>
    </row>
    <row r="48805" spans="25:25" x14ac:dyDescent="0.2">
      <c r="Y48805" s="97"/>
    </row>
    <row r="48806" spans="25:25" x14ac:dyDescent="0.2">
      <c r="Y48806" s="97"/>
    </row>
    <row r="48807" spans="25:25" x14ac:dyDescent="0.2">
      <c r="Y48807" s="97"/>
    </row>
    <row r="48808" spans="25:25" x14ac:dyDescent="0.2">
      <c r="Y48808" s="97"/>
    </row>
    <row r="48809" spans="25:25" x14ac:dyDescent="0.2">
      <c r="Y48809" s="97"/>
    </row>
    <row r="48810" spans="25:25" x14ac:dyDescent="0.2">
      <c r="Y48810" s="97"/>
    </row>
    <row r="48811" spans="25:25" x14ac:dyDescent="0.2">
      <c r="Y48811" s="97"/>
    </row>
    <row r="48812" spans="25:25" x14ac:dyDescent="0.2">
      <c r="Y48812" s="97"/>
    </row>
    <row r="48813" spans="25:25" x14ac:dyDescent="0.2">
      <c r="Y48813" s="97"/>
    </row>
    <row r="48814" spans="25:25" x14ac:dyDescent="0.2">
      <c r="Y48814" s="97"/>
    </row>
    <row r="48815" spans="25:25" x14ac:dyDescent="0.2">
      <c r="Y48815" s="97"/>
    </row>
    <row r="48816" spans="25:25" x14ac:dyDescent="0.2">
      <c r="Y48816" s="97"/>
    </row>
    <row r="48817" spans="25:25" x14ac:dyDescent="0.2">
      <c r="Y48817" s="97"/>
    </row>
    <row r="48818" spans="25:25" x14ac:dyDescent="0.2">
      <c r="Y48818" s="97"/>
    </row>
    <row r="48819" spans="25:25" x14ac:dyDescent="0.2">
      <c r="Y48819" s="97"/>
    </row>
    <row r="48820" spans="25:25" x14ac:dyDescent="0.2">
      <c r="Y48820" s="97"/>
    </row>
    <row r="48821" spans="25:25" x14ac:dyDescent="0.2">
      <c r="Y48821" s="97"/>
    </row>
    <row r="48822" spans="25:25" x14ac:dyDescent="0.2">
      <c r="Y48822" s="97"/>
    </row>
    <row r="48823" spans="25:25" x14ac:dyDescent="0.2">
      <c r="Y48823" s="97"/>
    </row>
    <row r="48824" spans="25:25" x14ac:dyDescent="0.2">
      <c r="Y48824" s="97"/>
    </row>
    <row r="48825" spans="25:25" x14ac:dyDescent="0.2">
      <c r="Y48825" s="97"/>
    </row>
    <row r="48826" spans="25:25" x14ac:dyDescent="0.2">
      <c r="Y48826" s="97"/>
    </row>
    <row r="48827" spans="25:25" x14ac:dyDescent="0.2">
      <c r="Y48827" s="97"/>
    </row>
    <row r="48828" spans="25:25" x14ac:dyDescent="0.2">
      <c r="Y48828" s="97"/>
    </row>
    <row r="48829" spans="25:25" x14ac:dyDescent="0.2">
      <c r="Y48829" s="97"/>
    </row>
    <row r="48830" spans="25:25" x14ac:dyDescent="0.2">
      <c r="Y48830" s="97"/>
    </row>
    <row r="48831" spans="25:25" x14ac:dyDescent="0.2">
      <c r="Y48831" s="97"/>
    </row>
    <row r="48832" spans="25:25" x14ac:dyDescent="0.2">
      <c r="Y48832" s="97"/>
    </row>
    <row r="48833" spans="25:25" x14ac:dyDescent="0.2">
      <c r="Y48833" s="97"/>
    </row>
    <row r="48834" spans="25:25" x14ac:dyDescent="0.2">
      <c r="Y48834" s="97"/>
    </row>
    <row r="48835" spans="25:25" x14ac:dyDescent="0.2">
      <c r="Y48835" s="97"/>
    </row>
    <row r="48836" spans="25:25" x14ac:dyDescent="0.2">
      <c r="Y48836" s="97"/>
    </row>
    <row r="48837" spans="25:25" x14ac:dyDescent="0.2">
      <c r="Y48837" s="97"/>
    </row>
    <row r="48838" spans="25:25" x14ac:dyDescent="0.2">
      <c r="Y48838" s="97"/>
    </row>
    <row r="48839" spans="25:25" x14ac:dyDescent="0.2">
      <c r="Y48839" s="97"/>
    </row>
    <row r="48840" spans="25:25" x14ac:dyDescent="0.2">
      <c r="Y48840" s="97"/>
    </row>
    <row r="48841" spans="25:25" x14ac:dyDescent="0.2">
      <c r="Y48841" s="97"/>
    </row>
    <row r="48842" spans="25:25" x14ac:dyDescent="0.2">
      <c r="Y48842" s="97"/>
    </row>
    <row r="48843" spans="25:25" x14ac:dyDescent="0.2">
      <c r="Y48843" s="97"/>
    </row>
    <row r="48844" spans="25:25" x14ac:dyDescent="0.2">
      <c r="Y48844" s="97"/>
    </row>
    <row r="48845" spans="25:25" x14ac:dyDescent="0.2">
      <c r="Y48845" s="97"/>
    </row>
    <row r="48846" spans="25:25" x14ac:dyDescent="0.2">
      <c r="Y48846" s="97"/>
    </row>
    <row r="48847" spans="25:25" x14ac:dyDescent="0.2">
      <c r="Y48847" s="97"/>
    </row>
    <row r="48848" spans="25:25" x14ac:dyDescent="0.2">
      <c r="Y48848" s="97"/>
    </row>
    <row r="48849" spans="25:25" x14ac:dyDescent="0.2">
      <c r="Y48849" s="97"/>
    </row>
    <row r="48850" spans="25:25" x14ac:dyDescent="0.2">
      <c r="Y48850" s="97"/>
    </row>
    <row r="48851" spans="25:25" x14ac:dyDescent="0.2">
      <c r="Y48851" s="97"/>
    </row>
    <row r="48852" spans="25:25" x14ac:dyDescent="0.2">
      <c r="Y48852" s="97"/>
    </row>
    <row r="48853" spans="25:25" x14ac:dyDescent="0.2">
      <c r="Y48853" s="97"/>
    </row>
    <row r="48854" spans="25:25" x14ac:dyDescent="0.2">
      <c r="Y48854" s="97"/>
    </row>
    <row r="48855" spans="25:25" x14ac:dyDescent="0.2">
      <c r="Y48855" s="97"/>
    </row>
    <row r="48856" spans="25:25" x14ac:dyDescent="0.2">
      <c r="Y48856" s="97"/>
    </row>
    <row r="48857" spans="25:25" x14ac:dyDescent="0.2">
      <c r="Y48857" s="97"/>
    </row>
    <row r="48858" spans="25:25" x14ac:dyDescent="0.2">
      <c r="Y48858" s="97"/>
    </row>
    <row r="48859" spans="25:25" x14ac:dyDescent="0.2">
      <c r="Y48859" s="97"/>
    </row>
    <row r="48860" spans="25:25" x14ac:dyDescent="0.2">
      <c r="Y48860" s="97"/>
    </row>
    <row r="48861" spans="25:25" x14ac:dyDescent="0.2">
      <c r="Y48861" s="97"/>
    </row>
    <row r="48862" spans="25:25" x14ac:dyDescent="0.2">
      <c r="Y48862" s="97"/>
    </row>
    <row r="48863" spans="25:25" x14ac:dyDescent="0.2">
      <c r="Y48863" s="97"/>
    </row>
    <row r="48864" spans="25:25" x14ac:dyDescent="0.2">
      <c r="Y48864" s="97"/>
    </row>
    <row r="48865" spans="25:25" x14ac:dyDescent="0.2">
      <c r="Y48865" s="97"/>
    </row>
    <row r="48866" spans="25:25" x14ac:dyDescent="0.2">
      <c r="Y48866" s="97"/>
    </row>
    <row r="48867" spans="25:25" x14ac:dyDescent="0.2">
      <c r="Y48867" s="97"/>
    </row>
    <row r="48868" spans="25:25" x14ac:dyDescent="0.2">
      <c r="Y48868" s="97"/>
    </row>
    <row r="48869" spans="25:25" x14ac:dyDescent="0.2">
      <c r="Y48869" s="97"/>
    </row>
    <row r="48870" spans="25:25" x14ac:dyDescent="0.2">
      <c r="Y48870" s="97"/>
    </row>
    <row r="48871" spans="25:25" x14ac:dyDescent="0.2">
      <c r="Y48871" s="97"/>
    </row>
    <row r="48872" spans="25:25" x14ac:dyDescent="0.2">
      <c r="Y48872" s="97"/>
    </row>
    <row r="48873" spans="25:25" x14ac:dyDescent="0.2">
      <c r="Y48873" s="97"/>
    </row>
    <row r="48874" spans="25:25" x14ac:dyDescent="0.2">
      <c r="Y48874" s="97"/>
    </row>
    <row r="48875" spans="25:25" x14ac:dyDescent="0.2">
      <c r="Y48875" s="97"/>
    </row>
    <row r="48876" spans="25:25" x14ac:dyDescent="0.2">
      <c r="Y48876" s="97"/>
    </row>
    <row r="48877" spans="25:25" x14ac:dyDescent="0.2">
      <c r="Y48877" s="97"/>
    </row>
    <row r="48878" spans="25:25" x14ac:dyDescent="0.2">
      <c r="Y48878" s="97"/>
    </row>
    <row r="48879" spans="25:25" x14ac:dyDescent="0.2">
      <c r="Y48879" s="97"/>
    </row>
    <row r="48880" spans="25:25" x14ac:dyDescent="0.2">
      <c r="Y48880" s="97"/>
    </row>
    <row r="48881" spans="25:25" x14ac:dyDescent="0.2">
      <c r="Y48881" s="97"/>
    </row>
    <row r="48882" spans="25:25" x14ac:dyDescent="0.2">
      <c r="Y48882" s="97"/>
    </row>
    <row r="48883" spans="25:25" x14ac:dyDescent="0.2">
      <c r="Y48883" s="97"/>
    </row>
    <row r="48884" spans="25:25" x14ac:dyDescent="0.2">
      <c r="Y48884" s="97"/>
    </row>
    <row r="48885" spans="25:25" x14ac:dyDescent="0.2">
      <c r="Y48885" s="97"/>
    </row>
    <row r="48886" spans="25:25" x14ac:dyDescent="0.2">
      <c r="Y48886" s="97"/>
    </row>
    <row r="48887" spans="25:25" x14ac:dyDescent="0.2">
      <c r="Y48887" s="97"/>
    </row>
    <row r="48888" spans="25:25" x14ac:dyDescent="0.2">
      <c r="Y48888" s="97"/>
    </row>
    <row r="48889" spans="25:25" x14ac:dyDescent="0.2">
      <c r="Y48889" s="97"/>
    </row>
    <row r="48890" spans="25:25" x14ac:dyDescent="0.2">
      <c r="Y48890" s="97"/>
    </row>
    <row r="48891" spans="25:25" x14ac:dyDescent="0.2">
      <c r="Y48891" s="97"/>
    </row>
    <row r="48892" spans="25:25" x14ac:dyDescent="0.2">
      <c r="Y48892" s="97"/>
    </row>
    <row r="48893" spans="25:25" x14ac:dyDescent="0.2">
      <c r="Y48893" s="97"/>
    </row>
    <row r="48894" spans="25:25" x14ac:dyDescent="0.2">
      <c r="Y48894" s="97"/>
    </row>
    <row r="48895" spans="25:25" x14ac:dyDescent="0.2">
      <c r="Y48895" s="97"/>
    </row>
    <row r="48896" spans="25:25" x14ac:dyDescent="0.2">
      <c r="Y48896" s="97"/>
    </row>
    <row r="48897" spans="25:25" x14ac:dyDescent="0.2">
      <c r="Y48897" s="97"/>
    </row>
    <row r="48898" spans="25:25" x14ac:dyDescent="0.2">
      <c r="Y48898" s="97"/>
    </row>
    <row r="48899" spans="25:25" x14ac:dyDescent="0.2">
      <c r="Y48899" s="97"/>
    </row>
    <row r="48900" spans="25:25" x14ac:dyDescent="0.2">
      <c r="Y48900" s="97"/>
    </row>
    <row r="48901" spans="25:25" x14ac:dyDescent="0.2">
      <c r="Y48901" s="97"/>
    </row>
    <row r="48902" spans="25:25" x14ac:dyDescent="0.2">
      <c r="Y48902" s="97"/>
    </row>
    <row r="48903" spans="25:25" x14ac:dyDescent="0.2">
      <c r="Y48903" s="97"/>
    </row>
    <row r="48904" spans="25:25" x14ac:dyDescent="0.2">
      <c r="Y48904" s="97"/>
    </row>
    <row r="48905" spans="25:25" x14ac:dyDescent="0.2">
      <c r="Y48905" s="97"/>
    </row>
    <row r="48906" spans="25:25" x14ac:dyDescent="0.2">
      <c r="Y48906" s="97"/>
    </row>
    <row r="48907" spans="25:25" x14ac:dyDescent="0.2">
      <c r="Y48907" s="97"/>
    </row>
    <row r="48908" spans="25:25" x14ac:dyDescent="0.2">
      <c r="Y48908" s="97"/>
    </row>
    <row r="48909" spans="25:25" x14ac:dyDescent="0.2">
      <c r="Y48909" s="97"/>
    </row>
    <row r="48910" spans="25:25" x14ac:dyDescent="0.2">
      <c r="Y48910" s="97"/>
    </row>
    <row r="48911" spans="25:25" x14ac:dyDescent="0.2">
      <c r="Y48911" s="97"/>
    </row>
    <row r="48912" spans="25:25" x14ac:dyDescent="0.2">
      <c r="Y48912" s="97"/>
    </row>
    <row r="48913" spans="25:25" x14ac:dyDescent="0.2">
      <c r="Y48913" s="97"/>
    </row>
    <row r="48914" spans="25:25" x14ac:dyDescent="0.2">
      <c r="Y48914" s="97"/>
    </row>
    <row r="48915" spans="25:25" x14ac:dyDescent="0.2">
      <c r="Y48915" s="97"/>
    </row>
    <row r="48916" spans="25:25" x14ac:dyDescent="0.2">
      <c r="Y48916" s="97"/>
    </row>
    <row r="48917" spans="25:25" x14ac:dyDescent="0.2">
      <c r="Y48917" s="97"/>
    </row>
    <row r="48918" spans="25:25" x14ac:dyDescent="0.2">
      <c r="Y48918" s="97"/>
    </row>
    <row r="48919" spans="25:25" x14ac:dyDescent="0.2">
      <c r="Y48919" s="97"/>
    </row>
    <row r="48920" spans="25:25" x14ac:dyDescent="0.2">
      <c r="Y48920" s="97"/>
    </row>
    <row r="48921" spans="25:25" x14ac:dyDescent="0.2">
      <c r="Y48921" s="97"/>
    </row>
    <row r="48922" spans="25:25" x14ac:dyDescent="0.2">
      <c r="Y48922" s="97"/>
    </row>
    <row r="48923" spans="25:25" x14ac:dyDescent="0.2">
      <c r="Y48923" s="97"/>
    </row>
    <row r="48924" spans="25:25" x14ac:dyDescent="0.2">
      <c r="Y48924" s="97"/>
    </row>
    <row r="48925" spans="25:25" x14ac:dyDescent="0.2">
      <c r="Y48925" s="97"/>
    </row>
    <row r="48926" spans="25:25" x14ac:dyDescent="0.2">
      <c r="Y48926" s="97"/>
    </row>
    <row r="48927" spans="25:25" x14ac:dyDescent="0.2">
      <c r="Y48927" s="97"/>
    </row>
    <row r="48928" spans="25:25" x14ac:dyDescent="0.2">
      <c r="Y48928" s="97"/>
    </row>
    <row r="48929" spans="25:25" x14ac:dyDescent="0.2">
      <c r="Y48929" s="97"/>
    </row>
    <row r="48930" spans="25:25" x14ac:dyDescent="0.2">
      <c r="Y48930" s="97"/>
    </row>
    <row r="48931" spans="25:25" x14ac:dyDescent="0.2">
      <c r="Y48931" s="97"/>
    </row>
    <row r="48932" spans="25:25" x14ac:dyDescent="0.2">
      <c r="Y48932" s="97"/>
    </row>
    <row r="48933" spans="25:25" x14ac:dyDescent="0.2">
      <c r="Y48933" s="97"/>
    </row>
    <row r="48934" spans="25:25" x14ac:dyDescent="0.2">
      <c r="Y48934" s="97"/>
    </row>
    <row r="48935" spans="25:25" x14ac:dyDescent="0.2">
      <c r="Y48935" s="97"/>
    </row>
    <row r="48936" spans="25:25" x14ac:dyDescent="0.2">
      <c r="Y48936" s="97"/>
    </row>
    <row r="48937" spans="25:25" x14ac:dyDescent="0.2">
      <c r="Y48937" s="97"/>
    </row>
    <row r="48938" spans="25:25" x14ac:dyDescent="0.2">
      <c r="Y48938" s="97"/>
    </row>
    <row r="48939" spans="25:25" x14ac:dyDescent="0.2">
      <c r="Y48939" s="97"/>
    </row>
    <row r="48940" spans="25:25" x14ac:dyDescent="0.2">
      <c r="Y48940" s="97"/>
    </row>
    <row r="48941" spans="25:25" x14ac:dyDescent="0.2">
      <c r="Y48941" s="97"/>
    </row>
    <row r="48942" spans="25:25" x14ac:dyDescent="0.2">
      <c r="Y48942" s="97"/>
    </row>
    <row r="48943" spans="25:25" x14ac:dyDescent="0.2">
      <c r="Y48943" s="97"/>
    </row>
    <row r="48944" spans="25:25" x14ac:dyDescent="0.2">
      <c r="Y48944" s="97"/>
    </row>
    <row r="48945" spans="25:25" x14ac:dyDescent="0.2">
      <c r="Y48945" s="97"/>
    </row>
    <row r="48946" spans="25:25" x14ac:dyDescent="0.2">
      <c r="Y48946" s="97"/>
    </row>
    <row r="48947" spans="25:25" x14ac:dyDescent="0.2">
      <c r="Y48947" s="97"/>
    </row>
    <row r="48948" spans="25:25" x14ac:dyDescent="0.2">
      <c r="Y48948" s="97"/>
    </row>
    <row r="48949" spans="25:25" x14ac:dyDescent="0.2">
      <c r="Y48949" s="97"/>
    </row>
    <row r="48950" spans="25:25" x14ac:dyDescent="0.2">
      <c r="Y48950" s="97"/>
    </row>
    <row r="48951" spans="25:25" x14ac:dyDescent="0.2">
      <c r="Y48951" s="97"/>
    </row>
    <row r="48952" spans="25:25" x14ac:dyDescent="0.2">
      <c r="Y48952" s="97"/>
    </row>
    <row r="48953" spans="25:25" x14ac:dyDescent="0.2">
      <c r="Y48953" s="97"/>
    </row>
    <row r="48954" spans="25:25" x14ac:dyDescent="0.2">
      <c r="Y48954" s="97"/>
    </row>
    <row r="48955" spans="25:25" x14ac:dyDescent="0.2">
      <c r="Y48955" s="97"/>
    </row>
    <row r="48956" spans="25:25" x14ac:dyDescent="0.2">
      <c r="Y48956" s="97"/>
    </row>
    <row r="48957" spans="25:25" x14ac:dyDescent="0.2">
      <c r="Y48957" s="97"/>
    </row>
    <row r="48958" spans="25:25" x14ac:dyDescent="0.2">
      <c r="Y48958" s="97"/>
    </row>
    <row r="48959" spans="25:25" x14ac:dyDescent="0.2">
      <c r="Y48959" s="97"/>
    </row>
    <row r="48960" spans="25:25" x14ac:dyDescent="0.2">
      <c r="Y48960" s="97"/>
    </row>
    <row r="48961" spans="25:25" x14ac:dyDescent="0.2">
      <c r="Y48961" s="97"/>
    </row>
    <row r="48962" spans="25:25" x14ac:dyDescent="0.2">
      <c r="Y48962" s="97"/>
    </row>
    <row r="48963" spans="25:25" x14ac:dyDescent="0.2">
      <c r="Y48963" s="97"/>
    </row>
    <row r="48964" spans="25:25" x14ac:dyDescent="0.2">
      <c r="Y48964" s="97"/>
    </row>
    <row r="48965" spans="25:25" x14ac:dyDescent="0.2">
      <c r="Y48965" s="97"/>
    </row>
    <row r="48966" spans="25:25" x14ac:dyDescent="0.2">
      <c r="Y48966" s="97"/>
    </row>
    <row r="48967" spans="25:25" x14ac:dyDescent="0.2">
      <c r="Y48967" s="97"/>
    </row>
    <row r="48968" spans="25:25" x14ac:dyDescent="0.2">
      <c r="Y48968" s="97"/>
    </row>
    <row r="48969" spans="25:25" x14ac:dyDescent="0.2">
      <c r="Y48969" s="97"/>
    </row>
    <row r="48970" spans="25:25" x14ac:dyDescent="0.2">
      <c r="Y48970" s="97"/>
    </row>
    <row r="48971" spans="25:25" x14ac:dyDescent="0.2">
      <c r="Y48971" s="97"/>
    </row>
    <row r="48972" spans="25:25" x14ac:dyDescent="0.2">
      <c r="Y48972" s="97"/>
    </row>
    <row r="48973" spans="25:25" x14ac:dyDescent="0.2">
      <c r="Y48973" s="97"/>
    </row>
    <row r="48974" spans="25:25" x14ac:dyDescent="0.2">
      <c r="Y48974" s="97"/>
    </row>
    <row r="48975" spans="25:25" x14ac:dyDescent="0.2">
      <c r="Y48975" s="97"/>
    </row>
    <row r="48976" spans="25:25" x14ac:dyDescent="0.2">
      <c r="Y48976" s="97"/>
    </row>
    <row r="48977" spans="25:25" x14ac:dyDescent="0.2">
      <c r="Y48977" s="97"/>
    </row>
    <row r="48978" spans="25:25" x14ac:dyDescent="0.2">
      <c r="Y48978" s="97"/>
    </row>
    <row r="48979" spans="25:25" x14ac:dyDescent="0.2">
      <c r="Y48979" s="97"/>
    </row>
    <row r="48980" spans="25:25" x14ac:dyDescent="0.2">
      <c r="Y48980" s="97"/>
    </row>
    <row r="48981" spans="25:25" x14ac:dyDescent="0.2">
      <c r="Y48981" s="97"/>
    </row>
    <row r="48982" spans="25:25" x14ac:dyDescent="0.2">
      <c r="Y48982" s="97"/>
    </row>
    <row r="48983" spans="25:25" x14ac:dyDescent="0.2">
      <c r="Y48983" s="97"/>
    </row>
    <row r="48984" spans="25:25" x14ac:dyDescent="0.2">
      <c r="Y48984" s="97"/>
    </row>
    <row r="48985" spans="25:25" x14ac:dyDescent="0.2">
      <c r="Y48985" s="97"/>
    </row>
    <row r="48986" spans="25:25" x14ac:dyDescent="0.2">
      <c r="Y48986" s="97"/>
    </row>
    <row r="48987" spans="25:25" x14ac:dyDescent="0.2">
      <c r="Y48987" s="97"/>
    </row>
    <row r="48988" spans="25:25" x14ac:dyDescent="0.2">
      <c r="Y48988" s="97"/>
    </row>
    <row r="48989" spans="25:25" x14ac:dyDescent="0.2">
      <c r="Y48989" s="97"/>
    </row>
    <row r="48990" spans="25:25" x14ac:dyDescent="0.2">
      <c r="Y48990" s="97"/>
    </row>
    <row r="48991" spans="25:25" x14ac:dyDescent="0.2">
      <c r="Y48991" s="97"/>
    </row>
    <row r="48992" spans="25:25" x14ac:dyDescent="0.2">
      <c r="Y48992" s="97"/>
    </row>
    <row r="48993" spans="25:25" x14ac:dyDescent="0.2">
      <c r="Y48993" s="97"/>
    </row>
    <row r="48994" spans="25:25" x14ac:dyDescent="0.2">
      <c r="Y48994" s="97"/>
    </row>
    <row r="48995" spans="25:25" x14ac:dyDescent="0.2">
      <c r="Y48995" s="97"/>
    </row>
    <row r="48996" spans="25:25" x14ac:dyDescent="0.2">
      <c r="Y48996" s="97"/>
    </row>
    <row r="48997" spans="25:25" x14ac:dyDescent="0.2">
      <c r="Y48997" s="97"/>
    </row>
    <row r="48998" spans="25:25" x14ac:dyDescent="0.2">
      <c r="Y48998" s="97"/>
    </row>
    <row r="48999" spans="25:25" x14ac:dyDescent="0.2">
      <c r="Y48999" s="97"/>
    </row>
    <row r="49000" spans="25:25" x14ac:dyDescent="0.2">
      <c r="Y49000" s="97"/>
    </row>
    <row r="49001" spans="25:25" x14ac:dyDescent="0.2">
      <c r="Y49001" s="97"/>
    </row>
    <row r="49002" spans="25:25" x14ac:dyDescent="0.2">
      <c r="Y49002" s="97"/>
    </row>
    <row r="49003" spans="25:25" x14ac:dyDescent="0.2">
      <c r="Y49003" s="97"/>
    </row>
    <row r="49004" spans="25:25" x14ac:dyDescent="0.2">
      <c r="Y49004" s="97"/>
    </row>
    <row r="49005" spans="25:25" x14ac:dyDescent="0.2">
      <c r="Y49005" s="97"/>
    </row>
    <row r="49006" spans="25:25" x14ac:dyDescent="0.2">
      <c r="Y49006" s="97"/>
    </row>
    <row r="49007" spans="25:25" x14ac:dyDescent="0.2">
      <c r="Y49007" s="97"/>
    </row>
    <row r="49008" spans="25:25" x14ac:dyDescent="0.2">
      <c r="Y49008" s="97"/>
    </row>
    <row r="49009" spans="25:25" x14ac:dyDescent="0.2">
      <c r="Y49009" s="97"/>
    </row>
    <row r="49010" spans="25:25" x14ac:dyDescent="0.2">
      <c r="Y49010" s="97"/>
    </row>
    <row r="49011" spans="25:25" x14ac:dyDescent="0.2">
      <c r="Y49011" s="97"/>
    </row>
    <row r="49012" spans="25:25" x14ac:dyDescent="0.2">
      <c r="Y49012" s="97"/>
    </row>
    <row r="49013" spans="25:25" x14ac:dyDescent="0.2">
      <c r="Y49013" s="97"/>
    </row>
    <row r="49014" spans="25:25" x14ac:dyDescent="0.2">
      <c r="Y49014" s="97"/>
    </row>
    <row r="49015" spans="25:25" x14ac:dyDescent="0.2">
      <c r="Y49015" s="97"/>
    </row>
    <row r="49016" spans="25:25" x14ac:dyDescent="0.2">
      <c r="Y49016" s="97"/>
    </row>
    <row r="49017" spans="25:25" x14ac:dyDescent="0.2">
      <c r="Y49017" s="97"/>
    </row>
    <row r="49018" spans="25:25" x14ac:dyDescent="0.2">
      <c r="Y49018" s="97"/>
    </row>
    <row r="49019" spans="25:25" x14ac:dyDescent="0.2">
      <c r="Y49019" s="97"/>
    </row>
    <row r="49020" spans="25:25" x14ac:dyDescent="0.2">
      <c r="Y49020" s="97"/>
    </row>
    <row r="49021" spans="25:25" x14ac:dyDescent="0.2">
      <c r="Y49021" s="97"/>
    </row>
    <row r="49022" spans="25:25" x14ac:dyDescent="0.2">
      <c r="Y49022" s="97"/>
    </row>
    <row r="49023" spans="25:25" x14ac:dyDescent="0.2">
      <c r="Y49023" s="97"/>
    </row>
    <row r="49024" spans="25:25" x14ac:dyDescent="0.2">
      <c r="Y49024" s="97"/>
    </row>
    <row r="49025" spans="25:25" x14ac:dyDescent="0.2">
      <c r="Y49025" s="97"/>
    </row>
    <row r="49026" spans="25:25" x14ac:dyDescent="0.2">
      <c r="Y49026" s="97"/>
    </row>
    <row r="49027" spans="25:25" x14ac:dyDescent="0.2">
      <c r="Y49027" s="97"/>
    </row>
    <row r="49028" spans="25:25" x14ac:dyDescent="0.2">
      <c r="Y49028" s="97"/>
    </row>
    <row r="49029" spans="25:25" x14ac:dyDescent="0.2">
      <c r="Y49029" s="97"/>
    </row>
    <row r="49030" spans="25:25" x14ac:dyDescent="0.2">
      <c r="Y49030" s="97"/>
    </row>
    <row r="49031" spans="25:25" x14ac:dyDescent="0.2">
      <c r="Y49031" s="97"/>
    </row>
    <row r="49032" spans="25:25" x14ac:dyDescent="0.2">
      <c r="Y49032" s="97"/>
    </row>
    <row r="49033" spans="25:25" x14ac:dyDescent="0.2">
      <c r="Y49033" s="97"/>
    </row>
    <row r="49034" spans="25:25" x14ac:dyDescent="0.2">
      <c r="Y49034" s="97"/>
    </row>
    <row r="49035" spans="25:25" x14ac:dyDescent="0.2">
      <c r="Y49035" s="97"/>
    </row>
    <row r="49036" spans="25:25" x14ac:dyDescent="0.2">
      <c r="Y49036" s="97"/>
    </row>
    <row r="49037" spans="25:25" x14ac:dyDescent="0.2">
      <c r="Y49037" s="97"/>
    </row>
    <row r="49038" spans="25:25" x14ac:dyDescent="0.2">
      <c r="Y49038" s="97"/>
    </row>
    <row r="49039" spans="25:25" x14ac:dyDescent="0.2">
      <c r="Y49039" s="97"/>
    </row>
    <row r="49040" spans="25:25" x14ac:dyDescent="0.2">
      <c r="Y49040" s="97"/>
    </row>
    <row r="49041" spans="25:25" x14ac:dyDescent="0.2">
      <c r="Y49041" s="97"/>
    </row>
    <row r="49042" spans="25:25" x14ac:dyDescent="0.2">
      <c r="Y49042" s="97"/>
    </row>
    <row r="49043" spans="25:25" x14ac:dyDescent="0.2">
      <c r="Y49043" s="97"/>
    </row>
    <row r="49044" spans="25:25" x14ac:dyDescent="0.2">
      <c r="Y49044" s="97"/>
    </row>
    <row r="49045" spans="25:25" x14ac:dyDescent="0.2">
      <c r="Y49045" s="97"/>
    </row>
    <row r="49046" spans="25:25" x14ac:dyDescent="0.2">
      <c r="Y49046" s="97"/>
    </row>
    <row r="49047" spans="25:25" x14ac:dyDescent="0.2">
      <c r="Y49047" s="97"/>
    </row>
    <row r="49048" spans="25:25" x14ac:dyDescent="0.2">
      <c r="Y49048" s="97"/>
    </row>
    <row r="49049" spans="25:25" x14ac:dyDescent="0.2">
      <c r="Y49049" s="97"/>
    </row>
    <row r="49050" spans="25:25" x14ac:dyDescent="0.2">
      <c r="Y49050" s="97"/>
    </row>
    <row r="49051" spans="25:25" x14ac:dyDescent="0.2">
      <c r="Y49051" s="97"/>
    </row>
    <row r="49052" spans="25:25" x14ac:dyDescent="0.2">
      <c r="Y49052" s="97"/>
    </row>
    <row r="49053" spans="25:25" x14ac:dyDescent="0.2">
      <c r="Y49053" s="97"/>
    </row>
    <row r="49054" spans="25:25" x14ac:dyDescent="0.2">
      <c r="Y49054" s="97"/>
    </row>
    <row r="49055" spans="25:25" x14ac:dyDescent="0.2">
      <c r="Y49055" s="97"/>
    </row>
    <row r="49056" spans="25:25" x14ac:dyDescent="0.2">
      <c r="Y49056" s="97"/>
    </row>
    <row r="49057" spans="25:25" x14ac:dyDescent="0.2">
      <c r="Y49057" s="97"/>
    </row>
    <row r="49058" spans="25:25" x14ac:dyDescent="0.2">
      <c r="Y49058" s="97"/>
    </row>
    <row r="49059" spans="25:25" x14ac:dyDescent="0.2">
      <c r="Y49059" s="97"/>
    </row>
    <row r="49060" spans="25:25" x14ac:dyDescent="0.2">
      <c r="Y49060" s="97"/>
    </row>
    <row r="49061" spans="25:25" x14ac:dyDescent="0.2">
      <c r="Y49061" s="97"/>
    </row>
    <row r="49062" spans="25:25" x14ac:dyDescent="0.2">
      <c r="Y49062" s="97"/>
    </row>
    <row r="49063" spans="25:25" x14ac:dyDescent="0.2">
      <c r="Y49063" s="97"/>
    </row>
    <row r="49064" spans="25:25" x14ac:dyDescent="0.2">
      <c r="Y49064" s="97"/>
    </row>
    <row r="49065" spans="25:25" x14ac:dyDescent="0.2">
      <c r="Y49065" s="97"/>
    </row>
    <row r="49066" spans="25:25" x14ac:dyDescent="0.2">
      <c r="Y49066" s="97"/>
    </row>
    <row r="49067" spans="25:25" x14ac:dyDescent="0.2">
      <c r="Y49067" s="97"/>
    </row>
    <row r="49068" spans="25:25" x14ac:dyDescent="0.2">
      <c r="Y49068" s="97"/>
    </row>
    <row r="49069" spans="25:25" x14ac:dyDescent="0.2">
      <c r="Y49069" s="97"/>
    </row>
    <row r="49070" spans="25:25" x14ac:dyDescent="0.2">
      <c r="Y49070" s="97"/>
    </row>
    <row r="49071" spans="25:25" x14ac:dyDescent="0.2">
      <c r="Y49071" s="97"/>
    </row>
    <row r="49072" spans="25:25" x14ac:dyDescent="0.2">
      <c r="Y49072" s="97"/>
    </row>
    <row r="49073" spans="25:25" x14ac:dyDescent="0.2">
      <c r="Y49073" s="97"/>
    </row>
    <row r="49074" spans="25:25" x14ac:dyDescent="0.2">
      <c r="Y49074" s="97"/>
    </row>
    <row r="49075" spans="25:25" x14ac:dyDescent="0.2">
      <c r="Y49075" s="97"/>
    </row>
    <row r="49076" spans="25:25" x14ac:dyDescent="0.2">
      <c r="Y49076" s="97"/>
    </row>
    <row r="49077" spans="25:25" x14ac:dyDescent="0.2">
      <c r="Y49077" s="97"/>
    </row>
    <row r="49078" spans="25:25" x14ac:dyDescent="0.2">
      <c r="Y49078" s="97"/>
    </row>
    <row r="49079" spans="25:25" x14ac:dyDescent="0.2">
      <c r="Y49079" s="97"/>
    </row>
    <row r="49080" spans="25:25" x14ac:dyDescent="0.2">
      <c r="Y49080" s="97"/>
    </row>
    <row r="49081" spans="25:25" x14ac:dyDescent="0.2">
      <c r="Y49081" s="97"/>
    </row>
    <row r="49082" spans="25:25" x14ac:dyDescent="0.2">
      <c r="Y49082" s="97"/>
    </row>
    <row r="49083" spans="25:25" x14ac:dyDescent="0.2">
      <c r="Y49083" s="97"/>
    </row>
    <row r="49084" spans="25:25" x14ac:dyDescent="0.2">
      <c r="Y49084" s="97"/>
    </row>
    <row r="49085" spans="25:25" x14ac:dyDescent="0.2">
      <c r="Y49085" s="97"/>
    </row>
    <row r="49086" spans="25:25" x14ac:dyDescent="0.2">
      <c r="Y49086" s="97"/>
    </row>
    <row r="49087" spans="25:25" x14ac:dyDescent="0.2">
      <c r="Y49087" s="97"/>
    </row>
    <row r="49088" spans="25:25" x14ac:dyDescent="0.2">
      <c r="Y49088" s="97"/>
    </row>
    <row r="49089" spans="25:25" x14ac:dyDescent="0.2">
      <c r="Y49089" s="97"/>
    </row>
    <row r="49090" spans="25:25" x14ac:dyDescent="0.2">
      <c r="Y49090" s="97"/>
    </row>
    <row r="49091" spans="25:25" x14ac:dyDescent="0.2">
      <c r="Y49091" s="97"/>
    </row>
    <row r="49092" spans="25:25" x14ac:dyDescent="0.2">
      <c r="Y49092" s="97"/>
    </row>
    <row r="49093" spans="25:25" x14ac:dyDescent="0.2">
      <c r="Y49093" s="97"/>
    </row>
    <row r="49094" spans="25:25" x14ac:dyDescent="0.2">
      <c r="Y49094" s="97"/>
    </row>
    <row r="49095" spans="25:25" x14ac:dyDescent="0.2">
      <c r="Y49095" s="97"/>
    </row>
    <row r="49096" spans="25:25" x14ac:dyDescent="0.2">
      <c r="Y49096" s="97"/>
    </row>
    <row r="49097" spans="25:25" x14ac:dyDescent="0.2">
      <c r="Y49097" s="97"/>
    </row>
    <row r="49098" spans="25:25" x14ac:dyDescent="0.2">
      <c r="Y49098" s="97"/>
    </row>
    <row r="49099" spans="25:25" x14ac:dyDescent="0.2">
      <c r="Y49099" s="97"/>
    </row>
    <row r="49100" spans="25:25" x14ac:dyDescent="0.2">
      <c r="Y49100" s="97"/>
    </row>
    <row r="49101" spans="25:25" x14ac:dyDescent="0.2">
      <c r="Y49101" s="97"/>
    </row>
    <row r="49102" spans="25:25" x14ac:dyDescent="0.2">
      <c r="Y49102" s="97"/>
    </row>
    <row r="49103" spans="25:25" x14ac:dyDescent="0.2">
      <c r="Y49103" s="97"/>
    </row>
    <row r="49104" spans="25:25" x14ac:dyDescent="0.2">
      <c r="Y49104" s="97"/>
    </row>
    <row r="49105" spans="25:25" x14ac:dyDescent="0.2">
      <c r="Y49105" s="97"/>
    </row>
    <row r="49106" spans="25:25" x14ac:dyDescent="0.2">
      <c r="Y49106" s="97"/>
    </row>
    <row r="49107" spans="25:25" x14ac:dyDescent="0.2">
      <c r="Y49107" s="97"/>
    </row>
    <row r="49108" spans="25:25" x14ac:dyDescent="0.2">
      <c r="Y49108" s="97"/>
    </row>
    <row r="49109" spans="25:25" x14ac:dyDescent="0.2">
      <c r="Y49109" s="97"/>
    </row>
    <row r="49110" spans="25:25" x14ac:dyDescent="0.2">
      <c r="Y49110" s="97"/>
    </row>
    <row r="49111" spans="25:25" x14ac:dyDescent="0.2">
      <c r="Y49111" s="97"/>
    </row>
    <row r="49112" spans="25:25" x14ac:dyDescent="0.2">
      <c r="Y49112" s="97"/>
    </row>
    <row r="49113" spans="25:25" x14ac:dyDescent="0.2">
      <c r="Y49113" s="97"/>
    </row>
    <row r="49114" spans="25:25" x14ac:dyDescent="0.2">
      <c r="Y49114" s="97"/>
    </row>
    <row r="49115" spans="25:25" x14ac:dyDescent="0.2">
      <c r="Y49115" s="97"/>
    </row>
    <row r="49116" spans="25:25" x14ac:dyDescent="0.2">
      <c r="Y49116" s="97"/>
    </row>
    <row r="49117" spans="25:25" x14ac:dyDescent="0.2">
      <c r="Y49117" s="97"/>
    </row>
    <row r="49118" spans="25:25" x14ac:dyDescent="0.2">
      <c r="Y49118" s="97"/>
    </row>
    <row r="49119" spans="25:25" x14ac:dyDescent="0.2">
      <c r="Y49119" s="97"/>
    </row>
    <row r="49120" spans="25:25" x14ac:dyDescent="0.2">
      <c r="Y49120" s="97"/>
    </row>
    <row r="49121" spans="25:25" x14ac:dyDescent="0.2">
      <c r="Y49121" s="97"/>
    </row>
    <row r="49122" spans="25:25" x14ac:dyDescent="0.2">
      <c r="Y49122" s="97"/>
    </row>
    <row r="49123" spans="25:25" x14ac:dyDescent="0.2">
      <c r="Y49123" s="97"/>
    </row>
    <row r="49124" spans="25:25" x14ac:dyDescent="0.2">
      <c r="Y49124" s="97"/>
    </row>
    <row r="49125" spans="25:25" x14ac:dyDescent="0.2">
      <c r="Y49125" s="97"/>
    </row>
    <row r="49126" spans="25:25" x14ac:dyDescent="0.2">
      <c r="Y49126" s="97"/>
    </row>
    <row r="49127" spans="25:25" x14ac:dyDescent="0.2">
      <c r="Y49127" s="97"/>
    </row>
    <row r="49128" spans="25:25" x14ac:dyDescent="0.2">
      <c r="Y49128" s="97"/>
    </row>
    <row r="49129" spans="25:25" x14ac:dyDescent="0.2">
      <c r="Y49129" s="97"/>
    </row>
    <row r="49130" spans="25:25" x14ac:dyDescent="0.2">
      <c r="Y49130" s="97"/>
    </row>
    <row r="49131" spans="25:25" x14ac:dyDescent="0.2">
      <c r="Y49131" s="97"/>
    </row>
    <row r="49132" spans="25:25" x14ac:dyDescent="0.2">
      <c r="Y49132" s="97"/>
    </row>
    <row r="49133" spans="25:25" x14ac:dyDescent="0.2">
      <c r="Y49133" s="97"/>
    </row>
    <row r="49134" spans="25:25" x14ac:dyDescent="0.2">
      <c r="Y49134" s="97"/>
    </row>
    <row r="49135" spans="25:25" x14ac:dyDescent="0.2">
      <c r="Y49135" s="97"/>
    </row>
    <row r="49136" spans="25:25" x14ac:dyDescent="0.2">
      <c r="Y49136" s="97"/>
    </row>
    <row r="49137" spans="25:25" x14ac:dyDescent="0.2">
      <c r="Y49137" s="97"/>
    </row>
    <row r="49138" spans="25:25" x14ac:dyDescent="0.2">
      <c r="Y49138" s="97"/>
    </row>
    <row r="49139" spans="25:25" x14ac:dyDescent="0.2">
      <c r="Y49139" s="97"/>
    </row>
    <row r="49140" spans="25:25" x14ac:dyDescent="0.2">
      <c r="Y49140" s="97"/>
    </row>
    <row r="49141" spans="25:25" x14ac:dyDescent="0.2">
      <c r="Y49141" s="97"/>
    </row>
    <row r="49142" spans="25:25" x14ac:dyDescent="0.2">
      <c r="Y49142" s="97"/>
    </row>
    <row r="49143" spans="25:25" x14ac:dyDescent="0.2">
      <c r="Y49143" s="97"/>
    </row>
    <row r="49144" spans="25:25" x14ac:dyDescent="0.2">
      <c r="Y49144" s="97"/>
    </row>
    <row r="49145" spans="25:25" x14ac:dyDescent="0.2">
      <c r="Y49145" s="97"/>
    </row>
    <row r="49146" spans="25:25" x14ac:dyDescent="0.2">
      <c r="Y49146" s="97"/>
    </row>
    <row r="49147" spans="25:25" x14ac:dyDescent="0.2">
      <c r="Y49147" s="97"/>
    </row>
    <row r="49148" spans="25:25" x14ac:dyDescent="0.2">
      <c r="Y49148" s="97"/>
    </row>
    <row r="49149" spans="25:25" x14ac:dyDescent="0.2">
      <c r="Y49149" s="97"/>
    </row>
    <row r="49150" spans="25:25" x14ac:dyDescent="0.2">
      <c r="Y49150" s="97"/>
    </row>
    <row r="49151" spans="25:25" x14ac:dyDescent="0.2">
      <c r="Y49151" s="97"/>
    </row>
    <row r="49152" spans="25:25" x14ac:dyDescent="0.2">
      <c r="Y49152" s="97"/>
    </row>
    <row r="49153" spans="25:25" x14ac:dyDescent="0.2">
      <c r="Y49153" s="97"/>
    </row>
    <row r="49154" spans="25:25" x14ac:dyDescent="0.2">
      <c r="Y49154" s="97"/>
    </row>
    <row r="49155" spans="25:25" x14ac:dyDescent="0.2">
      <c r="Y49155" s="97"/>
    </row>
    <row r="49156" spans="25:25" x14ac:dyDescent="0.2">
      <c r="Y49156" s="97"/>
    </row>
    <row r="49157" spans="25:25" x14ac:dyDescent="0.2">
      <c r="Y49157" s="97"/>
    </row>
    <row r="49158" spans="25:25" x14ac:dyDescent="0.2">
      <c r="Y49158" s="97"/>
    </row>
    <row r="49159" spans="25:25" x14ac:dyDescent="0.2">
      <c r="Y49159" s="97"/>
    </row>
    <row r="49160" spans="25:25" x14ac:dyDescent="0.2">
      <c r="Y49160" s="97"/>
    </row>
    <row r="49161" spans="25:25" x14ac:dyDescent="0.2">
      <c r="Y49161" s="97"/>
    </row>
    <row r="49162" spans="25:25" x14ac:dyDescent="0.2">
      <c r="Y49162" s="97"/>
    </row>
    <row r="49163" spans="25:25" x14ac:dyDescent="0.2">
      <c r="Y49163" s="97"/>
    </row>
    <row r="49164" spans="25:25" x14ac:dyDescent="0.2">
      <c r="Y49164" s="97"/>
    </row>
    <row r="49165" spans="25:25" x14ac:dyDescent="0.2">
      <c r="Y49165" s="97"/>
    </row>
    <row r="49166" spans="25:25" x14ac:dyDescent="0.2">
      <c r="Y49166" s="97"/>
    </row>
    <row r="49167" spans="25:25" x14ac:dyDescent="0.2">
      <c r="Y49167" s="97"/>
    </row>
    <row r="49168" spans="25:25" x14ac:dyDescent="0.2">
      <c r="Y49168" s="97"/>
    </row>
    <row r="49169" spans="25:25" x14ac:dyDescent="0.2">
      <c r="Y49169" s="97"/>
    </row>
    <row r="49170" spans="25:25" x14ac:dyDescent="0.2">
      <c r="Y49170" s="97"/>
    </row>
    <row r="49171" spans="25:25" x14ac:dyDescent="0.2">
      <c r="Y49171" s="97"/>
    </row>
    <row r="49172" spans="25:25" x14ac:dyDescent="0.2">
      <c r="Y49172" s="97"/>
    </row>
    <row r="49173" spans="25:25" x14ac:dyDescent="0.2">
      <c r="Y49173" s="97"/>
    </row>
    <row r="49174" spans="25:25" x14ac:dyDescent="0.2">
      <c r="Y49174" s="97"/>
    </row>
    <row r="49175" spans="25:25" x14ac:dyDescent="0.2">
      <c r="Y49175" s="97"/>
    </row>
    <row r="49176" spans="25:25" x14ac:dyDescent="0.2">
      <c r="Y49176" s="97"/>
    </row>
    <row r="49177" spans="25:25" x14ac:dyDescent="0.2">
      <c r="Y49177" s="97"/>
    </row>
    <row r="49178" spans="25:25" x14ac:dyDescent="0.2">
      <c r="Y49178" s="97"/>
    </row>
    <row r="49179" spans="25:25" x14ac:dyDescent="0.2">
      <c r="Y49179" s="97"/>
    </row>
    <row r="49180" spans="25:25" x14ac:dyDescent="0.2">
      <c r="Y49180" s="97"/>
    </row>
    <row r="49181" spans="25:25" x14ac:dyDescent="0.2">
      <c r="Y49181" s="97"/>
    </row>
    <row r="49182" spans="25:25" x14ac:dyDescent="0.2">
      <c r="Y49182" s="97"/>
    </row>
    <row r="49183" spans="25:25" x14ac:dyDescent="0.2">
      <c r="Y49183" s="97"/>
    </row>
    <row r="49184" spans="25:25" x14ac:dyDescent="0.2">
      <c r="Y49184" s="97"/>
    </row>
    <row r="49185" spans="25:25" x14ac:dyDescent="0.2">
      <c r="Y49185" s="97"/>
    </row>
    <row r="49186" spans="25:25" x14ac:dyDescent="0.2">
      <c r="Y49186" s="97"/>
    </row>
    <row r="49187" spans="25:25" x14ac:dyDescent="0.2">
      <c r="Y49187" s="97"/>
    </row>
    <row r="49188" spans="25:25" x14ac:dyDescent="0.2">
      <c r="Y49188" s="97"/>
    </row>
    <row r="49189" spans="25:25" x14ac:dyDescent="0.2">
      <c r="Y49189" s="97"/>
    </row>
    <row r="49190" spans="25:25" x14ac:dyDescent="0.2">
      <c r="Y49190" s="97"/>
    </row>
    <row r="49191" spans="25:25" x14ac:dyDescent="0.2">
      <c r="Y49191" s="97"/>
    </row>
    <row r="49192" spans="25:25" x14ac:dyDescent="0.2">
      <c r="Y49192" s="97"/>
    </row>
    <row r="49193" spans="25:25" x14ac:dyDescent="0.2">
      <c r="Y49193" s="97"/>
    </row>
    <row r="49194" spans="25:25" x14ac:dyDescent="0.2">
      <c r="Y49194" s="97"/>
    </row>
    <row r="49195" spans="25:25" x14ac:dyDescent="0.2">
      <c r="Y49195" s="97"/>
    </row>
    <row r="49196" spans="25:25" x14ac:dyDescent="0.2">
      <c r="Y49196" s="97"/>
    </row>
    <row r="49197" spans="25:25" x14ac:dyDescent="0.2">
      <c r="Y49197" s="97"/>
    </row>
    <row r="49198" spans="25:25" x14ac:dyDescent="0.2">
      <c r="Y49198" s="97"/>
    </row>
    <row r="49199" spans="25:25" x14ac:dyDescent="0.2">
      <c r="Y49199" s="97"/>
    </row>
    <row r="49200" spans="25:25" x14ac:dyDescent="0.2">
      <c r="Y49200" s="97"/>
    </row>
    <row r="49201" spans="25:25" x14ac:dyDescent="0.2">
      <c r="Y49201" s="97"/>
    </row>
    <row r="49202" spans="25:25" x14ac:dyDescent="0.2">
      <c r="Y49202" s="97"/>
    </row>
    <row r="49203" spans="25:25" x14ac:dyDescent="0.2">
      <c r="Y49203" s="97"/>
    </row>
    <row r="49204" spans="25:25" x14ac:dyDescent="0.2">
      <c r="Y49204" s="97"/>
    </row>
    <row r="49205" spans="25:25" x14ac:dyDescent="0.2">
      <c r="Y49205" s="97"/>
    </row>
    <row r="49206" spans="25:25" x14ac:dyDescent="0.2">
      <c r="Y49206" s="97"/>
    </row>
    <row r="49207" spans="25:25" x14ac:dyDescent="0.2">
      <c r="Y49207" s="97"/>
    </row>
    <row r="49208" spans="25:25" x14ac:dyDescent="0.2">
      <c r="Y49208" s="97"/>
    </row>
    <row r="49209" spans="25:25" x14ac:dyDescent="0.2">
      <c r="Y49209" s="97"/>
    </row>
    <row r="49210" spans="25:25" x14ac:dyDescent="0.2">
      <c r="Y49210" s="97"/>
    </row>
    <row r="49211" spans="25:25" x14ac:dyDescent="0.2">
      <c r="Y49211" s="97"/>
    </row>
    <row r="49212" spans="25:25" x14ac:dyDescent="0.2">
      <c r="Y49212" s="97"/>
    </row>
    <row r="49213" spans="25:25" x14ac:dyDescent="0.2">
      <c r="Y49213" s="97"/>
    </row>
    <row r="49214" spans="25:25" x14ac:dyDescent="0.2">
      <c r="Y49214" s="97"/>
    </row>
    <row r="49215" spans="25:25" x14ac:dyDescent="0.2">
      <c r="Y49215" s="97"/>
    </row>
    <row r="49216" spans="25:25" x14ac:dyDescent="0.2">
      <c r="Y49216" s="97"/>
    </row>
    <row r="49217" spans="25:25" x14ac:dyDescent="0.2">
      <c r="Y49217" s="97"/>
    </row>
    <row r="49218" spans="25:25" x14ac:dyDescent="0.2">
      <c r="Y49218" s="97"/>
    </row>
    <row r="49219" spans="25:25" x14ac:dyDescent="0.2">
      <c r="Y49219" s="97"/>
    </row>
    <row r="49220" spans="25:25" x14ac:dyDescent="0.2">
      <c r="Y49220" s="97"/>
    </row>
    <row r="49221" spans="25:25" x14ac:dyDescent="0.2">
      <c r="Y49221" s="97"/>
    </row>
    <row r="49222" spans="25:25" x14ac:dyDescent="0.2">
      <c r="Y49222" s="97"/>
    </row>
    <row r="49223" spans="25:25" x14ac:dyDescent="0.2">
      <c r="Y49223" s="97"/>
    </row>
    <row r="49224" spans="25:25" x14ac:dyDescent="0.2">
      <c r="Y49224" s="97"/>
    </row>
    <row r="49225" spans="25:25" x14ac:dyDescent="0.2">
      <c r="Y49225" s="97"/>
    </row>
    <row r="49226" spans="25:25" x14ac:dyDescent="0.2">
      <c r="Y49226" s="97"/>
    </row>
    <row r="49227" spans="25:25" x14ac:dyDescent="0.2">
      <c r="Y49227" s="97"/>
    </row>
    <row r="49228" spans="25:25" x14ac:dyDescent="0.2">
      <c r="Y49228" s="97"/>
    </row>
    <row r="49229" spans="25:25" x14ac:dyDescent="0.2">
      <c r="Y49229" s="97"/>
    </row>
    <row r="49230" spans="25:25" x14ac:dyDescent="0.2">
      <c r="Y49230" s="97"/>
    </row>
    <row r="49231" spans="25:25" x14ac:dyDescent="0.2">
      <c r="Y49231" s="97"/>
    </row>
    <row r="49232" spans="25:25" x14ac:dyDescent="0.2">
      <c r="Y49232" s="97"/>
    </row>
    <row r="49233" spans="25:25" x14ac:dyDescent="0.2">
      <c r="Y49233" s="97"/>
    </row>
    <row r="49234" spans="25:25" x14ac:dyDescent="0.2">
      <c r="Y49234" s="97"/>
    </row>
    <row r="49235" spans="25:25" x14ac:dyDescent="0.2">
      <c r="Y49235" s="97"/>
    </row>
    <row r="49236" spans="25:25" x14ac:dyDescent="0.2">
      <c r="Y49236" s="97"/>
    </row>
    <row r="49237" spans="25:25" x14ac:dyDescent="0.2">
      <c r="Y49237" s="97"/>
    </row>
    <row r="49238" spans="25:25" x14ac:dyDescent="0.2">
      <c r="Y49238" s="97"/>
    </row>
    <row r="49239" spans="25:25" x14ac:dyDescent="0.2">
      <c r="Y49239" s="97"/>
    </row>
    <row r="49240" spans="25:25" x14ac:dyDescent="0.2">
      <c r="Y49240" s="97"/>
    </row>
    <row r="49241" spans="25:25" x14ac:dyDescent="0.2">
      <c r="Y49241" s="97"/>
    </row>
    <row r="49242" spans="25:25" x14ac:dyDescent="0.2">
      <c r="Y49242" s="97"/>
    </row>
    <row r="49243" spans="25:25" x14ac:dyDescent="0.2">
      <c r="Y49243" s="97"/>
    </row>
    <row r="49244" spans="25:25" x14ac:dyDescent="0.2">
      <c r="Y49244" s="97"/>
    </row>
    <row r="49245" spans="25:25" x14ac:dyDescent="0.2">
      <c r="Y49245" s="97"/>
    </row>
    <row r="49246" spans="25:25" x14ac:dyDescent="0.2">
      <c r="Y49246" s="97"/>
    </row>
    <row r="49247" spans="25:25" x14ac:dyDescent="0.2">
      <c r="Y49247" s="97"/>
    </row>
    <row r="49248" spans="25:25" x14ac:dyDescent="0.2">
      <c r="Y49248" s="97"/>
    </row>
    <row r="49249" spans="25:25" x14ac:dyDescent="0.2">
      <c r="Y49249" s="97"/>
    </row>
    <row r="49250" spans="25:25" x14ac:dyDescent="0.2">
      <c r="Y49250" s="97"/>
    </row>
    <row r="49251" spans="25:25" x14ac:dyDescent="0.2">
      <c r="Y49251" s="97"/>
    </row>
    <row r="49252" spans="25:25" x14ac:dyDescent="0.2">
      <c r="Y49252" s="97"/>
    </row>
    <row r="49253" spans="25:25" x14ac:dyDescent="0.2">
      <c r="Y49253" s="97"/>
    </row>
    <row r="49254" spans="25:25" x14ac:dyDescent="0.2">
      <c r="Y49254" s="97"/>
    </row>
    <row r="49255" spans="25:25" x14ac:dyDescent="0.2">
      <c r="Y49255" s="97"/>
    </row>
    <row r="49256" spans="25:25" x14ac:dyDescent="0.2">
      <c r="Y49256" s="97"/>
    </row>
    <row r="49257" spans="25:25" x14ac:dyDescent="0.2">
      <c r="Y49257" s="97"/>
    </row>
    <row r="49258" spans="25:25" x14ac:dyDescent="0.2">
      <c r="Y49258" s="97"/>
    </row>
    <row r="49259" spans="25:25" x14ac:dyDescent="0.2">
      <c r="Y49259" s="97"/>
    </row>
    <row r="49260" spans="25:25" x14ac:dyDescent="0.2">
      <c r="Y49260" s="97"/>
    </row>
    <row r="49261" spans="25:25" x14ac:dyDescent="0.2">
      <c r="Y49261" s="97"/>
    </row>
    <row r="49262" spans="25:25" x14ac:dyDescent="0.2">
      <c r="Y49262" s="97"/>
    </row>
    <row r="49263" spans="25:25" x14ac:dyDescent="0.2">
      <c r="Y49263" s="97"/>
    </row>
    <row r="49264" spans="25:25" x14ac:dyDescent="0.2">
      <c r="Y49264" s="97"/>
    </row>
    <row r="49265" spans="25:25" x14ac:dyDescent="0.2">
      <c r="Y49265" s="97"/>
    </row>
    <row r="49266" spans="25:25" x14ac:dyDescent="0.2">
      <c r="Y49266" s="97"/>
    </row>
    <row r="49267" spans="25:25" x14ac:dyDescent="0.2">
      <c r="Y49267" s="97"/>
    </row>
    <row r="49268" spans="25:25" x14ac:dyDescent="0.2">
      <c r="Y49268" s="97"/>
    </row>
    <row r="49269" spans="25:25" x14ac:dyDescent="0.2">
      <c r="Y49269" s="97"/>
    </row>
    <row r="49270" spans="25:25" x14ac:dyDescent="0.2">
      <c r="Y49270" s="97"/>
    </row>
    <row r="49271" spans="25:25" x14ac:dyDescent="0.2">
      <c r="Y49271" s="97"/>
    </row>
    <row r="49272" spans="25:25" x14ac:dyDescent="0.2">
      <c r="Y49272" s="97"/>
    </row>
    <row r="49273" spans="25:25" x14ac:dyDescent="0.2">
      <c r="Y49273" s="97"/>
    </row>
    <row r="49274" spans="25:25" x14ac:dyDescent="0.2">
      <c r="Y49274" s="97"/>
    </row>
    <row r="49275" spans="25:25" x14ac:dyDescent="0.2">
      <c r="Y49275" s="97"/>
    </row>
    <row r="49276" spans="25:25" x14ac:dyDescent="0.2">
      <c r="Y49276" s="97"/>
    </row>
    <row r="49277" spans="25:25" x14ac:dyDescent="0.2">
      <c r="Y49277" s="97"/>
    </row>
    <row r="49278" spans="25:25" x14ac:dyDescent="0.2">
      <c r="Y49278" s="97"/>
    </row>
    <row r="49279" spans="25:25" x14ac:dyDescent="0.2">
      <c r="Y49279" s="97"/>
    </row>
    <row r="49280" spans="25:25" x14ac:dyDescent="0.2">
      <c r="Y49280" s="97"/>
    </row>
    <row r="49281" spans="25:25" x14ac:dyDescent="0.2">
      <c r="Y49281" s="97"/>
    </row>
    <row r="49282" spans="25:25" x14ac:dyDescent="0.2">
      <c r="Y49282" s="97"/>
    </row>
    <row r="49283" spans="25:25" x14ac:dyDescent="0.2">
      <c r="Y49283" s="97"/>
    </row>
    <row r="49284" spans="25:25" x14ac:dyDescent="0.2">
      <c r="Y49284" s="97"/>
    </row>
    <row r="49285" spans="25:25" x14ac:dyDescent="0.2">
      <c r="Y49285" s="97"/>
    </row>
    <row r="49286" spans="25:25" x14ac:dyDescent="0.2">
      <c r="Y49286" s="97"/>
    </row>
    <row r="49287" spans="25:25" x14ac:dyDescent="0.2">
      <c r="Y49287" s="97"/>
    </row>
    <row r="49288" spans="25:25" x14ac:dyDescent="0.2">
      <c r="Y49288" s="97"/>
    </row>
    <row r="49289" spans="25:25" x14ac:dyDescent="0.2">
      <c r="Y49289" s="97"/>
    </row>
    <row r="49290" spans="25:25" x14ac:dyDescent="0.2">
      <c r="Y49290" s="97"/>
    </row>
    <row r="49291" spans="25:25" x14ac:dyDescent="0.2">
      <c r="Y49291" s="97"/>
    </row>
    <row r="49292" spans="25:25" x14ac:dyDescent="0.2">
      <c r="Y49292" s="97"/>
    </row>
    <row r="49293" spans="25:25" x14ac:dyDescent="0.2">
      <c r="Y49293" s="97"/>
    </row>
    <row r="49294" spans="25:25" x14ac:dyDescent="0.2">
      <c r="Y49294" s="97"/>
    </row>
    <row r="49295" spans="25:25" x14ac:dyDescent="0.2">
      <c r="Y49295" s="97"/>
    </row>
    <row r="49296" spans="25:25" x14ac:dyDescent="0.2">
      <c r="Y49296" s="97"/>
    </row>
    <row r="49297" spans="25:25" x14ac:dyDescent="0.2">
      <c r="Y49297" s="97"/>
    </row>
    <row r="49298" spans="25:25" x14ac:dyDescent="0.2">
      <c r="Y49298" s="97"/>
    </row>
    <row r="49299" spans="25:25" x14ac:dyDescent="0.2">
      <c r="Y49299" s="97"/>
    </row>
    <row r="49300" spans="25:25" x14ac:dyDescent="0.2">
      <c r="Y49300" s="97"/>
    </row>
    <row r="49301" spans="25:25" x14ac:dyDescent="0.2">
      <c r="Y49301" s="97"/>
    </row>
    <row r="49302" spans="25:25" x14ac:dyDescent="0.2">
      <c r="Y49302" s="97"/>
    </row>
    <row r="49303" spans="25:25" x14ac:dyDescent="0.2">
      <c r="Y49303" s="97"/>
    </row>
    <row r="49304" spans="25:25" x14ac:dyDescent="0.2">
      <c r="Y49304" s="97"/>
    </row>
    <row r="49305" spans="25:25" x14ac:dyDescent="0.2">
      <c r="Y49305" s="97"/>
    </row>
    <row r="49306" spans="25:25" x14ac:dyDescent="0.2">
      <c r="Y49306" s="97"/>
    </row>
    <row r="49307" spans="25:25" x14ac:dyDescent="0.2">
      <c r="Y49307" s="97"/>
    </row>
    <row r="49308" spans="25:25" x14ac:dyDescent="0.2">
      <c r="Y49308" s="97"/>
    </row>
    <row r="49309" spans="25:25" x14ac:dyDescent="0.2">
      <c r="Y49309" s="97"/>
    </row>
    <row r="49310" spans="25:25" x14ac:dyDescent="0.2">
      <c r="Y49310" s="97"/>
    </row>
    <row r="49311" spans="25:25" x14ac:dyDescent="0.2">
      <c r="Y49311" s="97"/>
    </row>
    <row r="49312" spans="25:25" x14ac:dyDescent="0.2">
      <c r="Y49312" s="97"/>
    </row>
    <row r="49313" spans="25:25" x14ac:dyDescent="0.2">
      <c r="Y49313" s="97"/>
    </row>
    <row r="49314" spans="25:25" x14ac:dyDescent="0.2">
      <c r="Y49314" s="97"/>
    </row>
    <row r="49315" spans="25:25" x14ac:dyDescent="0.2">
      <c r="Y49315" s="97"/>
    </row>
    <row r="49316" spans="25:25" x14ac:dyDescent="0.2">
      <c r="Y49316" s="97"/>
    </row>
    <row r="49317" spans="25:25" x14ac:dyDescent="0.2">
      <c r="Y49317" s="97"/>
    </row>
    <row r="49318" spans="25:25" x14ac:dyDescent="0.2">
      <c r="Y49318" s="97"/>
    </row>
    <row r="49319" spans="25:25" x14ac:dyDescent="0.2">
      <c r="Y49319" s="97"/>
    </row>
    <row r="49320" spans="25:25" x14ac:dyDescent="0.2">
      <c r="Y49320" s="97"/>
    </row>
    <row r="49321" spans="25:25" x14ac:dyDescent="0.2">
      <c r="Y49321" s="97"/>
    </row>
    <row r="49322" spans="25:25" x14ac:dyDescent="0.2">
      <c r="Y49322" s="97"/>
    </row>
    <row r="49323" spans="25:25" x14ac:dyDescent="0.2">
      <c r="Y49323" s="97"/>
    </row>
    <row r="49324" spans="25:25" x14ac:dyDescent="0.2">
      <c r="Y49324" s="97"/>
    </row>
    <row r="49325" spans="25:25" x14ac:dyDescent="0.2">
      <c r="Y49325" s="97"/>
    </row>
    <row r="49326" spans="25:25" x14ac:dyDescent="0.2">
      <c r="Y49326" s="97"/>
    </row>
    <row r="49327" spans="25:25" x14ac:dyDescent="0.2">
      <c r="Y49327" s="97"/>
    </row>
    <row r="49328" spans="25:25" x14ac:dyDescent="0.2">
      <c r="Y49328" s="97"/>
    </row>
    <row r="49329" spans="25:25" x14ac:dyDescent="0.2">
      <c r="Y49329" s="97"/>
    </row>
    <row r="49330" spans="25:25" x14ac:dyDescent="0.2">
      <c r="Y49330" s="97"/>
    </row>
    <row r="49331" spans="25:25" x14ac:dyDescent="0.2">
      <c r="Y49331" s="97"/>
    </row>
    <row r="49332" spans="25:25" x14ac:dyDescent="0.2">
      <c r="Y49332" s="97"/>
    </row>
    <row r="49333" spans="25:25" x14ac:dyDescent="0.2">
      <c r="Y49333" s="97"/>
    </row>
    <row r="49334" spans="25:25" x14ac:dyDescent="0.2">
      <c r="Y49334" s="97"/>
    </row>
    <row r="49335" spans="25:25" x14ac:dyDescent="0.2">
      <c r="Y49335" s="97"/>
    </row>
    <row r="49336" spans="25:25" x14ac:dyDescent="0.2">
      <c r="Y49336" s="97"/>
    </row>
    <row r="49337" spans="25:25" x14ac:dyDescent="0.2">
      <c r="Y49337" s="97"/>
    </row>
    <row r="49338" spans="25:25" x14ac:dyDescent="0.2">
      <c r="Y49338" s="97"/>
    </row>
    <row r="49339" spans="25:25" x14ac:dyDescent="0.2">
      <c r="Y49339" s="97"/>
    </row>
    <row r="49340" spans="25:25" x14ac:dyDescent="0.2">
      <c r="Y49340" s="97"/>
    </row>
    <row r="49341" spans="25:25" x14ac:dyDescent="0.2">
      <c r="Y49341" s="97"/>
    </row>
    <row r="49342" spans="25:25" x14ac:dyDescent="0.2">
      <c r="Y49342" s="97"/>
    </row>
    <row r="49343" spans="25:25" x14ac:dyDescent="0.2">
      <c r="Y49343" s="97"/>
    </row>
    <row r="49344" spans="25:25" x14ac:dyDescent="0.2">
      <c r="Y49344" s="97"/>
    </row>
    <row r="49345" spans="25:25" x14ac:dyDescent="0.2">
      <c r="Y49345" s="97"/>
    </row>
    <row r="49346" spans="25:25" x14ac:dyDescent="0.2">
      <c r="Y49346" s="97"/>
    </row>
    <row r="49347" spans="25:25" x14ac:dyDescent="0.2">
      <c r="Y49347" s="97"/>
    </row>
    <row r="49348" spans="25:25" x14ac:dyDescent="0.2">
      <c r="Y49348" s="97"/>
    </row>
    <row r="49349" spans="25:25" x14ac:dyDescent="0.2">
      <c r="Y49349" s="97"/>
    </row>
    <row r="49350" spans="25:25" x14ac:dyDescent="0.2">
      <c r="Y49350" s="97"/>
    </row>
    <row r="49351" spans="25:25" x14ac:dyDescent="0.2">
      <c r="Y49351" s="97"/>
    </row>
    <row r="49352" spans="25:25" x14ac:dyDescent="0.2">
      <c r="Y49352" s="97"/>
    </row>
    <row r="49353" spans="25:25" x14ac:dyDescent="0.2">
      <c r="Y49353" s="97"/>
    </row>
    <row r="49354" spans="25:25" x14ac:dyDescent="0.2">
      <c r="Y49354" s="97"/>
    </row>
    <row r="49355" spans="25:25" x14ac:dyDescent="0.2">
      <c r="Y49355" s="97"/>
    </row>
    <row r="49356" spans="25:25" x14ac:dyDescent="0.2">
      <c r="Y49356" s="97"/>
    </row>
    <row r="49357" spans="25:25" x14ac:dyDescent="0.2">
      <c r="Y49357" s="97"/>
    </row>
    <row r="49358" spans="25:25" x14ac:dyDescent="0.2">
      <c r="Y49358" s="97"/>
    </row>
    <row r="49359" spans="25:25" x14ac:dyDescent="0.2">
      <c r="Y49359" s="97"/>
    </row>
    <row r="49360" spans="25:25" x14ac:dyDescent="0.2">
      <c r="Y49360" s="97"/>
    </row>
    <row r="49361" spans="25:25" x14ac:dyDescent="0.2">
      <c r="Y49361" s="97"/>
    </row>
    <row r="49362" spans="25:25" x14ac:dyDescent="0.2">
      <c r="Y49362" s="97"/>
    </row>
    <row r="49363" spans="25:25" x14ac:dyDescent="0.2">
      <c r="Y49363" s="97"/>
    </row>
    <row r="49364" spans="25:25" x14ac:dyDescent="0.2">
      <c r="Y49364" s="97"/>
    </row>
    <row r="49365" spans="25:25" x14ac:dyDescent="0.2">
      <c r="Y49365" s="97"/>
    </row>
    <row r="49366" spans="25:25" x14ac:dyDescent="0.2">
      <c r="Y49366" s="97"/>
    </row>
    <row r="49367" spans="25:25" x14ac:dyDescent="0.2">
      <c r="Y49367" s="97"/>
    </row>
    <row r="49368" spans="25:25" x14ac:dyDescent="0.2">
      <c r="Y49368" s="97"/>
    </row>
    <row r="49369" spans="25:25" x14ac:dyDescent="0.2">
      <c r="Y49369" s="97"/>
    </row>
    <row r="49370" spans="25:25" x14ac:dyDescent="0.2">
      <c r="Y49370" s="97"/>
    </row>
    <row r="49371" spans="25:25" x14ac:dyDescent="0.2">
      <c r="Y49371" s="97"/>
    </row>
    <row r="49372" spans="25:25" x14ac:dyDescent="0.2">
      <c r="Y49372" s="97"/>
    </row>
    <row r="49373" spans="25:25" x14ac:dyDescent="0.2">
      <c r="Y49373" s="97"/>
    </row>
    <row r="49374" spans="25:25" x14ac:dyDescent="0.2">
      <c r="Y49374" s="97"/>
    </row>
    <row r="49375" spans="25:25" x14ac:dyDescent="0.2">
      <c r="Y49375" s="97"/>
    </row>
    <row r="49376" spans="25:25" x14ac:dyDescent="0.2">
      <c r="Y49376" s="97"/>
    </row>
    <row r="49377" spans="25:25" x14ac:dyDescent="0.2">
      <c r="Y49377" s="97"/>
    </row>
    <row r="49378" spans="25:25" x14ac:dyDescent="0.2">
      <c r="Y49378" s="97"/>
    </row>
    <row r="49379" spans="25:25" x14ac:dyDescent="0.2">
      <c r="Y49379" s="97"/>
    </row>
    <row r="49380" spans="25:25" x14ac:dyDescent="0.2">
      <c r="Y49380" s="97"/>
    </row>
    <row r="49381" spans="25:25" x14ac:dyDescent="0.2">
      <c r="Y49381" s="97"/>
    </row>
    <row r="49382" spans="25:25" x14ac:dyDescent="0.2">
      <c r="Y49382" s="97"/>
    </row>
    <row r="49383" spans="25:25" x14ac:dyDescent="0.2">
      <c r="Y49383" s="97"/>
    </row>
    <row r="49384" spans="25:25" x14ac:dyDescent="0.2">
      <c r="Y49384" s="97"/>
    </row>
    <row r="49385" spans="25:25" x14ac:dyDescent="0.2">
      <c r="Y49385" s="97"/>
    </row>
    <row r="49386" spans="25:25" x14ac:dyDescent="0.2">
      <c r="Y49386" s="97"/>
    </row>
    <row r="49387" spans="25:25" x14ac:dyDescent="0.2">
      <c r="Y49387" s="97"/>
    </row>
    <row r="49388" spans="25:25" x14ac:dyDescent="0.2">
      <c r="Y49388" s="97"/>
    </row>
    <row r="49389" spans="25:25" x14ac:dyDescent="0.2">
      <c r="Y49389" s="97"/>
    </row>
    <row r="49390" spans="25:25" x14ac:dyDescent="0.2">
      <c r="Y49390" s="97"/>
    </row>
    <row r="49391" spans="25:25" x14ac:dyDescent="0.2">
      <c r="Y49391" s="97"/>
    </row>
    <row r="49392" spans="25:25" x14ac:dyDescent="0.2">
      <c r="Y49392" s="97"/>
    </row>
    <row r="49393" spans="25:25" x14ac:dyDescent="0.2">
      <c r="Y49393" s="97"/>
    </row>
    <row r="49394" spans="25:25" x14ac:dyDescent="0.2">
      <c r="Y49394" s="97"/>
    </row>
    <row r="49395" spans="25:25" x14ac:dyDescent="0.2">
      <c r="Y49395" s="97"/>
    </row>
    <row r="49396" spans="25:25" x14ac:dyDescent="0.2">
      <c r="Y49396" s="97"/>
    </row>
    <row r="49397" spans="25:25" x14ac:dyDescent="0.2">
      <c r="Y49397" s="97"/>
    </row>
    <row r="49398" spans="25:25" x14ac:dyDescent="0.2">
      <c r="Y49398" s="97"/>
    </row>
    <row r="49399" spans="25:25" x14ac:dyDescent="0.2">
      <c r="Y49399" s="97"/>
    </row>
    <row r="49400" spans="25:25" x14ac:dyDescent="0.2">
      <c r="Y49400" s="97"/>
    </row>
    <row r="49401" spans="25:25" x14ac:dyDescent="0.2">
      <c r="Y49401" s="97"/>
    </row>
    <row r="49402" spans="25:25" x14ac:dyDescent="0.2">
      <c r="Y49402" s="97"/>
    </row>
    <row r="49403" spans="25:25" x14ac:dyDescent="0.2">
      <c r="Y49403" s="97"/>
    </row>
    <row r="49404" spans="25:25" x14ac:dyDescent="0.2">
      <c r="Y49404" s="97"/>
    </row>
    <row r="49405" spans="25:25" x14ac:dyDescent="0.2">
      <c r="Y49405" s="97"/>
    </row>
    <row r="49406" spans="25:25" x14ac:dyDescent="0.2">
      <c r="Y49406" s="97"/>
    </row>
    <row r="49407" spans="25:25" x14ac:dyDescent="0.2">
      <c r="Y49407" s="97"/>
    </row>
    <row r="49408" spans="25:25" x14ac:dyDescent="0.2">
      <c r="Y49408" s="97"/>
    </row>
    <row r="49409" spans="25:25" x14ac:dyDescent="0.2">
      <c r="Y49409" s="97"/>
    </row>
    <row r="49410" spans="25:25" x14ac:dyDescent="0.2">
      <c r="Y49410" s="97"/>
    </row>
    <row r="49411" spans="25:25" x14ac:dyDescent="0.2">
      <c r="Y49411" s="97"/>
    </row>
    <row r="49412" spans="25:25" x14ac:dyDescent="0.2">
      <c r="Y49412" s="97"/>
    </row>
    <row r="49413" spans="25:25" x14ac:dyDescent="0.2">
      <c r="Y49413" s="97"/>
    </row>
    <row r="49414" spans="25:25" x14ac:dyDescent="0.2">
      <c r="Y49414" s="97"/>
    </row>
    <row r="49415" spans="25:25" x14ac:dyDescent="0.2">
      <c r="Y49415" s="97"/>
    </row>
    <row r="49416" spans="25:25" x14ac:dyDescent="0.2">
      <c r="Y49416" s="97"/>
    </row>
    <row r="49417" spans="25:25" x14ac:dyDescent="0.2">
      <c r="Y49417" s="97"/>
    </row>
    <row r="49418" spans="25:25" x14ac:dyDescent="0.2">
      <c r="Y49418" s="97"/>
    </row>
    <row r="49419" spans="25:25" x14ac:dyDescent="0.2">
      <c r="Y49419" s="97"/>
    </row>
    <row r="49420" spans="25:25" x14ac:dyDescent="0.2">
      <c r="Y49420" s="97"/>
    </row>
    <row r="49421" spans="25:25" x14ac:dyDescent="0.2">
      <c r="Y49421" s="97"/>
    </row>
    <row r="49422" spans="25:25" x14ac:dyDescent="0.2">
      <c r="Y49422" s="97"/>
    </row>
    <row r="49423" spans="25:25" x14ac:dyDescent="0.2">
      <c r="Y49423" s="97"/>
    </row>
    <row r="49424" spans="25:25" x14ac:dyDescent="0.2">
      <c r="Y49424" s="97"/>
    </row>
    <row r="49425" spans="25:25" x14ac:dyDescent="0.2">
      <c r="Y49425" s="97"/>
    </row>
    <row r="49426" spans="25:25" x14ac:dyDescent="0.2">
      <c r="Y49426" s="97"/>
    </row>
    <row r="49427" spans="25:25" x14ac:dyDescent="0.2">
      <c r="Y49427" s="97"/>
    </row>
    <row r="49428" spans="25:25" x14ac:dyDescent="0.2">
      <c r="Y49428" s="97"/>
    </row>
    <row r="49429" spans="25:25" x14ac:dyDescent="0.2">
      <c r="Y49429" s="97"/>
    </row>
    <row r="49430" spans="25:25" x14ac:dyDescent="0.2">
      <c r="Y49430" s="97"/>
    </row>
    <row r="49431" spans="25:25" x14ac:dyDescent="0.2">
      <c r="Y49431" s="97"/>
    </row>
    <row r="49432" spans="25:25" x14ac:dyDescent="0.2">
      <c r="Y49432" s="97"/>
    </row>
    <row r="49433" spans="25:25" x14ac:dyDescent="0.2">
      <c r="Y49433" s="97"/>
    </row>
    <row r="49434" spans="25:25" x14ac:dyDescent="0.2">
      <c r="Y49434" s="97"/>
    </row>
    <row r="49435" spans="25:25" x14ac:dyDescent="0.2">
      <c r="Y49435" s="97"/>
    </row>
    <row r="49436" spans="25:25" x14ac:dyDescent="0.2">
      <c r="Y49436" s="97"/>
    </row>
    <row r="49437" spans="25:25" x14ac:dyDescent="0.2">
      <c r="Y49437" s="97"/>
    </row>
    <row r="49438" spans="25:25" x14ac:dyDescent="0.2">
      <c r="Y49438" s="97"/>
    </row>
    <row r="49439" spans="25:25" x14ac:dyDescent="0.2">
      <c r="Y49439" s="97"/>
    </row>
    <row r="49440" spans="25:25" x14ac:dyDescent="0.2">
      <c r="Y49440" s="97"/>
    </row>
    <row r="49441" spans="25:25" x14ac:dyDescent="0.2">
      <c r="Y49441" s="97"/>
    </row>
    <row r="49442" spans="25:25" x14ac:dyDescent="0.2">
      <c r="Y49442" s="97"/>
    </row>
    <row r="49443" spans="25:25" x14ac:dyDescent="0.2">
      <c r="Y49443" s="97"/>
    </row>
    <row r="49444" spans="25:25" x14ac:dyDescent="0.2">
      <c r="Y49444" s="97"/>
    </row>
    <row r="49445" spans="25:25" x14ac:dyDescent="0.2">
      <c r="Y49445" s="97"/>
    </row>
    <row r="49446" spans="25:25" x14ac:dyDescent="0.2">
      <c r="Y49446" s="97"/>
    </row>
    <row r="49447" spans="25:25" x14ac:dyDescent="0.2">
      <c r="Y49447" s="97"/>
    </row>
    <row r="49448" spans="25:25" x14ac:dyDescent="0.2">
      <c r="Y49448" s="97"/>
    </row>
    <row r="49449" spans="25:25" x14ac:dyDescent="0.2">
      <c r="Y49449" s="97"/>
    </row>
    <row r="49450" spans="25:25" x14ac:dyDescent="0.2">
      <c r="Y49450" s="97"/>
    </row>
    <row r="49451" spans="25:25" x14ac:dyDescent="0.2">
      <c r="Y49451" s="97"/>
    </row>
    <row r="49452" spans="25:25" x14ac:dyDescent="0.2">
      <c r="Y49452" s="97"/>
    </row>
    <row r="49453" spans="25:25" x14ac:dyDescent="0.2">
      <c r="Y49453" s="97"/>
    </row>
    <row r="49454" spans="25:25" x14ac:dyDescent="0.2">
      <c r="Y49454" s="97"/>
    </row>
    <row r="49455" spans="25:25" x14ac:dyDescent="0.2">
      <c r="Y49455" s="97"/>
    </row>
    <row r="49456" spans="25:25" x14ac:dyDescent="0.2">
      <c r="Y49456" s="97"/>
    </row>
    <row r="49457" spans="25:25" x14ac:dyDescent="0.2">
      <c r="Y49457" s="97"/>
    </row>
    <row r="49458" spans="25:25" x14ac:dyDescent="0.2">
      <c r="Y49458" s="97"/>
    </row>
    <row r="49459" spans="25:25" x14ac:dyDescent="0.2">
      <c r="Y49459" s="97"/>
    </row>
    <row r="49460" spans="25:25" x14ac:dyDescent="0.2">
      <c r="Y49460" s="97"/>
    </row>
    <row r="49461" spans="25:25" x14ac:dyDescent="0.2">
      <c r="Y49461" s="97"/>
    </row>
    <row r="49462" spans="25:25" x14ac:dyDescent="0.2">
      <c r="Y49462" s="97"/>
    </row>
    <row r="49463" spans="25:25" x14ac:dyDescent="0.2">
      <c r="Y49463" s="97"/>
    </row>
    <row r="49464" spans="25:25" x14ac:dyDescent="0.2">
      <c r="Y49464" s="97"/>
    </row>
    <row r="49465" spans="25:25" x14ac:dyDescent="0.2">
      <c r="Y49465" s="97"/>
    </row>
    <row r="49466" spans="25:25" x14ac:dyDescent="0.2">
      <c r="Y49466" s="97"/>
    </row>
    <row r="49467" spans="25:25" x14ac:dyDescent="0.2">
      <c r="Y49467" s="97"/>
    </row>
    <row r="49468" spans="25:25" x14ac:dyDescent="0.2">
      <c r="Y49468" s="97"/>
    </row>
    <row r="49469" spans="25:25" x14ac:dyDescent="0.2">
      <c r="Y49469" s="97"/>
    </row>
    <row r="49470" spans="25:25" x14ac:dyDescent="0.2">
      <c r="Y49470" s="97"/>
    </row>
    <row r="49471" spans="25:25" x14ac:dyDescent="0.2">
      <c r="Y49471" s="97"/>
    </row>
    <row r="49472" spans="25:25" x14ac:dyDescent="0.2">
      <c r="Y49472" s="97"/>
    </row>
    <row r="49473" spans="25:25" x14ac:dyDescent="0.2">
      <c r="Y49473" s="97"/>
    </row>
    <row r="49474" spans="25:25" x14ac:dyDescent="0.2">
      <c r="Y49474" s="97"/>
    </row>
    <row r="49475" spans="25:25" x14ac:dyDescent="0.2">
      <c r="Y49475" s="97"/>
    </row>
    <row r="49476" spans="25:25" x14ac:dyDescent="0.2">
      <c r="Y49476" s="97"/>
    </row>
    <row r="49477" spans="25:25" x14ac:dyDescent="0.2">
      <c r="Y49477" s="97"/>
    </row>
    <row r="49478" spans="25:25" x14ac:dyDescent="0.2">
      <c r="Y49478" s="97"/>
    </row>
    <row r="49479" spans="25:25" x14ac:dyDescent="0.2">
      <c r="Y49479" s="97"/>
    </row>
    <row r="49480" spans="25:25" x14ac:dyDescent="0.2">
      <c r="Y49480" s="97"/>
    </row>
    <row r="49481" spans="25:25" x14ac:dyDescent="0.2">
      <c r="Y49481" s="97"/>
    </row>
    <row r="49482" spans="25:25" x14ac:dyDescent="0.2">
      <c r="Y49482" s="97"/>
    </row>
    <row r="49483" spans="25:25" x14ac:dyDescent="0.2">
      <c r="Y49483" s="97"/>
    </row>
    <row r="49484" spans="25:25" x14ac:dyDescent="0.2">
      <c r="Y49484" s="97"/>
    </row>
    <row r="49485" spans="25:25" x14ac:dyDescent="0.2">
      <c r="Y49485" s="97"/>
    </row>
    <row r="49486" spans="25:25" x14ac:dyDescent="0.2">
      <c r="Y49486" s="97"/>
    </row>
    <row r="49487" spans="25:25" x14ac:dyDescent="0.2">
      <c r="Y49487" s="97"/>
    </row>
    <row r="49488" spans="25:25" x14ac:dyDescent="0.2">
      <c r="Y49488" s="97"/>
    </row>
    <row r="49489" spans="25:25" x14ac:dyDescent="0.2">
      <c r="Y49489" s="97"/>
    </row>
    <row r="49490" spans="25:25" x14ac:dyDescent="0.2">
      <c r="Y49490" s="97"/>
    </row>
    <row r="49491" spans="25:25" x14ac:dyDescent="0.2">
      <c r="Y49491" s="97"/>
    </row>
    <row r="49492" spans="25:25" x14ac:dyDescent="0.2">
      <c r="Y49492" s="97"/>
    </row>
    <row r="49493" spans="25:25" x14ac:dyDescent="0.2">
      <c r="Y49493" s="97"/>
    </row>
    <row r="49494" spans="25:25" x14ac:dyDescent="0.2">
      <c r="Y49494" s="97"/>
    </row>
    <row r="49495" spans="25:25" x14ac:dyDescent="0.2">
      <c r="Y49495" s="97"/>
    </row>
    <row r="49496" spans="25:25" x14ac:dyDescent="0.2">
      <c r="Y49496" s="97"/>
    </row>
    <row r="49497" spans="25:25" x14ac:dyDescent="0.2">
      <c r="Y49497" s="97"/>
    </row>
    <row r="49498" spans="25:25" x14ac:dyDescent="0.2">
      <c r="Y49498" s="97"/>
    </row>
    <row r="49499" spans="25:25" x14ac:dyDescent="0.2">
      <c r="Y49499" s="97"/>
    </row>
    <row r="49500" spans="25:25" x14ac:dyDescent="0.2">
      <c r="Y49500" s="97"/>
    </row>
    <row r="49501" spans="25:25" x14ac:dyDescent="0.2">
      <c r="Y49501" s="97"/>
    </row>
    <row r="49502" spans="25:25" x14ac:dyDescent="0.2">
      <c r="Y49502" s="97"/>
    </row>
    <row r="49503" spans="25:25" x14ac:dyDescent="0.2">
      <c r="Y49503" s="97"/>
    </row>
    <row r="49504" spans="25:25" x14ac:dyDescent="0.2">
      <c r="Y49504" s="97"/>
    </row>
    <row r="49505" spans="25:25" x14ac:dyDescent="0.2">
      <c r="Y49505" s="97"/>
    </row>
    <row r="49506" spans="25:25" x14ac:dyDescent="0.2">
      <c r="Y49506" s="97"/>
    </row>
    <row r="49507" spans="25:25" x14ac:dyDescent="0.2">
      <c r="Y49507" s="97"/>
    </row>
    <row r="49508" spans="25:25" x14ac:dyDescent="0.2">
      <c r="Y49508" s="97"/>
    </row>
    <row r="49509" spans="25:25" x14ac:dyDescent="0.2">
      <c r="Y49509" s="97"/>
    </row>
    <row r="49510" spans="25:25" x14ac:dyDescent="0.2">
      <c r="Y49510" s="97"/>
    </row>
    <row r="49511" spans="25:25" x14ac:dyDescent="0.2">
      <c r="Y49511" s="97"/>
    </row>
    <row r="49512" spans="25:25" x14ac:dyDescent="0.2">
      <c r="Y49512" s="97"/>
    </row>
    <row r="49513" spans="25:25" x14ac:dyDescent="0.2">
      <c r="Y49513" s="97"/>
    </row>
    <row r="49514" spans="25:25" x14ac:dyDescent="0.2">
      <c r="Y49514" s="97"/>
    </row>
    <row r="49515" spans="25:25" x14ac:dyDescent="0.2">
      <c r="Y49515" s="97"/>
    </row>
    <row r="49516" spans="25:25" x14ac:dyDescent="0.2">
      <c r="Y49516" s="97"/>
    </row>
    <row r="49517" spans="25:25" x14ac:dyDescent="0.2">
      <c r="Y49517" s="97"/>
    </row>
    <row r="49518" spans="25:25" x14ac:dyDescent="0.2">
      <c r="Y49518" s="97"/>
    </row>
    <row r="49519" spans="25:25" x14ac:dyDescent="0.2">
      <c r="Y49519" s="97"/>
    </row>
    <row r="49520" spans="25:25" x14ac:dyDescent="0.2">
      <c r="Y49520" s="97"/>
    </row>
    <row r="49521" spans="25:25" x14ac:dyDescent="0.2">
      <c r="Y49521" s="97"/>
    </row>
    <row r="49522" spans="25:25" x14ac:dyDescent="0.2">
      <c r="Y49522" s="97"/>
    </row>
    <row r="49523" spans="25:25" x14ac:dyDescent="0.2">
      <c r="Y49523" s="97"/>
    </row>
    <row r="49524" spans="25:25" x14ac:dyDescent="0.2">
      <c r="Y49524" s="97"/>
    </row>
    <row r="49525" spans="25:25" x14ac:dyDescent="0.2">
      <c r="Y49525" s="97"/>
    </row>
    <row r="49526" spans="25:25" x14ac:dyDescent="0.2">
      <c r="Y49526" s="97"/>
    </row>
    <row r="49527" spans="25:25" x14ac:dyDescent="0.2">
      <c r="Y49527" s="97"/>
    </row>
    <row r="49528" spans="25:25" x14ac:dyDescent="0.2">
      <c r="Y49528" s="97"/>
    </row>
    <row r="49529" spans="25:25" x14ac:dyDescent="0.2">
      <c r="Y49529" s="97"/>
    </row>
    <row r="49530" spans="25:25" x14ac:dyDescent="0.2">
      <c r="Y49530" s="97"/>
    </row>
    <row r="49531" spans="25:25" x14ac:dyDescent="0.2">
      <c r="Y49531" s="97"/>
    </row>
    <row r="49532" spans="25:25" x14ac:dyDescent="0.2">
      <c r="Y49532" s="97"/>
    </row>
    <row r="49533" spans="25:25" x14ac:dyDescent="0.2">
      <c r="Y49533" s="97"/>
    </row>
    <row r="49534" spans="25:25" x14ac:dyDescent="0.2">
      <c r="Y49534" s="97"/>
    </row>
    <row r="49535" spans="25:25" x14ac:dyDescent="0.2">
      <c r="Y49535" s="97"/>
    </row>
    <row r="49536" spans="25:25" x14ac:dyDescent="0.2">
      <c r="Y49536" s="97"/>
    </row>
    <row r="49537" spans="25:25" x14ac:dyDescent="0.2">
      <c r="Y49537" s="97"/>
    </row>
    <row r="49538" spans="25:25" x14ac:dyDescent="0.2">
      <c r="Y49538" s="97"/>
    </row>
    <row r="49539" spans="25:25" x14ac:dyDescent="0.2">
      <c r="Y49539" s="97"/>
    </row>
    <row r="49540" spans="25:25" x14ac:dyDescent="0.2">
      <c r="Y49540" s="97"/>
    </row>
    <row r="49541" spans="25:25" x14ac:dyDescent="0.2">
      <c r="Y49541" s="97"/>
    </row>
    <row r="49542" spans="25:25" x14ac:dyDescent="0.2">
      <c r="Y49542" s="97"/>
    </row>
    <row r="49543" spans="25:25" x14ac:dyDescent="0.2">
      <c r="Y49543" s="97"/>
    </row>
    <row r="49544" spans="25:25" x14ac:dyDescent="0.2">
      <c r="Y49544" s="97"/>
    </row>
    <row r="49545" spans="25:25" x14ac:dyDescent="0.2">
      <c r="Y49545" s="97"/>
    </row>
    <row r="49546" spans="25:25" x14ac:dyDescent="0.2">
      <c r="Y49546" s="97"/>
    </row>
    <row r="49547" spans="25:25" x14ac:dyDescent="0.2">
      <c r="Y49547" s="97"/>
    </row>
    <row r="49548" spans="25:25" x14ac:dyDescent="0.2">
      <c r="Y49548" s="97"/>
    </row>
    <row r="49549" spans="25:25" x14ac:dyDescent="0.2">
      <c r="Y49549" s="97"/>
    </row>
    <row r="49550" spans="25:25" x14ac:dyDescent="0.2">
      <c r="Y49550" s="97"/>
    </row>
    <row r="49551" spans="25:25" x14ac:dyDescent="0.2">
      <c r="Y49551" s="97"/>
    </row>
    <row r="49552" spans="25:25" x14ac:dyDescent="0.2">
      <c r="Y49552" s="97"/>
    </row>
    <row r="49553" spans="25:25" x14ac:dyDescent="0.2">
      <c r="Y49553" s="97"/>
    </row>
    <row r="49554" spans="25:25" x14ac:dyDescent="0.2">
      <c r="Y49554" s="97"/>
    </row>
    <row r="49555" spans="25:25" x14ac:dyDescent="0.2">
      <c r="Y49555" s="97"/>
    </row>
    <row r="49556" spans="25:25" x14ac:dyDescent="0.2">
      <c r="Y49556" s="97"/>
    </row>
    <row r="49557" spans="25:25" x14ac:dyDescent="0.2">
      <c r="Y49557" s="97"/>
    </row>
    <row r="49558" spans="25:25" x14ac:dyDescent="0.2">
      <c r="Y49558" s="97"/>
    </row>
    <row r="49559" spans="25:25" x14ac:dyDescent="0.2">
      <c r="Y49559" s="97"/>
    </row>
    <row r="49560" spans="25:25" x14ac:dyDescent="0.2">
      <c r="Y49560" s="97"/>
    </row>
    <row r="49561" spans="25:25" x14ac:dyDescent="0.2">
      <c r="Y49561" s="97"/>
    </row>
    <row r="49562" spans="25:25" x14ac:dyDescent="0.2">
      <c r="Y49562" s="97"/>
    </row>
    <row r="49563" spans="25:25" x14ac:dyDescent="0.2">
      <c r="Y49563" s="97"/>
    </row>
    <row r="49564" spans="25:25" x14ac:dyDescent="0.2">
      <c r="Y49564" s="97"/>
    </row>
    <row r="49565" spans="25:25" x14ac:dyDescent="0.2">
      <c r="Y49565" s="97"/>
    </row>
    <row r="49566" spans="25:25" x14ac:dyDescent="0.2">
      <c r="Y49566" s="97"/>
    </row>
    <row r="49567" spans="25:25" x14ac:dyDescent="0.2">
      <c r="Y49567" s="97"/>
    </row>
    <row r="49568" spans="25:25" x14ac:dyDescent="0.2">
      <c r="Y49568" s="97"/>
    </row>
    <row r="49569" spans="25:25" x14ac:dyDescent="0.2">
      <c r="Y49569" s="97"/>
    </row>
    <row r="49570" spans="25:25" x14ac:dyDescent="0.2">
      <c r="Y49570" s="97"/>
    </row>
    <row r="49571" spans="25:25" x14ac:dyDescent="0.2">
      <c r="Y49571" s="97"/>
    </row>
    <row r="49572" spans="25:25" x14ac:dyDescent="0.2">
      <c r="Y49572" s="97"/>
    </row>
    <row r="49573" spans="25:25" x14ac:dyDescent="0.2">
      <c r="Y49573" s="97"/>
    </row>
    <row r="49574" spans="25:25" x14ac:dyDescent="0.2">
      <c r="Y49574" s="97"/>
    </row>
    <row r="49575" spans="25:25" x14ac:dyDescent="0.2">
      <c r="Y49575" s="97"/>
    </row>
    <row r="49576" spans="25:25" x14ac:dyDescent="0.2">
      <c r="Y49576" s="97"/>
    </row>
    <row r="49577" spans="25:25" x14ac:dyDescent="0.2">
      <c r="Y49577" s="97"/>
    </row>
    <row r="49578" spans="25:25" x14ac:dyDescent="0.2">
      <c r="Y49578" s="97"/>
    </row>
    <row r="49579" spans="25:25" x14ac:dyDescent="0.2">
      <c r="Y49579" s="97"/>
    </row>
    <row r="49580" spans="25:25" x14ac:dyDescent="0.2">
      <c r="Y49580" s="97"/>
    </row>
    <row r="49581" spans="25:25" x14ac:dyDescent="0.2">
      <c r="Y49581" s="97"/>
    </row>
    <row r="49582" spans="25:25" x14ac:dyDescent="0.2">
      <c r="Y49582" s="97"/>
    </row>
    <row r="49583" spans="25:25" x14ac:dyDescent="0.2">
      <c r="Y49583" s="97"/>
    </row>
    <row r="49584" spans="25:25" x14ac:dyDescent="0.2">
      <c r="Y49584" s="97"/>
    </row>
    <row r="49585" spans="25:25" x14ac:dyDescent="0.2">
      <c r="Y49585" s="97"/>
    </row>
    <row r="49586" spans="25:25" x14ac:dyDescent="0.2">
      <c r="Y49586" s="97"/>
    </row>
    <row r="49587" spans="25:25" x14ac:dyDescent="0.2">
      <c r="Y49587" s="97"/>
    </row>
    <row r="49588" spans="25:25" x14ac:dyDescent="0.2">
      <c r="Y49588" s="97"/>
    </row>
    <row r="49589" spans="25:25" x14ac:dyDescent="0.2">
      <c r="Y49589" s="97"/>
    </row>
    <row r="49590" spans="25:25" x14ac:dyDescent="0.2">
      <c r="Y49590" s="97"/>
    </row>
    <row r="49591" spans="25:25" x14ac:dyDescent="0.2">
      <c r="Y49591" s="97"/>
    </row>
    <row r="49592" spans="25:25" x14ac:dyDescent="0.2">
      <c r="Y49592" s="97"/>
    </row>
    <row r="49593" spans="25:25" x14ac:dyDescent="0.2">
      <c r="Y49593" s="97"/>
    </row>
    <row r="49594" spans="25:25" x14ac:dyDescent="0.2">
      <c r="Y49594" s="97"/>
    </row>
    <row r="49595" spans="25:25" x14ac:dyDescent="0.2">
      <c r="Y49595" s="97"/>
    </row>
    <row r="49596" spans="25:25" x14ac:dyDescent="0.2">
      <c r="Y49596" s="97"/>
    </row>
    <row r="49597" spans="25:25" x14ac:dyDescent="0.2">
      <c r="Y49597" s="97"/>
    </row>
    <row r="49598" spans="25:25" x14ac:dyDescent="0.2">
      <c r="Y49598" s="97"/>
    </row>
    <row r="49599" spans="25:25" x14ac:dyDescent="0.2">
      <c r="Y49599" s="97"/>
    </row>
    <row r="49600" spans="25:25" x14ac:dyDescent="0.2">
      <c r="Y49600" s="97"/>
    </row>
    <row r="49601" spans="25:25" x14ac:dyDescent="0.2">
      <c r="Y49601" s="97"/>
    </row>
    <row r="49602" spans="25:25" x14ac:dyDescent="0.2">
      <c r="Y49602" s="97"/>
    </row>
    <row r="49603" spans="25:25" x14ac:dyDescent="0.2">
      <c r="Y49603" s="97"/>
    </row>
    <row r="49604" spans="25:25" x14ac:dyDescent="0.2">
      <c r="Y49604" s="97"/>
    </row>
    <row r="49605" spans="25:25" x14ac:dyDescent="0.2">
      <c r="Y49605" s="97"/>
    </row>
    <row r="49606" spans="25:25" x14ac:dyDescent="0.2">
      <c r="Y49606" s="97"/>
    </row>
    <row r="49607" spans="25:25" x14ac:dyDescent="0.2">
      <c r="Y49607" s="97"/>
    </row>
    <row r="49608" spans="25:25" x14ac:dyDescent="0.2">
      <c r="Y49608" s="97"/>
    </row>
    <row r="49609" spans="25:25" x14ac:dyDescent="0.2">
      <c r="Y49609" s="97"/>
    </row>
    <row r="49610" spans="25:25" x14ac:dyDescent="0.2">
      <c r="Y49610" s="97"/>
    </row>
    <row r="49611" spans="25:25" x14ac:dyDescent="0.2">
      <c r="Y49611" s="97"/>
    </row>
    <row r="49612" spans="25:25" x14ac:dyDescent="0.2">
      <c r="Y49612" s="97"/>
    </row>
    <row r="49613" spans="25:25" x14ac:dyDescent="0.2">
      <c r="Y49613" s="97"/>
    </row>
    <row r="49614" spans="25:25" x14ac:dyDescent="0.2">
      <c r="Y49614" s="97"/>
    </row>
    <row r="49615" spans="25:25" x14ac:dyDescent="0.2">
      <c r="Y49615" s="97"/>
    </row>
    <row r="49616" spans="25:25" x14ac:dyDescent="0.2">
      <c r="Y49616" s="97"/>
    </row>
    <row r="49617" spans="25:25" x14ac:dyDescent="0.2">
      <c r="Y49617" s="97"/>
    </row>
    <row r="49618" spans="25:25" x14ac:dyDescent="0.2">
      <c r="Y49618" s="97"/>
    </row>
    <row r="49619" spans="25:25" x14ac:dyDescent="0.2">
      <c r="Y49619" s="97"/>
    </row>
    <row r="49620" spans="25:25" x14ac:dyDescent="0.2">
      <c r="Y49620" s="97"/>
    </row>
    <row r="49621" spans="25:25" x14ac:dyDescent="0.2">
      <c r="Y49621" s="97"/>
    </row>
    <row r="49622" spans="25:25" x14ac:dyDescent="0.2">
      <c r="Y49622" s="97"/>
    </row>
    <row r="49623" spans="25:25" x14ac:dyDescent="0.2">
      <c r="Y49623" s="97"/>
    </row>
    <row r="49624" spans="25:25" x14ac:dyDescent="0.2">
      <c r="Y49624" s="97"/>
    </row>
    <row r="49625" spans="25:25" x14ac:dyDescent="0.2">
      <c r="Y49625" s="97"/>
    </row>
    <row r="49626" spans="25:25" x14ac:dyDescent="0.2">
      <c r="Y49626" s="97"/>
    </row>
    <row r="49627" spans="25:25" x14ac:dyDescent="0.2">
      <c r="Y49627" s="97"/>
    </row>
    <row r="49628" spans="25:25" x14ac:dyDescent="0.2">
      <c r="Y49628" s="97"/>
    </row>
    <row r="49629" spans="25:25" x14ac:dyDescent="0.2">
      <c r="Y49629" s="97"/>
    </row>
    <row r="49630" spans="25:25" x14ac:dyDescent="0.2">
      <c r="Y49630" s="97"/>
    </row>
    <row r="49631" spans="25:25" x14ac:dyDescent="0.2">
      <c r="Y49631" s="97"/>
    </row>
    <row r="49632" spans="25:25" x14ac:dyDescent="0.2">
      <c r="Y49632" s="97"/>
    </row>
    <row r="49633" spans="25:25" x14ac:dyDescent="0.2">
      <c r="Y49633" s="97"/>
    </row>
    <row r="49634" spans="25:25" x14ac:dyDescent="0.2">
      <c r="Y49634" s="97"/>
    </row>
    <row r="49635" spans="25:25" x14ac:dyDescent="0.2">
      <c r="Y49635" s="97"/>
    </row>
    <row r="49636" spans="25:25" x14ac:dyDescent="0.2">
      <c r="Y49636" s="97"/>
    </row>
    <row r="49637" spans="25:25" x14ac:dyDescent="0.2">
      <c r="Y49637" s="97"/>
    </row>
    <row r="49638" spans="25:25" x14ac:dyDescent="0.2">
      <c r="Y49638" s="97"/>
    </row>
    <row r="49639" spans="25:25" x14ac:dyDescent="0.2">
      <c r="Y49639" s="97"/>
    </row>
    <row r="49640" spans="25:25" x14ac:dyDescent="0.2">
      <c r="Y49640" s="97"/>
    </row>
    <row r="49641" spans="25:25" x14ac:dyDescent="0.2">
      <c r="Y49641" s="97"/>
    </row>
    <row r="49642" spans="25:25" x14ac:dyDescent="0.2">
      <c r="Y49642" s="97"/>
    </row>
    <row r="49643" spans="25:25" x14ac:dyDescent="0.2">
      <c r="Y49643" s="97"/>
    </row>
    <row r="49644" spans="25:25" x14ac:dyDescent="0.2">
      <c r="Y49644" s="97"/>
    </row>
    <row r="49645" spans="25:25" x14ac:dyDescent="0.2">
      <c r="Y49645" s="97"/>
    </row>
    <row r="49646" spans="25:25" x14ac:dyDescent="0.2">
      <c r="Y49646" s="97"/>
    </row>
    <row r="49647" spans="25:25" x14ac:dyDescent="0.2">
      <c r="Y49647" s="97"/>
    </row>
    <row r="49648" spans="25:25" x14ac:dyDescent="0.2">
      <c r="Y49648" s="97"/>
    </row>
    <row r="49649" spans="25:25" x14ac:dyDescent="0.2">
      <c r="Y49649" s="97"/>
    </row>
    <row r="49650" spans="25:25" x14ac:dyDescent="0.2">
      <c r="Y49650" s="97"/>
    </row>
    <row r="49651" spans="25:25" x14ac:dyDescent="0.2">
      <c r="Y49651" s="97"/>
    </row>
    <row r="49652" spans="25:25" x14ac:dyDescent="0.2">
      <c r="Y49652" s="97"/>
    </row>
    <row r="49653" spans="25:25" x14ac:dyDescent="0.2">
      <c r="Y49653" s="97"/>
    </row>
    <row r="49654" spans="25:25" x14ac:dyDescent="0.2">
      <c r="Y49654" s="97"/>
    </row>
    <row r="49655" spans="25:25" x14ac:dyDescent="0.2">
      <c r="Y49655" s="97"/>
    </row>
    <row r="49656" spans="25:25" x14ac:dyDescent="0.2">
      <c r="Y49656" s="97"/>
    </row>
    <row r="49657" spans="25:25" x14ac:dyDescent="0.2">
      <c r="Y49657" s="97"/>
    </row>
    <row r="49658" spans="25:25" x14ac:dyDescent="0.2">
      <c r="Y49658" s="97"/>
    </row>
    <row r="49659" spans="25:25" x14ac:dyDescent="0.2">
      <c r="Y49659" s="97"/>
    </row>
    <row r="49660" spans="25:25" x14ac:dyDescent="0.2">
      <c r="Y49660" s="97"/>
    </row>
    <row r="49661" spans="25:25" x14ac:dyDescent="0.2">
      <c r="Y49661" s="97"/>
    </row>
    <row r="49662" spans="25:25" x14ac:dyDescent="0.2">
      <c r="Y49662" s="97"/>
    </row>
    <row r="49663" spans="25:25" x14ac:dyDescent="0.2">
      <c r="Y49663" s="97"/>
    </row>
    <row r="49664" spans="25:25" x14ac:dyDescent="0.2">
      <c r="Y49664" s="97"/>
    </row>
    <row r="49665" spans="25:25" x14ac:dyDescent="0.2">
      <c r="Y49665" s="97"/>
    </row>
    <row r="49666" spans="25:25" x14ac:dyDescent="0.2">
      <c r="Y49666" s="97"/>
    </row>
    <row r="49667" spans="25:25" x14ac:dyDescent="0.2">
      <c r="Y49667" s="97"/>
    </row>
    <row r="49668" spans="25:25" x14ac:dyDescent="0.2">
      <c r="Y49668" s="97"/>
    </row>
    <row r="49669" spans="25:25" x14ac:dyDescent="0.2">
      <c r="Y49669" s="97"/>
    </row>
    <row r="49670" spans="25:25" x14ac:dyDescent="0.2">
      <c r="Y49670" s="97"/>
    </row>
    <row r="49671" spans="25:25" x14ac:dyDescent="0.2">
      <c r="Y49671" s="97"/>
    </row>
    <row r="49672" spans="25:25" x14ac:dyDescent="0.2">
      <c r="Y49672" s="97"/>
    </row>
    <row r="49673" spans="25:25" x14ac:dyDescent="0.2">
      <c r="Y49673" s="97"/>
    </row>
    <row r="49674" spans="25:25" x14ac:dyDescent="0.2">
      <c r="Y49674" s="97"/>
    </row>
    <row r="49675" spans="25:25" x14ac:dyDescent="0.2">
      <c r="Y49675" s="97"/>
    </row>
    <row r="49676" spans="25:25" x14ac:dyDescent="0.2">
      <c r="Y49676" s="97"/>
    </row>
    <row r="49677" spans="25:25" x14ac:dyDescent="0.2">
      <c r="Y49677" s="97"/>
    </row>
    <row r="49678" spans="25:25" x14ac:dyDescent="0.2">
      <c r="Y49678" s="97"/>
    </row>
    <row r="49679" spans="25:25" x14ac:dyDescent="0.2">
      <c r="Y49679" s="97"/>
    </row>
    <row r="49680" spans="25:25" x14ac:dyDescent="0.2">
      <c r="Y49680" s="97"/>
    </row>
    <row r="49681" spans="25:25" x14ac:dyDescent="0.2">
      <c r="Y49681" s="97"/>
    </row>
    <row r="49682" spans="25:25" x14ac:dyDescent="0.2">
      <c r="Y49682" s="97"/>
    </row>
    <row r="49683" spans="25:25" x14ac:dyDescent="0.2">
      <c r="Y49683" s="97"/>
    </row>
    <row r="49684" spans="25:25" x14ac:dyDescent="0.2">
      <c r="Y49684" s="97"/>
    </row>
    <row r="49685" spans="25:25" x14ac:dyDescent="0.2">
      <c r="Y49685" s="97"/>
    </row>
    <row r="49686" spans="25:25" x14ac:dyDescent="0.2">
      <c r="Y49686" s="97"/>
    </row>
    <row r="49687" spans="25:25" x14ac:dyDescent="0.2">
      <c r="Y49687" s="97"/>
    </row>
    <row r="49688" spans="25:25" x14ac:dyDescent="0.2">
      <c r="Y49688" s="97"/>
    </row>
    <row r="49689" spans="25:25" x14ac:dyDescent="0.2">
      <c r="Y49689" s="97"/>
    </row>
    <row r="49690" spans="25:25" x14ac:dyDescent="0.2">
      <c r="Y49690" s="97"/>
    </row>
    <row r="49691" spans="25:25" x14ac:dyDescent="0.2">
      <c r="Y49691" s="97"/>
    </row>
    <row r="49692" spans="25:25" x14ac:dyDescent="0.2">
      <c r="Y49692" s="97"/>
    </row>
    <row r="49693" spans="25:25" x14ac:dyDescent="0.2">
      <c r="Y49693" s="97"/>
    </row>
    <row r="49694" spans="25:25" x14ac:dyDescent="0.2">
      <c r="Y49694" s="97"/>
    </row>
    <row r="49695" spans="25:25" x14ac:dyDescent="0.2">
      <c r="Y49695" s="97"/>
    </row>
    <row r="49696" spans="25:25" x14ac:dyDescent="0.2">
      <c r="Y49696" s="97"/>
    </row>
    <row r="49697" spans="25:25" x14ac:dyDescent="0.2">
      <c r="Y49697" s="97"/>
    </row>
    <row r="49698" spans="25:25" x14ac:dyDescent="0.2">
      <c r="Y49698" s="97"/>
    </row>
    <row r="49699" spans="25:25" x14ac:dyDescent="0.2">
      <c r="Y49699" s="97"/>
    </row>
    <row r="49700" spans="25:25" x14ac:dyDescent="0.2">
      <c r="Y49700" s="97"/>
    </row>
    <row r="49701" spans="25:25" x14ac:dyDescent="0.2">
      <c r="Y49701" s="97"/>
    </row>
    <row r="49702" spans="25:25" x14ac:dyDescent="0.2">
      <c r="Y49702" s="97"/>
    </row>
    <row r="49703" spans="25:25" x14ac:dyDescent="0.2">
      <c r="Y49703" s="97"/>
    </row>
    <row r="49704" spans="25:25" x14ac:dyDescent="0.2">
      <c r="Y49704" s="97"/>
    </row>
    <row r="49705" spans="25:25" x14ac:dyDescent="0.2">
      <c r="Y49705" s="97"/>
    </row>
    <row r="49706" spans="25:25" x14ac:dyDescent="0.2">
      <c r="Y49706" s="97"/>
    </row>
    <row r="49707" spans="25:25" x14ac:dyDescent="0.2">
      <c r="Y49707" s="97"/>
    </row>
    <row r="49708" spans="25:25" x14ac:dyDescent="0.2">
      <c r="Y49708" s="97"/>
    </row>
    <row r="49709" spans="25:25" x14ac:dyDescent="0.2">
      <c r="Y49709" s="97"/>
    </row>
    <row r="49710" spans="25:25" x14ac:dyDescent="0.2">
      <c r="Y49710" s="97"/>
    </row>
    <row r="49711" spans="25:25" x14ac:dyDescent="0.2">
      <c r="Y49711" s="97"/>
    </row>
    <row r="49712" spans="25:25" x14ac:dyDescent="0.2">
      <c r="Y49712" s="97"/>
    </row>
    <row r="49713" spans="25:25" x14ac:dyDescent="0.2">
      <c r="Y49713" s="97"/>
    </row>
    <row r="49714" spans="25:25" x14ac:dyDescent="0.2">
      <c r="Y49714" s="97"/>
    </row>
    <row r="49715" spans="25:25" x14ac:dyDescent="0.2">
      <c r="Y49715" s="97"/>
    </row>
    <row r="49716" spans="25:25" x14ac:dyDescent="0.2">
      <c r="Y49716" s="97"/>
    </row>
    <row r="49717" spans="25:25" x14ac:dyDescent="0.2">
      <c r="Y49717" s="97"/>
    </row>
    <row r="49718" spans="25:25" x14ac:dyDescent="0.2">
      <c r="Y49718" s="97"/>
    </row>
    <row r="49719" spans="25:25" x14ac:dyDescent="0.2">
      <c r="Y49719" s="97"/>
    </row>
    <row r="49720" spans="25:25" x14ac:dyDescent="0.2">
      <c r="Y49720" s="97"/>
    </row>
    <row r="49721" spans="25:25" x14ac:dyDescent="0.2">
      <c r="Y49721" s="97"/>
    </row>
    <row r="49722" spans="25:25" x14ac:dyDescent="0.2">
      <c r="Y49722" s="97"/>
    </row>
    <row r="49723" spans="25:25" x14ac:dyDescent="0.2">
      <c r="Y49723" s="97"/>
    </row>
    <row r="49724" spans="25:25" x14ac:dyDescent="0.2">
      <c r="Y49724" s="97"/>
    </row>
    <row r="49725" spans="25:25" x14ac:dyDescent="0.2">
      <c r="Y49725" s="97"/>
    </row>
    <row r="49726" spans="25:25" x14ac:dyDescent="0.2">
      <c r="Y49726" s="97"/>
    </row>
    <row r="49727" spans="25:25" x14ac:dyDescent="0.2">
      <c r="Y49727" s="97"/>
    </row>
    <row r="49728" spans="25:25" x14ac:dyDescent="0.2">
      <c r="Y49728" s="97"/>
    </row>
    <row r="49729" spans="25:25" x14ac:dyDescent="0.2">
      <c r="Y49729" s="97"/>
    </row>
    <row r="49730" spans="25:25" x14ac:dyDescent="0.2">
      <c r="Y49730" s="97"/>
    </row>
    <row r="49731" spans="25:25" x14ac:dyDescent="0.2">
      <c r="Y49731" s="97"/>
    </row>
    <row r="49732" spans="25:25" x14ac:dyDescent="0.2">
      <c r="Y49732" s="97"/>
    </row>
    <row r="49733" spans="25:25" x14ac:dyDescent="0.2">
      <c r="Y49733" s="97"/>
    </row>
    <row r="49734" spans="25:25" x14ac:dyDescent="0.2">
      <c r="Y49734" s="97"/>
    </row>
    <row r="49735" spans="25:25" x14ac:dyDescent="0.2">
      <c r="Y49735" s="97"/>
    </row>
    <row r="49736" spans="25:25" x14ac:dyDescent="0.2">
      <c r="Y49736" s="97"/>
    </row>
    <row r="49737" spans="25:25" x14ac:dyDescent="0.2">
      <c r="Y49737" s="97"/>
    </row>
    <row r="49738" spans="25:25" x14ac:dyDescent="0.2">
      <c r="Y49738" s="97"/>
    </row>
    <row r="49739" spans="25:25" x14ac:dyDescent="0.2">
      <c r="Y49739" s="97"/>
    </row>
    <row r="49740" spans="25:25" x14ac:dyDescent="0.2">
      <c r="Y49740" s="97"/>
    </row>
    <row r="49741" spans="25:25" x14ac:dyDescent="0.2">
      <c r="Y49741" s="97"/>
    </row>
    <row r="49742" spans="25:25" x14ac:dyDescent="0.2">
      <c r="Y49742" s="97"/>
    </row>
    <row r="49743" spans="25:25" x14ac:dyDescent="0.2">
      <c r="Y49743" s="97"/>
    </row>
    <row r="49744" spans="25:25" x14ac:dyDescent="0.2">
      <c r="Y49744" s="97"/>
    </row>
    <row r="49745" spans="25:25" x14ac:dyDescent="0.2">
      <c r="Y49745" s="97"/>
    </row>
    <row r="49746" spans="25:25" x14ac:dyDescent="0.2">
      <c r="Y49746" s="97"/>
    </row>
    <row r="49747" spans="25:25" x14ac:dyDescent="0.2">
      <c r="Y49747" s="97"/>
    </row>
    <row r="49748" spans="25:25" x14ac:dyDescent="0.2">
      <c r="Y49748" s="97"/>
    </row>
    <row r="49749" spans="25:25" x14ac:dyDescent="0.2">
      <c r="Y49749" s="97"/>
    </row>
    <row r="49750" spans="25:25" x14ac:dyDescent="0.2">
      <c r="Y49750" s="97"/>
    </row>
    <row r="49751" spans="25:25" x14ac:dyDescent="0.2">
      <c r="Y49751" s="97"/>
    </row>
    <row r="49752" spans="25:25" x14ac:dyDescent="0.2">
      <c r="Y49752" s="97"/>
    </row>
    <row r="49753" spans="25:25" x14ac:dyDescent="0.2">
      <c r="Y49753" s="97"/>
    </row>
    <row r="49754" spans="25:25" x14ac:dyDescent="0.2">
      <c r="Y49754" s="97"/>
    </row>
    <row r="49755" spans="25:25" x14ac:dyDescent="0.2">
      <c r="Y49755" s="97"/>
    </row>
    <row r="49756" spans="25:25" x14ac:dyDescent="0.2">
      <c r="Y49756" s="97"/>
    </row>
    <row r="49757" spans="25:25" x14ac:dyDescent="0.2">
      <c r="Y49757" s="97"/>
    </row>
    <row r="49758" spans="25:25" x14ac:dyDescent="0.2">
      <c r="Y49758" s="97"/>
    </row>
    <row r="49759" spans="25:25" x14ac:dyDescent="0.2">
      <c r="Y49759" s="97"/>
    </row>
    <row r="49760" spans="25:25" x14ac:dyDescent="0.2">
      <c r="Y49760" s="97"/>
    </row>
    <row r="49761" spans="25:25" x14ac:dyDescent="0.2">
      <c r="Y49761" s="97"/>
    </row>
    <row r="49762" spans="25:25" x14ac:dyDescent="0.2">
      <c r="Y49762" s="97"/>
    </row>
    <row r="49763" spans="25:25" x14ac:dyDescent="0.2">
      <c r="Y49763" s="97"/>
    </row>
    <row r="49764" spans="25:25" x14ac:dyDescent="0.2">
      <c r="Y49764" s="97"/>
    </row>
    <row r="49765" spans="25:25" x14ac:dyDescent="0.2">
      <c r="Y49765" s="97"/>
    </row>
    <row r="49766" spans="25:25" x14ac:dyDescent="0.2">
      <c r="Y49766" s="97"/>
    </row>
    <row r="49767" spans="25:25" x14ac:dyDescent="0.2">
      <c r="Y49767" s="97"/>
    </row>
    <row r="49768" spans="25:25" x14ac:dyDescent="0.2">
      <c r="Y49768" s="97"/>
    </row>
    <row r="49769" spans="25:25" x14ac:dyDescent="0.2">
      <c r="Y49769" s="97"/>
    </row>
    <row r="49770" spans="25:25" x14ac:dyDescent="0.2">
      <c r="Y49770" s="97"/>
    </row>
    <row r="49771" spans="25:25" x14ac:dyDescent="0.2">
      <c r="Y49771" s="97"/>
    </row>
    <row r="49772" spans="25:25" x14ac:dyDescent="0.2">
      <c r="Y49772" s="97"/>
    </row>
    <row r="49773" spans="25:25" x14ac:dyDescent="0.2">
      <c r="Y49773" s="97"/>
    </row>
    <row r="49774" spans="25:25" x14ac:dyDescent="0.2">
      <c r="Y49774" s="97"/>
    </row>
    <row r="49775" spans="25:25" x14ac:dyDescent="0.2">
      <c r="Y49775" s="97"/>
    </row>
    <row r="49776" spans="25:25" x14ac:dyDescent="0.2">
      <c r="Y49776" s="97"/>
    </row>
    <row r="49777" spans="25:25" x14ac:dyDescent="0.2">
      <c r="Y49777" s="97"/>
    </row>
    <row r="49778" spans="25:25" x14ac:dyDescent="0.2">
      <c r="Y49778" s="97"/>
    </row>
    <row r="49779" spans="25:25" x14ac:dyDescent="0.2">
      <c r="Y49779" s="97"/>
    </row>
    <row r="49780" spans="25:25" x14ac:dyDescent="0.2">
      <c r="Y49780" s="97"/>
    </row>
    <row r="49781" spans="25:25" x14ac:dyDescent="0.2">
      <c r="Y49781" s="97"/>
    </row>
    <row r="49782" spans="25:25" x14ac:dyDescent="0.2">
      <c r="Y49782" s="97"/>
    </row>
    <row r="49783" spans="25:25" x14ac:dyDescent="0.2">
      <c r="Y49783" s="97"/>
    </row>
    <row r="49784" spans="25:25" x14ac:dyDescent="0.2">
      <c r="Y49784" s="97"/>
    </row>
    <row r="49785" spans="25:25" x14ac:dyDescent="0.2">
      <c r="Y49785" s="97"/>
    </row>
    <row r="49786" spans="25:25" x14ac:dyDescent="0.2">
      <c r="Y49786" s="97"/>
    </row>
    <row r="49787" spans="25:25" x14ac:dyDescent="0.2">
      <c r="Y49787" s="97"/>
    </row>
    <row r="49788" spans="25:25" x14ac:dyDescent="0.2">
      <c r="Y49788" s="97"/>
    </row>
    <row r="49789" spans="25:25" x14ac:dyDescent="0.2">
      <c r="Y49789" s="97"/>
    </row>
    <row r="49790" spans="25:25" x14ac:dyDescent="0.2">
      <c r="Y49790" s="97"/>
    </row>
    <row r="49791" spans="25:25" x14ac:dyDescent="0.2">
      <c r="Y49791" s="97"/>
    </row>
    <row r="49792" spans="25:25" x14ac:dyDescent="0.2">
      <c r="Y49792" s="97"/>
    </row>
    <row r="49793" spans="25:25" x14ac:dyDescent="0.2">
      <c r="Y49793" s="97"/>
    </row>
    <row r="49794" spans="25:25" x14ac:dyDescent="0.2">
      <c r="Y49794" s="97"/>
    </row>
    <row r="49795" spans="25:25" x14ac:dyDescent="0.2">
      <c r="Y49795" s="97"/>
    </row>
    <row r="49796" spans="25:25" x14ac:dyDescent="0.2">
      <c r="Y49796" s="97"/>
    </row>
    <row r="49797" spans="25:25" x14ac:dyDescent="0.2">
      <c r="Y49797" s="97"/>
    </row>
    <row r="49798" spans="25:25" x14ac:dyDescent="0.2">
      <c r="Y49798" s="97"/>
    </row>
    <row r="49799" spans="25:25" x14ac:dyDescent="0.2">
      <c r="Y49799" s="97"/>
    </row>
    <row r="49800" spans="25:25" x14ac:dyDescent="0.2">
      <c r="Y49800" s="97"/>
    </row>
    <row r="49801" spans="25:25" x14ac:dyDescent="0.2">
      <c r="Y49801" s="97"/>
    </row>
    <row r="49802" spans="25:25" x14ac:dyDescent="0.2">
      <c r="Y49802" s="97"/>
    </row>
    <row r="49803" spans="25:25" x14ac:dyDescent="0.2">
      <c r="Y49803" s="97"/>
    </row>
    <row r="49804" spans="25:25" x14ac:dyDescent="0.2">
      <c r="Y49804" s="97"/>
    </row>
    <row r="49805" spans="25:25" x14ac:dyDescent="0.2">
      <c r="Y49805" s="97"/>
    </row>
    <row r="49806" spans="25:25" x14ac:dyDescent="0.2">
      <c r="Y49806" s="97"/>
    </row>
    <row r="49807" spans="25:25" x14ac:dyDescent="0.2">
      <c r="Y49807" s="97"/>
    </row>
    <row r="49808" spans="25:25" x14ac:dyDescent="0.2">
      <c r="Y49808" s="97"/>
    </row>
    <row r="49809" spans="25:25" x14ac:dyDescent="0.2">
      <c r="Y49809" s="97"/>
    </row>
    <row r="49810" spans="25:25" x14ac:dyDescent="0.2">
      <c r="Y49810" s="97"/>
    </row>
    <row r="49811" spans="25:25" x14ac:dyDescent="0.2">
      <c r="Y49811" s="97"/>
    </row>
    <row r="49812" spans="25:25" x14ac:dyDescent="0.2">
      <c r="Y49812" s="97"/>
    </row>
    <row r="49813" spans="25:25" x14ac:dyDescent="0.2">
      <c r="Y49813" s="97"/>
    </row>
    <row r="49814" spans="25:25" x14ac:dyDescent="0.2">
      <c r="Y49814" s="97"/>
    </row>
    <row r="49815" spans="25:25" x14ac:dyDescent="0.2">
      <c r="Y49815" s="97"/>
    </row>
    <row r="49816" spans="25:25" x14ac:dyDescent="0.2">
      <c r="Y49816" s="97"/>
    </row>
    <row r="49817" spans="25:25" x14ac:dyDescent="0.2">
      <c r="Y49817" s="97"/>
    </row>
    <row r="49818" spans="25:25" x14ac:dyDescent="0.2">
      <c r="Y49818" s="97"/>
    </row>
    <row r="49819" spans="25:25" x14ac:dyDescent="0.2">
      <c r="Y49819" s="97"/>
    </row>
    <row r="49820" spans="25:25" x14ac:dyDescent="0.2">
      <c r="Y49820" s="97"/>
    </row>
    <row r="49821" spans="25:25" x14ac:dyDescent="0.2">
      <c r="Y49821" s="97"/>
    </row>
    <row r="49822" spans="25:25" x14ac:dyDescent="0.2">
      <c r="Y49822" s="97"/>
    </row>
    <row r="49823" spans="25:25" x14ac:dyDescent="0.2">
      <c r="Y49823" s="97"/>
    </row>
    <row r="49824" spans="25:25" x14ac:dyDescent="0.2">
      <c r="Y49824" s="97"/>
    </row>
    <row r="49825" spans="25:25" x14ac:dyDescent="0.2">
      <c r="Y49825" s="97"/>
    </row>
    <row r="49826" spans="25:25" x14ac:dyDescent="0.2">
      <c r="Y49826" s="97"/>
    </row>
    <row r="49827" spans="25:25" x14ac:dyDescent="0.2">
      <c r="Y49827" s="97"/>
    </row>
    <row r="49828" spans="25:25" x14ac:dyDescent="0.2">
      <c r="Y49828" s="97"/>
    </row>
    <row r="49829" spans="25:25" x14ac:dyDescent="0.2">
      <c r="Y49829" s="97"/>
    </row>
    <row r="49830" spans="25:25" x14ac:dyDescent="0.2">
      <c r="Y49830" s="97"/>
    </row>
    <row r="49831" spans="25:25" x14ac:dyDescent="0.2">
      <c r="Y49831" s="97"/>
    </row>
    <row r="49832" spans="25:25" x14ac:dyDescent="0.2">
      <c r="Y49832" s="97"/>
    </row>
    <row r="49833" spans="25:25" x14ac:dyDescent="0.2">
      <c r="Y49833" s="97"/>
    </row>
    <row r="49834" spans="25:25" x14ac:dyDescent="0.2">
      <c r="Y49834" s="97"/>
    </row>
    <row r="49835" spans="25:25" x14ac:dyDescent="0.2">
      <c r="Y49835" s="97"/>
    </row>
    <row r="49836" spans="25:25" x14ac:dyDescent="0.2">
      <c r="Y49836" s="97"/>
    </row>
    <row r="49837" spans="25:25" x14ac:dyDescent="0.2">
      <c r="Y49837" s="97"/>
    </row>
    <row r="49838" spans="25:25" x14ac:dyDescent="0.2">
      <c r="Y49838" s="97"/>
    </row>
    <row r="49839" spans="25:25" x14ac:dyDescent="0.2">
      <c r="Y49839" s="97"/>
    </row>
    <row r="49840" spans="25:25" x14ac:dyDescent="0.2">
      <c r="Y49840" s="97"/>
    </row>
    <row r="49841" spans="25:25" x14ac:dyDescent="0.2">
      <c r="Y49841" s="97"/>
    </row>
    <row r="49842" spans="25:25" x14ac:dyDescent="0.2">
      <c r="Y49842" s="97"/>
    </row>
    <row r="49843" spans="25:25" x14ac:dyDescent="0.2">
      <c r="Y49843" s="97"/>
    </row>
    <row r="49844" spans="25:25" x14ac:dyDescent="0.2">
      <c r="Y49844" s="97"/>
    </row>
    <row r="49845" spans="25:25" x14ac:dyDescent="0.2">
      <c r="Y49845" s="97"/>
    </row>
    <row r="49846" spans="25:25" x14ac:dyDescent="0.2">
      <c r="Y49846" s="97"/>
    </row>
    <row r="49847" spans="25:25" x14ac:dyDescent="0.2">
      <c r="Y49847" s="97"/>
    </row>
    <row r="49848" spans="25:25" x14ac:dyDescent="0.2">
      <c r="Y49848" s="97"/>
    </row>
    <row r="49849" spans="25:25" x14ac:dyDescent="0.2">
      <c r="Y49849" s="97"/>
    </row>
    <row r="49850" spans="25:25" x14ac:dyDescent="0.2">
      <c r="Y49850" s="97"/>
    </row>
    <row r="49851" spans="25:25" x14ac:dyDescent="0.2">
      <c r="Y49851" s="97"/>
    </row>
    <row r="49852" spans="25:25" x14ac:dyDescent="0.2">
      <c r="Y49852" s="97"/>
    </row>
    <row r="49853" spans="25:25" x14ac:dyDescent="0.2">
      <c r="Y49853" s="97"/>
    </row>
    <row r="49854" spans="25:25" x14ac:dyDescent="0.2">
      <c r="Y49854" s="97"/>
    </row>
    <row r="49855" spans="25:25" x14ac:dyDescent="0.2">
      <c r="Y49855" s="97"/>
    </row>
    <row r="49856" spans="25:25" x14ac:dyDescent="0.2">
      <c r="Y49856" s="97"/>
    </row>
    <row r="49857" spans="25:25" x14ac:dyDescent="0.2">
      <c r="Y49857" s="97"/>
    </row>
    <row r="49858" spans="25:25" x14ac:dyDescent="0.2">
      <c r="Y49858" s="97"/>
    </row>
    <row r="49859" spans="25:25" x14ac:dyDescent="0.2">
      <c r="Y49859" s="97"/>
    </row>
    <row r="49860" spans="25:25" x14ac:dyDescent="0.2">
      <c r="Y49860" s="97"/>
    </row>
    <row r="49861" spans="25:25" x14ac:dyDescent="0.2">
      <c r="Y49861" s="97"/>
    </row>
    <row r="49862" spans="25:25" x14ac:dyDescent="0.2">
      <c r="Y49862" s="97"/>
    </row>
    <row r="49863" spans="25:25" x14ac:dyDescent="0.2">
      <c r="Y49863" s="97"/>
    </row>
    <row r="49864" spans="25:25" x14ac:dyDescent="0.2">
      <c r="Y49864" s="97"/>
    </row>
    <row r="49865" spans="25:25" x14ac:dyDescent="0.2">
      <c r="Y49865" s="97"/>
    </row>
    <row r="49866" spans="25:25" x14ac:dyDescent="0.2">
      <c r="Y49866" s="97"/>
    </row>
    <row r="49867" spans="25:25" x14ac:dyDescent="0.2">
      <c r="Y49867" s="97"/>
    </row>
    <row r="49868" spans="25:25" x14ac:dyDescent="0.2">
      <c r="Y49868" s="97"/>
    </row>
    <row r="49869" spans="25:25" x14ac:dyDescent="0.2">
      <c r="Y49869" s="97"/>
    </row>
    <row r="49870" spans="25:25" x14ac:dyDescent="0.2">
      <c r="Y49870" s="97"/>
    </row>
    <row r="49871" spans="25:25" x14ac:dyDescent="0.2">
      <c r="Y49871" s="97"/>
    </row>
    <row r="49872" spans="25:25" x14ac:dyDescent="0.2">
      <c r="Y49872" s="97"/>
    </row>
    <row r="49873" spans="25:25" x14ac:dyDescent="0.2">
      <c r="Y49873" s="97"/>
    </row>
    <row r="49874" spans="25:25" x14ac:dyDescent="0.2">
      <c r="Y49874" s="97"/>
    </row>
    <row r="49875" spans="25:25" x14ac:dyDescent="0.2">
      <c r="Y49875" s="97"/>
    </row>
    <row r="49876" spans="25:25" x14ac:dyDescent="0.2">
      <c r="Y49876" s="97"/>
    </row>
    <row r="49877" spans="25:25" x14ac:dyDescent="0.2">
      <c r="Y49877" s="97"/>
    </row>
    <row r="49878" spans="25:25" x14ac:dyDescent="0.2">
      <c r="Y49878" s="97"/>
    </row>
    <row r="49879" spans="25:25" x14ac:dyDescent="0.2">
      <c r="Y49879" s="97"/>
    </row>
    <row r="49880" spans="25:25" x14ac:dyDescent="0.2">
      <c r="Y49880" s="97"/>
    </row>
    <row r="49881" spans="25:25" x14ac:dyDescent="0.2">
      <c r="Y49881" s="97"/>
    </row>
    <row r="49882" spans="25:25" x14ac:dyDescent="0.2">
      <c r="Y49882" s="97"/>
    </row>
    <row r="49883" spans="25:25" x14ac:dyDescent="0.2">
      <c r="Y49883" s="97"/>
    </row>
    <row r="49884" spans="25:25" x14ac:dyDescent="0.2">
      <c r="Y49884" s="97"/>
    </row>
    <row r="49885" spans="25:25" x14ac:dyDescent="0.2">
      <c r="Y49885" s="97"/>
    </row>
    <row r="49886" spans="25:25" x14ac:dyDescent="0.2">
      <c r="Y49886" s="97"/>
    </row>
    <row r="49887" spans="25:25" x14ac:dyDescent="0.2">
      <c r="Y49887" s="97"/>
    </row>
    <row r="49888" spans="25:25" x14ac:dyDescent="0.2">
      <c r="Y49888" s="97"/>
    </row>
    <row r="49889" spans="25:25" x14ac:dyDescent="0.2">
      <c r="Y49889" s="97"/>
    </row>
    <row r="49890" spans="25:25" x14ac:dyDescent="0.2">
      <c r="Y49890" s="97"/>
    </row>
    <row r="49891" spans="25:25" x14ac:dyDescent="0.2">
      <c r="Y49891" s="97"/>
    </row>
    <row r="49892" spans="25:25" x14ac:dyDescent="0.2">
      <c r="Y49892" s="97"/>
    </row>
    <row r="49893" spans="25:25" x14ac:dyDescent="0.2">
      <c r="Y49893" s="97"/>
    </row>
    <row r="49894" spans="25:25" x14ac:dyDescent="0.2">
      <c r="Y49894" s="97"/>
    </row>
    <row r="49895" spans="25:25" x14ac:dyDescent="0.2">
      <c r="Y49895" s="97"/>
    </row>
    <row r="49896" spans="25:25" x14ac:dyDescent="0.2">
      <c r="Y49896" s="97"/>
    </row>
    <row r="49897" spans="25:25" x14ac:dyDescent="0.2">
      <c r="Y49897" s="97"/>
    </row>
    <row r="49898" spans="25:25" x14ac:dyDescent="0.2">
      <c r="Y49898" s="97"/>
    </row>
    <row r="49899" spans="25:25" x14ac:dyDescent="0.2">
      <c r="Y49899" s="97"/>
    </row>
    <row r="49900" spans="25:25" x14ac:dyDescent="0.2">
      <c r="Y49900" s="97"/>
    </row>
    <row r="49901" spans="25:25" x14ac:dyDescent="0.2">
      <c r="Y49901" s="97"/>
    </row>
    <row r="49902" spans="25:25" x14ac:dyDescent="0.2">
      <c r="Y49902" s="97"/>
    </row>
    <row r="49903" spans="25:25" x14ac:dyDescent="0.2">
      <c r="Y49903" s="97"/>
    </row>
    <row r="49904" spans="25:25" x14ac:dyDescent="0.2">
      <c r="Y49904" s="97"/>
    </row>
    <row r="49905" spans="25:25" x14ac:dyDescent="0.2">
      <c r="Y49905" s="97"/>
    </row>
    <row r="49906" spans="25:25" x14ac:dyDescent="0.2">
      <c r="Y49906" s="97"/>
    </row>
    <row r="49907" spans="25:25" x14ac:dyDescent="0.2">
      <c r="Y49907" s="97"/>
    </row>
    <row r="49908" spans="25:25" x14ac:dyDescent="0.2">
      <c r="Y49908" s="97"/>
    </row>
    <row r="49909" spans="25:25" x14ac:dyDescent="0.2">
      <c r="Y49909" s="97"/>
    </row>
    <row r="49910" spans="25:25" x14ac:dyDescent="0.2">
      <c r="Y49910" s="97"/>
    </row>
    <row r="49911" spans="25:25" x14ac:dyDescent="0.2">
      <c r="Y49911" s="97"/>
    </row>
    <row r="49912" spans="25:25" x14ac:dyDescent="0.2">
      <c r="Y49912" s="97"/>
    </row>
    <row r="49913" spans="25:25" x14ac:dyDescent="0.2">
      <c r="Y49913" s="97"/>
    </row>
    <row r="49914" spans="25:25" x14ac:dyDescent="0.2">
      <c r="Y49914" s="97"/>
    </row>
    <row r="49915" spans="25:25" x14ac:dyDescent="0.2">
      <c r="Y49915" s="97"/>
    </row>
    <row r="49916" spans="25:25" x14ac:dyDescent="0.2">
      <c r="Y49916" s="97"/>
    </row>
    <row r="49917" spans="25:25" x14ac:dyDescent="0.2">
      <c r="Y49917" s="97"/>
    </row>
    <row r="49918" spans="25:25" x14ac:dyDescent="0.2">
      <c r="Y49918" s="97"/>
    </row>
    <row r="49919" spans="25:25" x14ac:dyDescent="0.2">
      <c r="Y49919" s="97"/>
    </row>
    <row r="49920" spans="25:25" x14ac:dyDescent="0.2">
      <c r="Y49920" s="97"/>
    </row>
    <row r="49921" spans="25:25" x14ac:dyDescent="0.2">
      <c r="Y49921" s="97"/>
    </row>
    <row r="49922" spans="25:25" x14ac:dyDescent="0.2">
      <c r="Y49922" s="97"/>
    </row>
    <row r="49923" spans="25:25" x14ac:dyDescent="0.2">
      <c r="Y49923" s="97"/>
    </row>
    <row r="49924" spans="25:25" x14ac:dyDescent="0.2">
      <c r="Y49924" s="97"/>
    </row>
    <row r="49925" spans="25:25" x14ac:dyDescent="0.2">
      <c r="Y49925" s="97"/>
    </row>
    <row r="49926" spans="25:25" x14ac:dyDescent="0.2">
      <c r="Y49926" s="97"/>
    </row>
    <row r="49927" spans="25:25" x14ac:dyDescent="0.2">
      <c r="Y49927" s="97"/>
    </row>
    <row r="49928" spans="25:25" x14ac:dyDescent="0.2">
      <c r="Y49928" s="97"/>
    </row>
    <row r="49929" spans="25:25" x14ac:dyDescent="0.2">
      <c r="Y49929" s="97"/>
    </row>
    <row r="49930" spans="25:25" x14ac:dyDescent="0.2">
      <c r="Y49930" s="97"/>
    </row>
    <row r="49931" spans="25:25" x14ac:dyDescent="0.2">
      <c r="Y49931" s="97"/>
    </row>
    <row r="49932" spans="25:25" x14ac:dyDescent="0.2">
      <c r="Y49932" s="97"/>
    </row>
    <row r="49933" spans="25:25" x14ac:dyDescent="0.2">
      <c r="Y49933" s="97"/>
    </row>
    <row r="49934" spans="25:25" x14ac:dyDescent="0.2">
      <c r="Y49934" s="97"/>
    </row>
    <row r="49935" spans="25:25" x14ac:dyDescent="0.2">
      <c r="Y49935" s="97"/>
    </row>
    <row r="49936" spans="25:25" x14ac:dyDescent="0.2">
      <c r="Y49936" s="97"/>
    </row>
    <row r="49937" spans="25:25" x14ac:dyDescent="0.2">
      <c r="Y49937" s="97"/>
    </row>
    <row r="49938" spans="25:25" x14ac:dyDescent="0.2">
      <c r="Y49938" s="97"/>
    </row>
    <row r="49939" spans="25:25" x14ac:dyDescent="0.2">
      <c r="Y49939" s="97"/>
    </row>
    <row r="49940" spans="25:25" x14ac:dyDescent="0.2">
      <c r="Y49940" s="97"/>
    </row>
    <row r="49941" spans="25:25" x14ac:dyDescent="0.2">
      <c r="Y49941" s="97"/>
    </row>
    <row r="49942" spans="25:25" x14ac:dyDescent="0.2">
      <c r="Y49942" s="97"/>
    </row>
    <row r="49943" spans="25:25" x14ac:dyDescent="0.2">
      <c r="Y49943" s="97"/>
    </row>
    <row r="49944" spans="25:25" x14ac:dyDescent="0.2">
      <c r="Y49944" s="97"/>
    </row>
    <row r="49945" spans="25:25" x14ac:dyDescent="0.2">
      <c r="Y49945" s="97"/>
    </row>
    <row r="49946" spans="25:25" x14ac:dyDescent="0.2">
      <c r="Y49946" s="97"/>
    </row>
    <row r="49947" spans="25:25" x14ac:dyDescent="0.2">
      <c r="Y49947" s="97"/>
    </row>
    <row r="49948" spans="25:25" x14ac:dyDescent="0.2">
      <c r="Y49948" s="97"/>
    </row>
    <row r="49949" spans="25:25" x14ac:dyDescent="0.2">
      <c r="Y49949" s="97"/>
    </row>
    <row r="49950" spans="25:25" x14ac:dyDescent="0.2">
      <c r="Y49950" s="97"/>
    </row>
    <row r="49951" spans="25:25" x14ac:dyDescent="0.2">
      <c r="Y49951" s="97"/>
    </row>
    <row r="49952" spans="25:25" x14ac:dyDescent="0.2">
      <c r="Y49952" s="97"/>
    </row>
    <row r="49953" spans="25:25" x14ac:dyDescent="0.2">
      <c r="Y49953" s="97"/>
    </row>
    <row r="49954" spans="25:25" x14ac:dyDescent="0.2">
      <c r="Y49954" s="97"/>
    </row>
    <row r="49955" spans="25:25" x14ac:dyDescent="0.2">
      <c r="Y49955" s="97"/>
    </row>
    <row r="49956" spans="25:25" x14ac:dyDescent="0.2">
      <c r="Y49956" s="97"/>
    </row>
    <row r="49957" spans="25:25" x14ac:dyDescent="0.2">
      <c r="Y49957" s="97"/>
    </row>
    <row r="49958" spans="25:25" x14ac:dyDescent="0.2">
      <c r="Y49958" s="97"/>
    </row>
    <row r="49959" spans="25:25" x14ac:dyDescent="0.2">
      <c r="Y49959" s="97"/>
    </row>
    <row r="49960" spans="25:25" x14ac:dyDescent="0.2">
      <c r="Y49960" s="97"/>
    </row>
    <row r="49961" spans="25:25" x14ac:dyDescent="0.2">
      <c r="Y49961" s="97"/>
    </row>
    <row r="49962" spans="25:25" x14ac:dyDescent="0.2">
      <c r="Y49962" s="97"/>
    </row>
    <row r="49963" spans="25:25" x14ac:dyDescent="0.2">
      <c r="Y49963" s="97"/>
    </row>
    <row r="49964" spans="25:25" x14ac:dyDescent="0.2">
      <c r="Y49964" s="97"/>
    </row>
    <row r="49965" spans="25:25" x14ac:dyDescent="0.2">
      <c r="Y49965" s="97"/>
    </row>
    <row r="49966" spans="25:25" x14ac:dyDescent="0.2">
      <c r="Y49966" s="97"/>
    </row>
    <row r="49967" spans="25:25" x14ac:dyDescent="0.2">
      <c r="Y49967" s="97"/>
    </row>
    <row r="49968" spans="25:25" x14ac:dyDescent="0.2">
      <c r="Y49968" s="97"/>
    </row>
    <row r="49969" spans="25:25" x14ac:dyDescent="0.2">
      <c r="Y49969" s="97"/>
    </row>
    <row r="49970" spans="25:25" x14ac:dyDescent="0.2">
      <c r="Y49970" s="97"/>
    </row>
    <row r="49971" spans="25:25" x14ac:dyDescent="0.2">
      <c r="Y49971" s="97"/>
    </row>
    <row r="49972" spans="25:25" x14ac:dyDescent="0.2">
      <c r="Y49972" s="97"/>
    </row>
    <row r="49973" spans="25:25" x14ac:dyDescent="0.2">
      <c r="Y49973" s="97"/>
    </row>
    <row r="49974" spans="25:25" x14ac:dyDescent="0.2">
      <c r="Y49974" s="97"/>
    </row>
    <row r="49975" spans="25:25" x14ac:dyDescent="0.2">
      <c r="Y49975" s="97"/>
    </row>
    <row r="49976" spans="25:25" x14ac:dyDescent="0.2">
      <c r="Y49976" s="97"/>
    </row>
    <row r="49977" spans="25:25" x14ac:dyDescent="0.2">
      <c r="Y49977" s="97"/>
    </row>
    <row r="49978" spans="25:25" x14ac:dyDescent="0.2">
      <c r="Y49978" s="97"/>
    </row>
    <row r="49979" spans="25:25" x14ac:dyDescent="0.2">
      <c r="Y49979" s="97"/>
    </row>
    <row r="49980" spans="25:25" x14ac:dyDescent="0.2">
      <c r="Y49980" s="97"/>
    </row>
    <row r="49981" spans="25:25" x14ac:dyDescent="0.2">
      <c r="Y49981" s="97"/>
    </row>
    <row r="49982" spans="25:25" x14ac:dyDescent="0.2">
      <c r="Y49982" s="97"/>
    </row>
    <row r="49983" spans="25:25" x14ac:dyDescent="0.2">
      <c r="Y49983" s="97"/>
    </row>
    <row r="49984" spans="25:25" x14ac:dyDescent="0.2">
      <c r="Y49984" s="97"/>
    </row>
    <row r="49985" spans="25:25" x14ac:dyDescent="0.2">
      <c r="Y49985" s="97"/>
    </row>
    <row r="49986" spans="25:25" x14ac:dyDescent="0.2">
      <c r="Y49986" s="97"/>
    </row>
    <row r="49987" spans="25:25" x14ac:dyDescent="0.2">
      <c r="Y49987" s="97"/>
    </row>
    <row r="49988" spans="25:25" x14ac:dyDescent="0.2">
      <c r="Y49988" s="97"/>
    </row>
    <row r="49989" spans="25:25" x14ac:dyDescent="0.2">
      <c r="Y49989" s="97"/>
    </row>
    <row r="49990" spans="25:25" x14ac:dyDescent="0.2">
      <c r="Y49990" s="97"/>
    </row>
    <row r="49991" spans="25:25" x14ac:dyDescent="0.2">
      <c r="Y49991" s="97"/>
    </row>
    <row r="49992" spans="25:25" x14ac:dyDescent="0.2">
      <c r="Y49992" s="97"/>
    </row>
    <row r="49993" spans="25:25" x14ac:dyDescent="0.2">
      <c r="Y49993" s="97"/>
    </row>
    <row r="49994" spans="25:25" x14ac:dyDescent="0.2">
      <c r="Y49994" s="97"/>
    </row>
    <row r="49995" spans="25:25" x14ac:dyDescent="0.2">
      <c r="Y49995" s="97"/>
    </row>
    <row r="49996" spans="25:25" x14ac:dyDescent="0.2">
      <c r="Y49996" s="97"/>
    </row>
    <row r="49997" spans="25:25" x14ac:dyDescent="0.2">
      <c r="Y49997" s="97"/>
    </row>
    <row r="49998" spans="25:25" x14ac:dyDescent="0.2">
      <c r="Y49998" s="97"/>
    </row>
    <row r="49999" spans="25:25" x14ac:dyDescent="0.2">
      <c r="Y49999" s="97"/>
    </row>
    <row r="50000" spans="25:25" x14ac:dyDescent="0.2">
      <c r="Y50000" s="97"/>
    </row>
    <row r="50001" spans="25:25" x14ac:dyDescent="0.2">
      <c r="Y50001" s="97"/>
    </row>
    <row r="50002" spans="25:25" x14ac:dyDescent="0.2">
      <c r="Y50002" s="97"/>
    </row>
    <row r="50003" spans="25:25" x14ac:dyDescent="0.2">
      <c r="Y50003" s="97"/>
    </row>
    <row r="50004" spans="25:25" x14ac:dyDescent="0.2">
      <c r="Y50004" s="97"/>
    </row>
    <row r="50005" spans="25:25" x14ac:dyDescent="0.2">
      <c r="Y50005" s="97"/>
    </row>
    <row r="50006" spans="25:25" x14ac:dyDescent="0.2">
      <c r="Y50006" s="97"/>
    </row>
    <row r="50007" spans="25:25" x14ac:dyDescent="0.2">
      <c r="Y50007" s="97"/>
    </row>
    <row r="50008" spans="25:25" x14ac:dyDescent="0.2">
      <c r="Y50008" s="97"/>
    </row>
    <row r="50009" spans="25:25" x14ac:dyDescent="0.2">
      <c r="Y50009" s="97"/>
    </row>
    <row r="50010" spans="25:25" x14ac:dyDescent="0.2">
      <c r="Y50010" s="97"/>
    </row>
    <row r="50011" spans="25:25" x14ac:dyDescent="0.2">
      <c r="Y50011" s="97"/>
    </row>
    <row r="50012" spans="25:25" x14ac:dyDescent="0.2">
      <c r="Y50012" s="97"/>
    </row>
    <row r="50013" spans="25:25" x14ac:dyDescent="0.2">
      <c r="Y50013" s="97"/>
    </row>
    <row r="50014" spans="25:25" x14ac:dyDescent="0.2">
      <c r="Y50014" s="97"/>
    </row>
    <row r="50015" spans="25:25" x14ac:dyDescent="0.2">
      <c r="Y50015" s="97"/>
    </row>
    <row r="50016" spans="25:25" x14ac:dyDescent="0.2">
      <c r="Y50016" s="97"/>
    </row>
    <row r="50017" spans="25:25" x14ac:dyDescent="0.2">
      <c r="Y50017" s="97"/>
    </row>
    <row r="50018" spans="25:25" x14ac:dyDescent="0.2">
      <c r="Y50018" s="97"/>
    </row>
    <row r="50019" spans="25:25" x14ac:dyDescent="0.2">
      <c r="Y50019" s="97"/>
    </row>
    <row r="50020" spans="25:25" x14ac:dyDescent="0.2">
      <c r="Y50020" s="97"/>
    </row>
    <row r="50021" spans="25:25" x14ac:dyDescent="0.2">
      <c r="Y50021" s="97"/>
    </row>
    <row r="50022" spans="25:25" x14ac:dyDescent="0.2">
      <c r="Y50022" s="97"/>
    </row>
    <row r="50023" spans="25:25" x14ac:dyDescent="0.2">
      <c r="Y50023" s="97"/>
    </row>
    <row r="50024" spans="25:25" x14ac:dyDescent="0.2">
      <c r="Y50024" s="97"/>
    </row>
    <row r="50025" spans="25:25" x14ac:dyDescent="0.2">
      <c r="Y50025" s="97"/>
    </row>
    <row r="50026" spans="25:25" x14ac:dyDescent="0.2">
      <c r="Y50026" s="97"/>
    </row>
    <row r="50027" spans="25:25" x14ac:dyDescent="0.2">
      <c r="Y50027" s="97"/>
    </row>
    <row r="50028" spans="25:25" x14ac:dyDescent="0.2">
      <c r="Y50028" s="97"/>
    </row>
    <row r="50029" spans="25:25" x14ac:dyDescent="0.2">
      <c r="Y50029" s="97"/>
    </row>
    <row r="50030" spans="25:25" x14ac:dyDescent="0.2">
      <c r="Y50030" s="97"/>
    </row>
    <row r="50031" spans="25:25" x14ac:dyDescent="0.2">
      <c r="Y50031" s="97"/>
    </row>
    <row r="50032" spans="25:25" x14ac:dyDescent="0.2">
      <c r="Y50032" s="97"/>
    </row>
    <row r="50033" spans="25:25" x14ac:dyDescent="0.2">
      <c r="Y50033" s="97"/>
    </row>
    <row r="50034" spans="25:25" x14ac:dyDescent="0.2">
      <c r="Y50034" s="97"/>
    </row>
    <row r="50035" spans="25:25" x14ac:dyDescent="0.2">
      <c r="Y50035" s="97"/>
    </row>
    <row r="50036" spans="25:25" x14ac:dyDescent="0.2">
      <c r="Y50036" s="97"/>
    </row>
    <row r="50037" spans="25:25" x14ac:dyDescent="0.2">
      <c r="Y50037" s="97"/>
    </row>
    <row r="50038" spans="25:25" x14ac:dyDescent="0.2">
      <c r="Y50038" s="97"/>
    </row>
    <row r="50039" spans="25:25" x14ac:dyDescent="0.2">
      <c r="Y50039" s="97"/>
    </row>
    <row r="50040" spans="25:25" x14ac:dyDescent="0.2">
      <c r="Y50040" s="97"/>
    </row>
    <row r="50041" spans="25:25" x14ac:dyDescent="0.2">
      <c r="Y50041" s="97"/>
    </row>
    <row r="50042" spans="25:25" x14ac:dyDescent="0.2">
      <c r="Y50042" s="97"/>
    </row>
    <row r="50043" spans="25:25" x14ac:dyDescent="0.2">
      <c r="Y50043" s="97"/>
    </row>
    <row r="50044" spans="25:25" x14ac:dyDescent="0.2">
      <c r="Y50044" s="97"/>
    </row>
    <row r="50045" spans="25:25" x14ac:dyDescent="0.2">
      <c r="Y50045" s="97"/>
    </row>
    <row r="50046" spans="25:25" x14ac:dyDescent="0.2">
      <c r="Y50046" s="97"/>
    </row>
    <row r="50047" spans="25:25" x14ac:dyDescent="0.2">
      <c r="Y50047" s="97"/>
    </row>
    <row r="50048" spans="25:25" x14ac:dyDescent="0.2">
      <c r="Y50048" s="97"/>
    </row>
    <row r="50049" spans="25:25" x14ac:dyDescent="0.2">
      <c r="Y50049" s="97"/>
    </row>
    <row r="50050" spans="25:25" x14ac:dyDescent="0.2">
      <c r="Y50050" s="97"/>
    </row>
    <row r="50051" spans="25:25" x14ac:dyDescent="0.2">
      <c r="Y50051" s="97"/>
    </row>
    <row r="50052" spans="25:25" x14ac:dyDescent="0.2">
      <c r="Y50052" s="97"/>
    </row>
    <row r="50053" spans="25:25" x14ac:dyDescent="0.2">
      <c r="Y50053" s="97"/>
    </row>
    <row r="50054" spans="25:25" x14ac:dyDescent="0.2">
      <c r="Y50054" s="97"/>
    </row>
    <row r="50055" spans="25:25" x14ac:dyDescent="0.2">
      <c r="Y50055" s="97"/>
    </row>
    <row r="50056" spans="25:25" x14ac:dyDescent="0.2">
      <c r="Y50056" s="97"/>
    </row>
    <row r="50057" spans="25:25" x14ac:dyDescent="0.2">
      <c r="Y50057" s="97"/>
    </row>
    <row r="50058" spans="25:25" x14ac:dyDescent="0.2">
      <c r="Y50058" s="97"/>
    </row>
    <row r="50059" spans="25:25" x14ac:dyDescent="0.2">
      <c r="Y50059" s="97"/>
    </row>
    <row r="50060" spans="25:25" x14ac:dyDescent="0.2">
      <c r="Y50060" s="97"/>
    </row>
    <row r="50061" spans="25:25" x14ac:dyDescent="0.2">
      <c r="Y50061" s="97"/>
    </row>
    <row r="50062" spans="25:25" x14ac:dyDescent="0.2">
      <c r="Y50062" s="97"/>
    </row>
    <row r="50063" spans="25:25" x14ac:dyDescent="0.2">
      <c r="Y50063" s="97"/>
    </row>
    <row r="50064" spans="25:25" x14ac:dyDescent="0.2">
      <c r="Y50064" s="97"/>
    </row>
    <row r="50065" spans="25:25" x14ac:dyDescent="0.2">
      <c r="Y50065" s="97"/>
    </row>
    <row r="50066" spans="25:25" x14ac:dyDescent="0.2">
      <c r="Y50066" s="97"/>
    </row>
    <row r="50067" spans="25:25" x14ac:dyDescent="0.2">
      <c r="Y50067" s="97"/>
    </row>
    <row r="50068" spans="25:25" x14ac:dyDescent="0.2">
      <c r="Y50068" s="97"/>
    </row>
    <row r="50069" spans="25:25" x14ac:dyDescent="0.2">
      <c r="Y50069" s="97"/>
    </row>
    <row r="50070" spans="25:25" x14ac:dyDescent="0.2">
      <c r="Y50070" s="97"/>
    </row>
    <row r="50071" spans="25:25" x14ac:dyDescent="0.2">
      <c r="Y50071" s="97"/>
    </row>
    <row r="50072" spans="25:25" x14ac:dyDescent="0.2">
      <c r="Y50072" s="97"/>
    </row>
    <row r="50073" spans="25:25" x14ac:dyDescent="0.2">
      <c r="Y50073" s="97"/>
    </row>
    <row r="50074" spans="25:25" x14ac:dyDescent="0.2">
      <c r="Y50074" s="97"/>
    </row>
    <row r="50075" spans="25:25" x14ac:dyDescent="0.2">
      <c r="Y50075" s="97"/>
    </row>
    <row r="50076" spans="25:25" x14ac:dyDescent="0.2">
      <c r="Y50076" s="97"/>
    </row>
    <row r="50077" spans="25:25" x14ac:dyDescent="0.2">
      <c r="Y50077" s="97"/>
    </row>
    <row r="50078" spans="25:25" x14ac:dyDescent="0.2">
      <c r="Y50078" s="97"/>
    </row>
    <row r="50079" spans="25:25" x14ac:dyDescent="0.2">
      <c r="Y50079" s="97"/>
    </row>
    <row r="50080" spans="25:25" x14ac:dyDescent="0.2">
      <c r="Y50080" s="97"/>
    </row>
    <row r="50081" spans="25:25" x14ac:dyDescent="0.2">
      <c r="Y50081" s="97"/>
    </row>
    <row r="50082" spans="25:25" x14ac:dyDescent="0.2">
      <c r="Y50082" s="97"/>
    </row>
    <row r="50083" spans="25:25" x14ac:dyDescent="0.2">
      <c r="Y50083" s="97"/>
    </row>
    <row r="50084" spans="25:25" x14ac:dyDescent="0.2">
      <c r="Y50084" s="97"/>
    </row>
    <row r="50085" spans="25:25" x14ac:dyDescent="0.2">
      <c r="Y50085" s="97"/>
    </row>
    <row r="50086" spans="25:25" x14ac:dyDescent="0.2">
      <c r="Y50086" s="97"/>
    </row>
    <row r="50087" spans="25:25" x14ac:dyDescent="0.2">
      <c r="Y50087" s="97"/>
    </row>
    <row r="50088" spans="25:25" x14ac:dyDescent="0.2">
      <c r="Y50088" s="97"/>
    </row>
    <row r="50089" spans="25:25" x14ac:dyDescent="0.2">
      <c r="Y50089" s="97"/>
    </row>
    <row r="50090" spans="25:25" x14ac:dyDescent="0.2">
      <c r="Y50090" s="97"/>
    </row>
    <row r="50091" spans="25:25" x14ac:dyDescent="0.2">
      <c r="Y50091" s="97"/>
    </row>
    <row r="50092" spans="25:25" x14ac:dyDescent="0.2">
      <c r="Y50092" s="97"/>
    </row>
    <row r="50093" spans="25:25" x14ac:dyDescent="0.2">
      <c r="Y50093" s="97"/>
    </row>
    <row r="50094" spans="25:25" x14ac:dyDescent="0.2">
      <c r="Y50094" s="97"/>
    </row>
    <row r="50095" spans="25:25" x14ac:dyDescent="0.2">
      <c r="Y50095" s="97"/>
    </row>
    <row r="50096" spans="25:25" x14ac:dyDescent="0.2">
      <c r="Y50096" s="97"/>
    </row>
    <row r="50097" spans="25:25" x14ac:dyDescent="0.2">
      <c r="Y50097" s="97"/>
    </row>
    <row r="50098" spans="25:25" x14ac:dyDescent="0.2">
      <c r="Y50098" s="97"/>
    </row>
    <row r="50099" spans="25:25" x14ac:dyDescent="0.2">
      <c r="Y50099" s="97"/>
    </row>
    <row r="50100" spans="25:25" x14ac:dyDescent="0.2">
      <c r="Y50100" s="97"/>
    </row>
    <row r="50101" spans="25:25" x14ac:dyDescent="0.2">
      <c r="Y50101" s="97"/>
    </row>
    <row r="50102" spans="25:25" x14ac:dyDescent="0.2">
      <c r="Y50102" s="97"/>
    </row>
    <row r="50103" spans="25:25" x14ac:dyDescent="0.2">
      <c r="Y50103" s="97"/>
    </row>
    <row r="50104" spans="25:25" x14ac:dyDescent="0.2">
      <c r="Y50104" s="97"/>
    </row>
    <row r="50105" spans="25:25" x14ac:dyDescent="0.2">
      <c r="Y50105" s="97"/>
    </row>
    <row r="50106" spans="25:25" x14ac:dyDescent="0.2">
      <c r="Y50106" s="97"/>
    </row>
    <row r="50107" spans="25:25" x14ac:dyDescent="0.2">
      <c r="Y50107" s="97"/>
    </row>
    <row r="50108" spans="25:25" x14ac:dyDescent="0.2">
      <c r="Y50108" s="97"/>
    </row>
    <row r="50109" spans="25:25" x14ac:dyDescent="0.2">
      <c r="Y50109" s="97"/>
    </row>
    <row r="50110" spans="25:25" x14ac:dyDescent="0.2">
      <c r="Y50110" s="97"/>
    </row>
    <row r="50111" spans="25:25" x14ac:dyDescent="0.2">
      <c r="Y50111" s="97"/>
    </row>
    <row r="50112" spans="25:25" x14ac:dyDescent="0.2">
      <c r="Y50112" s="97"/>
    </row>
    <row r="50113" spans="25:25" x14ac:dyDescent="0.2">
      <c r="Y50113" s="97"/>
    </row>
    <row r="50114" spans="25:25" x14ac:dyDescent="0.2">
      <c r="Y50114" s="97"/>
    </row>
    <row r="50115" spans="25:25" x14ac:dyDescent="0.2">
      <c r="Y50115" s="97"/>
    </row>
    <row r="50116" spans="25:25" x14ac:dyDescent="0.2">
      <c r="Y50116" s="97"/>
    </row>
    <row r="50117" spans="25:25" x14ac:dyDescent="0.2">
      <c r="Y50117" s="97"/>
    </row>
    <row r="50118" spans="25:25" x14ac:dyDescent="0.2">
      <c r="Y50118" s="97"/>
    </row>
    <row r="50119" spans="25:25" x14ac:dyDescent="0.2">
      <c r="Y50119" s="97"/>
    </row>
    <row r="50120" spans="25:25" x14ac:dyDescent="0.2">
      <c r="Y50120" s="97"/>
    </row>
    <row r="50121" spans="25:25" x14ac:dyDescent="0.2">
      <c r="Y50121" s="97"/>
    </row>
    <row r="50122" spans="25:25" x14ac:dyDescent="0.2">
      <c r="Y50122" s="97"/>
    </row>
    <row r="50123" spans="25:25" x14ac:dyDescent="0.2">
      <c r="Y50123" s="97"/>
    </row>
    <row r="50124" spans="25:25" x14ac:dyDescent="0.2">
      <c r="Y50124" s="97"/>
    </row>
    <row r="50125" spans="25:25" x14ac:dyDescent="0.2">
      <c r="Y50125" s="97"/>
    </row>
    <row r="50126" spans="25:25" x14ac:dyDescent="0.2">
      <c r="Y50126" s="97"/>
    </row>
    <row r="50127" spans="25:25" x14ac:dyDescent="0.2">
      <c r="Y50127" s="97"/>
    </row>
    <row r="50128" spans="25:25" x14ac:dyDescent="0.2">
      <c r="Y50128" s="97"/>
    </row>
    <row r="50129" spans="25:25" x14ac:dyDescent="0.2">
      <c r="Y50129" s="97"/>
    </row>
    <row r="50130" spans="25:25" x14ac:dyDescent="0.2">
      <c r="Y50130" s="97"/>
    </row>
    <row r="50131" spans="25:25" x14ac:dyDescent="0.2">
      <c r="Y50131" s="97"/>
    </row>
    <row r="50132" spans="25:25" x14ac:dyDescent="0.2">
      <c r="Y50132" s="97"/>
    </row>
    <row r="50133" spans="25:25" x14ac:dyDescent="0.2">
      <c r="Y50133" s="97"/>
    </row>
    <row r="50134" spans="25:25" x14ac:dyDescent="0.2">
      <c r="Y50134" s="97"/>
    </row>
    <row r="50135" spans="25:25" x14ac:dyDescent="0.2">
      <c r="Y50135" s="97"/>
    </row>
    <row r="50136" spans="25:25" x14ac:dyDescent="0.2">
      <c r="Y50136" s="97"/>
    </row>
    <row r="50137" spans="25:25" x14ac:dyDescent="0.2">
      <c r="Y50137" s="97"/>
    </row>
    <row r="50138" spans="25:25" x14ac:dyDescent="0.2">
      <c r="Y50138" s="97"/>
    </row>
    <row r="50139" spans="25:25" x14ac:dyDescent="0.2">
      <c r="Y50139" s="97"/>
    </row>
    <row r="50140" spans="25:25" x14ac:dyDescent="0.2">
      <c r="Y50140" s="97"/>
    </row>
    <row r="50141" spans="25:25" x14ac:dyDescent="0.2">
      <c r="Y50141" s="97"/>
    </row>
    <row r="50142" spans="25:25" x14ac:dyDescent="0.2">
      <c r="Y50142" s="97"/>
    </row>
    <row r="50143" spans="25:25" x14ac:dyDescent="0.2">
      <c r="Y50143" s="97"/>
    </row>
    <row r="50144" spans="25:25" x14ac:dyDescent="0.2">
      <c r="Y50144" s="97"/>
    </row>
    <row r="50145" spans="25:25" x14ac:dyDescent="0.2">
      <c r="Y50145" s="97"/>
    </row>
    <row r="50146" spans="25:25" x14ac:dyDescent="0.2">
      <c r="Y50146" s="97"/>
    </row>
    <row r="50147" spans="25:25" x14ac:dyDescent="0.2">
      <c r="Y50147" s="97"/>
    </row>
    <row r="50148" spans="25:25" x14ac:dyDescent="0.2">
      <c r="Y50148" s="97"/>
    </row>
    <row r="50149" spans="25:25" x14ac:dyDescent="0.2">
      <c r="Y50149" s="97"/>
    </row>
    <row r="50150" spans="25:25" x14ac:dyDescent="0.2">
      <c r="Y50150" s="97"/>
    </row>
    <row r="50151" spans="25:25" x14ac:dyDescent="0.2">
      <c r="Y50151" s="97"/>
    </row>
    <row r="50152" spans="25:25" x14ac:dyDescent="0.2">
      <c r="Y50152" s="97"/>
    </row>
    <row r="50153" spans="25:25" x14ac:dyDescent="0.2">
      <c r="Y50153" s="97"/>
    </row>
    <row r="50154" spans="25:25" x14ac:dyDescent="0.2">
      <c r="Y50154" s="97"/>
    </row>
    <row r="50155" spans="25:25" x14ac:dyDescent="0.2">
      <c r="Y50155" s="97"/>
    </row>
    <row r="50156" spans="25:25" x14ac:dyDescent="0.2">
      <c r="Y50156" s="97"/>
    </row>
    <row r="50157" spans="25:25" x14ac:dyDescent="0.2">
      <c r="Y50157" s="97"/>
    </row>
    <row r="50158" spans="25:25" x14ac:dyDescent="0.2">
      <c r="Y50158" s="97"/>
    </row>
    <row r="50159" spans="25:25" x14ac:dyDescent="0.2">
      <c r="Y50159" s="97"/>
    </row>
    <row r="50160" spans="25:25" x14ac:dyDescent="0.2">
      <c r="Y50160" s="97"/>
    </row>
    <row r="50161" spans="25:25" x14ac:dyDescent="0.2">
      <c r="Y50161" s="97"/>
    </row>
    <row r="50162" spans="25:25" x14ac:dyDescent="0.2">
      <c r="Y50162" s="97"/>
    </row>
    <row r="50163" spans="25:25" x14ac:dyDescent="0.2">
      <c r="Y50163" s="97"/>
    </row>
    <row r="50164" spans="25:25" x14ac:dyDescent="0.2">
      <c r="Y50164" s="97"/>
    </row>
    <row r="50165" spans="25:25" x14ac:dyDescent="0.2">
      <c r="Y50165" s="97"/>
    </row>
    <row r="50166" spans="25:25" x14ac:dyDescent="0.2">
      <c r="Y50166" s="97"/>
    </row>
    <row r="50167" spans="25:25" x14ac:dyDescent="0.2">
      <c r="Y50167" s="97"/>
    </row>
    <row r="50168" spans="25:25" x14ac:dyDescent="0.2">
      <c r="Y50168" s="97"/>
    </row>
    <row r="50169" spans="25:25" x14ac:dyDescent="0.2">
      <c r="Y50169" s="97"/>
    </row>
    <row r="50170" spans="25:25" x14ac:dyDescent="0.2">
      <c r="Y50170" s="97"/>
    </row>
    <row r="50171" spans="25:25" x14ac:dyDescent="0.2">
      <c r="Y50171" s="97"/>
    </row>
    <row r="50172" spans="25:25" x14ac:dyDescent="0.2">
      <c r="Y50172" s="97"/>
    </row>
    <row r="50173" spans="25:25" x14ac:dyDescent="0.2">
      <c r="Y50173" s="97"/>
    </row>
    <row r="50174" spans="25:25" x14ac:dyDescent="0.2">
      <c r="Y50174" s="97"/>
    </row>
    <row r="50175" spans="25:25" x14ac:dyDescent="0.2">
      <c r="Y50175" s="97"/>
    </row>
    <row r="50176" spans="25:25" x14ac:dyDescent="0.2">
      <c r="Y50176" s="97"/>
    </row>
    <row r="50177" spans="25:25" x14ac:dyDescent="0.2">
      <c r="Y50177" s="97"/>
    </row>
    <row r="50178" spans="25:25" x14ac:dyDescent="0.2">
      <c r="Y50178" s="97"/>
    </row>
    <row r="50179" spans="25:25" x14ac:dyDescent="0.2">
      <c r="Y50179" s="97"/>
    </row>
    <row r="50180" spans="25:25" x14ac:dyDescent="0.2">
      <c r="Y50180" s="97"/>
    </row>
    <row r="50181" spans="25:25" x14ac:dyDescent="0.2">
      <c r="Y50181" s="97"/>
    </row>
    <row r="50182" spans="25:25" x14ac:dyDescent="0.2">
      <c r="Y50182" s="97"/>
    </row>
    <row r="50183" spans="25:25" x14ac:dyDescent="0.2">
      <c r="Y50183" s="97"/>
    </row>
    <row r="50184" spans="25:25" x14ac:dyDescent="0.2">
      <c r="Y50184" s="97"/>
    </row>
    <row r="50185" spans="25:25" x14ac:dyDescent="0.2">
      <c r="Y50185" s="97"/>
    </row>
    <row r="50186" spans="25:25" x14ac:dyDescent="0.2">
      <c r="Y50186" s="97"/>
    </row>
    <row r="50187" spans="25:25" x14ac:dyDescent="0.2">
      <c r="Y50187" s="97"/>
    </row>
    <row r="50188" spans="25:25" x14ac:dyDescent="0.2">
      <c r="Y50188" s="97"/>
    </row>
    <row r="50189" spans="25:25" x14ac:dyDescent="0.2">
      <c r="Y50189" s="97"/>
    </row>
    <row r="50190" spans="25:25" x14ac:dyDescent="0.2">
      <c r="Y50190" s="97"/>
    </row>
    <row r="50191" spans="25:25" x14ac:dyDescent="0.2">
      <c r="Y50191" s="97"/>
    </row>
    <row r="50192" spans="25:25" x14ac:dyDescent="0.2">
      <c r="Y50192" s="97"/>
    </row>
    <row r="50193" spans="25:25" x14ac:dyDescent="0.2">
      <c r="Y50193" s="97"/>
    </row>
    <row r="50194" spans="25:25" x14ac:dyDescent="0.2">
      <c r="Y50194" s="97"/>
    </row>
    <row r="50195" spans="25:25" x14ac:dyDescent="0.2">
      <c r="Y50195" s="97"/>
    </row>
    <row r="50196" spans="25:25" x14ac:dyDescent="0.2">
      <c r="Y50196" s="97"/>
    </row>
    <row r="50197" spans="25:25" x14ac:dyDescent="0.2">
      <c r="Y50197" s="97"/>
    </row>
    <row r="50198" spans="25:25" x14ac:dyDescent="0.2">
      <c r="Y50198" s="97"/>
    </row>
    <row r="50199" spans="25:25" x14ac:dyDescent="0.2">
      <c r="Y50199" s="97"/>
    </row>
    <row r="50200" spans="25:25" x14ac:dyDescent="0.2">
      <c r="Y50200" s="97"/>
    </row>
    <row r="50201" spans="25:25" x14ac:dyDescent="0.2">
      <c r="Y50201" s="97"/>
    </row>
    <row r="50202" spans="25:25" x14ac:dyDescent="0.2">
      <c r="Y50202" s="97"/>
    </row>
    <row r="50203" spans="25:25" x14ac:dyDescent="0.2">
      <c r="Y50203" s="97"/>
    </row>
    <row r="50204" spans="25:25" x14ac:dyDescent="0.2">
      <c r="Y50204" s="97"/>
    </row>
    <row r="50205" spans="25:25" x14ac:dyDescent="0.2">
      <c r="Y50205" s="97"/>
    </row>
    <row r="50206" spans="25:25" x14ac:dyDescent="0.2">
      <c r="Y50206" s="97"/>
    </row>
    <row r="50207" spans="25:25" x14ac:dyDescent="0.2">
      <c r="Y50207" s="97"/>
    </row>
    <row r="50208" spans="25:25" x14ac:dyDescent="0.2">
      <c r="Y50208" s="97"/>
    </row>
    <row r="50209" spans="25:25" x14ac:dyDescent="0.2">
      <c r="Y50209" s="97"/>
    </row>
    <row r="50210" spans="25:25" x14ac:dyDescent="0.2">
      <c r="Y50210" s="97"/>
    </row>
    <row r="50211" spans="25:25" x14ac:dyDescent="0.2">
      <c r="Y50211" s="97"/>
    </row>
    <row r="50212" spans="25:25" x14ac:dyDescent="0.2">
      <c r="Y50212" s="97"/>
    </row>
    <row r="50213" spans="25:25" x14ac:dyDescent="0.2">
      <c r="Y50213" s="97"/>
    </row>
    <row r="50214" spans="25:25" x14ac:dyDescent="0.2">
      <c r="Y50214" s="97"/>
    </row>
    <row r="50215" spans="25:25" x14ac:dyDescent="0.2">
      <c r="Y50215" s="97"/>
    </row>
    <row r="50216" spans="25:25" x14ac:dyDescent="0.2">
      <c r="Y50216" s="97"/>
    </row>
    <row r="50217" spans="25:25" x14ac:dyDescent="0.2">
      <c r="Y50217" s="97"/>
    </row>
    <row r="50218" spans="25:25" x14ac:dyDescent="0.2">
      <c r="Y50218" s="97"/>
    </row>
    <row r="50219" spans="25:25" x14ac:dyDescent="0.2">
      <c r="Y50219" s="97"/>
    </row>
    <row r="50220" spans="25:25" x14ac:dyDescent="0.2">
      <c r="Y50220" s="97"/>
    </row>
    <row r="50221" spans="25:25" x14ac:dyDescent="0.2">
      <c r="Y50221" s="97"/>
    </row>
    <row r="50222" spans="25:25" x14ac:dyDescent="0.2">
      <c r="Y50222" s="97"/>
    </row>
    <row r="50223" spans="25:25" x14ac:dyDescent="0.2">
      <c r="Y50223" s="97"/>
    </row>
    <row r="50224" spans="25:25" x14ac:dyDescent="0.2">
      <c r="Y50224" s="97"/>
    </row>
    <row r="50225" spans="25:25" x14ac:dyDescent="0.2">
      <c r="Y50225" s="97"/>
    </row>
    <row r="50226" spans="25:25" x14ac:dyDescent="0.2">
      <c r="Y50226" s="97"/>
    </row>
    <row r="50227" spans="25:25" x14ac:dyDescent="0.2">
      <c r="Y50227" s="97"/>
    </row>
    <row r="50228" spans="25:25" x14ac:dyDescent="0.2">
      <c r="Y50228" s="97"/>
    </row>
    <row r="50229" spans="25:25" x14ac:dyDescent="0.2">
      <c r="Y50229" s="97"/>
    </row>
    <row r="50230" spans="25:25" x14ac:dyDescent="0.2">
      <c r="Y50230" s="97"/>
    </row>
    <row r="50231" spans="25:25" x14ac:dyDescent="0.2">
      <c r="Y50231" s="97"/>
    </row>
    <row r="50232" spans="25:25" x14ac:dyDescent="0.2">
      <c r="Y50232" s="97"/>
    </row>
    <row r="50233" spans="25:25" x14ac:dyDescent="0.2">
      <c r="Y50233" s="97"/>
    </row>
    <row r="50234" spans="25:25" x14ac:dyDescent="0.2">
      <c r="Y50234" s="97"/>
    </row>
    <row r="50235" spans="25:25" x14ac:dyDescent="0.2">
      <c r="Y50235" s="97"/>
    </row>
    <row r="50236" spans="25:25" x14ac:dyDescent="0.2">
      <c r="Y50236" s="97"/>
    </row>
    <row r="50237" spans="25:25" x14ac:dyDescent="0.2">
      <c r="Y50237" s="97"/>
    </row>
    <row r="50238" spans="25:25" x14ac:dyDescent="0.2">
      <c r="Y50238" s="97"/>
    </row>
    <row r="50239" spans="25:25" x14ac:dyDescent="0.2">
      <c r="Y50239" s="97"/>
    </row>
    <row r="50240" spans="25:25" x14ac:dyDescent="0.2">
      <c r="Y50240" s="97"/>
    </row>
    <row r="50241" spans="25:25" x14ac:dyDescent="0.2">
      <c r="Y50241" s="97"/>
    </row>
    <row r="50242" spans="25:25" x14ac:dyDescent="0.2">
      <c r="Y50242" s="97"/>
    </row>
    <row r="50243" spans="25:25" x14ac:dyDescent="0.2">
      <c r="Y50243" s="97"/>
    </row>
    <row r="50244" spans="25:25" x14ac:dyDescent="0.2">
      <c r="Y50244" s="97"/>
    </row>
    <row r="50245" spans="25:25" x14ac:dyDescent="0.2">
      <c r="Y50245" s="97"/>
    </row>
    <row r="50246" spans="25:25" x14ac:dyDescent="0.2">
      <c r="Y50246" s="97"/>
    </row>
    <row r="50247" spans="25:25" x14ac:dyDescent="0.2">
      <c r="Y50247" s="97"/>
    </row>
    <row r="50248" spans="25:25" x14ac:dyDescent="0.2">
      <c r="Y50248" s="97"/>
    </row>
    <row r="50249" spans="25:25" x14ac:dyDescent="0.2">
      <c r="Y50249" s="97"/>
    </row>
    <row r="50250" spans="25:25" x14ac:dyDescent="0.2">
      <c r="Y50250" s="97"/>
    </row>
    <row r="50251" spans="25:25" x14ac:dyDescent="0.2">
      <c r="Y50251" s="97"/>
    </row>
    <row r="50252" spans="25:25" x14ac:dyDescent="0.2">
      <c r="Y50252" s="97"/>
    </row>
    <row r="50253" spans="25:25" x14ac:dyDescent="0.2">
      <c r="Y50253" s="97"/>
    </row>
    <row r="50254" spans="25:25" x14ac:dyDescent="0.2">
      <c r="Y50254" s="97"/>
    </row>
    <row r="50255" spans="25:25" x14ac:dyDescent="0.2">
      <c r="Y50255" s="97"/>
    </row>
    <row r="50256" spans="25:25" x14ac:dyDescent="0.2">
      <c r="Y50256" s="97"/>
    </row>
    <row r="50257" spans="25:25" x14ac:dyDescent="0.2">
      <c r="Y50257" s="97"/>
    </row>
    <row r="50258" spans="25:25" x14ac:dyDescent="0.2">
      <c r="Y50258" s="97"/>
    </row>
    <row r="50259" spans="25:25" x14ac:dyDescent="0.2">
      <c r="Y50259" s="97"/>
    </row>
    <row r="50260" spans="25:25" x14ac:dyDescent="0.2">
      <c r="Y50260" s="97"/>
    </row>
    <row r="50261" spans="25:25" x14ac:dyDescent="0.2">
      <c r="Y50261" s="97"/>
    </row>
    <row r="50262" spans="25:25" x14ac:dyDescent="0.2">
      <c r="Y50262" s="97"/>
    </row>
    <row r="50263" spans="25:25" x14ac:dyDescent="0.2">
      <c r="Y50263" s="97"/>
    </row>
    <row r="50264" spans="25:25" x14ac:dyDescent="0.2">
      <c r="Y50264" s="97"/>
    </row>
    <row r="50265" spans="25:25" x14ac:dyDescent="0.2">
      <c r="Y50265" s="97"/>
    </row>
    <row r="50266" spans="25:25" x14ac:dyDescent="0.2">
      <c r="Y50266" s="97"/>
    </row>
    <row r="50267" spans="25:25" x14ac:dyDescent="0.2">
      <c r="Y50267" s="97"/>
    </row>
    <row r="50268" spans="25:25" x14ac:dyDescent="0.2">
      <c r="Y50268" s="97"/>
    </row>
    <row r="50269" spans="25:25" x14ac:dyDescent="0.2">
      <c r="Y50269" s="97"/>
    </row>
    <row r="50270" spans="25:25" x14ac:dyDescent="0.2">
      <c r="Y50270" s="97"/>
    </row>
    <row r="50271" spans="25:25" x14ac:dyDescent="0.2">
      <c r="Y50271" s="97"/>
    </row>
    <row r="50272" spans="25:25" x14ac:dyDescent="0.2">
      <c r="Y50272" s="97"/>
    </row>
    <row r="50273" spans="25:25" x14ac:dyDescent="0.2">
      <c r="Y50273" s="97"/>
    </row>
    <row r="50274" spans="25:25" x14ac:dyDescent="0.2">
      <c r="Y50274" s="97"/>
    </row>
    <row r="50275" spans="25:25" x14ac:dyDescent="0.2">
      <c r="Y50275" s="97"/>
    </row>
    <row r="50276" spans="25:25" x14ac:dyDescent="0.2">
      <c r="Y50276" s="97"/>
    </row>
    <row r="50277" spans="25:25" x14ac:dyDescent="0.2">
      <c r="Y50277" s="97"/>
    </row>
    <row r="50278" spans="25:25" x14ac:dyDescent="0.2">
      <c r="Y50278" s="97"/>
    </row>
    <row r="50279" spans="25:25" x14ac:dyDescent="0.2">
      <c r="Y50279" s="97"/>
    </row>
    <row r="50280" spans="25:25" x14ac:dyDescent="0.2">
      <c r="Y50280" s="97"/>
    </row>
    <row r="50281" spans="25:25" x14ac:dyDescent="0.2">
      <c r="Y50281" s="97"/>
    </row>
    <row r="50282" spans="25:25" x14ac:dyDescent="0.2">
      <c r="Y50282" s="97"/>
    </row>
    <row r="50283" spans="25:25" x14ac:dyDescent="0.2">
      <c r="Y50283" s="97"/>
    </row>
    <row r="50284" spans="25:25" x14ac:dyDescent="0.2">
      <c r="Y50284" s="97"/>
    </row>
    <row r="50285" spans="25:25" x14ac:dyDescent="0.2">
      <c r="Y50285" s="97"/>
    </row>
    <row r="50286" spans="25:25" x14ac:dyDescent="0.2">
      <c r="Y50286" s="97"/>
    </row>
    <row r="50287" spans="25:25" x14ac:dyDescent="0.2">
      <c r="Y50287" s="97"/>
    </row>
    <row r="50288" spans="25:25" x14ac:dyDescent="0.2">
      <c r="Y50288" s="97"/>
    </row>
    <row r="50289" spans="25:25" x14ac:dyDescent="0.2">
      <c r="Y50289" s="97"/>
    </row>
    <row r="50290" spans="25:25" x14ac:dyDescent="0.2">
      <c r="Y50290" s="97"/>
    </row>
    <row r="50291" spans="25:25" x14ac:dyDescent="0.2">
      <c r="Y50291" s="97"/>
    </row>
    <row r="50292" spans="25:25" x14ac:dyDescent="0.2">
      <c r="Y50292" s="97"/>
    </row>
    <row r="50293" spans="25:25" x14ac:dyDescent="0.2">
      <c r="Y50293" s="97"/>
    </row>
    <row r="50294" spans="25:25" x14ac:dyDescent="0.2">
      <c r="Y50294" s="97"/>
    </row>
    <row r="50295" spans="25:25" x14ac:dyDescent="0.2">
      <c r="Y50295" s="97"/>
    </row>
    <row r="50296" spans="25:25" x14ac:dyDescent="0.2">
      <c r="Y50296" s="97"/>
    </row>
    <row r="50297" spans="25:25" x14ac:dyDescent="0.2">
      <c r="Y50297" s="97"/>
    </row>
    <row r="50298" spans="25:25" x14ac:dyDescent="0.2">
      <c r="Y50298" s="97"/>
    </row>
    <row r="50299" spans="25:25" x14ac:dyDescent="0.2">
      <c r="Y50299" s="97"/>
    </row>
    <row r="50300" spans="25:25" x14ac:dyDescent="0.2">
      <c r="Y50300" s="97"/>
    </row>
    <row r="50301" spans="25:25" x14ac:dyDescent="0.2">
      <c r="Y50301" s="97"/>
    </row>
    <row r="50302" spans="25:25" x14ac:dyDescent="0.2">
      <c r="Y50302" s="97"/>
    </row>
    <row r="50303" spans="25:25" x14ac:dyDescent="0.2">
      <c r="Y50303" s="97"/>
    </row>
    <row r="50304" spans="25:25" x14ac:dyDescent="0.2">
      <c r="Y50304" s="97"/>
    </row>
    <row r="50305" spans="25:25" x14ac:dyDescent="0.2">
      <c r="Y50305" s="97"/>
    </row>
    <row r="50306" spans="25:25" x14ac:dyDescent="0.2">
      <c r="Y50306" s="97"/>
    </row>
    <row r="50307" spans="25:25" x14ac:dyDescent="0.2">
      <c r="Y50307" s="97"/>
    </row>
    <row r="50308" spans="25:25" x14ac:dyDescent="0.2">
      <c r="Y50308" s="97"/>
    </row>
    <row r="50309" spans="25:25" x14ac:dyDescent="0.2">
      <c r="Y50309" s="97"/>
    </row>
    <row r="50310" spans="25:25" x14ac:dyDescent="0.2">
      <c r="Y50310" s="97"/>
    </row>
    <row r="50311" spans="25:25" x14ac:dyDescent="0.2">
      <c r="Y50311" s="97"/>
    </row>
    <row r="50312" spans="25:25" x14ac:dyDescent="0.2">
      <c r="Y50312" s="97"/>
    </row>
    <row r="50313" spans="25:25" x14ac:dyDescent="0.2">
      <c r="Y50313" s="97"/>
    </row>
    <row r="50314" spans="25:25" x14ac:dyDescent="0.2">
      <c r="Y50314" s="97"/>
    </row>
    <row r="50315" spans="25:25" x14ac:dyDescent="0.2">
      <c r="Y50315" s="97"/>
    </row>
    <row r="50316" spans="25:25" x14ac:dyDescent="0.2">
      <c r="Y50316" s="97"/>
    </row>
    <row r="50317" spans="25:25" x14ac:dyDescent="0.2">
      <c r="Y50317" s="97"/>
    </row>
    <row r="50318" spans="25:25" x14ac:dyDescent="0.2">
      <c r="Y50318" s="97"/>
    </row>
    <row r="50319" spans="25:25" x14ac:dyDescent="0.2">
      <c r="Y50319" s="97"/>
    </row>
    <row r="50320" spans="25:25" x14ac:dyDescent="0.2">
      <c r="Y50320" s="97"/>
    </row>
    <row r="50321" spans="25:25" x14ac:dyDescent="0.2">
      <c r="Y50321" s="97"/>
    </row>
    <row r="50322" spans="25:25" x14ac:dyDescent="0.2">
      <c r="Y50322" s="97"/>
    </row>
    <row r="50323" spans="25:25" x14ac:dyDescent="0.2">
      <c r="Y50323" s="97"/>
    </row>
    <row r="50324" spans="25:25" x14ac:dyDescent="0.2">
      <c r="Y50324" s="97"/>
    </row>
    <row r="50325" spans="25:25" x14ac:dyDescent="0.2">
      <c r="Y50325" s="97"/>
    </row>
    <row r="50326" spans="25:25" x14ac:dyDescent="0.2">
      <c r="Y50326" s="97"/>
    </row>
    <row r="50327" spans="25:25" x14ac:dyDescent="0.2">
      <c r="Y50327" s="97"/>
    </row>
    <row r="50328" spans="25:25" x14ac:dyDescent="0.2">
      <c r="Y50328" s="97"/>
    </row>
    <row r="50329" spans="25:25" x14ac:dyDescent="0.2">
      <c r="Y50329" s="97"/>
    </row>
    <row r="50330" spans="25:25" x14ac:dyDescent="0.2">
      <c r="Y50330" s="97"/>
    </row>
    <row r="50331" spans="25:25" x14ac:dyDescent="0.2">
      <c r="Y50331" s="97"/>
    </row>
    <row r="50332" spans="25:25" x14ac:dyDescent="0.2">
      <c r="Y50332" s="97"/>
    </row>
    <row r="50333" spans="25:25" x14ac:dyDescent="0.2">
      <c r="Y50333" s="97"/>
    </row>
    <row r="50334" spans="25:25" x14ac:dyDescent="0.2">
      <c r="Y50334" s="97"/>
    </row>
    <row r="50335" spans="25:25" x14ac:dyDescent="0.2">
      <c r="Y50335" s="97"/>
    </row>
    <row r="50336" spans="25:25" x14ac:dyDescent="0.2">
      <c r="Y50336" s="97"/>
    </row>
    <row r="50337" spans="25:25" x14ac:dyDescent="0.2">
      <c r="Y50337" s="97"/>
    </row>
    <row r="50338" spans="25:25" x14ac:dyDescent="0.2">
      <c r="Y50338" s="97"/>
    </row>
    <row r="50339" spans="25:25" x14ac:dyDescent="0.2">
      <c r="Y50339" s="97"/>
    </row>
    <row r="50340" spans="25:25" x14ac:dyDescent="0.2">
      <c r="Y50340" s="97"/>
    </row>
    <row r="50341" spans="25:25" x14ac:dyDescent="0.2">
      <c r="Y50341" s="97"/>
    </row>
    <row r="50342" spans="25:25" x14ac:dyDescent="0.2">
      <c r="Y50342" s="97"/>
    </row>
    <row r="50343" spans="25:25" x14ac:dyDescent="0.2">
      <c r="Y50343" s="97"/>
    </row>
    <row r="50344" spans="25:25" x14ac:dyDescent="0.2">
      <c r="Y50344" s="97"/>
    </row>
    <row r="50345" spans="25:25" x14ac:dyDescent="0.2">
      <c r="Y50345" s="97"/>
    </row>
    <row r="50346" spans="25:25" x14ac:dyDescent="0.2">
      <c r="Y50346" s="97"/>
    </row>
    <row r="50347" spans="25:25" x14ac:dyDescent="0.2">
      <c r="Y50347" s="97"/>
    </row>
    <row r="50348" spans="25:25" x14ac:dyDescent="0.2">
      <c r="Y50348" s="97"/>
    </row>
    <row r="50349" spans="25:25" x14ac:dyDescent="0.2">
      <c r="Y50349" s="97"/>
    </row>
    <row r="50350" spans="25:25" x14ac:dyDescent="0.2">
      <c r="Y50350" s="97"/>
    </row>
    <row r="50351" spans="25:25" x14ac:dyDescent="0.2">
      <c r="Y50351" s="97"/>
    </row>
    <row r="50352" spans="25:25" x14ac:dyDescent="0.2">
      <c r="Y50352" s="97"/>
    </row>
    <row r="50353" spans="25:25" x14ac:dyDescent="0.2">
      <c r="Y50353" s="97"/>
    </row>
    <row r="50354" spans="25:25" x14ac:dyDescent="0.2">
      <c r="Y50354" s="97"/>
    </row>
    <row r="50355" spans="25:25" x14ac:dyDescent="0.2">
      <c r="Y50355" s="97"/>
    </row>
    <row r="50356" spans="25:25" x14ac:dyDescent="0.2">
      <c r="Y50356" s="97"/>
    </row>
    <row r="50357" spans="25:25" x14ac:dyDescent="0.2">
      <c r="Y50357" s="97"/>
    </row>
    <row r="50358" spans="25:25" x14ac:dyDescent="0.2">
      <c r="Y50358" s="97"/>
    </row>
    <row r="50359" spans="25:25" x14ac:dyDescent="0.2">
      <c r="Y50359" s="97"/>
    </row>
    <row r="50360" spans="25:25" x14ac:dyDescent="0.2">
      <c r="Y50360" s="97"/>
    </row>
    <row r="50361" spans="25:25" x14ac:dyDescent="0.2">
      <c r="Y50361" s="97"/>
    </row>
    <row r="50362" spans="25:25" x14ac:dyDescent="0.2">
      <c r="Y50362" s="97"/>
    </row>
    <row r="50363" spans="25:25" x14ac:dyDescent="0.2">
      <c r="Y50363" s="97"/>
    </row>
    <row r="50364" spans="25:25" x14ac:dyDescent="0.2">
      <c r="Y50364" s="97"/>
    </row>
    <row r="50365" spans="25:25" x14ac:dyDescent="0.2">
      <c r="Y50365" s="97"/>
    </row>
    <row r="50366" spans="25:25" x14ac:dyDescent="0.2">
      <c r="Y50366" s="97"/>
    </row>
    <row r="50367" spans="25:25" x14ac:dyDescent="0.2">
      <c r="Y50367" s="97"/>
    </row>
    <row r="50368" spans="25:25" x14ac:dyDescent="0.2">
      <c r="Y50368" s="97"/>
    </row>
    <row r="50369" spans="25:25" x14ac:dyDescent="0.2">
      <c r="Y50369" s="97"/>
    </row>
    <row r="50370" spans="25:25" x14ac:dyDescent="0.2">
      <c r="Y50370" s="97"/>
    </row>
    <row r="50371" spans="25:25" x14ac:dyDescent="0.2">
      <c r="Y50371" s="97"/>
    </row>
    <row r="50372" spans="25:25" x14ac:dyDescent="0.2">
      <c r="Y50372" s="97"/>
    </row>
    <row r="50373" spans="25:25" x14ac:dyDescent="0.2">
      <c r="Y50373" s="97"/>
    </row>
    <row r="50374" spans="25:25" x14ac:dyDescent="0.2">
      <c r="Y50374" s="97"/>
    </row>
    <row r="50375" spans="25:25" x14ac:dyDescent="0.2">
      <c r="Y50375" s="97"/>
    </row>
    <row r="50376" spans="25:25" x14ac:dyDescent="0.2">
      <c r="Y50376" s="97"/>
    </row>
    <row r="50377" spans="25:25" x14ac:dyDescent="0.2">
      <c r="Y50377" s="97"/>
    </row>
    <row r="50378" spans="25:25" x14ac:dyDescent="0.2">
      <c r="Y50378" s="97"/>
    </row>
    <row r="50379" spans="25:25" x14ac:dyDescent="0.2">
      <c r="Y50379" s="97"/>
    </row>
    <row r="50380" spans="25:25" x14ac:dyDescent="0.2">
      <c r="Y50380" s="97"/>
    </row>
    <row r="50381" spans="25:25" x14ac:dyDescent="0.2">
      <c r="Y50381" s="97"/>
    </row>
    <row r="50382" spans="25:25" x14ac:dyDescent="0.2">
      <c r="Y50382" s="97"/>
    </row>
    <row r="50383" spans="25:25" x14ac:dyDescent="0.2">
      <c r="Y50383" s="97"/>
    </row>
    <row r="50384" spans="25:25" x14ac:dyDescent="0.2">
      <c r="Y50384" s="97"/>
    </row>
    <row r="50385" spans="25:25" x14ac:dyDescent="0.2">
      <c r="Y50385" s="97"/>
    </row>
    <row r="50386" spans="25:25" x14ac:dyDescent="0.2">
      <c r="Y50386" s="97"/>
    </row>
    <row r="50387" spans="25:25" x14ac:dyDescent="0.2">
      <c r="Y50387" s="97"/>
    </row>
    <row r="50388" spans="25:25" x14ac:dyDescent="0.2">
      <c r="Y50388" s="97"/>
    </row>
    <row r="50389" spans="25:25" x14ac:dyDescent="0.2">
      <c r="Y50389" s="97"/>
    </row>
    <row r="50390" spans="25:25" x14ac:dyDescent="0.2">
      <c r="Y50390" s="97"/>
    </row>
    <row r="50391" spans="25:25" x14ac:dyDescent="0.2">
      <c r="Y50391" s="97"/>
    </row>
    <row r="50392" spans="25:25" x14ac:dyDescent="0.2">
      <c r="Y50392" s="97"/>
    </row>
    <row r="50393" spans="25:25" x14ac:dyDescent="0.2">
      <c r="Y50393" s="97"/>
    </row>
    <row r="50394" spans="25:25" x14ac:dyDescent="0.2">
      <c r="Y50394" s="97"/>
    </row>
    <row r="50395" spans="25:25" x14ac:dyDescent="0.2">
      <c r="Y50395" s="97"/>
    </row>
    <row r="50396" spans="25:25" x14ac:dyDescent="0.2">
      <c r="Y50396" s="97"/>
    </row>
    <row r="50397" spans="25:25" x14ac:dyDescent="0.2">
      <c r="Y50397" s="97"/>
    </row>
    <row r="50398" spans="25:25" x14ac:dyDescent="0.2">
      <c r="Y50398" s="97"/>
    </row>
    <row r="50399" spans="25:25" x14ac:dyDescent="0.2">
      <c r="Y50399" s="97"/>
    </row>
    <row r="50400" spans="25:25" x14ac:dyDescent="0.2">
      <c r="Y50400" s="97"/>
    </row>
    <row r="50401" spans="25:25" x14ac:dyDescent="0.2">
      <c r="Y50401" s="97"/>
    </row>
    <row r="50402" spans="25:25" x14ac:dyDescent="0.2">
      <c r="Y50402" s="97"/>
    </row>
    <row r="50403" spans="25:25" x14ac:dyDescent="0.2">
      <c r="Y50403" s="97"/>
    </row>
    <row r="50404" spans="25:25" x14ac:dyDescent="0.2">
      <c r="Y50404" s="97"/>
    </row>
    <row r="50405" spans="25:25" x14ac:dyDescent="0.2">
      <c r="Y50405" s="97"/>
    </row>
    <row r="50406" spans="25:25" x14ac:dyDescent="0.2">
      <c r="Y50406" s="97"/>
    </row>
    <row r="50407" spans="25:25" x14ac:dyDescent="0.2">
      <c r="Y50407" s="97"/>
    </row>
    <row r="50408" spans="25:25" x14ac:dyDescent="0.2">
      <c r="Y50408" s="97"/>
    </row>
    <row r="50409" spans="25:25" x14ac:dyDescent="0.2">
      <c r="Y50409" s="97"/>
    </row>
    <row r="50410" spans="25:25" x14ac:dyDescent="0.2">
      <c r="Y50410" s="97"/>
    </row>
    <row r="50411" spans="25:25" x14ac:dyDescent="0.2">
      <c r="Y50411" s="97"/>
    </row>
    <row r="50412" spans="25:25" x14ac:dyDescent="0.2">
      <c r="Y50412" s="97"/>
    </row>
    <row r="50413" spans="25:25" x14ac:dyDescent="0.2">
      <c r="Y50413" s="97"/>
    </row>
    <row r="50414" spans="25:25" x14ac:dyDescent="0.2">
      <c r="Y50414" s="97"/>
    </row>
    <row r="50415" spans="25:25" x14ac:dyDescent="0.2">
      <c r="Y50415" s="97"/>
    </row>
    <row r="50416" spans="25:25" x14ac:dyDescent="0.2">
      <c r="Y50416" s="97"/>
    </row>
    <row r="50417" spans="25:25" x14ac:dyDescent="0.2">
      <c r="Y50417" s="97"/>
    </row>
    <row r="50418" spans="25:25" x14ac:dyDescent="0.2">
      <c r="Y50418" s="97"/>
    </row>
    <row r="50419" spans="25:25" x14ac:dyDescent="0.2">
      <c r="Y50419" s="97"/>
    </row>
    <row r="50420" spans="25:25" x14ac:dyDescent="0.2">
      <c r="Y50420" s="97"/>
    </row>
    <row r="50421" spans="25:25" x14ac:dyDescent="0.2">
      <c r="Y50421" s="97"/>
    </row>
    <row r="50422" spans="25:25" x14ac:dyDescent="0.2">
      <c r="Y50422" s="97"/>
    </row>
    <row r="50423" spans="25:25" x14ac:dyDescent="0.2">
      <c r="Y50423" s="97"/>
    </row>
    <row r="50424" spans="25:25" x14ac:dyDescent="0.2">
      <c r="Y50424" s="97"/>
    </row>
    <row r="50425" spans="25:25" x14ac:dyDescent="0.2">
      <c r="Y50425" s="97"/>
    </row>
    <row r="50426" spans="25:25" x14ac:dyDescent="0.2">
      <c r="Y50426" s="97"/>
    </row>
    <row r="50427" spans="25:25" x14ac:dyDescent="0.2">
      <c r="Y50427" s="97"/>
    </row>
    <row r="50428" spans="25:25" x14ac:dyDescent="0.2">
      <c r="Y50428" s="97"/>
    </row>
    <row r="50429" spans="25:25" x14ac:dyDescent="0.2">
      <c r="Y50429" s="97"/>
    </row>
    <row r="50430" spans="25:25" x14ac:dyDescent="0.2">
      <c r="Y50430" s="97"/>
    </row>
    <row r="50431" spans="25:25" x14ac:dyDescent="0.2">
      <c r="Y50431" s="97"/>
    </row>
    <row r="50432" spans="25:25" x14ac:dyDescent="0.2">
      <c r="Y50432" s="97"/>
    </row>
    <row r="50433" spans="25:25" x14ac:dyDescent="0.2">
      <c r="Y50433" s="97"/>
    </row>
    <row r="50434" spans="25:25" x14ac:dyDescent="0.2">
      <c r="Y50434" s="97"/>
    </row>
    <row r="50435" spans="25:25" x14ac:dyDescent="0.2">
      <c r="Y50435" s="97"/>
    </row>
    <row r="50436" spans="25:25" x14ac:dyDescent="0.2">
      <c r="Y50436" s="97"/>
    </row>
    <row r="50437" spans="25:25" x14ac:dyDescent="0.2">
      <c r="Y50437" s="97"/>
    </row>
    <row r="50438" spans="25:25" x14ac:dyDescent="0.2">
      <c r="Y50438" s="97"/>
    </row>
    <row r="50439" spans="25:25" x14ac:dyDescent="0.2">
      <c r="Y50439" s="97"/>
    </row>
    <row r="50440" spans="25:25" x14ac:dyDescent="0.2">
      <c r="Y50440" s="97"/>
    </row>
    <row r="50441" spans="25:25" x14ac:dyDescent="0.2">
      <c r="Y50441" s="97"/>
    </row>
    <row r="50442" spans="25:25" x14ac:dyDescent="0.2">
      <c r="Y50442" s="97"/>
    </row>
    <row r="50443" spans="25:25" x14ac:dyDescent="0.2">
      <c r="Y50443" s="97"/>
    </row>
    <row r="50444" spans="25:25" x14ac:dyDescent="0.2">
      <c r="Y50444" s="97"/>
    </row>
    <row r="50445" spans="25:25" x14ac:dyDescent="0.2">
      <c r="Y50445" s="97"/>
    </row>
    <row r="50446" spans="25:25" x14ac:dyDescent="0.2">
      <c r="Y50446" s="97"/>
    </row>
    <row r="50447" spans="25:25" x14ac:dyDescent="0.2">
      <c r="Y50447" s="97"/>
    </row>
    <row r="50448" spans="25:25" x14ac:dyDescent="0.2">
      <c r="Y50448" s="97"/>
    </row>
    <row r="50449" spans="25:25" x14ac:dyDescent="0.2">
      <c r="Y50449" s="97"/>
    </row>
    <row r="50450" spans="25:25" x14ac:dyDescent="0.2">
      <c r="Y50450" s="97"/>
    </row>
    <row r="50451" spans="25:25" x14ac:dyDescent="0.2">
      <c r="Y50451" s="97"/>
    </row>
    <row r="50452" spans="25:25" x14ac:dyDescent="0.2">
      <c r="Y50452" s="97"/>
    </row>
    <row r="50453" spans="25:25" x14ac:dyDescent="0.2">
      <c r="Y50453" s="97"/>
    </row>
    <row r="50454" spans="25:25" x14ac:dyDescent="0.2">
      <c r="Y50454" s="97"/>
    </row>
    <row r="50455" spans="25:25" x14ac:dyDescent="0.2">
      <c r="Y50455" s="97"/>
    </row>
    <row r="50456" spans="25:25" x14ac:dyDescent="0.2">
      <c r="Y50456" s="97"/>
    </row>
    <row r="50457" spans="25:25" x14ac:dyDescent="0.2">
      <c r="Y50457" s="97"/>
    </row>
    <row r="50458" spans="25:25" x14ac:dyDescent="0.2">
      <c r="Y50458" s="97"/>
    </row>
    <row r="50459" spans="25:25" x14ac:dyDescent="0.2">
      <c r="Y50459" s="97"/>
    </row>
    <row r="50460" spans="25:25" x14ac:dyDescent="0.2">
      <c r="Y50460" s="97"/>
    </row>
    <row r="50461" spans="25:25" x14ac:dyDescent="0.2">
      <c r="Y50461" s="97"/>
    </row>
    <row r="50462" spans="25:25" x14ac:dyDescent="0.2">
      <c r="Y50462" s="97"/>
    </row>
    <row r="50463" spans="25:25" x14ac:dyDescent="0.2">
      <c r="Y50463" s="97"/>
    </row>
    <row r="50464" spans="25:25" x14ac:dyDescent="0.2">
      <c r="Y50464" s="97"/>
    </row>
    <row r="50465" spans="25:25" x14ac:dyDescent="0.2">
      <c r="Y50465" s="97"/>
    </row>
    <row r="50466" spans="25:25" x14ac:dyDescent="0.2">
      <c r="Y50466" s="97"/>
    </row>
    <row r="50467" spans="25:25" x14ac:dyDescent="0.2">
      <c r="Y50467" s="97"/>
    </row>
    <row r="50468" spans="25:25" x14ac:dyDescent="0.2">
      <c r="Y50468" s="97"/>
    </row>
    <row r="50469" spans="25:25" x14ac:dyDescent="0.2">
      <c r="Y50469" s="97"/>
    </row>
    <row r="50470" spans="25:25" x14ac:dyDescent="0.2">
      <c r="Y50470" s="97"/>
    </row>
    <row r="50471" spans="25:25" x14ac:dyDescent="0.2">
      <c r="Y50471" s="97"/>
    </row>
    <row r="50472" spans="25:25" x14ac:dyDescent="0.2">
      <c r="Y50472" s="97"/>
    </row>
    <row r="50473" spans="25:25" x14ac:dyDescent="0.2">
      <c r="Y50473" s="97"/>
    </row>
    <row r="50474" spans="25:25" x14ac:dyDescent="0.2">
      <c r="Y50474" s="97"/>
    </row>
    <row r="50475" spans="25:25" x14ac:dyDescent="0.2">
      <c r="Y50475" s="97"/>
    </row>
    <row r="50476" spans="25:25" x14ac:dyDescent="0.2">
      <c r="Y50476" s="97"/>
    </row>
    <row r="50477" spans="25:25" x14ac:dyDescent="0.2">
      <c r="Y50477" s="97"/>
    </row>
    <row r="50478" spans="25:25" x14ac:dyDescent="0.2">
      <c r="Y50478" s="97"/>
    </row>
    <row r="50479" spans="25:25" x14ac:dyDescent="0.2">
      <c r="Y50479" s="97"/>
    </row>
    <row r="50480" spans="25:25" x14ac:dyDescent="0.2">
      <c r="Y50480" s="97"/>
    </row>
    <row r="50481" spans="25:25" x14ac:dyDescent="0.2">
      <c r="Y50481" s="97"/>
    </row>
    <row r="50482" spans="25:25" x14ac:dyDescent="0.2">
      <c r="Y50482" s="97"/>
    </row>
    <row r="50483" spans="25:25" x14ac:dyDescent="0.2">
      <c r="Y50483" s="97"/>
    </row>
    <row r="50484" spans="25:25" x14ac:dyDescent="0.2">
      <c r="Y50484" s="97"/>
    </row>
    <row r="50485" spans="25:25" x14ac:dyDescent="0.2">
      <c r="Y50485" s="97"/>
    </row>
    <row r="50486" spans="25:25" x14ac:dyDescent="0.2">
      <c r="Y50486" s="97"/>
    </row>
    <row r="50487" spans="25:25" x14ac:dyDescent="0.2">
      <c r="Y50487" s="97"/>
    </row>
    <row r="50488" spans="25:25" x14ac:dyDescent="0.2">
      <c r="Y50488" s="97"/>
    </row>
    <row r="50489" spans="25:25" x14ac:dyDescent="0.2">
      <c r="Y50489" s="97"/>
    </row>
    <row r="50490" spans="25:25" x14ac:dyDescent="0.2">
      <c r="Y50490" s="97"/>
    </row>
    <row r="50491" spans="25:25" x14ac:dyDescent="0.2">
      <c r="Y50491" s="97"/>
    </row>
    <row r="50492" spans="25:25" x14ac:dyDescent="0.2">
      <c r="Y50492" s="97"/>
    </row>
    <row r="50493" spans="25:25" x14ac:dyDescent="0.2">
      <c r="Y50493" s="97"/>
    </row>
    <row r="50494" spans="25:25" x14ac:dyDescent="0.2">
      <c r="Y50494" s="97"/>
    </row>
    <row r="50495" spans="25:25" x14ac:dyDescent="0.2">
      <c r="Y50495" s="97"/>
    </row>
    <row r="50496" spans="25:25" x14ac:dyDescent="0.2">
      <c r="Y50496" s="97"/>
    </row>
    <row r="50497" spans="25:25" x14ac:dyDescent="0.2">
      <c r="Y50497" s="97"/>
    </row>
    <row r="50498" spans="25:25" x14ac:dyDescent="0.2">
      <c r="Y50498" s="97"/>
    </row>
    <row r="50499" spans="25:25" x14ac:dyDescent="0.2">
      <c r="Y50499" s="97"/>
    </row>
    <row r="50500" spans="25:25" x14ac:dyDescent="0.2">
      <c r="Y50500" s="97"/>
    </row>
    <row r="50501" spans="25:25" x14ac:dyDescent="0.2">
      <c r="Y50501" s="97"/>
    </row>
    <row r="50502" spans="25:25" x14ac:dyDescent="0.2">
      <c r="Y50502" s="97"/>
    </row>
    <row r="50503" spans="25:25" x14ac:dyDescent="0.2">
      <c r="Y50503" s="97"/>
    </row>
    <row r="50504" spans="25:25" x14ac:dyDescent="0.2">
      <c r="Y50504" s="97"/>
    </row>
    <row r="50505" spans="25:25" x14ac:dyDescent="0.2">
      <c r="Y50505" s="97"/>
    </row>
    <row r="50506" spans="25:25" x14ac:dyDescent="0.2">
      <c r="Y50506" s="97"/>
    </row>
    <row r="50507" spans="25:25" x14ac:dyDescent="0.2">
      <c r="Y50507" s="97"/>
    </row>
    <row r="50508" spans="25:25" x14ac:dyDescent="0.2">
      <c r="Y50508" s="97"/>
    </row>
    <row r="50509" spans="25:25" x14ac:dyDescent="0.2">
      <c r="Y50509" s="97"/>
    </row>
    <row r="50510" spans="25:25" x14ac:dyDescent="0.2">
      <c r="Y50510" s="97"/>
    </row>
    <row r="50511" spans="25:25" x14ac:dyDescent="0.2">
      <c r="Y50511" s="97"/>
    </row>
    <row r="50512" spans="25:25" x14ac:dyDescent="0.2">
      <c r="Y50512" s="97"/>
    </row>
    <row r="50513" spans="25:25" x14ac:dyDescent="0.2">
      <c r="Y50513" s="97"/>
    </row>
    <row r="50514" spans="25:25" x14ac:dyDescent="0.2">
      <c r="Y50514" s="97"/>
    </row>
    <row r="50515" spans="25:25" x14ac:dyDescent="0.2">
      <c r="Y50515" s="97"/>
    </row>
    <row r="50516" spans="25:25" x14ac:dyDescent="0.2">
      <c r="Y50516" s="97"/>
    </row>
    <row r="50517" spans="25:25" x14ac:dyDescent="0.2">
      <c r="Y50517" s="97"/>
    </row>
    <row r="50518" spans="25:25" x14ac:dyDescent="0.2">
      <c r="Y50518" s="97"/>
    </row>
    <row r="50519" spans="25:25" x14ac:dyDescent="0.2">
      <c r="Y50519" s="97"/>
    </row>
    <row r="50520" spans="25:25" x14ac:dyDescent="0.2">
      <c r="Y50520" s="97"/>
    </row>
    <row r="50521" spans="25:25" x14ac:dyDescent="0.2">
      <c r="Y50521" s="97"/>
    </row>
    <row r="50522" spans="25:25" x14ac:dyDescent="0.2">
      <c r="Y50522" s="97"/>
    </row>
    <row r="50523" spans="25:25" x14ac:dyDescent="0.2">
      <c r="Y50523" s="97"/>
    </row>
    <row r="50524" spans="25:25" x14ac:dyDescent="0.2">
      <c r="Y50524" s="97"/>
    </row>
    <row r="50525" spans="25:25" x14ac:dyDescent="0.2">
      <c r="Y50525" s="97"/>
    </row>
    <row r="50526" spans="25:25" x14ac:dyDescent="0.2">
      <c r="Y50526" s="97"/>
    </row>
    <row r="50527" spans="25:25" x14ac:dyDescent="0.2">
      <c r="Y50527" s="97"/>
    </row>
    <row r="50528" spans="25:25" x14ac:dyDescent="0.2">
      <c r="Y50528" s="97"/>
    </row>
    <row r="50529" spans="25:25" x14ac:dyDescent="0.2">
      <c r="Y50529" s="97"/>
    </row>
    <row r="50530" spans="25:25" x14ac:dyDescent="0.2">
      <c r="Y50530" s="97"/>
    </row>
    <row r="50531" spans="25:25" x14ac:dyDescent="0.2">
      <c r="Y50531" s="97"/>
    </row>
    <row r="50532" spans="25:25" x14ac:dyDescent="0.2">
      <c r="Y50532" s="97"/>
    </row>
    <row r="50533" spans="25:25" x14ac:dyDescent="0.2">
      <c r="Y50533" s="97"/>
    </row>
    <row r="50534" spans="25:25" x14ac:dyDescent="0.2">
      <c r="Y50534" s="97"/>
    </row>
    <row r="50535" spans="25:25" x14ac:dyDescent="0.2">
      <c r="Y50535" s="97"/>
    </row>
    <row r="50536" spans="25:25" x14ac:dyDescent="0.2">
      <c r="Y50536" s="97"/>
    </row>
    <row r="50537" spans="25:25" x14ac:dyDescent="0.2">
      <c r="Y50537" s="97"/>
    </row>
    <row r="50538" spans="25:25" x14ac:dyDescent="0.2">
      <c r="Y50538" s="97"/>
    </row>
    <row r="50539" spans="25:25" x14ac:dyDescent="0.2">
      <c r="Y50539" s="97"/>
    </row>
    <row r="50540" spans="25:25" x14ac:dyDescent="0.2">
      <c r="Y50540" s="97"/>
    </row>
    <row r="50541" spans="25:25" x14ac:dyDescent="0.2">
      <c r="Y50541" s="97"/>
    </row>
    <row r="50542" spans="25:25" x14ac:dyDescent="0.2">
      <c r="Y50542" s="97"/>
    </row>
    <row r="50543" spans="25:25" x14ac:dyDescent="0.2">
      <c r="Y50543" s="97"/>
    </row>
    <row r="50544" spans="25:25" x14ac:dyDescent="0.2">
      <c r="Y50544" s="97"/>
    </row>
    <row r="50545" spans="25:25" x14ac:dyDescent="0.2">
      <c r="Y50545" s="97"/>
    </row>
    <row r="50546" spans="25:25" x14ac:dyDescent="0.2">
      <c r="Y50546" s="97"/>
    </row>
    <row r="50547" spans="25:25" x14ac:dyDescent="0.2">
      <c r="Y50547" s="97"/>
    </row>
    <row r="50548" spans="25:25" x14ac:dyDescent="0.2">
      <c r="Y50548" s="97"/>
    </row>
    <row r="50549" spans="25:25" x14ac:dyDescent="0.2">
      <c r="Y50549" s="97"/>
    </row>
    <row r="50550" spans="25:25" x14ac:dyDescent="0.2">
      <c r="Y50550" s="97"/>
    </row>
    <row r="50551" spans="25:25" x14ac:dyDescent="0.2">
      <c r="Y50551" s="97"/>
    </row>
    <row r="50552" spans="25:25" x14ac:dyDescent="0.2">
      <c r="Y50552" s="97"/>
    </row>
    <row r="50553" spans="25:25" x14ac:dyDescent="0.2">
      <c r="Y50553" s="97"/>
    </row>
    <row r="50554" spans="25:25" x14ac:dyDescent="0.2">
      <c r="Y50554" s="97"/>
    </row>
    <row r="50555" spans="25:25" x14ac:dyDescent="0.2">
      <c r="Y50555" s="97"/>
    </row>
    <row r="50556" spans="25:25" x14ac:dyDescent="0.2">
      <c r="Y50556" s="97"/>
    </row>
    <row r="50557" spans="25:25" x14ac:dyDescent="0.2">
      <c r="Y50557" s="97"/>
    </row>
    <row r="50558" spans="25:25" x14ac:dyDescent="0.2">
      <c r="Y50558" s="97"/>
    </row>
    <row r="50559" spans="25:25" x14ac:dyDescent="0.2">
      <c r="Y50559" s="97"/>
    </row>
    <row r="50560" spans="25:25" x14ac:dyDescent="0.2">
      <c r="Y50560" s="97"/>
    </row>
    <row r="50561" spans="25:25" x14ac:dyDescent="0.2">
      <c r="Y50561" s="97"/>
    </row>
    <row r="50562" spans="25:25" x14ac:dyDescent="0.2">
      <c r="Y50562" s="97"/>
    </row>
    <row r="50563" spans="25:25" x14ac:dyDescent="0.2">
      <c r="Y50563" s="97"/>
    </row>
    <row r="50564" spans="25:25" x14ac:dyDescent="0.2">
      <c r="Y50564" s="97"/>
    </row>
    <row r="50565" spans="25:25" x14ac:dyDescent="0.2">
      <c r="Y50565" s="97"/>
    </row>
    <row r="50566" spans="25:25" x14ac:dyDescent="0.2">
      <c r="Y50566" s="97"/>
    </row>
    <row r="50567" spans="25:25" x14ac:dyDescent="0.2">
      <c r="Y50567" s="97"/>
    </row>
    <row r="50568" spans="25:25" x14ac:dyDescent="0.2">
      <c r="Y50568" s="97"/>
    </row>
    <row r="50569" spans="25:25" x14ac:dyDescent="0.2">
      <c r="Y50569" s="97"/>
    </row>
    <row r="50570" spans="25:25" x14ac:dyDescent="0.2">
      <c r="Y50570" s="97"/>
    </row>
    <row r="50571" spans="25:25" x14ac:dyDescent="0.2">
      <c r="Y50571" s="97"/>
    </row>
    <row r="50572" spans="25:25" x14ac:dyDescent="0.2">
      <c r="Y50572" s="97"/>
    </row>
    <row r="50573" spans="25:25" x14ac:dyDescent="0.2">
      <c r="Y50573" s="97"/>
    </row>
    <row r="50574" spans="25:25" x14ac:dyDescent="0.2">
      <c r="Y50574" s="97"/>
    </row>
    <row r="50575" spans="25:25" x14ac:dyDescent="0.2">
      <c r="Y50575" s="97"/>
    </row>
    <row r="50576" spans="25:25" x14ac:dyDescent="0.2">
      <c r="Y50576" s="97"/>
    </row>
    <row r="50577" spans="25:25" x14ac:dyDescent="0.2">
      <c r="Y50577" s="97"/>
    </row>
    <row r="50578" spans="25:25" x14ac:dyDescent="0.2">
      <c r="Y50578" s="97"/>
    </row>
    <row r="50579" spans="25:25" x14ac:dyDescent="0.2">
      <c r="Y50579" s="97"/>
    </row>
    <row r="50580" spans="25:25" x14ac:dyDescent="0.2">
      <c r="Y50580" s="97"/>
    </row>
    <row r="50581" spans="25:25" x14ac:dyDescent="0.2">
      <c r="Y50581" s="97"/>
    </row>
    <row r="50582" spans="25:25" x14ac:dyDescent="0.2">
      <c r="Y50582" s="97"/>
    </row>
    <row r="50583" spans="25:25" x14ac:dyDescent="0.2">
      <c r="Y50583" s="97"/>
    </row>
    <row r="50584" spans="25:25" x14ac:dyDescent="0.2">
      <c r="Y50584" s="97"/>
    </row>
    <row r="50585" spans="25:25" x14ac:dyDescent="0.2">
      <c r="Y50585" s="97"/>
    </row>
    <row r="50586" spans="25:25" x14ac:dyDescent="0.2">
      <c r="Y50586" s="97"/>
    </row>
    <row r="50587" spans="25:25" x14ac:dyDescent="0.2">
      <c r="Y50587" s="97"/>
    </row>
    <row r="50588" spans="25:25" x14ac:dyDescent="0.2">
      <c r="Y50588" s="97"/>
    </row>
    <row r="50589" spans="25:25" x14ac:dyDescent="0.2">
      <c r="Y50589" s="97"/>
    </row>
    <row r="50590" spans="25:25" x14ac:dyDescent="0.2">
      <c r="Y50590" s="97"/>
    </row>
    <row r="50591" spans="25:25" x14ac:dyDescent="0.2">
      <c r="Y50591" s="97"/>
    </row>
    <row r="50592" spans="25:25" x14ac:dyDescent="0.2">
      <c r="Y50592" s="97"/>
    </row>
    <row r="50593" spans="25:25" x14ac:dyDescent="0.2">
      <c r="Y50593" s="97"/>
    </row>
    <row r="50594" spans="25:25" x14ac:dyDescent="0.2">
      <c r="Y50594" s="97"/>
    </row>
    <row r="50595" spans="25:25" x14ac:dyDescent="0.2">
      <c r="Y50595" s="97"/>
    </row>
    <row r="50596" spans="25:25" x14ac:dyDescent="0.2">
      <c r="Y50596" s="97"/>
    </row>
    <row r="50597" spans="25:25" x14ac:dyDescent="0.2">
      <c r="Y50597" s="97"/>
    </row>
    <row r="50598" spans="25:25" x14ac:dyDescent="0.2">
      <c r="Y50598" s="97"/>
    </row>
    <row r="50599" spans="25:25" x14ac:dyDescent="0.2">
      <c r="Y50599" s="97"/>
    </row>
    <row r="50600" spans="25:25" x14ac:dyDescent="0.2">
      <c r="Y50600" s="97"/>
    </row>
    <row r="50601" spans="25:25" x14ac:dyDescent="0.2">
      <c r="Y50601" s="97"/>
    </row>
    <row r="50602" spans="25:25" x14ac:dyDescent="0.2">
      <c r="Y50602" s="97"/>
    </row>
    <row r="50603" spans="25:25" x14ac:dyDescent="0.2">
      <c r="Y50603" s="97"/>
    </row>
    <row r="50604" spans="25:25" x14ac:dyDescent="0.2">
      <c r="Y50604" s="97"/>
    </row>
    <row r="50605" spans="25:25" x14ac:dyDescent="0.2">
      <c r="Y50605" s="97"/>
    </row>
    <row r="50606" spans="25:25" x14ac:dyDescent="0.2">
      <c r="Y50606" s="97"/>
    </row>
    <row r="50607" spans="25:25" x14ac:dyDescent="0.2">
      <c r="Y50607" s="97"/>
    </row>
    <row r="50608" spans="25:25" x14ac:dyDescent="0.2">
      <c r="Y50608" s="97"/>
    </row>
    <row r="50609" spans="25:25" x14ac:dyDescent="0.2">
      <c r="Y50609" s="97"/>
    </row>
    <row r="50610" spans="25:25" x14ac:dyDescent="0.2">
      <c r="Y50610" s="97"/>
    </row>
    <row r="50611" spans="25:25" x14ac:dyDescent="0.2">
      <c r="Y50611" s="97"/>
    </row>
    <row r="50612" spans="25:25" x14ac:dyDescent="0.2">
      <c r="Y50612" s="97"/>
    </row>
    <row r="50613" spans="25:25" x14ac:dyDescent="0.2">
      <c r="Y50613" s="97"/>
    </row>
    <row r="50614" spans="25:25" x14ac:dyDescent="0.2">
      <c r="Y50614" s="97"/>
    </row>
    <row r="50615" spans="25:25" x14ac:dyDescent="0.2">
      <c r="Y50615" s="97"/>
    </row>
    <row r="50616" spans="25:25" x14ac:dyDescent="0.2">
      <c r="Y50616" s="97"/>
    </row>
    <row r="50617" spans="25:25" x14ac:dyDescent="0.2">
      <c r="Y50617" s="97"/>
    </row>
    <row r="50618" spans="25:25" x14ac:dyDescent="0.2">
      <c r="Y50618" s="97"/>
    </row>
    <row r="50619" spans="25:25" x14ac:dyDescent="0.2">
      <c r="Y50619" s="97"/>
    </row>
    <row r="50620" spans="25:25" x14ac:dyDescent="0.2">
      <c r="Y50620" s="97"/>
    </row>
    <row r="50621" spans="25:25" x14ac:dyDescent="0.2">
      <c r="Y50621" s="97"/>
    </row>
    <row r="50622" spans="25:25" x14ac:dyDescent="0.2">
      <c r="Y50622" s="97"/>
    </row>
    <row r="50623" spans="25:25" x14ac:dyDescent="0.2">
      <c r="Y50623" s="97"/>
    </row>
    <row r="50624" spans="25:25" x14ac:dyDescent="0.2">
      <c r="Y50624" s="97"/>
    </row>
    <row r="50625" spans="25:25" x14ac:dyDescent="0.2">
      <c r="Y50625" s="97"/>
    </row>
    <row r="50626" spans="25:25" x14ac:dyDescent="0.2">
      <c r="Y50626" s="97"/>
    </row>
    <row r="50627" spans="25:25" x14ac:dyDescent="0.2">
      <c r="Y50627" s="97"/>
    </row>
    <row r="50628" spans="25:25" x14ac:dyDescent="0.2">
      <c r="Y50628" s="97"/>
    </row>
    <row r="50629" spans="25:25" x14ac:dyDescent="0.2">
      <c r="Y50629" s="97"/>
    </row>
    <row r="50630" spans="25:25" x14ac:dyDescent="0.2">
      <c r="Y50630" s="97"/>
    </row>
    <row r="50631" spans="25:25" x14ac:dyDescent="0.2">
      <c r="Y50631" s="97"/>
    </row>
    <row r="50632" spans="25:25" x14ac:dyDescent="0.2">
      <c r="Y50632" s="97"/>
    </row>
    <row r="50633" spans="25:25" x14ac:dyDescent="0.2">
      <c r="Y50633" s="97"/>
    </row>
    <row r="50634" spans="25:25" x14ac:dyDescent="0.2">
      <c r="Y50634" s="97"/>
    </row>
    <row r="50635" spans="25:25" x14ac:dyDescent="0.2">
      <c r="Y50635" s="97"/>
    </row>
    <row r="50636" spans="25:25" x14ac:dyDescent="0.2">
      <c r="Y50636" s="97"/>
    </row>
    <row r="50637" spans="25:25" x14ac:dyDescent="0.2">
      <c r="Y50637" s="97"/>
    </row>
    <row r="50638" spans="25:25" x14ac:dyDescent="0.2">
      <c r="Y50638" s="97"/>
    </row>
    <row r="50639" spans="25:25" x14ac:dyDescent="0.2">
      <c r="Y50639" s="97"/>
    </row>
    <row r="50640" spans="25:25" x14ac:dyDescent="0.2">
      <c r="Y50640" s="97"/>
    </row>
    <row r="50641" spans="25:25" x14ac:dyDescent="0.2">
      <c r="Y50641" s="97"/>
    </row>
    <row r="50642" spans="25:25" x14ac:dyDescent="0.2">
      <c r="Y50642" s="97"/>
    </row>
    <row r="50643" spans="25:25" x14ac:dyDescent="0.2">
      <c r="Y50643" s="97"/>
    </row>
    <row r="50644" spans="25:25" x14ac:dyDescent="0.2">
      <c r="Y50644" s="97"/>
    </row>
    <row r="50645" spans="25:25" x14ac:dyDescent="0.2">
      <c r="Y50645" s="97"/>
    </row>
    <row r="50646" spans="25:25" x14ac:dyDescent="0.2">
      <c r="Y50646" s="97"/>
    </row>
    <row r="50647" spans="25:25" x14ac:dyDescent="0.2">
      <c r="Y50647" s="97"/>
    </row>
    <row r="50648" spans="25:25" x14ac:dyDescent="0.2">
      <c r="Y50648" s="97"/>
    </row>
    <row r="50649" spans="25:25" x14ac:dyDescent="0.2">
      <c r="Y50649" s="97"/>
    </row>
    <row r="50650" spans="25:25" x14ac:dyDescent="0.2">
      <c r="Y50650" s="97"/>
    </row>
    <row r="50651" spans="25:25" x14ac:dyDescent="0.2">
      <c r="Y50651" s="97"/>
    </row>
    <row r="50652" spans="25:25" x14ac:dyDescent="0.2">
      <c r="Y50652" s="97"/>
    </row>
    <row r="50653" spans="25:25" x14ac:dyDescent="0.2">
      <c r="Y50653" s="97"/>
    </row>
    <row r="50654" spans="25:25" x14ac:dyDescent="0.2">
      <c r="Y50654" s="97"/>
    </row>
    <row r="50655" spans="25:25" x14ac:dyDescent="0.2">
      <c r="Y50655" s="97"/>
    </row>
    <row r="50656" spans="25:25" x14ac:dyDescent="0.2">
      <c r="Y50656" s="97"/>
    </row>
    <row r="50657" spans="25:25" x14ac:dyDescent="0.2">
      <c r="Y50657" s="97"/>
    </row>
    <row r="50658" spans="25:25" x14ac:dyDescent="0.2">
      <c r="Y50658" s="97"/>
    </row>
    <row r="50659" spans="25:25" x14ac:dyDescent="0.2">
      <c r="Y50659" s="97"/>
    </row>
    <row r="50660" spans="25:25" x14ac:dyDescent="0.2">
      <c r="Y50660" s="97"/>
    </row>
    <row r="50661" spans="25:25" x14ac:dyDescent="0.2">
      <c r="Y50661" s="97"/>
    </row>
    <row r="50662" spans="25:25" x14ac:dyDescent="0.2">
      <c r="Y50662" s="97"/>
    </row>
    <row r="50663" spans="25:25" x14ac:dyDescent="0.2">
      <c r="Y50663" s="97"/>
    </row>
    <row r="50664" spans="25:25" x14ac:dyDescent="0.2">
      <c r="Y50664" s="97"/>
    </row>
    <row r="50665" spans="25:25" x14ac:dyDescent="0.2">
      <c r="Y50665" s="97"/>
    </row>
    <row r="50666" spans="25:25" x14ac:dyDescent="0.2">
      <c r="Y50666" s="97"/>
    </row>
    <row r="50667" spans="25:25" x14ac:dyDescent="0.2">
      <c r="Y50667" s="97"/>
    </row>
    <row r="50668" spans="25:25" x14ac:dyDescent="0.2">
      <c r="Y50668" s="97"/>
    </row>
    <row r="50669" spans="25:25" x14ac:dyDescent="0.2">
      <c r="Y50669" s="97"/>
    </row>
    <row r="50670" spans="25:25" x14ac:dyDescent="0.2">
      <c r="Y50670" s="97"/>
    </row>
    <row r="50671" spans="25:25" x14ac:dyDescent="0.2">
      <c r="Y50671" s="97"/>
    </row>
    <row r="50672" spans="25:25" x14ac:dyDescent="0.2">
      <c r="Y50672" s="97"/>
    </row>
    <row r="50673" spans="25:25" x14ac:dyDescent="0.2">
      <c r="Y50673" s="97"/>
    </row>
    <row r="50674" spans="25:25" x14ac:dyDescent="0.2">
      <c r="Y50674" s="97"/>
    </row>
    <row r="50675" spans="25:25" x14ac:dyDescent="0.2">
      <c r="Y50675" s="97"/>
    </row>
    <row r="50676" spans="25:25" x14ac:dyDescent="0.2">
      <c r="Y50676" s="97"/>
    </row>
    <row r="50677" spans="25:25" x14ac:dyDescent="0.2">
      <c r="Y50677" s="97"/>
    </row>
    <row r="50678" spans="25:25" x14ac:dyDescent="0.2">
      <c r="Y50678" s="97"/>
    </row>
    <row r="50679" spans="25:25" x14ac:dyDescent="0.2">
      <c r="Y50679" s="97"/>
    </row>
    <row r="50680" spans="25:25" x14ac:dyDescent="0.2">
      <c r="Y50680" s="97"/>
    </row>
    <row r="50681" spans="25:25" x14ac:dyDescent="0.2">
      <c r="Y50681" s="97"/>
    </row>
    <row r="50682" spans="25:25" x14ac:dyDescent="0.2">
      <c r="Y50682" s="97"/>
    </row>
    <row r="50683" spans="25:25" x14ac:dyDescent="0.2">
      <c r="Y50683" s="97"/>
    </row>
    <row r="50684" spans="25:25" x14ac:dyDescent="0.2">
      <c r="Y50684" s="97"/>
    </row>
    <row r="50685" spans="25:25" x14ac:dyDescent="0.2">
      <c r="Y50685" s="97"/>
    </row>
    <row r="50686" spans="25:25" x14ac:dyDescent="0.2">
      <c r="Y50686" s="97"/>
    </row>
    <row r="50687" spans="25:25" x14ac:dyDescent="0.2">
      <c r="Y50687" s="97"/>
    </row>
    <row r="50688" spans="25:25" x14ac:dyDescent="0.2">
      <c r="Y50688" s="97"/>
    </row>
    <row r="50689" spans="25:25" x14ac:dyDescent="0.2">
      <c r="Y50689" s="97"/>
    </row>
    <row r="50690" spans="25:25" x14ac:dyDescent="0.2">
      <c r="Y50690" s="97"/>
    </row>
    <row r="50691" spans="25:25" x14ac:dyDescent="0.2">
      <c r="Y50691" s="97"/>
    </row>
    <row r="50692" spans="25:25" x14ac:dyDescent="0.2">
      <c r="Y50692" s="97"/>
    </row>
    <row r="50693" spans="25:25" x14ac:dyDescent="0.2">
      <c r="Y50693" s="97"/>
    </row>
    <row r="50694" spans="25:25" x14ac:dyDescent="0.2">
      <c r="Y50694" s="97"/>
    </row>
    <row r="50695" spans="25:25" x14ac:dyDescent="0.2">
      <c r="Y50695" s="97"/>
    </row>
    <row r="50696" spans="25:25" x14ac:dyDescent="0.2">
      <c r="Y50696" s="97"/>
    </row>
    <row r="50697" spans="25:25" x14ac:dyDescent="0.2">
      <c r="Y50697" s="97"/>
    </row>
    <row r="50698" spans="25:25" x14ac:dyDescent="0.2">
      <c r="Y50698" s="97"/>
    </row>
    <row r="50699" spans="25:25" x14ac:dyDescent="0.2">
      <c r="Y50699" s="97"/>
    </row>
    <row r="50700" spans="25:25" x14ac:dyDescent="0.2">
      <c r="Y50700" s="97"/>
    </row>
    <row r="50701" spans="25:25" x14ac:dyDescent="0.2">
      <c r="Y50701" s="97"/>
    </row>
    <row r="50702" spans="25:25" x14ac:dyDescent="0.2">
      <c r="Y50702" s="97"/>
    </row>
    <row r="50703" spans="25:25" x14ac:dyDescent="0.2">
      <c r="Y50703" s="97"/>
    </row>
    <row r="50704" spans="25:25" x14ac:dyDescent="0.2">
      <c r="Y50704" s="97"/>
    </row>
    <row r="50705" spans="25:25" x14ac:dyDescent="0.2">
      <c r="Y50705" s="97"/>
    </row>
    <row r="50706" spans="25:25" x14ac:dyDescent="0.2">
      <c r="Y50706" s="97"/>
    </row>
    <row r="50707" spans="25:25" x14ac:dyDescent="0.2">
      <c r="Y50707" s="97"/>
    </row>
    <row r="50708" spans="25:25" x14ac:dyDescent="0.2">
      <c r="Y50708" s="97"/>
    </row>
    <row r="50709" spans="25:25" x14ac:dyDescent="0.2">
      <c r="Y50709" s="97"/>
    </row>
    <row r="50710" spans="25:25" x14ac:dyDescent="0.2">
      <c r="Y50710" s="97"/>
    </row>
    <row r="50711" spans="25:25" x14ac:dyDescent="0.2">
      <c r="Y50711" s="97"/>
    </row>
    <row r="50712" spans="25:25" x14ac:dyDescent="0.2">
      <c r="Y50712" s="97"/>
    </row>
    <row r="50713" spans="25:25" x14ac:dyDescent="0.2">
      <c r="Y50713" s="97"/>
    </row>
    <row r="50714" spans="25:25" x14ac:dyDescent="0.2">
      <c r="Y50714" s="97"/>
    </row>
    <row r="50715" spans="25:25" x14ac:dyDescent="0.2">
      <c r="Y50715" s="97"/>
    </row>
    <row r="50716" spans="25:25" x14ac:dyDescent="0.2">
      <c r="Y50716" s="97"/>
    </row>
    <row r="50717" spans="25:25" x14ac:dyDescent="0.2">
      <c r="Y50717" s="97"/>
    </row>
    <row r="50718" spans="25:25" x14ac:dyDescent="0.2">
      <c r="Y50718" s="97"/>
    </row>
    <row r="50719" spans="25:25" x14ac:dyDescent="0.2">
      <c r="Y50719" s="97"/>
    </row>
    <row r="50720" spans="25:25" x14ac:dyDescent="0.2">
      <c r="Y50720" s="97"/>
    </row>
    <row r="50721" spans="25:25" x14ac:dyDescent="0.2">
      <c r="Y50721" s="97"/>
    </row>
    <row r="50722" spans="25:25" x14ac:dyDescent="0.2">
      <c r="Y50722" s="97"/>
    </row>
    <row r="50723" spans="25:25" x14ac:dyDescent="0.2">
      <c r="Y50723" s="97"/>
    </row>
    <row r="50724" spans="25:25" x14ac:dyDescent="0.2">
      <c r="Y50724" s="97"/>
    </row>
    <row r="50725" spans="25:25" x14ac:dyDescent="0.2">
      <c r="Y50725" s="97"/>
    </row>
    <row r="50726" spans="25:25" x14ac:dyDescent="0.2">
      <c r="Y50726" s="97"/>
    </row>
    <row r="50727" spans="25:25" x14ac:dyDescent="0.2">
      <c r="Y50727" s="97"/>
    </row>
    <row r="50728" spans="25:25" x14ac:dyDescent="0.2">
      <c r="Y50728" s="97"/>
    </row>
    <row r="50729" spans="25:25" x14ac:dyDescent="0.2">
      <c r="Y50729" s="97"/>
    </row>
    <row r="50730" spans="25:25" x14ac:dyDescent="0.2">
      <c r="Y50730" s="97"/>
    </row>
    <row r="50731" spans="25:25" x14ac:dyDescent="0.2">
      <c r="Y50731" s="97"/>
    </row>
    <row r="50732" spans="25:25" x14ac:dyDescent="0.2">
      <c r="Y50732" s="97"/>
    </row>
    <row r="50733" spans="25:25" x14ac:dyDescent="0.2">
      <c r="Y50733" s="97"/>
    </row>
    <row r="50734" spans="25:25" x14ac:dyDescent="0.2">
      <c r="Y50734" s="97"/>
    </row>
    <row r="50735" spans="25:25" x14ac:dyDescent="0.2">
      <c r="Y50735" s="97"/>
    </row>
    <row r="50736" spans="25:25" x14ac:dyDescent="0.2">
      <c r="Y50736" s="97"/>
    </row>
    <row r="50737" spans="25:25" x14ac:dyDescent="0.2">
      <c r="Y50737" s="97"/>
    </row>
    <row r="50738" spans="25:25" x14ac:dyDescent="0.2">
      <c r="Y50738" s="97"/>
    </row>
    <row r="50739" spans="25:25" x14ac:dyDescent="0.2">
      <c r="Y50739" s="97"/>
    </row>
    <row r="50740" spans="25:25" x14ac:dyDescent="0.2">
      <c r="Y50740" s="97"/>
    </row>
    <row r="50741" spans="25:25" x14ac:dyDescent="0.2">
      <c r="Y50741" s="97"/>
    </row>
    <row r="50742" spans="25:25" x14ac:dyDescent="0.2">
      <c r="Y50742" s="97"/>
    </row>
    <row r="50743" spans="25:25" x14ac:dyDescent="0.2">
      <c r="Y50743" s="97"/>
    </row>
    <row r="50744" spans="25:25" x14ac:dyDescent="0.2">
      <c r="Y50744" s="97"/>
    </row>
    <row r="50745" spans="25:25" x14ac:dyDescent="0.2">
      <c r="Y50745" s="97"/>
    </row>
    <row r="50746" spans="25:25" x14ac:dyDescent="0.2">
      <c r="Y50746" s="97"/>
    </row>
    <row r="50747" spans="25:25" x14ac:dyDescent="0.2">
      <c r="Y50747" s="97"/>
    </row>
    <row r="50748" spans="25:25" x14ac:dyDescent="0.2">
      <c r="Y50748" s="97"/>
    </row>
    <row r="50749" spans="25:25" x14ac:dyDescent="0.2">
      <c r="Y50749" s="97"/>
    </row>
    <row r="50750" spans="25:25" x14ac:dyDescent="0.2">
      <c r="Y50750" s="97"/>
    </row>
    <row r="50751" spans="25:25" x14ac:dyDescent="0.2">
      <c r="Y50751" s="97"/>
    </row>
    <row r="50752" spans="25:25" x14ac:dyDescent="0.2">
      <c r="Y50752" s="97"/>
    </row>
    <row r="50753" spans="25:25" x14ac:dyDescent="0.2">
      <c r="Y50753" s="97"/>
    </row>
    <row r="50754" spans="25:25" x14ac:dyDescent="0.2">
      <c r="Y50754" s="97"/>
    </row>
    <row r="50755" spans="25:25" x14ac:dyDescent="0.2">
      <c r="Y50755" s="97"/>
    </row>
    <row r="50756" spans="25:25" x14ac:dyDescent="0.2">
      <c r="Y50756" s="97"/>
    </row>
    <row r="50757" spans="25:25" x14ac:dyDescent="0.2">
      <c r="Y50757" s="97"/>
    </row>
    <row r="50758" spans="25:25" x14ac:dyDescent="0.2">
      <c r="Y50758" s="97"/>
    </row>
    <row r="50759" spans="25:25" x14ac:dyDescent="0.2">
      <c r="Y50759" s="97"/>
    </row>
    <row r="50760" spans="25:25" x14ac:dyDescent="0.2">
      <c r="Y50760" s="97"/>
    </row>
    <row r="50761" spans="25:25" x14ac:dyDescent="0.2">
      <c r="Y50761" s="97"/>
    </row>
    <row r="50762" spans="25:25" x14ac:dyDescent="0.2">
      <c r="Y50762" s="97"/>
    </row>
    <row r="50763" spans="25:25" x14ac:dyDescent="0.2">
      <c r="Y50763" s="97"/>
    </row>
    <row r="50764" spans="25:25" x14ac:dyDescent="0.2">
      <c r="Y50764" s="97"/>
    </row>
    <row r="50765" spans="25:25" x14ac:dyDescent="0.2">
      <c r="Y50765" s="97"/>
    </row>
    <row r="50766" spans="25:25" x14ac:dyDescent="0.2">
      <c r="Y50766" s="97"/>
    </row>
    <row r="50767" spans="25:25" x14ac:dyDescent="0.2">
      <c r="Y50767" s="97"/>
    </row>
    <row r="50768" spans="25:25" x14ac:dyDescent="0.2">
      <c r="Y50768" s="97"/>
    </row>
    <row r="50769" spans="25:25" x14ac:dyDescent="0.2">
      <c r="Y50769" s="97"/>
    </row>
    <row r="50770" spans="25:25" x14ac:dyDescent="0.2">
      <c r="Y50770" s="97"/>
    </row>
    <row r="50771" spans="25:25" x14ac:dyDescent="0.2">
      <c r="Y50771" s="97"/>
    </row>
    <row r="50772" spans="25:25" x14ac:dyDescent="0.2">
      <c r="Y50772" s="97"/>
    </row>
    <row r="50773" spans="25:25" x14ac:dyDescent="0.2">
      <c r="Y50773" s="97"/>
    </row>
    <row r="50774" spans="25:25" x14ac:dyDescent="0.2">
      <c r="Y50774" s="97"/>
    </row>
    <row r="50775" spans="25:25" x14ac:dyDescent="0.2">
      <c r="Y50775" s="97"/>
    </row>
    <row r="50776" spans="25:25" x14ac:dyDescent="0.2">
      <c r="Y50776" s="97"/>
    </row>
    <row r="50777" spans="25:25" x14ac:dyDescent="0.2">
      <c r="Y50777" s="97"/>
    </row>
    <row r="50778" spans="25:25" x14ac:dyDescent="0.2">
      <c r="Y50778" s="97"/>
    </row>
    <row r="50779" spans="25:25" x14ac:dyDescent="0.2">
      <c r="Y50779" s="97"/>
    </row>
    <row r="50780" spans="25:25" x14ac:dyDescent="0.2">
      <c r="Y50780" s="97"/>
    </row>
    <row r="50781" spans="25:25" x14ac:dyDescent="0.2">
      <c r="Y50781" s="97"/>
    </row>
    <row r="50782" spans="25:25" x14ac:dyDescent="0.2">
      <c r="Y50782" s="97"/>
    </row>
    <row r="50783" spans="25:25" x14ac:dyDescent="0.2">
      <c r="Y50783" s="97"/>
    </row>
    <row r="50784" spans="25:25" x14ac:dyDescent="0.2">
      <c r="Y50784" s="97"/>
    </row>
    <row r="50785" spans="25:25" x14ac:dyDescent="0.2">
      <c r="Y50785" s="97"/>
    </row>
    <row r="50786" spans="25:25" x14ac:dyDescent="0.2">
      <c r="Y50786" s="97"/>
    </row>
    <row r="50787" spans="25:25" x14ac:dyDescent="0.2">
      <c r="Y50787" s="97"/>
    </row>
    <row r="50788" spans="25:25" x14ac:dyDescent="0.2">
      <c r="Y50788" s="97"/>
    </row>
    <row r="50789" spans="25:25" x14ac:dyDescent="0.2">
      <c r="Y50789" s="97"/>
    </row>
    <row r="50790" spans="25:25" x14ac:dyDescent="0.2">
      <c r="Y50790" s="97"/>
    </row>
    <row r="50791" spans="25:25" x14ac:dyDescent="0.2">
      <c r="Y50791" s="97"/>
    </row>
    <row r="50792" spans="25:25" x14ac:dyDescent="0.2">
      <c r="Y50792" s="97"/>
    </row>
    <row r="50793" spans="25:25" x14ac:dyDescent="0.2">
      <c r="Y50793" s="97"/>
    </row>
    <row r="50794" spans="25:25" x14ac:dyDescent="0.2">
      <c r="Y50794" s="97"/>
    </row>
    <row r="50795" spans="25:25" x14ac:dyDescent="0.2">
      <c r="Y50795" s="97"/>
    </row>
    <row r="50796" spans="25:25" x14ac:dyDescent="0.2">
      <c r="Y50796" s="97"/>
    </row>
    <row r="50797" spans="25:25" x14ac:dyDescent="0.2">
      <c r="Y50797" s="97"/>
    </row>
    <row r="50798" spans="25:25" x14ac:dyDescent="0.2">
      <c r="Y50798" s="97"/>
    </row>
    <row r="50799" spans="25:25" x14ac:dyDescent="0.2">
      <c r="Y50799" s="97"/>
    </row>
    <row r="50800" spans="25:25" x14ac:dyDescent="0.2">
      <c r="Y50800" s="97"/>
    </row>
    <row r="50801" spans="25:25" x14ac:dyDescent="0.2">
      <c r="Y50801" s="97"/>
    </row>
    <row r="50802" spans="25:25" x14ac:dyDescent="0.2">
      <c r="Y50802" s="97"/>
    </row>
    <row r="50803" spans="25:25" x14ac:dyDescent="0.2">
      <c r="Y50803" s="97"/>
    </row>
    <row r="50804" spans="25:25" x14ac:dyDescent="0.2">
      <c r="Y50804" s="97"/>
    </row>
    <row r="50805" spans="25:25" x14ac:dyDescent="0.2">
      <c r="Y50805" s="97"/>
    </row>
    <row r="50806" spans="25:25" x14ac:dyDescent="0.2">
      <c r="Y50806" s="97"/>
    </row>
    <row r="50807" spans="25:25" x14ac:dyDescent="0.2">
      <c r="Y50807" s="97"/>
    </row>
    <row r="50808" spans="25:25" x14ac:dyDescent="0.2">
      <c r="Y50808" s="97"/>
    </row>
    <row r="50809" spans="25:25" x14ac:dyDescent="0.2">
      <c r="Y50809" s="97"/>
    </row>
    <row r="50810" spans="25:25" x14ac:dyDescent="0.2">
      <c r="Y50810" s="97"/>
    </row>
    <row r="50811" spans="25:25" x14ac:dyDescent="0.2">
      <c r="Y50811" s="97"/>
    </row>
    <row r="50812" spans="25:25" x14ac:dyDescent="0.2">
      <c r="Y50812" s="97"/>
    </row>
    <row r="50813" spans="25:25" x14ac:dyDescent="0.2">
      <c r="Y50813" s="97"/>
    </row>
    <row r="50814" spans="25:25" x14ac:dyDescent="0.2">
      <c r="Y50814" s="97"/>
    </row>
    <row r="50815" spans="25:25" x14ac:dyDescent="0.2">
      <c r="Y50815" s="97"/>
    </row>
    <row r="50816" spans="25:25" x14ac:dyDescent="0.2">
      <c r="Y50816" s="97"/>
    </row>
    <row r="50817" spans="25:25" x14ac:dyDescent="0.2">
      <c r="Y50817" s="97"/>
    </row>
    <row r="50818" spans="25:25" x14ac:dyDescent="0.2">
      <c r="Y50818" s="97"/>
    </row>
    <row r="50819" spans="25:25" x14ac:dyDescent="0.2">
      <c r="Y50819" s="97"/>
    </row>
    <row r="50820" spans="25:25" x14ac:dyDescent="0.2">
      <c r="Y50820" s="97"/>
    </row>
    <row r="50821" spans="25:25" x14ac:dyDescent="0.2">
      <c r="Y50821" s="97"/>
    </row>
    <row r="50822" spans="25:25" x14ac:dyDescent="0.2">
      <c r="Y50822" s="97"/>
    </row>
    <row r="50823" spans="25:25" x14ac:dyDescent="0.2">
      <c r="Y50823" s="97"/>
    </row>
    <row r="50824" spans="25:25" x14ac:dyDescent="0.2">
      <c r="Y50824" s="97"/>
    </row>
    <row r="50825" spans="25:25" x14ac:dyDescent="0.2">
      <c r="Y50825" s="97"/>
    </row>
    <row r="50826" spans="25:25" x14ac:dyDescent="0.2">
      <c r="Y50826" s="97"/>
    </row>
    <row r="50827" spans="25:25" x14ac:dyDescent="0.2">
      <c r="Y50827" s="97"/>
    </row>
    <row r="50828" spans="25:25" x14ac:dyDescent="0.2">
      <c r="Y50828" s="97"/>
    </row>
    <row r="50829" spans="25:25" x14ac:dyDescent="0.2">
      <c r="Y50829" s="97"/>
    </row>
    <row r="50830" spans="25:25" x14ac:dyDescent="0.2">
      <c r="Y50830" s="97"/>
    </row>
    <row r="50831" spans="25:25" x14ac:dyDescent="0.2">
      <c r="Y50831" s="97"/>
    </row>
    <row r="50832" spans="25:25" x14ac:dyDescent="0.2">
      <c r="Y50832" s="97"/>
    </row>
    <row r="50833" spans="25:25" x14ac:dyDescent="0.2">
      <c r="Y50833" s="97"/>
    </row>
    <row r="50834" spans="25:25" x14ac:dyDescent="0.2">
      <c r="Y50834" s="97"/>
    </row>
    <row r="50835" spans="25:25" x14ac:dyDescent="0.2">
      <c r="Y50835" s="97"/>
    </row>
    <row r="50836" spans="25:25" x14ac:dyDescent="0.2">
      <c r="Y50836" s="97"/>
    </row>
    <row r="50837" spans="25:25" x14ac:dyDescent="0.2">
      <c r="Y50837" s="97"/>
    </row>
    <row r="50838" spans="25:25" x14ac:dyDescent="0.2">
      <c r="Y50838" s="97"/>
    </row>
    <row r="50839" spans="25:25" x14ac:dyDescent="0.2">
      <c r="Y50839" s="97"/>
    </row>
    <row r="50840" spans="25:25" x14ac:dyDescent="0.2">
      <c r="Y50840" s="97"/>
    </row>
    <row r="50841" spans="25:25" x14ac:dyDescent="0.2">
      <c r="Y50841" s="97"/>
    </row>
    <row r="50842" spans="25:25" x14ac:dyDescent="0.2">
      <c r="Y50842" s="97"/>
    </row>
    <row r="50843" spans="25:25" x14ac:dyDescent="0.2">
      <c r="Y50843" s="97"/>
    </row>
    <row r="50844" spans="25:25" x14ac:dyDescent="0.2">
      <c r="Y50844" s="97"/>
    </row>
    <row r="50845" spans="25:25" x14ac:dyDescent="0.2">
      <c r="Y50845" s="97"/>
    </row>
    <row r="50846" spans="25:25" x14ac:dyDescent="0.2">
      <c r="Y50846" s="97"/>
    </row>
    <row r="50847" spans="25:25" x14ac:dyDescent="0.2">
      <c r="Y50847" s="97"/>
    </row>
    <row r="50848" spans="25:25" x14ac:dyDescent="0.2">
      <c r="Y50848" s="97"/>
    </row>
    <row r="50849" spans="25:25" x14ac:dyDescent="0.2">
      <c r="Y50849" s="97"/>
    </row>
    <row r="50850" spans="25:25" x14ac:dyDescent="0.2">
      <c r="Y50850" s="97"/>
    </row>
    <row r="50851" spans="25:25" x14ac:dyDescent="0.2">
      <c r="Y50851" s="97"/>
    </row>
    <row r="50852" spans="25:25" x14ac:dyDescent="0.2">
      <c r="Y50852" s="97"/>
    </row>
    <row r="50853" spans="25:25" x14ac:dyDescent="0.2">
      <c r="Y50853" s="97"/>
    </row>
    <row r="50854" spans="25:25" x14ac:dyDescent="0.2">
      <c r="Y50854" s="97"/>
    </row>
    <row r="50855" spans="25:25" x14ac:dyDescent="0.2">
      <c r="Y50855" s="97"/>
    </row>
    <row r="50856" spans="25:25" x14ac:dyDescent="0.2">
      <c r="Y50856" s="97"/>
    </row>
    <row r="50857" spans="25:25" x14ac:dyDescent="0.2">
      <c r="Y50857" s="97"/>
    </row>
    <row r="50858" spans="25:25" x14ac:dyDescent="0.2">
      <c r="Y50858" s="97"/>
    </row>
    <row r="50859" spans="25:25" x14ac:dyDescent="0.2">
      <c r="Y50859" s="97"/>
    </row>
    <row r="50860" spans="25:25" x14ac:dyDescent="0.2">
      <c r="Y50860" s="97"/>
    </row>
    <row r="50861" spans="25:25" x14ac:dyDescent="0.2">
      <c r="Y50861" s="97"/>
    </row>
    <row r="50862" spans="25:25" x14ac:dyDescent="0.2">
      <c r="Y50862" s="97"/>
    </row>
    <row r="50863" spans="25:25" x14ac:dyDescent="0.2">
      <c r="Y50863" s="97"/>
    </row>
    <row r="50864" spans="25:25" x14ac:dyDescent="0.2">
      <c r="Y50864" s="97"/>
    </row>
    <row r="50865" spans="25:25" x14ac:dyDescent="0.2">
      <c r="Y50865" s="97"/>
    </row>
    <row r="50866" spans="25:25" x14ac:dyDescent="0.2">
      <c r="Y50866" s="97"/>
    </row>
    <row r="50867" spans="25:25" x14ac:dyDescent="0.2">
      <c r="Y50867" s="97"/>
    </row>
    <row r="50868" spans="25:25" x14ac:dyDescent="0.2">
      <c r="Y50868" s="97"/>
    </row>
    <row r="50869" spans="25:25" x14ac:dyDescent="0.2">
      <c r="Y50869" s="97"/>
    </row>
    <row r="50870" spans="25:25" x14ac:dyDescent="0.2">
      <c r="Y50870" s="97"/>
    </row>
    <row r="50871" spans="25:25" x14ac:dyDescent="0.2">
      <c r="Y50871" s="97"/>
    </row>
    <row r="50872" spans="25:25" x14ac:dyDescent="0.2">
      <c r="Y50872" s="97"/>
    </row>
    <row r="50873" spans="25:25" x14ac:dyDescent="0.2">
      <c r="Y50873" s="97"/>
    </row>
    <row r="50874" spans="25:25" x14ac:dyDescent="0.2">
      <c r="Y50874" s="97"/>
    </row>
    <row r="50875" spans="25:25" x14ac:dyDescent="0.2">
      <c r="Y50875" s="97"/>
    </row>
    <row r="50876" spans="25:25" x14ac:dyDescent="0.2">
      <c r="Y50876" s="97"/>
    </row>
    <row r="50877" spans="25:25" x14ac:dyDescent="0.2">
      <c r="Y50877" s="97"/>
    </row>
    <row r="50878" spans="25:25" x14ac:dyDescent="0.2">
      <c r="Y50878" s="97"/>
    </row>
    <row r="50879" spans="25:25" x14ac:dyDescent="0.2">
      <c r="Y50879" s="97"/>
    </row>
    <row r="50880" spans="25:25" x14ac:dyDescent="0.2">
      <c r="Y50880" s="97"/>
    </row>
    <row r="50881" spans="25:25" x14ac:dyDescent="0.2">
      <c r="Y50881" s="97"/>
    </row>
    <row r="50882" spans="25:25" x14ac:dyDescent="0.2">
      <c r="Y50882" s="97"/>
    </row>
    <row r="50883" spans="25:25" x14ac:dyDescent="0.2">
      <c r="Y50883" s="97"/>
    </row>
    <row r="50884" spans="25:25" x14ac:dyDescent="0.2">
      <c r="Y50884" s="97"/>
    </row>
    <row r="50885" spans="25:25" x14ac:dyDescent="0.2">
      <c r="Y50885" s="97"/>
    </row>
    <row r="50886" spans="25:25" x14ac:dyDescent="0.2">
      <c r="Y50886" s="97"/>
    </row>
    <row r="50887" spans="25:25" x14ac:dyDescent="0.2">
      <c r="Y50887" s="97"/>
    </row>
    <row r="50888" spans="25:25" x14ac:dyDescent="0.2">
      <c r="Y50888" s="97"/>
    </row>
    <row r="50889" spans="25:25" x14ac:dyDescent="0.2">
      <c r="Y50889" s="97"/>
    </row>
    <row r="50890" spans="25:25" x14ac:dyDescent="0.2">
      <c r="Y50890" s="97"/>
    </row>
    <row r="50891" spans="25:25" x14ac:dyDescent="0.2">
      <c r="Y50891" s="97"/>
    </row>
    <row r="50892" spans="25:25" x14ac:dyDescent="0.2">
      <c r="Y50892" s="97"/>
    </row>
    <row r="50893" spans="25:25" x14ac:dyDescent="0.2">
      <c r="Y50893" s="97"/>
    </row>
    <row r="50894" spans="25:25" x14ac:dyDescent="0.2">
      <c r="Y50894" s="97"/>
    </row>
    <row r="50895" spans="25:25" x14ac:dyDescent="0.2">
      <c r="Y50895" s="97"/>
    </row>
    <row r="50896" spans="25:25" x14ac:dyDescent="0.2">
      <c r="Y50896" s="97"/>
    </row>
    <row r="50897" spans="25:25" x14ac:dyDescent="0.2">
      <c r="Y50897" s="97"/>
    </row>
    <row r="50898" spans="25:25" x14ac:dyDescent="0.2">
      <c r="Y50898" s="97"/>
    </row>
    <row r="50899" spans="25:25" x14ac:dyDescent="0.2">
      <c r="Y50899" s="97"/>
    </row>
    <row r="50900" spans="25:25" x14ac:dyDescent="0.2">
      <c r="Y50900" s="97"/>
    </row>
    <row r="50901" spans="25:25" x14ac:dyDescent="0.2">
      <c r="Y50901" s="97"/>
    </row>
    <row r="50902" spans="25:25" x14ac:dyDescent="0.2">
      <c r="Y50902" s="97"/>
    </row>
    <row r="50903" spans="25:25" x14ac:dyDescent="0.2">
      <c r="Y50903" s="97"/>
    </row>
    <row r="50904" spans="25:25" x14ac:dyDescent="0.2">
      <c r="Y50904" s="97"/>
    </row>
    <row r="50905" spans="25:25" x14ac:dyDescent="0.2">
      <c r="Y50905" s="97"/>
    </row>
    <row r="50906" spans="25:25" x14ac:dyDescent="0.2">
      <c r="Y50906" s="97"/>
    </row>
    <row r="50907" spans="25:25" x14ac:dyDescent="0.2">
      <c r="Y50907" s="97"/>
    </row>
    <row r="50908" spans="25:25" x14ac:dyDescent="0.2">
      <c r="Y50908" s="97"/>
    </row>
    <row r="50909" spans="25:25" x14ac:dyDescent="0.2">
      <c r="Y50909" s="97"/>
    </row>
    <row r="50910" spans="25:25" x14ac:dyDescent="0.2">
      <c r="Y50910" s="97"/>
    </row>
    <row r="50911" spans="25:25" x14ac:dyDescent="0.2">
      <c r="Y50911" s="97"/>
    </row>
    <row r="50912" spans="25:25" x14ac:dyDescent="0.2">
      <c r="Y50912" s="97"/>
    </row>
    <row r="50913" spans="25:25" x14ac:dyDescent="0.2">
      <c r="Y50913" s="97"/>
    </row>
    <row r="50914" spans="25:25" x14ac:dyDescent="0.2">
      <c r="Y50914" s="97"/>
    </row>
    <row r="50915" spans="25:25" x14ac:dyDescent="0.2">
      <c r="Y50915" s="97"/>
    </row>
    <row r="50916" spans="25:25" x14ac:dyDescent="0.2">
      <c r="Y50916" s="97"/>
    </row>
    <row r="50917" spans="25:25" x14ac:dyDescent="0.2">
      <c r="Y50917" s="97"/>
    </row>
    <row r="50918" spans="25:25" x14ac:dyDescent="0.2">
      <c r="Y50918" s="97"/>
    </row>
    <row r="50919" spans="25:25" x14ac:dyDescent="0.2">
      <c r="Y50919" s="97"/>
    </row>
    <row r="50920" spans="25:25" x14ac:dyDescent="0.2">
      <c r="Y50920" s="97"/>
    </row>
    <row r="50921" spans="25:25" x14ac:dyDescent="0.2">
      <c r="Y50921" s="97"/>
    </row>
    <row r="50922" spans="25:25" x14ac:dyDescent="0.2">
      <c r="Y50922" s="97"/>
    </row>
    <row r="50923" spans="25:25" x14ac:dyDescent="0.2">
      <c r="Y50923" s="97"/>
    </row>
    <row r="50924" spans="25:25" x14ac:dyDescent="0.2">
      <c r="Y50924" s="97"/>
    </row>
    <row r="50925" spans="25:25" x14ac:dyDescent="0.2">
      <c r="Y50925" s="97"/>
    </row>
    <row r="50926" spans="25:25" x14ac:dyDescent="0.2">
      <c r="Y50926" s="97"/>
    </row>
    <row r="50927" spans="25:25" x14ac:dyDescent="0.2">
      <c r="Y50927" s="97"/>
    </row>
    <row r="50928" spans="25:25" x14ac:dyDescent="0.2">
      <c r="Y50928" s="97"/>
    </row>
    <row r="50929" spans="25:25" x14ac:dyDescent="0.2">
      <c r="Y50929" s="97"/>
    </row>
    <row r="50930" spans="25:25" x14ac:dyDescent="0.2">
      <c r="Y50930" s="97"/>
    </row>
    <row r="50931" spans="25:25" x14ac:dyDescent="0.2">
      <c r="Y50931" s="97"/>
    </row>
    <row r="50932" spans="25:25" x14ac:dyDescent="0.2">
      <c r="Y50932" s="97"/>
    </row>
    <row r="50933" spans="25:25" x14ac:dyDescent="0.2">
      <c r="Y50933" s="97"/>
    </row>
    <row r="50934" spans="25:25" x14ac:dyDescent="0.2">
      <c r="Y50934" s="97"/>
    </row>
    <row r="50935" spans="25:25" x14ac:dyDescent="0.2">
      <c r="Y50935" s="97"/>
    </row>
    <row r="50936" spans="25:25" x14ac:dyDescent="0.2">
      <c r="Y50936" s="97"/>
    </row>
    <row r="50937" spans="25:25" x14ac:dyDescent="0.2">
      <c r="Y50937" s="97"/>
    </row>
    <row r="50938" spans="25:25" x14ac:dyDescent="0.2">
      <c r="Y50938" s="97"/>
    </row>
    <row r="50939" spans="25:25" x14ac:dyDescent="0.2">
      <c r="Y50939" s="97"/>
    </row>
    <row r="50940" spans="25:25" x14ac:dyDescent="0.2">
      <c r="Y50940" s="97"/>
    </row>
    <row r="50941" spans="25:25" x14ac:dyDescent="0.2">
      <c r="Y50941" s="97"/>
    </row>
    <row r="50942" spans="25:25" x14ac:dyDescent="0.2">
      <c r="Y50942" s="97"/>
    </row>
    <row r="50943" spans="25:25" x14ac:dyDescent="0.2">
      <c r="Y50943" s="97"/>
    </row>
    <row r="50944" spans="25:25" x14ac:dyDescent="0.2">
      <c r="Y50944" s="97"/>
    </row>
    <row r="50945" spans="25:25" x14ac:dyDescent="0.2">
      <c r="Y50945" s="97"/>
    </row>
    <row r="50946" spans="25:25" x14ac:dyDescent="0.2">
      <c r="Y50946" s="97"/>
    </row>
    <row r="50947" spans="25:25" x14ac:dyDescent="0.2">
      <c r="Y50947" s="97"/>
    </row>
    <row r="50948" spans="25:25" x14ac:dyDescent="0.2">
      <c r="Y50948" s="97"/>
    </row>
    <row r="50949" spans="25:25" x14ac:dyDescent="0.2">
      <c r="Y50949" s="97"/>
    </row>
    <row r="50950" spans="25:25" x14ac:dyDescent="0.2">
      <c r="Y50950" s="97"/>
    </row>
    <row r="50951" spans="25:25" x14ac:dyDescent="0.2">
      <c r="Y50951" s="97"/>
    </row>
    <row r="50952" spans="25:25" x14ac:dyDescent="0.2">
      <c r="Y50952" s="97"/>
    </row>
    <row r="50953" spans="25:25" x14ac:dyDescent="0.2">
      <c r="Y50953" s="97"/>
    </row>
    <row r="50954" spans="25:25" x14ac:dyDescent="0.2">
      <c r="Y50954" s="97"/>
    </row>
    <row r="50955" spans="25:25" x14ac:dyDescent="0.2">
      <c r="Y50955" s="97"/>
    </row>
    <row r="50956" spans="25:25" x14ac:dyDescent="0.2">
      <c r="Y50956" s="97"/>
    </row>
    <row r="50957" spans="25:25" x14ac:dyDescent="0.2">
      <c r="Y50957" s="97"/>
    </row>
    <row r="50958" spans="25:25" x14ac:dyDescent="0.2">
      <c r="Y50958" s="97"/>
    </row>
    <row r="50959" spans="25:25" x14ac:dyDescent="0.2">
      <c r="Y50959" s="97"/>
    </row>
    <row r="50960" spans="25:25" x14ac:dyDescent="0.2">
      <c r="Y50960" s="97"/>
    </row>
    <row r="50961" spans="25:25" x14ac:dyDescent="0.2">
      <c r="Y50961" s="97"/>
    </row>
    <row r="50962" spans="25:25" x14ac:dyDescent="0.2">
      <c r="Y50962" s="97"/>
    </row>
    <row r="50963" spans="25:25" x14ac:dyDescent="0.2">
      <c r="Y50963" s="97"/>
    </row>
    <row r="50964" spans="25:25" x14ac:dyDescent="0.2">
      <c r="Y50964" s="97"/>
    </row>
    <row r="50965" spans="25:25" x14ac:dyDescent="0.2">
      <c r="Y50965" s="97"/>
    </row>
    <row r="50966" spans="25:25" x14ac:dyDescent="0.2">
      <c r="Y50966" s="97"/>
    </row>
    <row r="50967" spans="25:25" x14ac:dyDescent="0.2">
      <c r="Y50967" s="97"/>
    </row>
    <row r="50968" spans="25:25" x14ac:dyDescent="0.2">
      <c r="Y50968" s="97"/>
    </row>
    <row r="50969" spans="25:25" x14ac:dyDescent="0.2">
      <c r="Y50969" s="97"/>
    </row>
    <row r="50970" spans="25:25" x14ac:dyDescent="0.2">
      <c r="Y50970" s="97"/>
    </row>
    <row r="50971" spans="25:25" x14ac:dyDescent="0.2">
      <c r="Y50971" s="97"/>
    </row>
    <row r="50972" spans="25:25" x14ac:dyDescent="0.2">
      <c r="Y50972" s="97"/>
    </row>
    <row r="50973" spans="25:25" x14ac:dyDescent="0.2">
      <c r="Y50973" s="97"/>
    </row>
    <row r="50974" spans="25:25" x14ac:dyDescent="0.2">
      <c r="Y50974" s="97"/>
    </row>
    <row r="50975" spans="25:25" x14ac:dyDescent="0.2">
      <c r="Y50975" s="97"/>
    </row>
    <row r="50976" spans="25:25" x14ac:dyDescent="0.2">
      <c r="Y50976" s="97"/>
    </row>
    <row r="50977" spans="25:25" x14ac:dyDescent="0.2">
      <c r="Y50977" s="97"/>
    </row>
    <row r="50978" spans="25:25" x14ac:dyDescent="0.2">
      <c r="Y50978" s="97"/>
    </row>
    <row r="50979" spans="25:25" x14ac:dyDescent="0.2">
      <c r="Y50979" s="97"/>
    </row>
    <row r="50980" spans="25:25" x14ac:dyDescent="0.2">
      <c r="Y50980" s="97"/>
    </row>
    <row r="50981" spans="25:25" x14ac:dyDescent="0.2">
      <c r="Y50981" s="97"/>
    </row>
    <row r="50982" spans="25:25" x14ac:dyDescent="0.2">
      <c r="Y50982" s="97"/>
    </row>
    <row r="50983" spans="25:25" x14ac:dyDescent="0.2">
      <c r="Y50983" s="97"/>
    </row>
    <row r="50984" spans="25:25" x14ac:dyDescent="0.2">
      <c r="Y50984" s="97"/>
    </row>
    <row r="50985" spans="25:25" x14ac:dyDescent="0.2">
      <c r="Y50985" s="97"/>
    </row>
    <row r="50986" spans="25:25" x14ac:dyDescent="0.2">
      <c r="Y50986" s="97"/>
    </row>
    <row r="50987" spans="25:25" x14ac:dyDescent="0.2">
      <c r="Y50987" s="97"/>
    </row>
    <row r="50988" spans="25:25" x14ac:dyDescent="0.2">
      <c r="Y50988" s="97"/>
    </row>
    <row r="50989" spans="25:25" x14ac:dyDescent="0.2">
      <c r="Y50989" s="97"/>
    </row>
    <row r="50990" spans="25:25" x14ac:dyDescent="0.2">
      <c r="Y50990" s="97"/>
    </row>
    <row r="50991" spans="25:25" x14ac:dyDescent="0.2">
      <c r="Y50991" s="97"/>
    </row>
    <row r="50992" spans="25:25" x14ac:dyDescent="0.2">
      <c r="Y50992" s="97"/>
    </row>
    <row r="50993" spans="25:25" x14ac:dyDescent="0.2">
      <c r="Y50993" s="97"/>
    </row>
    <row r="50994" spans="25:25" x14ac:dyDescent="0.2">
      <c r="Y50994" s="97"/>
    </row>
    <row r="50995" spans="25:25" x14ac:dyDescent="0.2">
      <c r="Y50995" s="97"/>
    </row>
    <row r="50996" spans="25:25" x14ac:dyDescent="0.2">
      <c r="Y50996" s="97"/>
    </row>
    <row r="50997" spans="25:25" x14ac:dyDescent="0.2">
      <c r="Y50997" s="97"/>
    </row>
    <row r="50998" spans="25:25" x14ac:dyDescent="0.2">
      <c r="Y50998" s="97"/>
    </row>
    <row r="50999" spans="25:25" x14ac:dyDescent="0.2">
      <c r="Y50999" s="97"/>
    </row>
    <row r="51000" spans="25:25" x14ac:dyDescent="0.2">
      <c r="Y51000" s="97"/>
    </row>
    <row r="51001" spans="25:25" x14ac:dyDescent="0.2">
      <c r="Y51001" s="97"/>
    </row>
    <row r="51002" spans="25:25" x14ac:dyDescent="0.2">
      <c r="Y51002" s="97"/>
    </row>
    <row r="51003" spans="25:25" x14ac:dyDescent="0.2">
      <c r="Y51003" s="97"/>
    </row>
    <row r="51004" spans="25:25" x14ac:dyDescent="0.2">
      <c r="Y51004" s="97"/>
    </row>
    <row r="51005" spans="25:25" x14ac:dyDescent="0.2">
      <c r="Y51005" s="97"/>
    </row>
    <row r="51006" spans="25:25" x14ac:dyDescent="0.2">
      <c r="Y51006" s="97"/>
    </row>
    <row r="51007" spans="25:25" x14ac:dyDescent="0.2">
      <c r="Y51007" s="97"/>
    </row>
    <row r="51008" spans="25:25" x14ac:dyDescent="0.2">
      <c r="Y51008" s="97"/>
    </row>
    <row r="51009" spans="25:25" x14ac:dyDescent="0.2">
      <c r="Y51009" s="97"/>
    </row>
    <row r="51010" spans="25:25" x14ac:dyDescent="0.2">
      <c r="Y51010" s="97"/>
    </row>
    <row r="51011" spans="25:25" x14ac:dyDescent="0.2">
      <c r="Y51011" s="97"/>
    </row>
    <row r="51012" spans="25:25" x14ac:dyDescent="0.2">
      <c r="Y51012" s="97"/>
    </row>
    <row r="51013" spans="25:25" x14ac:dyDescent="0.2">
      <c r="Y51013" s="97"/>
    </row>
    <row r="51014" spans="25:25" x14ac:dyDescent="0.2">
      <c r="Y51014" s="97"/>
    </row>
    <row r="51015" spans="25:25" x14ac:dyDescent="0.2">
      <c r="Y51015" s="97"/>
    </row>
    <row r="51016" spans="25:25" x14ac:dyDescent="0.2">
      <c r="Y51016" s="97"/>
    </row>
    <row r="51017" spans="25:25" x14ac:dyDescent="0.2">
      <c r="Y51017" s="97"/>
    </row>
    <row r="51018" spans="25:25" x14ac:dyDescent="0.2">
      <c r="Y51018" s="97"/>
    </row>
    <row r="51019" spans="25:25" x14ac:dyDescent="0.2">
      <c r="Y51019" s="97"/>
    </row>
    <row r="51020" spans="25:25" x14ac:dyDescent="0.2">
      <c r="Y51020" s="97"/>
    </row>
    <row r="51021" spans="25:25" x14ac:dyDescent="0.2">
      <c r="Y51021" s="97"/>
    </row>
    <row r="51022" spans="25:25" x14ac:dyDescent="0.2">
      <c r="Y51022" s="97"/>
    </row>
    <row r="51023" spans="25:25" x14ac:dyDescent="0.2">
      <c r="Y51023" s="97"/>
    </row>
    <row r="51024" spans="25:25" x14ac:dyDescent="0.2">
      <c r="Y51024" s="97"/>
    </row>
    <row r="51025" spans="25:25" x14ac:dyDescent="0.2">
      <c r="Y51025" s="97"/>
    </row>
    <row r="51026" spans="25:25" x14ac:dyDescent="0.2">
      <c r="Y51026" s="97"/>
    </row>
    <row r="51027" spans="25:25" x14ac:dyDescent="0.2">
      <c r="Y51027" s="97"/>
    </row>
    <row r="51028" spans="25:25" x14ac:dyDescent="0.2">
      <c r="Y51028" s="97"/>
    </row>
    <row r="51029" spans="25:25" x14ac:dyDescent="0.2">
      <c r="Y51029" s="97"/>
    </row>
    <row r="51030" spans="25:25" x14ac:dyDescent="0.2">
      <c r="Y51030" s="97"/>
    </row>
    <row r="51031" spans="25:25" x14ac:dyDescent="0.2">
      <c r="Y51031" s="97"/>
    </row>
    <row r="51032" spans="25:25" x14ac:dyDescent="0.2">
      <c r="Y51032" s="97"/>
    </row>
    <row r="51033" spans="25:25" x14ac:dyDescent="0.2">
      <c r="Y51033" s="97"/>
    </row>
    <row r="51034" spans="25:25" x14ac:dyDescent="0.2">
      <c r="Y51034" s="97"/>
    </row>
    <row r="51035" spans="25:25" x14ac:dyDescent="0.2">
      <c r="Y51035" s="97"/>
    </row>
    <row r="51036" spans="25:25" x14ac:dyDescent="0.2">
      <c r="Y51036" s="97"/>
    </row>
    <row r="51037" spans="25:25" x14ac:dyDescent="0.2">
      <c r="Y51037" s="97"/>
    </row>
    <row r="51038" spans="25:25" x14ac:dyDescent="0.2">
      <c r="Y51038" s="97"/>
    </row>
    <row r="51039" spans="25:25" x14ac:dyDescent="0.2">
      <c r="Y51039" s="97"/>
    </row>
    <row r="51040" spans="25:25" x14ac:dyDescent="0.2">
      <c r="Y51040" s="97"/>
    </row>
    <row r="51041" spans="25:25" x14ac:dyDescent="0.2">
      <c r="Y51041" s="97"/>
    </row>
    <row r="51042" spans="25:25" x14ac:dyDescent="0.2">
      <c r="Y51042" s="97"/>
    </row>
    <row r="51043" spans="25:25" x14ac:dyDescent="0.2">
      <c r="Y51043" s="97"/>
    </row>
    <row r="51044" spans="25:25" x14ac:dyDescent="0.2">
      <c r="Y51044" s="97"/>
    </row>
    <row r="51045" spans="25:25" x14ac:dyDescent="0.2">
      <c r="Y51045" s="97"/>
    </row>
    <row r="51046" spans="25:25" x14ac:dyDescent="0.2">
      <c r="Y51046" s="97"/>
    </row>
    <row r="51047" spans="25:25" x14ac:dyDescent="0.2">
      <c r="Y51047" s="97"/>
    </row>
    <row r="51048" spans="25:25" x14ac:dyDescent="0.2">
      <c r="Y51048" s="97"/>
    </row>
    <row r="51049" spans="25:25" x14ac:dyDescent="0.2">
      <c r="Y51049" s="97"/>
    </row>
    <row r="51050" spans="25:25" x14ac:dyDescent="0.2">
      <c r="Y51050" s="97"/>
    </row>
    <row r="51051" spans="25:25" x14ac:dyDescent="0.2">
      <c r="Y51051" s="97"/>
    </row>
    <row r="51052" spans="25:25" x14ac:dyDescent="0.2">
      <c r="Y51052" s="97"/>
    </row>
    <row r="51053" spans="25:25" x14ac:dyDescent="0.2">
      <c r="Y51053" s="97"/>
    </row>
    <row r="51054" spans="25:25" x14ac:dyDescent="0.2">
      <c r="Y51054" s="97"/>
    </row>
    <row r="51055" spans="25:25" x14ac:dyDescent="0.2">
      <c r="Y51055" s="97"/>
    </row>
    <row r="51056" spans="25:25" x14ac:dyDescent="0.2">
      <c r="Y51056" s="97"/>
    </row>
    <row r="51057" spans="25:25" x14ac:dyDescent="0.2">
      <c r="Y51057" s="97"/>
    </row>
    <row r="51058" spans="25:25" x14ac:dyDescent="0.2">
      <c r="Y51058" s="97"/>
    </row>
    <row r="51059" spans="25:25" x14ac:dyDescent="0.2">
      <c r="Y51059" s="97"/>
    </row>
    <row r="51060" spans="25:25" x14ac:dyDescent="0.2">
      <c r="Y51060" s="97"/>
    </row>
    <row r="51061" spans="25:25" x14ac:dyDescent="0.2">
      <c r="Y51061" s="97"/>
    </row>
    <row r="51062" spans="25:25" x14ac:dyDescent="0.2">
      <c r="Y51062" s="97"/>
    </row>
    <row r="51063" spans="25:25" x14ac:dyDescent="0.2">
      <c r="Y51063" s="97"/>
    </row>
    <row r="51064" spans="25:25" x14ac:dyDescent="0.2">
      <c r="Y51064" s="97"/>
    </row>
    <row r="51065" spans="25:25" x14ac:dyDescent="0.2">
      <c r="Y51065" s="97"/>
    </row>
    <row r="51066" spans="25:25" x14ac:dyDescent="0.2">
      <c r="Y51066" s="97"/>
    </row>
    <row r="51067" spans="25:25" x14ac:dyDescent="0.2">
      <c r="Y51067" s="97"/>
    </row>
    <row r="51068" spans="25:25" x14ac:dyDescent="0.2">
      <c r="Y51068" s="97"/>
    </row>
    <row r="51069" spans="25:25" x14ac:dyDescent="0.2">
      <c r="Y51069" s="97"/>
    </row>
    <row r="51070" spans="25:25" x14ac:dyDescent="0.2">
      <c r="Y51070" s="97"/>
    </row>
    <row r="51071" spans="25:25" x14ac:dyDescent="0.2">
      <c r="Y51071" s="97"/>
    </row>
    <row r="51072" spans="25:25" x14ac:dyDescent="0.2">
      <c r="Y51072" s="97"/>
    </row>
    <row r="51073" spans="25:25" x14ac:dyDescent="0.2">
      <c r="Y51073" s="97"/>
    </row>
    <row r="51074" spans="25:25" x14ac:dyDescent="0.2">
      <c r="Y51074" s="97"/>
    </row>
    <row r="51075" spans="25:25" x14ac:dyDescent="0.2">
      <c r="Y51075" s="97"/>
    </row>
    <row r="51076" spans="25:25" x14ac:dyDescent="0.2">
      <c r="Y51076" s="97"/>
    </row>
    <row r="51077" spans="25:25" x14ac:dyDescent="0.2">
      <c r="Y51077" s="97"/>
    </row>
    <row r="51078" spans="25:25" x14ac:dyDescent="0.2">
      <c r="Y51078" s="97"/>
    </row>
    <row r="51079" spans="25:25" x14ac:dyDescent="0.2">
      <c r="Y51079" s="97"/>
    </row>
    <row r="51080" spans="25:25" x14ac:dyDescent="0.2">
      <c r="Y51080" s="97"/>
    </row>
    <row r="51081" spans="25:25" x14ac:dyDescent="0.2">
      <c r="Y51081" s="97"/>
    </row>
    <row r="51082" spans="25:25" x14ac:dyDescent="0.2">
      <c r="Y51082" s="97"/>
    </row>
    <row r="51083" spans="25:25" x14ac:dyDescent="0.2">
      <c r="Y51083" s="97"/>
    </row>
    <row r="51084" spans="25:25" x14ac:dyDescent="0.2">
      <c r="Y51084" s="97"/>
    </row>
    <row r="51085" spans="25:25" x14ac:dyDescent="0.2">
      <c r="Y51085" s="97"/>
    </row>
    <row r="51086" spans="25:25" x14ac:dyDescent="0.2">
      <c r="Y51086" s="97"/>
    </row>
    <row r="51087" spans="25:25" x14ac:dyDescent="0.2">
      <c r="Y51087" s="97"/>
    </row>
    <row r="51088" spans="25:25" x14ac:dyDescent="0.2">
      <c r="Y51088" s="97"/>
    </row>
    <row r="51089" spans="25:25" x14ac:dyDescent="0.2">
      <c r="Y51089" s="97"/>
    </row>
    <row r="51090" spans="25:25" x14ac:dyDescent="0.2">
      <c r="Y51090" s="97"/>
    </row>
    <row r="51091" spans="25:25" x14ac:dyDescent="0.2">
      <c r="Y51091" s="97"/>
    </row>
    <row r="51092" spans="25:25" x14ac:dyDescent="0.2">
      <c r="Y51092" s="97"/>
    </row>
    <row r="51093" spans="25:25" x14ac:dyDescent="0.2">
      <c r="Y51093" s="97"/>
    </row>
    <row r="51094" spans="25:25" x14ac:dyDescent="0.2">
      <c r="Y51094" s="97"/>
    </row>
    <row r="51095" spans="25:25" x14ac:dyDescent="0.2">
      <c r="Y51095" s="97"/>
    </row>
    <row r="51096" spans="25:25" x14ac:dyDescent="0.2">
      <c r="Y51096" s="97"/>
    </row>
    <row r="51097" spans="25:25" x14ac:dyDescent="0.2">
      <c r="Y51097" s="97"/>
    </row>
    <row r="51098" spans="25:25" x14ac:dyDescent="0.2">
      <c r="Y51098" s="97"/>
    </row>
    <row r="51099" spans="25:25" x14ac:dyDescent="0.2">
      <c r="Y51099" s="97"/>
    </row>
    <row r="51100" spans="25:25" x14ac:dyDescent="0.2">
      <c r="Y51100" s="97"/>
    </row>
    <row r="51101" spans="25:25" x14ac:dyDescent="0.2">
      <c r="Y51101" s="97"/>
    </row>
    <row r="51102" spans="25:25" x14ac:dyDescent="0.2">
      <c r="Y51102" s="97"/>
    </row>
    <row r="51103" spans="25:25" x14ac:dyDescent="0.2">
      <c r="Y51103" s="97"/>
    </row>
    <row r="51104" spans="25:25" x14ac:dyDescent="0.2">
      <c r="Y51104" s="97"/>
    </row>
    <row r="51105" spans="25:25" x14ac:dyDescent="0.2">
      <c r="Y51105" s="97"/>
    </row>
    <row r="51106" spans="25:25" x14ac:dyDescent="0.2">
      <c r="Y51106" s="97"/>
    </row>
    <row r="51107" spans="25:25" x14ac:dyDescent="0.2">
      <c r="Y51107" s="97"/>
    </row>
    <row r="51108" spans="25:25" x14ac:dyDescent="0.2">
      <c r="Y51108" s="97"/>
    </row>
    <row r="51109" spans="25:25" x14ac:dyDescent="0.2">
      <c r="Y51109" s="97"/>
    </row>
    <row r="51110" spans="25:25" x14ac:dyDescent="0.2">
      <c r="Y51110" s="97"/>
    </row>
    <row r="51111" spans="25:25" x14ac:dyDescent="0.2">
      <c r="Y51111" s="97"/>
    </row>
    <row r="51112" spans="25:25" x14ac:dyDescent="0.2">
      <c r="Y51112" s="97"/>
    </row>
    <row r="51113" spans="25:25" x14ac:dyDescent="0.2">
      <c r="Y51113" s="97"/>
    </row>
    <row r="51114" spans="25:25" x14ac:dyDescent="0.2">
      <c r="Y51114" s="97"/>
    </row>
    <row r="51115" spans="25:25" x14ac:dyDescent="0.2">
      <c r="Y51115" s="97"/>
    </row>
    <row r="51116" spans="25:25" x14ac:dyDescent="0.2">
      <c r="Y51116" s="97"/>
    </row>
    <row r="51117" spans="25:25" x14ac:dyDescent="0.2">
      <c r="Y51117" s="97"/>
    </row>
    <row r="51118" spans="25:25" x14ac:dyDescent="0.2">
      <c r="Y51118" s="97"/>
    </row>
    <row r="51119" spans="25:25" x14ac:dyDescent="0.2">
      <c r="Y51119" s="97"/>
    </row>
    <row r="51120" spans="25:25" x14ac:dyDescent="0.2">
      <c r="Y51120" s="97"/>
    </row>
    <row r="51121" spans="25:25" x14ac:dyDescent="0.2">
      <c r="Y51121" s="97"/>
    </row>
    <row r="51122" spans="25:25" x14ac:dyDescent="0.2">
      <c r="Y51122" s="97"/>
    </row>
    <row r="51123" spans="25:25" x14ac:dyDescent="0.2">
      <c r="Y51123" s="97"/>
    </row>
    <row r="51124" spans="25:25" x14ac:dyDescent="0.2">
      <c r="Y51124" s="97"/>
    </row>
    <row r="51125" spans="25:25" x14ac:dyDescent="0.2">
      <c r="Y51125" s="97"/>
    </row>
    <row r="51126" spans="25:25" x14ac:dyDescent="0.2">
      <c r="Y51126" s="97"/>
    </row>
    <row r="51127" spans="25:25" x14ac:dyDescent="0.2">
      <c r="Y51127" s="97"/>
    </row>
    <row r="51128" spans="25:25" x14ac:dyDescent="0.2">
      <c r="Y51128" s="97"/>
    </row>
    <row r="51129" spans="25:25" x14ac:dyDescent="0.2">
      <c r="Y51129" s="97"/>
    </row>
    <row r="51130" spans="25:25" x14ac:dyDescent="0.2">
      <c r="Y51130" s="97"/>
    </row>
    <row r="51131" spans="25:25" x14ac:dyDescent="0.2">
      <c r="Y51131" s="97"/>
    </row>
    <row r="51132" spans="25:25" x14ac:dyDescent="0.2">
      <c r="Y51132" s="97"/>
    </row>
    <row r="51133" spans="25:25" x14ac:dyDescent="0.2">
      <c r="Y51133" s="97"/>
    </row>
    <row r="51134" spans="25:25" x14ac:dyDescent="0.2">
      <c r="Y51134" s="97"/>
    </row>
    <row r="51135" spans="25:25" x14ac:dyDescent="0.2">
      <c r="Y51135" s="97"/>
    </row>
    <row r="51136" spans="25:25" x14ac:dyDescent="0.2">
      <c r="Y51136" s="97"/>
    </row>
    <row r="51137" spans="25:25" x14ac:dyDescent="0.2">
      <c r="Y51137" s="97"/>
    </row>
    <row r="51138" spans="25:25" x14ac:dyDescent="0.2">
      <c r="Y51138" s="97"/>
    </row>
    <row r="51139" spans="25:25" x14ac:dyDescent="0.2">
      <c r="Y51139" s="97"/>
    </row>
    <row r="51140" spans="25:25" x14ac:dyDescent="0.2">
      <c r="Y51140" s="97"/>
    </row>
    <row r="51141" spans="25:25" x14ac:dyDescent="0.2">
      <c r="Y51141" s="97"/>
    </row>
    <row r="51142" spans="25:25" x14ac:dyDescent="0.2">
      <c r="Y51142" s="97"/>
    </row>
    <row r="51143" spans="25:25" x14ac:dyDescent="0.2">
      <c r="Y51143" s="97"/>
    </row>
    <row r="51144" spans="25:25" x14ac:dyDescent="0.2">
      <c r="Y51144" s="97"/>
    </row>
    <row r="51145" spans="25:25" x14ac:dyDescent="0.2">
      <c r="Y51145" s="97"/>
    </row>
    <row r="51146" spans="25:25" x14ac:dyDescent="0.2">
      <c r="Y51146" s="97"/>
    </row>
    <row r="51147" spans="25:25" x14ac:dyDescent="0.2">
      <c r="Y51147" s="97"/>
    </row>
    <row r="51148" spans="25:25" x14ac:dyDescent="0.2">
      <c r="Y51148" s="97"/>
    </row>
    <row r="51149" spans="25:25" x14ac:dyDescent="0.2">
      <c r="Y51149" s="97"/>
    </row>
    <row r="51150" spans="25:25" x14ac:dyDescent="0.2">
      <c r="Y51150" s="97"/>
    </row>
    <row r="51151" spans="25:25" x14ac:dyDescent="0.2">
      <c r="Y51151" s="97"/>
    </row>
    <row r="51152" spans="25:25" x14ac:dyDescent="0.2">
      <c r="Y51152" s="97"/>
    </row>
    <row r="51153" spans="25:25" x14ac:dyDescent="0.2">
      <c r="Y51153" s="97"/>
    </row>
    <row r="51154" spans="25:25" x14ac:dyDescent="0.2">
      <c r="Y51154" s="97"/>
    </row>
    <row r="51155" spans="25:25" x14ac:dyDescent="0.2">
      <c r="Y51155" s="97"/>
    </row>
    <row r="51156" spans="25:25" x14ac:dyDescent="0.2">
      <c r="Y51156" s="97"/>
    </row>
    <row r="51157" spans="25:25" x14ac:dyDescent="0.2">
      <c r="Y51157" s="97"/>
    </row>
    <row r="51158" spans="25:25" x14ac:dyDescent="0.2">
      <c r="Y51158" s="97"/>
    </row>
    <row r="51159" spans="25:25" x14ac:dyDescent="0.2">
      <c r="Y51159" s="97"/>
    </row>
    <row r="51160" spans="25:25" x14ac:dyDescent="0.2">
      <c r="Y51160" s="97"/>
    </row>
    <row r="51161" spans="25:25" x14ac:dyDescent="0.2">
      <c r="Y51161" s="97"/>
    </row>
    <row r="51162" spans="25:25" x14ac:dyDescent="0.2">
      <c r="Y51162" s="97"/>
    </row>
    <row r="51163" spans="25:25" x14ac:dyDescent="0.2">
      <c r="Y51163" s="97"/>
    </row>
    <row r="51164" spans="25:25" x14ac:dyDescent="0.2">
      <c r="Y51164" s="97"/>
    </row>
    <row r="51165" spans="25:25" x14ac:dyDescent="0.2">
      <c r="Y51165" s="97"/>
    </row>
    <row r="51166" spans="25:25" x14ac:dyDescent="0.2">
      <c r="Y51166" s="97"/>
    </row>
    <row r="51167" spans="25:25" x14ac:dyDescent="0.2">
      <c r="Y51167" s="97"/>
    </row>
    <row r="51168" spans="25:25" x14ac:dyDescent="0.2">
      <c r="Y51168" s="97"/>
    </row>
    <row r="51169" spans="25:25" x14ac:dyDescent="0.2">
      <c r="Y51169" s="97"/>
    </row>
    <row r="51170" spans="25:25" x14ac:dyDescent="0.2">
      <c r="Y51170" s="97"/>
    </row>
    <row r="51171" spans="25:25" x14ac:dyDescent="0.2">
      <c r="Y51171" s="97"/>
    </row>
    <row r="51172" spans="25:25" x14ac:dyDescent="0.2">
      <c r="Y51172" s="97"/>
    </row>
    <row r="51173" spans="25:25" x14ac:dyDescent="0.2">
      <c r="Y51173" s="97"/>
    </row>
    <row r="51174" spans="25:25" x14ac:dyDescent="0.2">
      <c r="Y51174" s="97"/>
    </row>
    <row r="51175" spans="25:25" x14ac:dyDescent="0.2">
      <c r="Y51175" s="97"/>
    </row>
    <row r="51176" spans="25:25" x14ac:dyDescent="0.2">
      <c r="Y51176" s="97"/>
    </row>
    <row r="51177" spans="25:25" x14ac:dyDescent="0.2">
      <c r="Y51177" s="97"/>
    </row>
    <row r="51178" spans="25:25" x14ac:dyDescent="0.2">
      <c r="Y51178" s="97"/>
    </row>
    <row r="51179" spans="25:25" x14ac:dyDescent="0.2">
      <c r="Y51179" s="97"/>
    </row>
    <row r="51180" spans="25:25" x14ac:dyDescent="0.2">
      <c r="Y51180" s="97"/>
    </row>
    <row r="51181" spans="25:25" x14ac:dyDescent="0.2">
      <c r="Y51181" s="97"/>
    </row>
    <row r="51182" spans="25:25" x14ac:dyDescent="0.2">
      <c r="Y51182" s="97"/>
    </row>
    <row r="51183" spans="25:25" x14ac:dyDescent="0.2">
      <c r="Y51183" s="97"/>
    </row>
    <row r="51184" spans="25:25" x14ac:dyDescent="0.2">
      <c r="Y51184" s="97"/>
    </row>
    <row r="51185" spans="25:25" x14ac:dyDescent="0.2">
      <c r="Y51185" s="97"/>
    </row>
    <row r="51186" spans="25:25" x14ac:dyDescent="0.2">
      <c r="Y51186" s="97"/>
    </row>
    <row r="51187" spans="25:25" x14ac:dyDescent="0.2">
      <c r="Y51187" s="97"/>
    </row>
    <row r="51188" spans="25:25" x14ac:dyDescent="0.2">
      <c r="Y51188" s="97"/>
    </row>
    <row r="51189" spans="25:25" x14ac:dyDescent="0.2">
      <c r="Y51189" s="97"/>
    </row>
    <row r="51190" spans="25:25" x14ac:dyDescent="0.2">
      <c r="Y51190" s="97"/>
    </row>
    <row r="51191" spans="25:25" x14ac:dyDescent="0.2">
      <c r="Y51191" s="97"/>
    </row>
    <row r="51192" spans="25:25" x14ac:dyDescent="0.2">
      <c r="Y51192" s="97"/>
    </row>
    <row r="51193" spans="25:25" x14ac:dyDescent="0.2">
      <c r="Y51193" s="97"/>
    </row>
    <row r="51194" spans="25:25" x14ac:dyDescent="0.2">
      <c r="Y51194" s="97"/>
    </row>
    <row r="51195" spans="25:25" x14ac:dyDescent="0.2">
      <c r="Y51195" s="97"/>
    </row>
    <row r="51196" spans="25:25" x14ac:dyDescent="0.2">
      <c r="Y51196" s="97"/>
    </row>
    <row r="51197" spans="25:25" x14ac:dyDescent="0.2">
      <c r="Y51197" s="97"/>
    </row>
    <row r="51198" spans="25:25" x14ac:dyDescent="0.2">
      <c r="Y51198" s="97"/>
    </row>
    <row r="51199" spans="25:25" x14ac:dyDescent="0.2">
      <c r="Y51199" s="97"/>
    </row>
    <row r="51200" spans="25:25" x14ac:dyDescent="0.2">
      <c r="Y51200" s="97"/>
    </row>
    <row r="51201" spans="25:25" x14ac:dyDescent="0.2">
      <c r="Y51201" s="97"/>
    </row>
    <row r="51202" spans="25:25" x14ac:dyDescent="0.2">
      <c r="Y51202" s="97"/>
    </row>
    <row r="51203" spans="25:25" x14ac:dyDescent="0.2">
      <c r="Y51203" s="97"/>
    </row>
    <row r="51204" spans="25:25" x14ac:dyDescent="0.2">
      <c r="Y51204" s="97"/>
    </row>
    <row r="51205" spans="25:25" x14ac:dyDescent="0.2">
      <c r="Y51205" s="97"/>
    </row>
    <row r="51206" spans="25:25" x14ac:dyDescent="0.2">
      <c r="Y51206" s="97"/>
    </row>
    <row r="51207" spans="25:25" x14ac:dyDescent="0.2">
      <c r="Y51207" s="97"/>
    </row>
    <row r="51208" spans="25:25" x14ac:dyDescent="0.2">
      <c r="Y51208" s="97"/>
    </row>
    <row r="51209" spans="25:25" x14ac:dyDescent="0.2">
      <c r="Y51209" s="97"/>
    </row>
    <row r="51210" spans="25:25" x14ac:dyDescent="0.2">
      <c r="Y51210" s="97"/>
    </row>
    <row r="51211" spans="25:25" x14ac:dyDescent="0.2">
      <c r="Y51211" s="97"/>
    </row>
    <row r="51212" spans="25:25" x14ac:dyDescent="0.2">
      <c r="Y51212" s="97"/>
    </row>
    <row r="51213" spans="25:25" x14ac:dyDescent="0.2">
      <c r="Y51213" s="97"/>
    </row>
    <row r="51214" spans="25:25" x14ac:dyDescent="0.2">
      <c r="Y51214" s="97"/>
    </row>
    <row r="51215" spans="25:25" x14ac:dyDescent="0.2">
      <c r="Y51215" s="97"/>
    </row>
    <row r="51216" spans="25:25" x14ac:dyDescent="0.2">
      <c r="Y51216" s="97"/>
    </row>
    <row r="51217" spans="25:25" x14ac:dyDescent="0.2">
      <c r="Y51217" s="97"/>
    </row>
    <row r="51218" spans="25:25" x14ac:dyDescent="0.2">
      <c r="Y51218" s="97"/>
    </row>
    <row r="51219" spans="25:25" x14ac:dyDescent="0.2">
      <c r="Y51219" s="97"/>
    </row>
    <row r="51220" spans="25:25" x14ac:dyDescent="0.2">
      <c r="Y51220" s="97"/>
    </row>
    <row r="51221" spans="25:25" x14ac:dyDescent="0.2">
      <c r="Y51221" s="97"/>
    </row>
    <row r="51222" spans="25:25" x14ac:dyDescent="0.2">
      <c r="Y51222" s="97"/>
    </row>
    <row r="51223" spans="25:25" x14ac:dyDescent="0.2">
      <c r="Y51223" s="97"/>
    </row>
    <row r="51224" spans="25:25" x14ac:dyDescent="0.2">
      <c r="Y51224" s="97"/>
    </row>
    <row r="51225" spans="25:25" x14ac:dyDescent="0.2">
      <c r="Y51225" s="97"/>
    </row>
    <row r="51226" spans="25:25" x14ac:dyDescent="0.2">
      <c r="Y51226" s="97"/>
    </row>
    <row r="51227" spans="25:25" x14ac:dyDescent="0.2">
      <c r="Y51227" s="97"/>
    </row>
    <row r="51228" spans="25:25" x14ac:dyDescent="0.2">
      <c r="Y51228" s="97"/>
    </row>
    <row r="51229" spans="25:25" x14ac:dyDescent="0.2">
      <c r="Y51229" s="97"/>
    </row>
    <row r="51230" spans="25:25" x14ac:dyDescent="0.2">
      <c r="Y51230" s="97"/>
    </row>
    <row r="51231" spans="25:25" x14ac:dyDescent="0.2">
      <c r="Y51231" s="97"/>
    </row>
    <row r="51232" spans="25:25" x14ac:dyDescent="0.2">
      <c r="Y51232" s="97"/>
    </row>
    <row r="51233" spans="25:25" x14ac:dyDescent="0.2">
      <c r="Y51233" s="97"/>
    </row>
    <row r="51234" spans="25:25" x14ac:dyDescent="0.2">
      <c r="Y51234" s="97"/>
    </row>
    <row r="51235" spans="25:25" x14ac:dyDescent="0.2">
      <c r="Y51235" s="97"/>
    </row>
    <row r="51236" spans="25:25" x14ac:dyDescent="0.2">
      <c r="Y51236" s="97"/>
    </row>
    <row r="51237" spans="25:25" x14ac:dyDescent="0.2">
      <c r="Y51237" s="97"/>
    </row>
    <row r="51238" spans="25:25" x14ac:dyDescent="0.2">
      <c r="Y51238" s="97"/>
    </row>
    <row r="51239" spans="25:25" x14ac:dyDescent="0.2">
      <c r="Y51239" s="97"/>
    </row>
    <row r="51240" spans="25:25" x14ac:dyDescent="0.2">
      <c r="Y51240" s="97"/>
    </row>
    <row r="51241" spans="25:25" x14ac:dyDescent="0.2">
      <c r="Y51241" s="97"/>
    </row>
    <row r="51242" spans="25:25" x14ac:dyDescent="0.2">
      <c r="Y51242" s="97"/>
    </row>
    <row r="51243" spans="25:25" x14ac:dyDescent="0.2">
      <c r="Y51243" s="97"/>
    </row>
    <row r="51244" spans="25:25" x14ac:dyDescent="0.2">
      <c r="Y51244" s="97"/>
    </row>
    <row r="51245" spans="25:25" x14ac:dyDescent="0.2">
      <c r="Y51245" s="97"/>
    </row>
    <row r="51246" spans="25:25" x14ac:dyDescent="0.2">
      <c r="Y51246" s="97"/>
    </row>
    <row r="51247" spans="25:25" x14ac:dyDescent="0.2">
      <c r="Y51247" s="97"/>
    </row>
    <row r="51248" spans="25:25" x14ac:dyDescent="0.2">
      <c r="Y51248" s="97"/>
    </row>
    <row r="51249" spans="25:25" x14ac:dyDescent="0.2">
      <c r="Y51249" s="97"/>
    </row>
    <row r="51250" spans="25:25" x14ac:dyDescent="0.2">
      <c r="Y51250" s="97"/>
    </row>
    <row r="51251" spans="25:25" x14ac:dyDescent="0.2">
      <c r="Y51251" s="97"/>
    </row>
    <row r="51252" spans="25:25" x14ac:dyDescent="0.2">
      <c r="Y51252" s="97"/>
    </row>
    <row r="51253" spans="25:25" x14ac:dyDescent="0.2">
      <c r="Y51253" s="97"/>
    </row>
    <row r="51254" spans="25:25" x14ac:dyDescent="0.2">
      <c r="Y51254" s="97"/>
    </row>
    <row r="51255" spans="25:25" x14ac:dyDescent="0.2">
      <c r="Y51255" s="97"/>
    </row>
    <row r="51256" spans="25:25" x14ac:dyDescent="0.2">
      <c r="Y51256" s="97"/>
    </row>
    <row r="51257" spans="25:25" x14ac:dyDescent="0.2">
      <c r="Y51257" s="97"/>
    </row>
    <row r="51258" spans="25:25" x14ac:dyDescent="0.2">
      <c r="Y51258" s="97"/>
    </row>
    <row r="51259" spans="25:25" x14ac:dyDescent="0.2">
      <c r="Y51259" s="97"/>
    </row>
    <row r="51260" spans="25:25" x14ac:dyDescent="0.2">
      <c r="Y51260" s="97"/>
    </row>
    <row r="51261" spans="25:25" x14ac:dyDescent="0.2">
      <c r="Y51261" s="97"/>
    </row>
    <row r="51262" spans="25:25" x14ac:dyDescent="0.2">
      <c r="Y51262" s="97"/>
    </row>
    <row r="51263" spans="25:25" x14ac:dyDescent="0.2">
      <c r="Y51263" s="97"/>
    </row>
    <row r="51264" spans="25:25" x14ac:dyDescent="0.2">
      <c r="Y51264" s="97"/>
    </row>
    <row r="51265" spans="25:25" x14ac:dyDescent="0.2">
      <c r="Y51265" s="97"/>
    </row>
    <row r="51266" spans="25:25" x14ac:dyDescent="0.2">
      <c r="Y51266" s="97"/>
    </row>
    <row r="51267" spans="25:25" x14ac:dyDescent="0.2">
      <c r="Y51267" s="97"/>
    </row>
    <row r="51268" spans="25:25" x14ac:dyDescent="0.2">
      <c r="Y51268" s="97"/>
    </row>
    <row r="51269" spans="25:25" x14ac:dyDescent="0.2">
      <c r="Y51269" s="97"/>
    </row>
    <row r="51270" spans="25:25" x14ac:dyDescent="0.2">
      <c r="Y51270" s="97"/>
    </row>
    <row r="51271" spans="25:25" x14ac:dyDescent="0.2">
      <c r="Y51271" s="97"/>
    </row>
    <row r="51272" spans="25:25" x14ac:dyDescent="0.2">
      <c r="Y51272" s="97"/>
    </row>
    <row r="51273" spans="25:25" x14ac:dyDescent="0.2">
      <c r="Y51273" s="97"/>
    </row>
    <row r="51274" spans="25:25" x14ac:dyDescent="0.2">
      <c r="Y51274" s="97"/>
    </row>
    <row r="51275" spans="25:25" x14ac:dyDescent="0.2">
      <c r="Y51275" s="97"/>
    </row>
    <row r="51276" spans="25:25" x14ac:dyDescent="0.2">
      <c r="Y51276" s="97"/>
    </row>
    <row r="51277" spans="25:25" x14ac:dyDescent="0.2">
      <c r="Y51277" s="97"/>
    </row>
    <row r="51278" spans="25:25" x14ac:dyDescent="0.2">
      <c r="Y51278" s="97"/>
    </row>
    <row r="51279" spans="25:25" x14ac:dyDescent="0.2">
      <c r="Y51279" s="97"/>
    </row>
    <row r="51280" spans="25:25" x14ac:dyDescent="0.2">
      <c r="Y51280" s="97"/>
    </row>
    <row r="51281" spans="25:25" x14ac:dyDescent="0.2">
      <c r="Y51281" s="97"/>
    </row>
    <row r="51282" spans="25:25" x14ac:dyDescent="0.2">
      <c r="Y51282" s="97"/>
    </row>
    <row r="51283" spans="25:25" x14ac:dyDescent="0.2">
      <c r="Y51283" s="97"/>
    </row>
    <row r="51284" spans="25:25" x14ac:dyDescent="0.2">
      <c r="Y51284" s="97"/>
    </row>
    <row r="51285" spans="25:25" x14ac:dyDescent="0.2">
      <c r="Y51285" s="97"/>
    </row>
    <row r="51286" spans="25:25" x14ac:dyDescent="0.2">
      <c r="Y51286" s="97"/>
    </row>
    <row r="51287" spans="25:25" x14ac:dyDescent="0.2">
      <c r="Y51287" s="97"/>
    </row>
    <row r="51288" spans="25:25" x14ac:dyDescent="0.2">
      <c r="Y51288" s="97"/>
    </row>
    <row r="51289" spans="25:25" x14ac:dyDescent="0.2">
      <c r="Y51289" s="97"/>
    </row>
    <row r="51290" spans="25:25" x14ac:dyDescent="0.2">
      <c r="Y51290" s="97"/>
    </row>
    <row r="51291" spans="25:25" x14ac:dyDescent="0.2">
      <c r="Y51291" s="97"/>
    </row>
    <row r="51292" spans="25:25" x14ac:dyDescent="0.2">
      <c r="Y51292" s="97"/>
    </row>
    <row r="51293" spans="25:25" x14ac:dyDescent="0.2">
      <c r="Y51293" s="97"/>
    </row>
    <row r="51294" spans="25:25" x14ac:dyDescent="0.2">
      <c r="Y51294" s="97"/>
    </row>
    <row r="51295" spans="25:25" x14ac:dyDescent="0.2">
      <c r="Y51295" s="97"/>
    </row>
    <row r="51296" spans="25:25" x14ac:dyDescent="0.2">
      <c r="Y51296" s="97"/>
    </row>
    <row r="51297" spans="25:25" x14ac:dyDescent="0.2">
      <c r="Y51297" s="97"/>
    </row>
    <row r="51298" spans="25:25" x14ac:dyDescent="0.2">
      <c r="Y51298" s="97"/>
    </row>
    <row r="51299" spans="25:25" x14ac:dyDescent="0.2">
      <c r="Y51299" s="97"/>
    </row>
    <row r="51300" spans="25:25" x14ac:dyDescent="0.2">
      <c r="Y51300" s="97"/>
    </row>
    <row r="51301" spans="25:25" x14ac:dyDescent="0.2">
      <c r="Y51301" s="97"/>
    </row>
    <row r="51302" spans="25:25" x14ac:dyDescent="0.2">
      <c r="Y51302" s="97"/>
    </row>
    <row r="51303" spans="25:25" x14ac:dyDescent="0.2">
      <c r="Y51303" s="97"/>
    </row>
    <row r="51304" spans="25:25" x14ac:dyDescent="0.2">
      <c r="Y51304" s="97"/>
    </row>
    <row r="51305" spans="25:25" x14ac:dyDescent="0.2">
      <c r="Y51305" s="97"/>
    </row>
    <row r="51306" spans="25:25" x14ac:dyDescent="0.2">
      <c r="Y51306" s="97"/>
    </row>
    <row r="51307" spans="25:25" x14ac:dyDescent="0.2">
      <c r="Y51307" s="97"/>
    </row>
    <row r="51308" spans="25:25" x14ac:dyDescent="0.2">
      <c r="Y51308" s="97"/>
    </row>
    <row r="51309" spans="25:25" x14ac:dyDescent="0.2">
      <c r="Y51309" s="97"/>
    </row>
    <row r="51310" spans="25:25" x14ac:dyDescent="0.2">
      <c r="Y51310" s="97"/>
    </row>
    <row r="51311" spans="25:25" x14ac:dyDescent="0.2">
      <c r="Y51311" s="97"/>
    </row>
    <row r="51312" spans="25:25" x14ac:dyDescent="0.2">
      <c r="Y51312" s="97"/>
    </row>
    <row r="51313" spans="25:25" x14ac:dyDescent="0.2">
      <c r="Y51313" s="97"/>
    </row>
    <row r="51314" spans="25:25" x14ac:dyDescent="0.2">
      <c r="Y51314" s="97"/>
    </row>
    <row r="51315" spans="25:25" x14ac:dyDescent="0.2">
      <c r="Y51315" s="97"/>
    </row>
    <row r="51316" spans="25:25" x14ac:dyDescent="0.2">
      <c r="Y51316" s="97"/>
    </row>
    <row r="51317" spans="25:25" x14ac:dyDescent="0.2">
      <c r="Y51317" s="97"/>
    </row>
    <row r="51318" spans="25:25" x14ac:dyDescent="0.2">
      <c r="Y51318" s="97"/>
    </row>
    <row r="51319" spans="25:25" x14ac:dyDescent="0.2">
      <c r="Y51319" s="97"/>
    </row>
    <row r="51320" spans="25:25" x14ac:dyDescent="0.2">
      <c r="Y51320" s="97"/>
    </row>
    <row r="51321" spans="25:25" x14ac:dyDescent="0.2">
      <c r="Y51321" s="97"/>
    </row>
    <row r="51322" spans="25:25" x14ac:dyDescent="0.2">
      <c r="Y51322" s="97"/>
    </row>
    <row r="51323" spans="25:25" x14ac:dyDescent="0.2">
      <c r="Y51323" s="97"/>
    </row>
    <row r="51324" spans="25:25" x14ac:dyDescent="0.2">
      <c r="Y51324" s="97"/>
    </row>
    <row r="51325" spans="25:25" x14ac:dyDescent="0.2">
      <c r="Y51325" s="97"/>
    </row>
    <row r="51326" spans="25:25" x14ac:dyDescent="0.2">
      <c r="Y51326" s="97"/>
    </row>
    <row r="51327" spans="25:25" x14ac:dyDescent="0.2">
      <c r="Y51327" s="97"/>
    </row>
    <row r="51328" spans="25:25" x14ac:dyDescent="0.2">
      <c r="Y51328" s="97"/>
    </row>
    <row r="51329" spans="25:25" x14ac:dyDescent="0.2">
      <c r="Y51329" s="97"/>
    </row>
    <row r="51330" spans="25:25" x14ac:dyDescent="0.2">
      <c r="Y51330" s="97"/>
    </row>
    <row r="51331" spans="25:25" x14ac:dyDescent="0.2">
      <c r="Y51331" s="97"/>
    </row>
    <row r="51332" spans="25:25" x14ac:dyDescent="0.2">
      <c r="Y51332" s="97"/>
    </row>
    <row r="51333" spans="25:25" x14ac:dyDescent="0.2">
      <c r="Y51333" s="97"/>
    </row>
    <row r="51334" spans="25:25" x14ac:dyDescent="0.2">
      <c r="Y51334" s="97"/>
    </row>
    <row r="51335" spans="25:25" x14ac:dyDescent="0.2">
      <c r="Y51335" s="97"/>
    </row>
    <row r="51336" spans="25:25" x14ac:dyDescent="0.2">
      <c r="Y51336" s="97"/>
    </row>
    <row r="51337" spans="25:25" x14ac:dyDescent="0.2">
      <c r="Y51337" s="97"/>
    </row>
    <row r="51338" spans="25:25" x14ac:dyDescent="0.2">
      <c r="Y51338" s="97"/>
    </row>
    <row r="51339" spans="25:25" x14ac:dyDescent="0.2">
      <c r="Y51339" s="97"/>
    </row>
    <row r="51340" spans="25:25" x14ac:dyDescent="0.2">
      <c r="Y51340" s="97"/>
    </row>
    <row r="51341" spans="25:25" x14ac:dyDescent="0.2">
      <c r="Y51341" s="97"/>
    </row>
    <row r="51342" spans="25:25" x14ac:dyDescent="0.2">
      <c r="Y51342" s="97"/>
    </row>
    <row r="51343" spans="25:25" x14ac:dyDescent="0.2">
      <c r="Y51343" s="97"/>
    </row>
    <row r="51344" spans="25:25" x14ac:dyDescent="0.2">
      <c r="Y51344" s="97"/>
    </row>
    <row r="51345" spans="25:25" x14ac:dyDescent="0.2">
      <c r="Y51345" s="97"/>
    </row>
    <row r="51346" spans="25:25" x14ac:dyDescent="0.2">
      <c r="Y51346" s="97"/>
    </row>
    <row r="51347" spans="25:25" x14ac:dyDescent="0.2">
      <c r="Y51347" s="97"/>
    </row>
    <row r="51348" spans="25:25" x14ac:dyDescent="0.2">
      <c r="Y51348" s="97"/>
    </row>
    <row r="51349" spans="25:25" x14ac:dyDescent="0.2">
      <c r="Y51349" s="97"/>
    </row>
    <row r="51350" spans="25:25" x14ac:dyDescent="0.2">
      <c r="Y51350" s="97"/>
    </row>
    <row r="51351" spans="25:25" x14ac:dyDescent="0.2">
      <c r="Y51351" s="97"/>
    </row>
    <row r="51352" spans="25:25" x14ac:dyDescent="0.2">
      <c r="Y51352" s="97"/>
    </row>
    <row r="51353" spans="25:25" x14ac:dyDescent="0.2">
      <c r="Y51353" s="97"/>
    </row>
    <row r="51354" spans="25:25" x14ac:dyDescent="0.2">
      <c r="Y51354" s="97"/>
    </row>
    <row r="51355" spans="25:25" x14ac:dyDescent="0.2">
      <c r="Y51355" s="97"/>
    </row>
    <row r="51356" spans="25:25" x14ac:dyDescent="0.2">
      <c r="Y51356" s="97"/>
    </row>
    <row r="51357" spans="25:25" x14ac:dyDescent="0.2">
      <c r="Y51357" s="97"/>
    </row>
    <row r="51358" spans="25:25" x14ac:dyDescent="0.2">
      <c r="Y51358" s="97"/>
    </row>
    <row r="51359" spans="25:25" x14ac:dyDescent="0.2">
      <c r="Y51359" s="97"/>
    </row>
    <row r="51360" spans="25:25" x14ac:dyDescent="0.2">
      <c r="Y51360" s="97"/>
    </row>
    <row r="51361" spans="25:25" x14ac:dyDescent="0.2">
      <c r="Y51361" s="97"/>
    </row>
    <row r="51362" spans="25:25" x14ac:dyDescent="0.2">
      <c r="Y51362" s="97"/>
    </row>
    <row r="51363" spans="25:25" x14ac:dyDescent="0.2">
      <c r="Y51363" s="97"/>
    </row>
    <row r="51364" spans="25:25" x14ac:dyDescent="0.2">
      <c r="Y51364" s="97"/>
    </row>
    <row r="51365" spans="25:25" x14ac:dyDescent="0.2">
      <c r="Y51365" s="97"/>
    </row>
    <row r="51366" spans="25:25" x14ac:dyDescent="0.2">
      <c r="Y51366" s="97"/>
    </row>
    <row r="51367" spans="25:25" x14ac:dyDescent="0.2">
      <c r="Y51367" s="97"/>
    </row>
    <row r="51368" spans="25:25" x14ac:dyDescent="0.2">
      <c r="Y51368" s="97"/>
    </row>
    <row r="51369" spans="25:25" x14ac:dyDescent="0.2">
      <c r="Y51369" s="97"/>
    </row>
    <row r="51370" spans="25:25" x14ac:dyDescent="0.2">
      <c r="Y51370" s="97"/>
    </row>
    <row r="51371" spans="25:25" x14ac:dyDescent="0.2">
      <c r="Y51371" s="97"/>
    </row>
    <row r="51372" spans="25:25" x14ac:dyDescent="0.2">
      <c r="Y51372" s="97"/>
    </row>
    <row r="51373" spans="25:25" x14ac:dyDescent="0.2">
      <c r="Y51373" s="97"/>
    </row>
    <row r="51374" spans="25:25" x14ac:dyDescent="0.2">
      <c r="Y51374" s="97"/>
    </row>
    <row r="51375" spans="25:25" x14ac:dyDescent="0.2">
      <c r="Y51375" s="97"/>
    </row>
    <row r="51376" spans="25:25" x14ac:dyDescent="0.2">
      <c r="Y51376" s="97"/>
    </row>
    <row r="51377" spans="25:25" x14ac:dyDescent="0.2">
      <c r="Y51377" s="97"/>
    </row>
    <row r="51378" spans="25:25" x14ac:dyDescent="0.2">
      <c r="Y51378" s="97"/>
    </row>
    <row r="51379" spans="25:25" x14ac:dyDescent="0.2">
      <c r="Y51379" s="97"/>
    </row>
    <row r="51380" spans="25:25" x14ac:dyDescent="0.2">
      <c r="Y51380" s="97"/>
    </row>
    <row r="51381" spans="25:25" x14ac:dyDescent="0.2">
      <c r="Y51381" s="97"/>
    </row>
    <row r="51382" spans="25:25" x14ac:dyDescent="0.2">
      <c r="Y51382" s="97"/>
    </row>
    <row r="51383" spans="25:25" x14ac:dyDescent="0.2">
      <c r="Y51383" s="97"/>
    </row>
    <row r="51384" spans="25:25" x14ac:dyDescent="0.2">
      <c r="Y51384" s="97"/>
    </row>
    <row r="51385" spans="25:25" x14ac:dyDescent="0.2">
      <c r="Y51385" s="97"/>
    </row>
    <row r="51386" spans="25:25" x14ac:dyDescent="0.2">
      <c r="Y51386" s="97"/>
    </row>
    <row r="51387" spans="25:25" x14ac:dyDescent="0.2">
      <c r="Y51387" s="97"/>
    </row>
    <row r="51388" spans="25:25" x14ac:dyDescent="0.2">
      <c r="Y51388" s="97"/>
    </row>
    <row r="51389" spans="25:25" x14ac:dyDescent="0.2">
      <c r="Y51389" s="97"/>
    </row>
    <row r="51390" spans="25:25" x14ac:dyDescent="0.2">
      <c r="Y51390" s="97"/>
    </row>
    <row r="51391" spans="25:25" x14ac:dyDescent="0.2">
      <c r="Y51391" s="97"/>
    </row>
    <row r="51392" spans="25:25" x14ac:dyDescent="0.2">
      <c r="Y51392" s="97"/>
    </row>
    <row r="51393" spans="25:25" x14ac:dyDescent="0.2">
      <c r="Y51393" s="97"/>
    </row>
    <row r="51394" spans="25:25" x14ac:dyDescent="0.2">
      <c r="Y51394" s="97"/>
    </row>
    <row r="51395" spans="25:25" x14ac:dyDescent="0.2">
      <c r="Y51395" s="97"/>
    </row>
    <row r="51396" spans="25:25" x14ac:dyDescent="0.2">
      <c r="Y51396" s="97"/>
    </row>
    <row r="51397" spans="25:25" x14ac:dyDescent="0.2">
      <c r="Y51397" s="97"/>
    </row>
    <row r="51398" spans="25:25" x14ac:dyDescent="0.2">
      <c r="Y51398" s="97"/>
    </row>
    <row r="51399" spans="25:25" x14ac:dyDescent="0.2">
      <c r="Y51399" s="97"/>
    </row>
    <row r="51400" spans="25:25" x14ac:dyDescent="0.2">
      <c r="Y51400" s="97"/>
    </row>
    <row r="51401" spans="25:25" x14ac:dyDescent="0.2">
      <c r="Y51401" s="97"/>
    </row>
    <row r="51402" spans="25:25" x14ac:dyDescent="0.2">
      <c r="Y51402" s="97"/>
    </row>
    <row r="51403" spans="25:25" x14ac:dyDescent="0.2">
      <c r="Y51403" s="97"/>
    </row>
    <row r="51404" spans="25:25" x14ac:dyDescent="0.2">
      <c r="Y51404" s="97"/>
    </row>
    <row r="51405" spans="25:25" x14ac:dyDescent="0.2">
      <c r="Y51405" s="97"/>
    </row>
    <row r="51406" spans="25:25" x14ac:dyDescent="0.2">
      <c r="Y51406" s="97"/>
    </row>
    <row r="51407" spans="25:25" x14ac:dyDescent="0.2">
      <c r="Y51407" s="97"/>
    </row>
    <row r="51408" spans="25:25" x14ac:dyDescent="0.2">
      <c r="Y51408" s="97"/>
    </row>
    <row r="51409" spans="25:25" x14ac:dyDescent="0.2">
      <c r="Y51409" s="97"/>
    </row>
    <row r="51410" spans="25:25" x14ac:dyDescent="0.2">
      <c r="Y51410" s="97"/>
    </row>
    <row r="51411" spans="25:25" x14ac:dyDescent="0.2">
      <c r="Y51411" s="97"/>
    </row>
    <row r="51412" spans="25:25" x14ac:dyDescent="0.2">
      <c r="Y51412" s="97"/>
    </row>
    <row r="51413" spans="25:25" x14ac:dyDescent="0.2">
      <c r="Y51413" s="97"/>
    </row>
    <row r="51414" spans="25:25" x14ac:dyDescent="0.2">
      <c r="Y51414" s="97"/>
    </row>
    <row r="51415" spans="25:25" x14ac:dyDescent="0.2">
      <c r="Y51415" s="97"/>
    </row>
    <row r="51416" spans="25:25" x14ac:dyDescent="0.2">
      <c r="Y51416" s="97"/>
    </row>
    <row r="51417" spans="25:25" x14ac:dyDescent="0.2">
      <c r="Y51417" s="97"/>
    </row>
    <row r="51418" spans="25:25" x14ac:dyDescent="0.2">
      <c r="Y51418" s="97"/>
    </row>
    <row r="51419" spans="25:25" x14ac:dyDescent="0.2">
      <c r="Y51419" s="97"/>
    </row>
    <row r="51420" spans="25:25" x14ac:dyDescent="0.2">
      <c r="Y51420" s="97"/>
    </row>
    <row r="51421" spans="25:25" x14ac:dyDescent="0.2">
      <c r="Y51421" s="97"/>
    </row>
    <row r="51422" spans="25:25" x14ac:dyDescent="0.2">
      <c r="Y51422" s="97"/>
    </row>
    <row r="51423" spans="25:25" x14ac:dyDescent="0.2">
      <c r="Y51423" s="97"/>
    </row>
    <row r="51424" spans="25:25" x14ac:dyDescent="0.2">
      <c r="Y51424" s="97"/>
    </row>
    <row r="51425" spans="25:25" x14ac:dyDescent="0.2">
      <c r="Y51425" s="97"/>
    </row>
    <row r="51426" spans="25:25" x14ac:dyDescent="0.2">
      <c r="Y51426" s="97"/>
    </row>
    <row r="51427" spans="25:25" x14ac:dyDescent="0.2">
      <c r="Y51427" s="97"/>
    </row>
    <row r="51428" spans="25:25" x14ac:dyDescent="0.2">
      <c r="Y51428" s="97"/>
    </row>
    <row r="51429" spans="25:25" x14ac:dyDescent="0.2">
      <c r="Y51429" s="97"/>
    </row>
    <row r="51430" spans="25:25" x14ac:dyDescent="0.2">
      <c r="Y51430" s="97"/>
    </row>
    <row r="51431" spans="25:25" x14ac:dyDescent="0.2">
      <c r="Y51431" s="97"/>
    </row>
    <row r="51432" spans="25:25" x14ac:dyDescent="0.2">
      <c r="Y51432" s="97"/>
    </row>
    <row r="51433" spans="25:25" x14ac:dyDescent="0.2">
      <c r="Y51433" s="97"/>
    </row>
    <row r="51434" spans="25:25" x14ac:dyDescent="0.2">
      <c r="Y51434" s="97"/>
    </row>
    <row r="51435" spans="25:25" x14ac:dyDescent="0.2">
      <c r="Y51435" s="97"/>
    </row>
    <row r="51436" spans="25:25" x14ac:dyDescent="0.2">
      <c r="Y51436" s="97"/>
    </row>
    <row r="51437" spans="25:25" x14ac:dyDescent="0.2">
      <c r="Y51437" s="97"/>
    </row>
    <row r="51438" spans="25:25" x14ac:dyDescent="0.2">
      <c r="Y51438" s="97"/>
    </row>
    <row r="51439" spans="25:25" x14ac:dyDescent="0.2">
      <c r="Y51439" s="97"/>
    </row>
    <row r="51440" spans="25:25" x14ac:dyDescent="0.2">
      <c r="Y51440" s="97"/>
    </row>
    <row r="51441" spans="25:25" x14ac:dyDescent="0.2">
      <c r="Y51441" s="97"/>
    </row>
    <row r="51442" spans="25:25" x14ac:dyDescent="0.2">
      <c r="Y51442" s="97"/>
    </row>
    <row r="51443" spans="25:25" x14ac:dyDescent="0.2">
      <c r="Y51443" s="97"/>
    </row>
    <row r="51444" spans="25:25" x14ac:dyDescent="0.2">
      <c r="Y51444" s="97"/>
    </row>
    <row r="51445" spans="25:25" x14ac:dyDescent="0.2">
      <c r="Y51445" s="97"/>
    </row>
    <row r="51446" spans="25:25" x14ac:dyDescent="0.2">
      <c r="Y51446" s="97"/>
    </row>
    <row r="51447" spans="25:25" x14ac:dyDescent="0.2">
      <c r="Y51447" s="97"/>
    </row>
    <row r="51448" spans="25:25" x14ac:dyDescent="0.2">
      <c r="Y51448" s="97"/>
    </row>
    <row r="51449" spans="25:25" x14ac:dyDescent="0.2">
      <c r="Y51449" s="97"/>
    </row>
    <row r="51450" spans="25:25" x14ac:dyDescent="0.2">
      <c r="Y51450" s="97"/>
    </row>
    <row r="51451" spans="25:25" x14ac:dyDescent="0.2">
      <c r="Y51451" s="97"/>
    </row>
    <row r="51452" spans="25:25" x14ac:dyDescent="0.2">
      <c r="Y51452" s="97"/>
    </row>
    <row r="51453" spans="25:25" x14ac:dyDescent="0.2">
      <c r="Y51453" s="97"/>
    </row>
    <row r="51454" spans="25:25" x14ac:dyDescent="0.2">
      <c r="Y51454" s="97"/>
    </row>
    <row r="51455" spans="25:25" x14ac:dyDescent="0.2">
      <c r="Y51455" s="97"/>
    </row>
    <row r="51456" spans="25:25" x14ac:dyDescent="0.2">
      <c r="Y51456" s="97"/>
    </row>
    <row r="51457" spans="25:25" x14ac:dyDescent="0.2">
      <c r="Y51457" s="97"/>
    </row>
    <row r="51458" spans="25:25" x14ac:dyDescent="0.2">
      <c r="Y51458" s="97"/>
    </row>
    <row r="51459" spans="25:25" x14ac:dyDescent="0.2">
      <c r="Y51459" s="97"/>
    </row>
    <row r="51460" spans="25:25" x14ac:dyDescent="0.2">
      <c r="Y51460" s="97"/>
    </row>
    <row r="51461" spans="25:25" x14ac:dyDescent="0.2">
      <c r="Y51461" s="97"/>
    </row>
    <row r="51462" spans="25:25" x14ac:dyDescent="0.2">
      <c r="Y51462" s="97"/>
    </row>
    <row r="51463" spans="25:25" x14ac:dyDescent="0.2">
      <c r="Y51463" s="97"/>
    </row>
    <row r="51464" spans="25:25" x14ac:dyDescent="0.2">
      <c r="Y51464" s="97"/>
    </row>
    <row r="51465" spans="25:25" x14ac:dyDescent="0.2">
      <c r="Y51465" s="97"/>
    </row>
    <row r="51466" spans="25:25" x14ac:dyDescent="0.2">
      <c r="Y51466" s="97"/>
    </row>
    <row r="51467" spans="25:25" x14ac:dyDescent="0.2">
      <c r="Y51467" s="97"/>
    </row>
    <row r="51468" spans="25:25" x14ac:dyDescent="0.2">
      <c r="Y51468" s="97"/>
    </row>
    <row r="51469" spans="25:25" x14ac:dyDescent="0.2">
      <c r="Y51469" s="97"/>
    </row>
    <row r="51470" spans="25:25" x14ac:dyDescent="0.2">
      <c r="Y51470" s="97"/>
    </row>
    <row r="51471" spans="25:25" x14ac:dyDescent="0.2">
      <c r="Y51471" s="97"/>
    </row>
    <row r="51472" spans="25:25" x14ac:dyDescent="0.2">
      <c r="Y51472" s="97"/>
    </row>
    <row r="51473" spans="25:25" x14ac:dyDescent="0.2">
      <c r="Y51473" s="97"/>
    </row>
    <row r="51474" spans="25:25" x14ac:dyDescent="0.2">
      <c r="Y51474" s="97"/>
    </row>
    <row r="51475" spans="25:25" x14ac:dyDescent="0.2">
      <c r="Y51475" s="97"/>
    </row>
    <row r="51476" spans="25:25" x14ac:dyDescent="0.2">
      <c r="Y51476" s="97"/>
    </row>
    <row r="51477" spans="25:25" x14ac:dyDescent="0.2">
      <c r="Y51477" s="97"/>
    </row>
    <row r="51478" spans="25:25" x14ac:dyDescent="0.2">
      <c r="Y51478" s="97"/>
    </row>
    <row r="51479" spans="25:25" x14ac:dyDescent="0.2">
      <c r="Y51479" s="97"/>
    </row>
    <row r="51480" spans="25:25" x14ac:dyDescent="0.2">
      <c r="Y51480" s="97"/>
    </row>
    <row r="51481" spans="25:25" x14ac:dyDescent="0.2">
      <c r="Y51481" s="97"/>
    </row>
    <row r="51482" spans="25:25" x14ac:dyDescent="0.2">
      <c r="Y51482" s="97"/>
    </row>
    <row r="51483" spans="25:25" x14ac:dyDescent="0.2">
      <c r="Y51483" s="97"/>
    </row>
    <row r="51484" spans="25:25" x14ac:dyDescent="0.2">
      <c r="Y51484" s="97"/>
    </row>
    <row r="51485" spans="25:25" x14ac:dyDescent="0.2">
      <c r="Y51485" s="97"/>
    </row>
    <row r="51486" spans="25:25" x14ac:dyDescent="0.2">
      <c r="Y51486" s="97"/>
    </row>
    <row r="51487" spans="25:25" x14ac:dyDescent="0.2">
      <c r="Y51487" s="97"/>
    </row>
    <row r="51488" spans="25:25" x14ac:dyDescent="0.2">
      <c r="Y51488" s="97"/>
    </row>
    <row r="51489" spans="25:25" x14ac:dyDescent="0.2">
      <c r="Y51489" s="97"/>
    </row>
    <row r="51490" spans="25:25" x14ac:dyDescent="0.2">
      <c r="Y51490" s="97"/>
    </row>
    <row r="51491" spans="25:25" x14ac:dyDescent="0.2">
      <c r="Y51491" s="97"/>
    </row>
    <row r="51492" spans="25:25" x14ac:dyDescent="0.2">
      <c r="Y51492" s="97"/>
    </row>
    <row r="51493" spans="25:25" x14ac:dyDescent="0.2">
      <c r="Y51493" s="97"/>
    </row>
    <row r="51494" spans="25:25" x14ac:dyDescent="0.2">
      <c r="Y51494" s="97"/>
    </row>
    <row r="51495" spans="25:25" x14ac:dyDescent="0.2">
      <c r="Y51495" s="97"/>
    </row>
    <row r="51496" spans="25:25" x14ac:dyDescent="0.2">
      <c r="Y51496" s="97"/>
    </row>
    <row r="51497" spans="25:25" x14ac:dyDescent="0.2">
      <c r="Y51497" s="97"/>
    </row>
    <row r="51498" spans="25:25" x14ac:dyDescent="0.2">
      <c r="Y51498" s="97"/>
    </row>
    <row r="51499" spans="25:25" x14ac:dyDescent="0.2">
      <c r="Y51499" s="97"/>
    </row>
    <row r="51500" spans="25:25" x14ac:dyDescent="0.2">
      <c r="Y51500" s="97"/>
    </row>
    <row r="51501" spans="25:25" x14ac:dyDescent="0.2">
      <c r="Y51501" s="97"/>
    </row>
    <row r="51502" spans="25:25" x14ac:dyDescent="0.2">
      <c r="Y51502" s="97"/>
    </row>
    <row r="51503" spans="25:25" x14ac:dyDescent="0.2">
      <c r="Y51503" s="97"/>
    </row>
    <row r="51504" spans="25:25" x14ac:dyDescent="0.2">
      <c r="Y51504" s="97"/>
    </row>
    <row r="51505" spans="25:25" x14ac:dyDescent="0.2">
      <c r="Y51505" s="97"/>
    </row>
    <row r="51506" spans="25:25" x14ac:dyDescent="0.2">
      <c r="Y51506" s="97"/>
    </row>
    <row r="51507" spans="25:25" x14ac:dyDescent="0.2">
      <c r="Y51507" s="97"/>
    </row>
    <row r="51508" spans="25:25" x14ac:dyDescent="0.2">
      <c r="Y51508" s="97"/>
    </row>
    <row r="51509" spans="25:25" x14ac:dyDescent="0.2">
      <c r="Y51509" s="97"/>
    </row>
    <row r="51510" spans="25:25" x14ac:dyDescent="0.2">
      <c r="Y51510" s="97"/>
    </row>
    <row r="51511" spans="25:25" x14ac:dyDescent="0.2">
      <c r="Y51511" s="97"/>
    </row>
    <row r="51512" spans="25:25" x14ac:dyDescent="0.2">
      <c r="Y51512" s="97"/>
    </row>
    <row r="51513" spans="25:25" x14ac:dyDescent="0.2">
      <c r="Y51513" s="97"/>
    </row>
    <row r="51514" spans="25:25" x14ac:dyDescent="0.2">
      <c r="Y51514" s="97"/>
    </row>
    <row r="51515" spans="25:25" x14ac:dyDescent="0.2">
      <c r="Y51515" s="97"/>
    </row>
    <row r="51516" spans="25:25" x14ac:dyDescent="0.2">
      <c r="Y51516" s="97"/>
    </row>
    <row r="51517" spans="25:25" x14ac:dyDescent="0.2">
      <c r="Y51517" s="97"/>
    </row>
    <row r="51518" spans="25:25" x14ac:dyDescent="0.2">
      <c r="Y51518" s="97"/>
    </row>
    <row r="51519" spans="25:25" x14ac:dyDescent="0.2">
      <c r="Y51519" s="97"/>
    </row>
    <row r="51520" spans="25:25" x14ac:dyDescent="0.2">
      <c r="Y51520" s="97"/>
    </row>
    <row r="51521" spans="25:25" x14ac:dyDescent="0.2">
      <c r="Y51521" s="97"/>
    </row>
    <row r="51522" spans="25:25" x14ac:dyDescent="0.2">
      <c r="Y51522" s="97"/>
    </row>
    <row r="51523" spans="25:25" x14ac:dyDescent="0.2">
      <c r="Y51523" s="97"/>
    </row>
    <row r="51524" spans="25:25" x14ac:dyDescent="0.2">
      <c r="Y51524" s="97"/>
    </row>
    <row r="51525" spans="25:25" x14ac:dyDescent="0.2">
      <c r="Y51525" s="97"/>
    </row>
    <row r="51526" spans="25:25" x14ac:dyDescent="0.2">
      <c r="Y51526" s="97"/>
    </row>
    <row r="51527" spans="25:25" x14ac:dyDescent="0.2">
      <c r="Y51527" s="97"/>
    </row>
    <row r="51528" spans="25:25" x14ac:dyDescent="0.2">
      <c r="Y51528" s="97"/>
    </row>
    <row r="51529" spans="25:25" x14ac:dyDescent="0.2">
      <c r="Y51529" s="97"/>
    </row>
    <row r="51530" spans="25:25" x14ac:dyDescent="0.2">
      <c r="Y51530" s="97"/>
    </row>
    <row r="51531" spans="25:25" x14ac:dyDescent="0.2">
      <c r="Y51531" s="97"/>
    </row>
    <row r="51532" spans="25:25" x14ac:dyDescent="0.2">
      <c r="Y51532" s="97"/>
    </row>
    <row r="51533" spans="25:25" x14ac:dyDescent="0.2">
      <c r="Y51533" s="97"/>
    </row>
    <row r="51534" spans="25:25" x14ac:dyDescent="0.2">
      <c r="Y51534" s="97"/>
    </row>
    <row r="51535" spans="25:25" x14ac:dyDescent="0.2">
      <c r="Y51535" s="97"/>
    </row>
    <row r="51536" spans="25:25" x14ac:dyDescent="0.2">
      <c r="Y51536" s="97"/>
    </row>
    <row r="51537" spans="25:25" x14ac:dyDescent="0.2">
      <c r="Y51537" s="97"/>
    </row>
    <row r="51538" spans="25:25" x14ac:dyDescent="0.2">
      <c r="Y51538" s="97"/>
    </row>
    <row r="51539" spans="25:25" x14ac:dyDescent="0.2">
      <c r="Y51539" s="97"/>
    </row>
    <row r="51540" spans="25:25" x14ac:dyDescent="0.2">
      <c r="Y51540" s="97"/>
    </row>
    <row r="51541" spans="25:25" x14ac:dyDescent="0.2">
      <c r="Y51541" s="97"/>
    </row>
    <row r="51542" spans="25:25" x14ac:dyDescent="0.2">
      <c r="Y51542" s="97"/>
    </row>
    <row r="51543" spans="25:25" x14ac:dyDescent="0.2">
      <c r="Y51543" s="97"/>
    </row>
    <row r="51544" spans="25:25" x14ac:dyDescent="0.2">
      <c r="Y51544" s="97"/>
    </row>
    <row r="51545" spans="25:25" x14ac:dyDescent="0.2">
      <c r="Y51545" s="97"/>
    </row>
    <row r="51546" spans="25:25" x14ac:dyDescent="0.2">
      <c r="Y51546" s="97"/>
    </row>
    <row r="51547" spans="25:25" x14ac:dyDescent="0.2">
      <c r="Y51547" s="97"/>
    </row>
    <row r="51548" spans="25:25" x14ac:dyDescent="0.2">
      <c r="Y51548" s="97"/>
    </row>
    <row r="51549" spans="25:25" x14ac:dyDescent="0.2">
      <c r="Y51549" s="97"/>
    </row>
    <row r="51550" spans="25:25" x14ac:dyDescent="0.2">
      <c r="Y51550" s="97"/>
    </row>
    <row r="51551" spans="25:25" x14ac:dyDescent="0.2">
      <c r="Y51551" s="97"/>
    </row>
    <row r="51552" spans="25:25" x14ac:dyDescent="0.2">
      <c r="Y51552" s="97"/>
    </row>
    <row r="51553" spans="25:25" x14ac:dyDescent="0.2">
      <c r="Y51553" s="97"/>
    </row>
    <row r="51554" spans="25:25" x14ac:dyDescent="0.2">
      <c r="Y51554" s="97"/>
    </row>
    <row r="51555" spans="25:25" x14ac:dyDescent="0.2">
      <c r="Y51555" s="97"/>
    </row>
    <row r="51556" spans="25:25" x14ac:dyDescent="0.2">
      <c r="Y51556" s="97"/>
    </row>
    <row r="51557" spans="25:25" x14ac:dyDescent="0.2">
      <c r="Y51557" s="97"/>
    </row>
    <row r="51558" spans="25:25" x14ac:dyDescent="0.2">
      <c r="Y51558" s="97"/>
    </row>
    <row r="51559" spans="25:25" x14ac:dyDescent="0.2">
      <c r="Y51559" s="97"/>
    </row>
    <row r="51560" spans="25:25" x14ac:dyDescent="0.2">
      <c r="Y51560" s="97"/>
    </row>
    <row r="51561" spans="25:25" x14ac:dyDescent="0.2">
      <c r="Y51561" s="97"/>
    </row>
    <row r="51562" spans="25:25" x14ac:dyDescent="0.2">
      <c r="Y51562" s="97"/>
    </row>
    <row r="51563" spans="25:25" x14ac:dyDescent="0.2">
      <c r="Y51563" s="97"/>
    </row>
    <row r="51564" spans="25:25" x14ac:dyDescent="0.2">
      <c r="Y51564" s="97"/>
    </row>
    <row r="51565" spans="25:25" x14ac:dyDescent="0.2">
      <c r="Y51565" s="97"/>
    </row>
    <row r="51566" spans="25:25" x14ac:dyDescent="0.2">
      <c r="Y51566" s="97"/>
    </row>
    <row r="51567" spans="25:25" x14ac:dyDescent="0.2">
      <c r="Y51567" s="97"/>
    </row>
    <row r="51568" spans="25:25" x14ac:dyDescent="0.2">
      <c r="Y51568" s="97"/>
    </row>
    <row r="51569" spans="25:25" x14ac:dyDescent="0.2">
      <c r="Y51569" s="97"/>
    </row>
    <row r="51570" spans="25:25" x14ac:dyDescent="0.2">
      <c r="Y51570" s="97"/>
    </row>
    <row r="51571" spans="25:25" x14ac:dyDescent="0.2">
      <c r="Y51571" s="97"/>
    </row>
    <row r="51572" spans="25:25" x14ac:dyDescent="0.2">
      <c r="Y51572" s="97"/>
    </row>
    <row r="51573" spans="25:25" x14ac:dyDescent="0.2">
      <c r="Y51573" s="97"/>
    </row>
    <row r="51574" spans="25:25" x14ac:dyDescent="0.2">
      <c r="Y51574" s="97"/>
    </row>
    <row r="51575" spans="25:25" x14ac:dyDescent="0.2">
      <c r="Y51575" s="97"/>
    </row>
    <row r="51576" spans="25:25" x14ac:dyDescent="0.2">
      <c r="Y51576" s="97"/>
    </row>
    <row r="51577" spans="25:25" x14ac:dyDescent="0.2">
      <c r="Y51577" s="97"/>
    </row>
    <row r="51578" spans="25:25" x14ac:dyDescent="0.2">
      <c r="Y51578" s="97"/>
    </row>
    <row r="51579" spans="25:25" x14ac:dyDescent="0.2">
      <c r="Y51579" s="97"/>
    </row>
    <row r="51580" spans="25:25" x14ac:dyDescent="0.2">
      <c r="Y51580" s="97"/>
    </row>
    <row r="51581" spans="25:25" x14ac:dyDescent="0.2">
      <c r="Y51581" s="97"/>
    </row>
    <row r="51582" spans="25:25" x14ac:dyDescent="0.2">
      <c r="Y51582" s="97"/>
    </row>
    <row r="51583" spans="25:25" x14ac:dyDescent="0.2">
      <c r="Y51583" s="97"/>
    </row>
    <row r="51584" spans="25:25" x14ac:dyDescent="0.2">
      <c r="Y51584" s="97"/>
    </row>
    <row r="51585" spans="25:25" x14ac:dyDescent="0.2">
      <c r="Y51585" s="97"/>
    </row>
    <row r="51586" spans="25:25" x14ac:dyDescent="0.2">
      <c r="Y51586" s="97"/>
    </row>
    <row r="51587" spans="25:25" x14ac:dyDescent="0.2">
      <c r="Y51587" s="97"/>
    </row>
    <row r="51588" spans="25:25" x14ac:dyDescent="0.2">
      <c r="Y51588" s="97"/>
    </row>
    <row r="51589" spans="25:25" x14ac:dyDescent="0.2">
      <c r="Y51589" s="97"/>
    </row>
    <row r="51590" spans="25:25" x14ac:dyDescent="0.2">
      <c r="Y51590" s="97"/>
    </row>
    <row r="51591" spans="25:25" x14ac:dyDescent="0.2">
      <c r="Y51591" s="97"/>
    </row>
    <row r="51592" spans="25:25" x14ac:dyDescent="0.2">
      <c r="Y51592" s="97"/>
    </row>
    <row r="51593" spans="25:25" x14ac:dyDescent="0.2">
      <c r="Y51593" s="97"/>
    </row>
    <row r="51594" spans="25:25" x14ac:dyDescent="0.2">
      <c r="Y51594" s="97"/>
    </row>
    <row r="51595" spans="25:25" x14ac:dyDescent="0.2">
      <c r="Y51595" s="97"/>
    </row>
    <row r="51596" spans="25:25" x14ac:dyDescent="0.2">
      <c r="Y51596" s="97"/>
    </row>
    <row r="51597" spans="25:25" x14ac:dyDescent="0.2">
      <c r="Y51597" s="97"/>
    </row>
    <row r="51598" spans="25:25" x14ac:dyDescent="0.2">
      <c r="Y51598" s="97"/>
    </row>
    <row r="51599" spans="25:25" x14ac:dyDescent="0.2">
      <c r="Y51599" s="97"/>
    </row>
    <row r="51600" spans="25:25" x14ac:dyDescent="0.2">
      <c r="Y51600" s="97"/>
    </row>
    <row r="51601" spans="25:25" x14ac:dyDescent="0.2">
      <c r="Y51601" s="97"/>
    </row>
    <row r="51602" spans="25:25" x14ac:dyDescent="0.2">
      <c r="Y51602" s="97"/>
    </row>
    <row r="51603" spans="25:25" x14ac:dyDescent="0.2">
      <c r="Y51603" s="97"/>
    </row>
    <row r="51604" spans="25:25" x14ac:dyDescent="0.2">
      <c r="Y51604" s="97"/>
    </row>
    <row r="51605" spans="25:25" x14ac:dyDescent="0.2">
      <c r="Y51605" s="97"/>
    </row>
    <row r="51606" spans="25:25" x14ac:dyDescent="0.2">
      <c r="Y51606" s="97"/>
    </row>
    <row r="51607" spans="25:25" x14ac:dyDescent="0.2">
      <c r="Y51607" s="97"/>
    </row>
    <row r="51608" spans="25:25" x14ac:dyDescent="0.2">
      <c r="Y51608" s="97"/>
    </row>
    <row r="51609" spans="25:25" x14ac:dyDescent="0.2">
      <c r="Y51609" s="97"/>
    </row>
    <row r="51610" spans="25:25" x14ac:dyDescent="0.2">
      <c r="Y51610" s="97"/>
    </row>
    <row r="51611" spans="25:25" x14ac:dyDescent="0.2">
      <c r="Y51611" s="97"/>
    </row>
    <row r="51612" spans="25:25" x14ac:dyDescent="0.2">
      <c r="Y51612" s="97"/>
    </row>
    <row r="51613" spans="25:25" x14ac:dyDescent="0.2">
      <c r="Y51613" s="97"/>
    </row>
    <row r="51614" spans="25:25" x14ac:dyDescent="0.2">
      <c r="Y51614" s="97"/>
    </row>
    <row r="51615" spans="25:25" x14ac:dyDescent="0.2">
      <c r="Y51615" s="97"/>
    </row>
    <row r="51616" spans="25:25" x14ac:dyDescent="0.2">
      <c r="Y51616" s="97"/>
    </row>
    <row r="51617" spans="25:25" x14ac:dyDescent="0.2">
      <c r="Y51617" s="97"/>
    </row>
    <row r="51618" spans="25:25" x14ac:dyDescent="0.2">
      <c r="Y51618" s="97"/>
    </row>
    <row r="51619" spans="25:25" x14ac:dyDescent="0.2">
      <c r="Y51619" s="97"/>
    </row>
    <row r="51620" spans="25:25" x14ac:dyDescent="0.2">
      <c r="Y51620" s="97"/>
    </row>
    <row r="51621" spans="25:25" x14ac:dyDescent="0.2">
      <c r="Y51621" s="97"/>
    </row>
    <row r="51622" spans="25:25" x14ac:dyDescent="0.2">
      <c r="Y51622" s="97"/>
    </row>
    <row r="51623" spans="25:25" x14ac:dyDescent="0.2">
      <c r="Y51623" s="97"/>
    </row>
    <row r="51624" spans="25:25" x14ac:dyDescent="0.2">
      <c r="Y51624" s="97"/>
    </row>
    <row r="51625" spans="25:25" x14ac:dyDescent="0.2">
      <c r="Y51625" s="97"/>
    </row>
    <row r="51626" spans="25:25" x14ac:dyDescent="0.2">
      <c r="Y51626" s="97"/>
    </row>
    <row r="51627" spans="25:25" x14ac:dyDescent="0.2">
      <c r="Y51627" s="97"/>
    </row>
    <row r="51628" spans="25:25" x14ac:dyDescent="0.2">
      <c r="Y51628" s="97"/>
    </row>
    <row r="51629" spans="25:25" x14ac:dyDescent="0.2">
      <c r="Y51629" s="97"/>
    </row>
    <row r="51630" spans="25:25" x14ac:dyDescent="0.2">
      <c r="Y51630" s="97"/>
    </row>
    <row r="51631" spans="25:25" x14ac:dyDescent="0.2">
      <c r="Y51631" s="97"/>
    </row>
    <row r="51632" spans="25:25" x14ac:dyDescent="0.2">
      <c r="Y51632" s="97"/>
    </row>
    <row r="51633" spans="25:25" x14ac:dyDescent="0.2">
      <c r="Y51633" s="97"/>
    </row>
    <row r="51634" spans="25:25" x14ac:dyDescent="0.2">
      <c r="Y51634" s="97"/>
    </row>
    <row r="51635" spans="25:25" x14ac:dyDescent="0.2">
      <c r="Y51635" s="97"/>
    </row>
    <row r="51636" spans="25:25" x14ac:dyDescent="0.2">
      <c r="Y51636" s="97"/>
    </row>
    <row r="51637" spans="25:25" x14ac:dyDescent="0.2">
      <c r="Y51637" s="97"/>
    </row>
    <row r="51638" spans="25:25" x14ac:dyDescent="0.2">
      <c r="Y51638" s="97"/>
    </row>
    <row r="51639" spans="25:25" x14ac:dyDescent="0.2">
      <c r="Y51639" s="97"/>
    </row>
    <row r="51640" spans="25:25" x14ac:dyDescent="0.2">
      <c r="Y51640" s="97"/>
    </row>
    <row r="51641" spans="25:25" x14ac:dyDescent="0.2">
      <c r="Y51641" s="97"/>
    </row>
    <row r="51642" spans="25:25" x14ac:dyDescent="0.2">
      <c r="Y51642" s="97"/>
    </row>
    <row r="51643" spans="25:25" x14ac:dyDescent="0.2">
      <c r="Y51643" s="97"/>
    </row>
    <row r="51644" spans="25:25" x14ac:dyDescent="0.2">
      <c r="Y51644" s="97"/>
    </row>
    <row r="51645" spans="25:25" x14ac:dyDescent="0.2">
      <c r="Y51645" s="97"/>
    </row>
    <row r="51646" spans="25:25" x14ac:dyDescent="0.2">
      <c r="Y51646" s="97"/>
    </row>
    <row r="51647" spans="25:25" x14ac:dyDescent="0.2">
      <c r="Y51647" s="97"/>
    </row>
    <row r="51648" spans="25:25" x14ac:dyDescent="0.2">
      <c r="Y51648" s="97"/>
    </row>
    <row r="51649" spans="25:25" x14ac:dyDescent="0.2">
      <c r="Y51649" s="97"/>
    </row>
    <row r="51650" spans="25:25" x14ac:dyDescent="0.2">
      <c r="Y51650" s="97"/>
    </row>
    <row r="51651" spans="25:25" x14ac:dyDescent="0.2">
      <c r="Y51651" s="97"/>
    </row>
    <row r="51652" spans="25:25" x14ac:dyDescent="0.2">
      <c r="Y51652" s="97"/>
    </row>
    <row r="51653" spans="25:25" x14ac:dyDescent="0.2">
      <c r="Y51653" s="97"/>
    </row>
    <row r="51654" spans="25:25" x14ac:dyDescent="0.2">
      <c r="Y51654" s="97"/>
    </row>
    <row r="51655" spans="25:25" x14ac:dyDescent="0.2">
      <c r="Y51655" s="97"/>
    </row>
    <row r="51656" spans="25:25" x14ac:dyDescent="0.2">
      <c r="Y51656" s="97"/>
    </row>
    <row r="51657" spans="25:25" x14ac:dyDescent="0.2">
      <c r="Y51657" s="97"/>
    </row>
    <row r="51658" spans="25:25" x14ac:dyDescent="0.2">
      <c r="Y51658" s="97"/>
    </row>
    <row r="51659" spans="25:25" x14ac:dyDescent="0.2">
      <c r="Y51659" s="97"/>
    </row>
    <row r="51660" spans="25:25" x14ac:dyDescent="0.2">
      <c r="Y51660" s="97"/>
    </row>
    <row r="51661" spans="25:25" x14ac:dyDescent="0.2">
      <c r="Y51661" s="97"/>
    </row>
    <row r="51662" spans="25:25" x14ac:dyDescent="0.2">
      <c r="Y51662" s="97"/>
    </row>
    <row r="51663" spans="25:25" x14ac:dyDescent="0.2">
      <c r="Y51663" s="97"/>
    </row>
    <row r="51664" spans="25:25" x14ac:dyDescent="0.2">
      <c r="Y51664" s="97"/>
    </row>
    <row r="51665" spans="25:25" x14ac:dyDescent="0.2">
      <c r="Y51665" s="97"/>
    </row>
    <row r="51666" spans="25:25" x14ac:dyDescent="0.2">
      <c r="Y51666" s="97"/>
    </row>
    <row r="51667" spans="25:25" x14ac:dyDescent="0.2">
      <c r="Y51667" s="97"/>
    </row>
    <row r="51668" spans="25:25" x14ac:dyDescent="0.2">
      <c r="Y51668" s="97"/>
    </row>
    <row r="51669" spans="25:25" x14ac:dyDescent="0.2">
      <c r="Y51669" s="97"/>
    </row>
    <row r="51670" spans="25:25" x14ac:dyDescent="0.2">
      <c r="Y51670" s="97"/>
    </row>
    <row r="51671" spans="25:25" x14ac:dyDescent="0.2">
      <c r="Y51671" s="97"/>
    </row>
    <row r="51672" spans="25:25" x14ac:dyDescent="0.2">
      <c r="Y51672" s="97"/>
    </row>
    <row r="51673" spans="25:25" x14ac:dyDescent="0.2">
      <c r="Y51673" s="97"/>
    </row>
    <row r="51674" spans="25:25" x14ac:dyDescent="0.2">
      <c r="Y51674" s="97"/>
    </row>
    <row r="51675" spans="25:25" x14ac:dyDescent="0.2">
      <c r="Y51675" s="97"/>
    </row>
    <row r="51676" spans="25:25" x14ac:dyDescent="0.2">
      <c r="Y51676" s="97"/>
    </row>
    <row r="51677" spans="25:25" x14ac:dyDescent="0.2">
      <c r="Y51677" s="97"/>
    </row>
    <row r="51678" spans="25:25" x14ac:dyDescent="0.2">
      <c r="Y51678" s="97"/>
    </row>
    <row r="51679" spans="25:25" x14ac:dyDescent="0.2">
      <c r="Y51679" s="97"/>
    </row>
    <row r="51680" spans="25:25" x14ac:dyDescent="0.2">
      <c r="Y51680" s="97"/>
    </row>
    <row r="51681" spans="25:25" x14ac:dyDescent="0.2">
      <c r="Y51681" s="97"/>
    </row>
    <row r="51682" spans="25:25" x14ac:dyDescent="0.2">
      <c r="Y51682" s="97"/>
    </row>
    <row r="51683" spans="25:25" x14ac:dyDescent="0.2">
      <c r="Y51683" s="97"/>
    </row>
    <row r="51684" spans="25:25" x14ac:dyDescent="0.2">
      <c r="Y51684" s="97"/>
    </row>
    <row r="51685" spans="25:25" x14ac:dyDescent="0.2">
      <c r="Y51685" s="97"/>
    </row>
    <row r="51686" spans="25:25" x14ac:dyDescent="0.2">
      <c r="Y51686" s="97"/>
    </row>
    <row r="51687" spans="25:25" x14ac:dyDescent="0.2">
      <c r="Y51687" s="97"/>
    </row>
    <row r="51688" spans="25:25" x14ac:dyDescent="0.2">
      <c r="Y51688" s="97"/>
    </row>
    <row r="51689" spans="25:25" x14ac:dyDescent="0.2">
      <c r="Y51689" s="97"/>
    </row>
    <row r="51690" spans="25:25" x14ac:dyDescent="0.2">
      <c r="Y51690" s="97"/>
    </row>
    <row r="51691" spans="25:25" x14ac:dyDescent="0.2">
      <c r="Y51691" s="97"/>
    </row>
    <row r="51692" spans="25:25" x14ac:dyDescent="0.2">
      <c r="Y51692" s="97"/>
    </row>
    <row r="51693" spans="25:25" x14ac:dyDescent="0.2">
      <c r="Y51693" s="97"/>
    </row>
    <row r="51694" spans="25:25" x14ac:dyDescent="0.2">
      <c r="Y51694" s="97"/>
    </row>
    <row r="51695" spans="25:25" x14ac:dyDescent="0.2">
      <c r="Y51695" s="97"/>
    </row>
    <row r="51696" spans="25:25" x14ac:dyDescent="0.2">
      <c r="Y51696" s="97"/>
    </row>
    <row r="51697" spans="25:25" x14ac:dyDescent="0.2">
      <c r="Y51697" s="97"/>
    </row>
    <row r="51698" spans="25:25" x14ac:dyDescent="0.2">
      <c r="Y51698" s="97"/>
    </row>
    <row r="51699" spans="25:25" x14ac:dyDescent="0.2">
      <c r="Y51699" s="97"/>
    </row>
    <row r="51700" spans="25:25" x14ac:dyDescent="0.2">
      <c r="Y51700" s="97"/>
    </row>
    <row r="51701" spans="25:25" x14ac:dyDescent="0.2">
      <c r="Y51701" s="97"/>
    </row>
    <row r="51702" spans="25:25" x14ac:dyDescent="0.2">
      <c r="Y51702" s="97"/>
    </row>
    <row r="51703" spans="25:25" x14ac:dyDescent="0.2">
      <c r="Y51703" s="97"/>
    </row>
    <row r="51704" spans="25:25" x14ac:dyDescent="0.2">
      <c r="Y51704" s="97"/>
    </row>
    <row r="51705" spans="25:25" x14ac:dyDescent="0.2">
      <c r="Y51705" s="97"/>
    </row>
    <row r="51706" spans="25:25" x14ac:dyDescent="0.2">
      <c r="Y51706" s="97"/>
    </row>
    <row r="51707" spans="25:25" x14ac:dyDescent="0.2">
      <c r="Y51707" s="97"/>
    </row>
    <row r="51708" spans="25:25" x14ac:dyDescent="0.2">
      <c r="Y51708" s="97"/>
    </row>
    <row r="51709" spans="25:25" x14ac:dyDescent="0.2">
      <c r="Y51709" s="97"/>
    </row>
    <row r="51710" spans="25:25" x14ac:dyDescent="0.2">
      <c r="Y51710" s="97"/>
    </row>
    <row r="51711" spans="25:25" x14ac:dyDescent="0.2">
      <c r="Y51711" s="97"/>
    </row>
    <row r="51712" spans="25:25" x14ac:dyDescent="0.2">
      <c r="Y51712" s="97"/>
    </row>
    <row r="51713" spans="25:25" x14ac:dyDescent="0.2">
      <c r="Y51713" s="97"/>
    </row>
    <row r="51714" spans="25:25" x14ac:dyDescent="0.2">
      <c r="Y51714" s="97"/>
    </row>
    <row r="51715" spans="25:25" x14ac:dyDescent="0.2">
      <c r="Y51715" s="97"/>
    </row>
    <row r="51716" spans="25:25" x14ac:dyDescent="0.2">
      <c r="Y51716" s="97"/>
    </row>
    <row r="51717" spans="25:25" x14ac:dyDescent="0.2">
      <c r="Y51717" s="97"/>
    </row>
    <row r="51718" spans="25:25" x14ac:dyDescent="0.2">
      <c r="Y51718" s="97"/>
    </row>
    <row r="51719" spans="25:25" x14ac:dyDescent="0.2">
      <c r="Y51719" s="97"/>
    </row>
    <row r="51720" spans="25:25" x14ac:dyDescent="0.2">
      <c r="Y51720" s="97"/>
    </row>
    <row r="51721" spans="25:25" x14ac:dyDescent="0.2">
      <c r="Y51721" s="97"/>
    </row>
    <row r="51722" spans="25:25" x14ac:dyDescent="0.2">
      <c r="Y51722" s="97"/>
    </row>
    <row r="51723" spans="25:25" x14ac:dyDescent="0.2">
      <c r="Y51723" s="97"/>
    </row>
    <row r="51724" spans="25:25" x14ac:dyDescent="0.2">
      <c r="Y51724" s="97"/>
    </row>
    <row r="51725" spans="25:25" x14ac:dyDescent="0.2">
      <c r="Y51725" s="97"/>
    </row>
    <row r="51726" spans="25:25" x14ac:dyDescent="0.2">
      <c r="Y51726" s="97"/>
    </row>
    <row r="51727" spans="25:25" x14ac:dyDescent="0.2">
      <c r="Y51727" s="97"/>
    </row>
    <row r="51728" spans="25:25" x14ac:dyDescent="0.2">
      <c r="Y51728" s="97"/>
    </row>
    <row r="51729" spans="25:25" x14ac:dyDescent="0.2">
      <c r="Y51729" s="97"/>
    </row>
    <row r="51730" spans="25:25" x14ac:dyDescent="0.2">
      <c r="Y51730" s="97"/>
    </row>
    <row r="51731" spans="25:25" x14ac:dyDescent="0.2">
      <c r="Y51731" s="97"/>
    </row>
    <row r="51732" spans="25:25" x14ac:dyDescent="0.2">
      <c r="Y51732" s="97"/>
    </row>
    <row r="51733" spans="25:25" x14ac:dyDescent="0.2">
      <c r="Y51733" s="97"/>
    </row>
    <row r="51734" spans="25:25" x14ac:dyDescent="0.2">
      <c r="Y51734" s="97"/>
    </row>
    <row r="51735" spans="25:25" x14ac:dyDescent="0.2">
      <c r="Y51735" s="97"/>
    </row>
    <row r="51736" spans="25:25" x14ac:dyDescent="0.2">
      <c r="Y51736" s="97"/>
    </row>
    <row r="51737" spans="25:25" x14ac:dyDescent="0.2">
      <c r="Y51737" s="97"/>
    </row>
    <row r="51738" spans="25:25" x14ac:dyDescent="0.2">
      <c r="Y51738" s="97"/>
    </row>
    <row r="51739" spans="25:25" x14ac:dyDescent="0.2">
      <c r="Y51739" s="97"/>
    </row>
    <row r="51740" spans="25:25" x14ac:dyDescent="0.2">
      <c r="Y51740" s="97"/>
    </row>
    <row r="51741" spans="25:25" x14ac:dyDescent="0.2">
      <c r="Y51741" s="97"/>
    </row>
    <row r="51742" spans="25:25" x14ac:dyDescent="0.2">
      <c r="Y51742" s="97"/>
    </row>
    <row r="51743" spans="25:25" x14ac:dyDescent="0.2">
      <c r="Y51743" s="97"/>
    </row>
    <row r="51744" spans="25:25" x14ac:dyDescent="0.2">
      <c r="Y51744" s="97"/>
    </row>
    <row r="51745" spans="25:25" x14ac:dyDescent="0.2">
      <c r="Y51745" s="97"/>
    </row>
    <row r="51746" spans="25:25" x14ac:dyDescent="0.2">
      <c r="Y51746" s="97"/>
    </row>
    <row r="51747" spans="25:25" x14ac:dyDescent="0.2">
      <c r="Y51747" s="97"/>
    </row>
    <row r="51748" spans="25:25" x14ac:dyDescent="0.2">
      <c r="Y51748" s="97"/>
    </row>
    <row r="51749" spans="25:25" x14ac:dyDescent="0.2">
      <c r="Y51749" s="97"/>
    </row>
    <row r="51750" spans="25:25" x14ac:dyDescent="0.2">
      <c r="Y51750" s="97"/>
    </row>
    <row r="51751" spans="25:25" x14ac:dyDescent="0.2">
      <c r="Y51751" s="97"/>
    </row>
    <row r="51752" spans="25:25" x14ac:dyDescent="0.2">
      <c r="Y51752" s="97"/>
    </row>
    <row r="51753" spans="25:25" x14ac:dyDescent="0.2">
      <c r="Y51753" s="97"/>
    </row>
    <row r="51754" spans="25:25" x14ac:dyDescent="0.2">
      <c r="Y51754" s="97"/>
    </row>
    <row r="51755" spans="25:25" x14ac:dyDescent="0.2">
      <c r="Y51755" s="97"/>
    </row>
    <row r="51756" spans="25:25" x14ac:dyDescent="0.2">
      <c r="Y51756" s="97"/>
    </row>
    <row r="51757" spans="25:25" x14ac:dyDescent="0.2">
      <c r="Y51757" s="97"/>
    </row>
    <row r="51758" spans="25:25" x14ac:dyDescent="0.2">
      <c r="Y51758" s="97"/>
    </row>
    <row r="51759" spans="25:25" x14ac:dyDescent="0.2">
      <c r="Y51759" s="97"/>
    </row>
    <row r="51760" spans="25:25" x14ac:dyDescent="0.2">
      <c r="Y51760" s="97"/>
    </row>
    <row r="51761" spans="25:25" x14ac:dyDescent="0.2">
      <c r="Y51761" s="97"/>
    </row>
    <row r="51762" spans="25:25" x14ac:dyDescent="0.2">
      <c r="Y51762" s="97"/>
    </row>
    <row r="51763" spans="25:25" x14ac:dyDescent="0.2">
      <c r="Y51763" s="97"/>
    </row>
    <row r="51764" spans="25:25" x14ac:dyDescent="0.2">
      <c r="Y51764" s="97"/>
    </row>
    <row r="51765" spans="25:25" x14ac:dyDescent="0.2">
      <c r="Y51765" s="97"/>
    </row>
    <row r="51766" spans="25:25" x14ac:dyDescent="0.2">
      <c r="Y51766" s="97"/>
    </row>
    <row r="51767" spans="25:25" x14ac:dyDescent="0.2">
      <c r="Y51767" s="97"/>
    </row>
    <row r="51768" spans="25:25" x14ac:dyDescent="0.2">
      <c r="Y51768" s="97"/>
    </row>
    <row r="51769" spans="25:25" x14ac:dyDescent="0.2">
      <c r="Y51769" s="97"/>
    </row>
    <row r="51770" spans="25:25" x14ac:dyDescent="0.2">
      <c r="Y51770" s="97"/>
    </row>
    <row r="51771" spans="25:25" x14ac:dyDescent="0.2">
      <c r="Y51771" s="97"/>
    </row>
    <row r="51772" spans="25:25" x14ac:dyDescent="0.2">
      <c r="Y51772" s="97"/>
    </row>
    <row r="51773" spans="25:25" x14ac:dyDescent="0.2">
      <c r="Y51773" s="97"/>
    </row>
    <row r="51774" spans="25:25" x14ac:dyDescent="0.2">
      <c r="Y51774" s="97"/>
    </row>
    <row r="51775" spans="25:25" x14ac:dyDescent="0.2">
      <c r="Y51775" s="97"/>
    </row>
    <row r="51776" spans="25:25" x14ac:dyDescent="0.2">
      <c r="Y51776" s="97"/>
    </row>
    <row r="51777" spans="25:25" x14ac:dyDescent="0.2">
      <c r="Y51777" s="97"/>
    </row>
    <row r="51778" spans="25:25" x14ac:dyDescent="0.2">
      <c r="Y51778" s="97"/>
    </row>
    <row r="51779" spans="25:25" x14ac:dyDescent="0.2">
      <c r="Y51779" s="97"/>
    </row>
    <row r="51780" spans="25:25" x14ac:dyDescent="0.2">
      <c r="Y51780" s="97"/>
    </row>
    <row r="51781" spans="25:25" x14ac:dyDescent="0.2">
      <c r="Y51781" s="97"/>
    </row>
    <row r="51782" spans="25:25" x14ac:dyDescent="0.2">
      <c r="Y51782" s="97"/>
    </row>
    <row r="51783" spans="25:25" x14ac:dyDescent="0.2">
      <c r="Y51783" s="97"/>
    </row>
    <row r="51784" spans="25:25" x14ac:dyDescent="0.2">
      <c r="Y51784" s="97"/>
    </row>
    <row r="51785" spans="25:25" x14ac:dyDescent="0.2">
      <c r="Y51785" s="97"/>
    </row>
    <row r="51786" spans="25:25" x14ac:dyDescent="0.2">
      <c r="Y51786" s="97"/>
    </row>
    <row r="51787" spans="25:25" x14ac:dyDescent="0.2">
      <c r="Y51787" s="97"/>
    </row>
    <row r="51788" spans="25:25" x14ac:dyDescent="0.2">
      <c r="Y51788" s="97"/>
    </row>
    <row r="51789" spans="25:25" x14ac:dyDescent="0.2">
      <c r="Y51789" s="97"/>
    </row>
    <row r="51790" spans="25:25" x14ac:dyDescent="0.2">
      <c r="Y51790" s="97"/>
    </row>
    <row r="51791" spans="25:25" x14ac:dyDescent="0.2">
      <c r="Y51791" s="97"/>
    </row>
    <row r="51792" spans="25:25" x14ac:dyDescent="0.2">
      <c r="Y51792" s="97"/>
    </row>
    <row r="51793" spans="25:25" x14ac:dyDescent="0.2">
      <c r="Y51793" s="97"/>
    </row>
    <row r="51794" spans="25:25" x14ac:dyDescent="0.2">
      <c r="Y51794" s="97"/>
    </row>
    <row r="51795" spans="25:25" x14ac:dyDescent="0.2">
      <c r="Y51795" s="97"/>
    </row>
    <row r="51796" spans="25:25" x14ac:dyDescent="0.2">
      <c r="Y51796" s="97"/>
    </row>
    <row r="51797" spans="25:25" x14ac:dyDescent="0.2">
      <c r="Y51797" s="97"/>
    </row>
    <row r="51798" spans="25:25" x14ac:dyDescent="0.2">
      <c r="Y51798" s="97"/>
    </row>
    <row r="51799" spans="25:25" x14ac:dyDescent="0.2">
      <c r="Y51799" s="97"/>
    </row>
    <row r="51800" spans="25:25" x14ac:dyDescent="0.2">
      <c r="Y51800" s="97"/>
    </row>
    <row r="51801" spans="25:25" x14ac:dyDescent="0.2">
      <c r="Y51801" s="97"/>
    </row>
    <row r="51802" spans="25:25" x14ac:dyDescent="0.2">
      <c r="Y51802" s="97"/>
    </row>
    <row r="51803" spans="25:25" x14ac:dyDescent="0.2">
      <c r="Y51803" s="97"/>
    </row>
    <row r="51804" spans="25:25" x14ac:dyDescent="0.2">
      <c r="Y51804" s="97"/>
    </row>
    <row r="51805" spans="25:25" x14ac:dyDescent="0.2">
      <c r="Y51805" s="97"/>
    </row>
    <row r="51806" spans="25:25" x14ac:dyDescent="0.2">
      <c r="Y51806" s="97"/>
    </row>
    <row r="51807" spans="25:25" x14ac:dyDescent="0.2">
      <c r="Y51807" s="97"/>
    </row>
    <row r="51808" spans="25:25" x14ac:dyDescent="0.2">
      <c r="Y51808" s="97"/>
    </row>
    <row r="51809" spans="25:25" x14ac:dyDescent="0.2">
      <c r="Y51809" s="97"/>
    </row>
    <row r="51810" spans="25:25" x14ac:dyDescent="0.2">
      <c r="Y51810" s="97"/>
    </row>
    <row r="51811" spans="25:25" x14ac:dyDescent="0.2">
      <c r="Y51811" s="97"/>
    </row>
    <row r="51812" spans="25:25" x14ac:dyDescent="0.2">
      <c r="Y51812" s="97"/>
    </row>
    <row r="51813" spans="25:25" x14ac:dyDescent="0.2">
      <c r="Y51813" s="97"/>
    </row>
    <row r="51814" spans="25:25" x14ac:dyDescent="0.2">
      <c r="Y51814" s="97"/>
    </row>
    <row r="51815" spans="25:25" x14ac:dyDescent="0.2">
      <c r="Y51815" s="97"/>
    </row>
    <row r="51816" spans="25:25" x14ac:dyDescent="0.2">
      <c r="Y51816" s="97"/>
    </row>
    <row r="51817" spans="25:25" x14ac:dyDescent="0.2">
      <c r="Y51817" s="97"/>
    </row>
    <row r="51818" spans="25:25" x14ac:dyDescent="0.2">
      <c r="Y51818" s="97"/>
    </row>
    <row r="51819" spans="25:25" x14ac:dyDescent="0.2">
      <c r="Y51819" s="97"/>
    </row>
    <row r="51820" spans="25:25" x14ac:dyDescent="0.2">
      <c r="Y51820" s="97"/>
    </row>
    <row r="51821" spans="25:25" x14ac:dyDescent="0.2">
      <c r="Y51821" s="97"/>
    </row>
    <row r="51822" spans="25:25" x14ac:dyDescent="0.2">
      <c r="Y51822" s="97"/>
    </row>
    <row r="51823" spans="25:25" x14ac:dyDescent="0.2">
      <c r="Y51823" s="97"/>
    </row>
    <row r="51824" spans="25:25" x14ac:dyDescent="0.2">
      <c r="Y51824" s="97"/>
    </row>
    <row r="51825" spans="25:25" x14ac:dyDescent="0.2">
      <c r="Y51825" s="97"/>
    </row>
    <row r="51826" spans="25:25" x14ac:dyDescent="0.2">
      <c r="Y51826" s="97"/>
    </row>
    <row r="51827" spans="25:25" x14ac:dyDescent="0.2">
      <c r="Y51827" s="97"/>
    </row>
    <row r="51828" spans="25:25" x14ac:dyDescent="0.2">
      <c r="Y51828" s="97"/>
    </row>
    <row r="51829" spans="25:25" x14ac:dyDescent="0.2">
      <c r="Y51829" s="97"/>
    </row>
    <row r="51830" spans="25:25" x14ac:dyDescent="0.2">
      <c r="Y51830" s="97"/>
    </row>
    <row r="51831" spans="25:25" x14ac:dyDescent="0.2">
      <c r="Y51831" s="97"/>
    </row>
    <row r="51832" spans="25:25" x14ac:dyDescent="0.2">
      <c r="Y51832" s="97"/>
    </row>
    <row r="51833" spans="25:25" x14ac:dyDescent="0.2">
      <c r="Y51833" s="97"/>
    </row>
    <row r="51834" spans="25:25" x14ac:dyDescent="0.2">
      <c r="Y51834" s="97"/>
    </row>
    <row r="51835" spans="25:25" x14ac:dyDescent="0.2">
      <c r="Y51835" s="97"/>
    </row>
    <row r="51836" spans="25:25" x14ac:dyDescent="0.2">
      <c r="Y51836" s="97"/>
    </row>
    <row r="51837" spans="25:25" x14ac:dyDescent="0.2">
      <c r="Y51837" s="97"/>
    </row>
    <row r="51838" spans="25:25" x14ac:dyDescent="0.2">
      <c r="Y51838" s="97"/>
    </row>
    <row r="51839" spans="25:25" x14ac:dyDescent="0.2">
      <c r="Y51839" s="97"/>
    </row>
    <row r="51840" spans="25:25" x14ac:dyDescent="0.2">
      <c r="Y51840" s="97"/>
    </row>
    <row r="51841" spans="25:25" x14ac:dyDescent="0.2">
      <c r="Y51841" s="97"/>
    </row>
    <row r="51842" spans="25:25" x14ac:dyDescent="0.2">
      <c r="Y51842" s="97"/>
    </row>
    <row r="51843" spans="25:25" x14ac:dyDescent="0.2">
      <c r="Y51843" s="97"/>
    </row>
    <row r="51844" spans="25:25" x14ac:dyDescent="0.2">
      <c r="Y51844" s="97"/>
    </row>
    <row r="51845" spans="25:25" x14ac:dyDescent="0.2">
      <c r="Y51845" s="97"/>
    </row>
    <row r="51846" spans="25:25" x14ac:dyDescent="0.2">
      <c r="Y51846" s="97"/>
    </row>
    <row r="51847" spans="25:25" x14ac:dyDescent="0.2">
      <c r="Y51847" s="97"/>
    </row>
    <row r="51848" spans="25:25" x14ac:dyDescent="0.2">
      <c r="Y51848" s="97"/>
    </row>
    <row r="51849" spans="25:25" x14ac:dyDescent="0.2">
      <c r="Y51849" s="97"/>
    </row>
    <row r="51850" spans="25:25" x14ac:dyDescent="0.2">
      <c r="Y51850" s="97"/>
    </row>
    <row r="51851" spans="25:25" x14ac:dyDescent="0.2">
      <c r="Y51851" s="97"/>
    </row>
    <row r="51852" spans="25:25" x14ac:dyDescent="0.2">
      <c r="Y51852" s="97"/>
    </row>
    <row r="51853" spans="25:25" x14ac:dyDescent="0.2">
      <c r="Y51853" s="97"/>
    </row>
    <row r="51854" spans="25:25" x14ac:dyDescent="0.2">
      <c r="Y51854" s="97"/>
    </row>
    <row r="51855" spans="25:25" x14ac:dyDescent="0.2">
      <c r="Y51855" s="97"/>
    </row>
    <row r="51856" spans="25:25" x14ac:dyDescent="0.2">
      <c r="Y51856" s="97"/>
    </row>
    <row r="51857" spans="25:25" x14ac:dyDescent="0.2">
      <c r="Y51857" s="97"/>
    </row>
    <row r="51858" spans="25:25" x14ac:dyDescent="0.2">
      <c r="Y51858" s="97"/>
    </row>
    <row r="51859" spans="25:25" x14ac:dyDescent="0.2">
      <c r="Y51859" s="97"/>
    </row>
    <row r="51860" spans="25:25" x14ac:dyDescent="0.2">
      <c r="Y51860" s="97"/>
    </row>
    <row r="51861" spans="25:25" x14ac:dyDescent="0.2">
      <c r="Y51861" s="97"/>
    </row>
    <row r="51862" spans="25:25" x14ac:dyDescent="0.2">
      <c r="Y51862" s="97"/>
    </row>
    <row r="51863" spans="25:25" x14ac:dyDescent="0.2">
      <c r="Y51863" s="97"/>
    </row>
    <row r="51864" spans="25:25" x14ac:dyDescent="0.2">
      <c r="Y51864" s="97"/>
    </row>
    <row r="51865" spans="25:25" x14ac:dyDescent="0.2">
      <c r="Y51865" s="97"/>
    </row>
    <row r="51866" spans="25:25" x14ac:dyDescent="0.2">
      <c r="Y51866" s="97"/>
    </row>
    <row r="51867" spans="25:25" x14ac:dyDescent="0.2">
      <c r="Y51867" s="97"/>
    </row>
    <row r="51868" spans="25:25" x14ac:dyDescent="0.2">
      <c r="Y51868" s="97"/>
    </row>
    <row r="51869" spans="25:25" x14ac:dyDescent="0.2">
      <c r="Y51869" s="97"/>
    </row>
    <row r="51870" spans="25:25" x14ac:dyDescent="0.2">
      <c r="Y51870" s="97"/>
    </row>
    <row r="51871" spans="25:25" x14ac:dyDescent="0.2">
      <c r="Y51871" s="97"/>
    </row>
    <row r="51872" spans="25:25" x14ac:dyDescent="0.2">
      <c r="Y51872" s="97"/>
    </row>
    <row r="51873" spans="25:25" x14ac:dyDescent="0.2">
      <c r="Y51873" s="97"/>
    </row>
    <row r="51874" spans="25:25" x14ac:dyDescent="0.2">
      <c r="Y51874" s="97"/>
    </row>
    <row r="51875" spans="25:25" x14ac:dyDescent="0.2">
      <c r="Y51875" s="97"/>
    </row>
    <row r="51876" spans="25:25" x14ac:dyDescent="0.2">
      <c r="Y51876" s="97"/>
    </row>
    <row r="51877" spans="25:25" x14ac:dyDescent="0.2">
      <c r="Y51877" s="97"/>
    </row>
    <row r="51878" spans="25:25" x14ac:dyDescent="0.2">
      <c r="Y51878" s="97"/>
    </row>
    <row r="51879" spans="25:25" x14ac:dyDescent="0.2">
      <c r="Y51879" s="97"/>
    </row>
    <row r="51880" spans="25:25" x14ac:dyDescent="0.2">
      <c r="Y51880" s="97"/>
    </row>
    <row r="51881" spans="25:25" x14ac:dyDescent="0.2">
      <c r="Y51881" s="97"/>
    </row>
    <row r="51882" spans="25:25" x14ac:dyDescent="0.2">
      <c r="Y51882" s="97"/>
    </row>
    <row r="51883" spans="25:25" x14ac:dyDescent="0.2">
      <c r="Y51883" s="97"/>
    </row>
    <row r="51884" spans="25:25" x14ac:dyDescent="0.2">
      <c r="Y51884" s="97"/>
    </row>
    <row r="51885" spans="25:25" x14ac:dyDescent="0.2">
      <c r="Y51885" s="97"/>
    </row>
    <row r="51886" spans="25:25" x14ac:dyDescent="0.2">
      <c r="Y51886" s="97"/>
    </row>
    <row r="51887" spans="25:25" x14ac:dyDescent="0.2">
      <c r="Y51887" s="97"/>
    </row>
    <row r="51888" spans="25:25" x14ac:dyDescent="0.2">
      <c r="Y51888" s="97"/>
    </row>
    <row r="51889" spans="25:25" x14ac:dyDescent="0.2">
      <c r="Y51889" s="97"/>
    </row>
    <row r="51890" spans="25:25" x14ac:dyDescent="0.2">
      <c r="Y51890" s="97"/>
    </row>
    <row r="51891" spans="25:25" x14ac:dyDescent="0.2">
      <c r="Y51891" s="97"/>
    </row>
    <row r="51892" spans="25:25" x14ac:dyDescent="0.2">
      <c r="Y51892" s="97"/>
    </row>
    <row r="51893" spans="25:25" x14ac:dyDescent="0.2">
      <c r="Y51893" s="97"/>
    </row>
    <row r="51894" spans="25:25" x14ac:dyDescent="0.2">
      <c r="Y51894" s="97"/>
    </row>
    <row r="51895" spans="25:25" x14ac:dyDescent="0.2">
      <c r="Y51895" s="97"/>
    </row>
    <row r="51896" spans="25:25" x14ac:dyDescent="0.2">
      <c r="Y51896" s="97"/>
    </row>
    <row r="51897" spans="25:25" x14ac:dyDescent="0.2">
      <c r="Y51897" s="97"/>
    </row>
    <row r="51898" spans="25:25" x14ac:dyDescent="0.2">
      <c r="Y51898" s="97"/>
    </row>
    <row r="51899" spans="25:25" x14ac:dyDescent="0.2">
      <c r="Y51899" s="97"/>
    </row>
    <row r="51900" spans="25:25" x14ac:dyDescent="0.2">
      <c r="Y51900" s="97"/>
    </row>
    <row r="51901" spans="25:25" x14ac:dyDescent="0.2">
      <c r="Y51901" s="97"/>
    </row>
    <row r="51902" spans="25:25" x14ac:dyDescent="0.2">
      <c r="Y51902" s="97"/>
    </row>
    <row r="51903" spans="25:25" x14ac:dyDescent="0.2">
      <c r="Y51903" s="97"/>
    </row>
    <row r="51904" spans="25:25" x14ac:dyDescent="0.2">
      <c r="Y51904" s="97"/>
    </row>
    <row r="51905" spans="25:25" x14ac:dyDescent="0.2">
      <c r="Y51905" s="97"/>
    </row>
    <row r="51906" spans="25:25" x14ac:dyDescent="0.2">
      <c r="Y51906" s="97"/>
    </row>
    <row r="51907" spans="25:25" x14ac:dyDescent="0.2">
      <c r="Y51907" s="97"/>
    </row>
    <row r="51908" spans="25:25" x14ac:dyDescent="0.2">
      <c r="Y51908" s="97"/>
    </row>
    <row r="51909" spans="25:25" x14ac:dyDescent="0.2">
      <c r="Y51909" s="97"/>
    </row>
    <row r="51910" spans="25:25" x14ac:dyDescent="0.2">
      <c r="Y51910" s="97"/>
    </row>
    <row r="51911" spans="25:25" x14ac:dyDescent="0.2">
      <c r="Y51911" s="97"/>
    </row>
    <row r="51912" spans="25:25" x14ac:dyDescent="0.2">
      <c r="Y51912" s="97"/>
    </row>
    <row r="51913" spans="25:25" x14ac:dyDescent="0.2">
      <c r="Y51913" s="97"/>
    </row>
    <row r="51914" spans="25:25" x14ac:dyDescent="0.2">
      <c r="Y51914" s="97"/>
    </row>
    <row r="51915" spans="25:25" x14ac:dyDescent="0.2">
      <c r="Y51915" s="97"/>
    </row>
    <row r="51916" spans="25:25" x14ac:dyDescent="0.2">
      <c r="Y51916" s="97"/>
    </row>
    <row r="51917" spans="25:25" x14ac:dyDescent="0.2">
      <c r="Y51917" s="97"/>
    </row>
    <row r="51918" spans="25:25" x14ac:dyDescent="0.2">
      <c r="Y51918" s="97"/>
    </row>
    <row r="51919" spans="25:25" x14ac:dyDescent="0.2">
      <c r="Y51919" s="97"/>
    </row>
    <row r="51920" spans="25:25" x14ac:dyDescent="0.2">
      <c r="Y51920" s="97"/>
    </row>
    <row r="51921" spans="25:25" x14ac:dyDescent="0.2">
      <c r="Y51921" s="97"/>
    </row>
    <row r="51922" spans="25:25" x14ac:dyDescent="0.2">
      <c r="Y51922" s="97"/>
    </row>
    <row r="51923" spans="25:25" x14ac:dyDescent="0.2">
      <c r="Y51923" s="97"/>
    </row>
    <row r="51924" spans="25:25" x14ac:dyDescent="0.2">
      <c r="Y51924" s="97"/>
    </row>
    <row r="51925" spans="25:25" x14ac:dyDescent="0.2">
      <c r="Y51925" s="97"/>
    </row>
    <row r="51926" spans="25:25" x14ac:dyDescent="0.2">
      <c r="Y51926" s="97"/>
    </row>
    <row r="51927" spans="25:25" x14ac:dyDescent="0.2">
      <c r="Y51927" s="97"/>
    </row>
    <row r="51928" spans="25:25" x14ac:dyDescent="0.2">
      <c r="Y51928" s="97"/>
    </row>
    <row r="51929" spans="25:25" x14ac:dyDescent="0.2">
      <c r="Y51929" s="97"/>
    </row>
    <row r="51930" spans="25:25" x14ac:dyDescent="0.2">
      <c r="Y51930" s="97"/>
    </row>
    <row r="51931" spans="25:25" x14ac:dyDescent="0.2">
      <c r="Y51931" s="97"/>
    </row>
    <row r="51932" spans="25:25" x14ac:dyDescent="0.2">
      <c r="Y51932" s="97"/>
    </row>
    <row r="51933" spans="25:25" x14ac:dyDescent="0.2">
      <c r="Y51933" s="97"/>
    </row>
    <row r="51934" spans="25:25" x14ac:dyDescent="0.2">
      <c r="Y51934" s="97"/>
    </row>
    <row r="51935" spans="25:25" x14ac:dyDescent="0.2">
      <c r="Y51935" s="97"/>
    </row>
    <row r="51936" spans="25:25" x14ac:dyDescent="0.2">
      <c r="Y51936" s="97"/>
    </row>
    <row r="51937" spans="25:25" x14ac:dyDescent="0.2">
      <c r="Y51937" s="97"/>
    </row>
    <row r="51938" spans="25:25" x14ac:dyDescent="0.2">
      <c r="Y51938" s="97"/>
    </row>
    <row r="51939" spans="25:25" x14ac:dyDescent="0.2">
      <c r="Y51939" s="97"/>
    </row>
    <row r="51940" spans="25:25" x14ac:dyDescent="0.2">
      <c r="Y51940" s="97"/>
    </row>
    <row r="51941" spans="25:25" x14ac:dyDescent="0.2">
      <c r="Y51941" s="97"/>
    </row>
    <row r="51942" spans="25:25" x14ac:dyDescent="0.2">
      <c r="Y51942" s="97"/>
    </row>
    <row r="51943" spans="25:25" x14ac:dyDescent="0.2">
      <c r="Y51943" s="97"/>
    </row>
    <row r="51944" spans="25:25" x14ac:dyDescent="0.2">
      <c r="Y51944" s="97"/>
    </row>
    <row r="51945" spans="25:25" x14ac:dyDescent="0.2">
      <c r="Y51945" s="97"/>
    </row>
    <row r="51946" spans="25:25" x14ac:dyDescent="0.2">
      <c r="Y51946" s="97"/>
    </row>
    <row r="51947" spans="25:25" x14ac:dyDescent="0.2">
      <c r="Y51947" s="97"/>
    </row>
    <row r="51948" spans="25:25" x14ac:dyDescent="0.2">
      <c r="Y51948" s="97"/>
    </row>
    <row r="51949" spans="25:25" x14ac:dyDescent="0.2">
      <c r="Y51949" s="97"/>
    </row>
    <row r="51950" spans="25:25" x14ac:dyDescent="0.2">
      <c r="Y51950" s="97"/>
    </row>
    <row r="51951" spans="25:25" x14ac:dyDescent="0.2">
      <c r="Y51951" s="97"/>
    </row>
    <row r="51952" spans="25:25" x14ac:dyDescent="0.2">
      <c r="Y51952" s="97"/>
    </row>
    <row r="51953" spans="25:25" x14ac:dyDescent="0.2">
      <c r="Y51953" s="97"/>
    </row>
    <row r="51954" spans="25:25" x14ac:dyDescent="0.2">
      <c r="Y51954" s="97"/>
    </row>
    <row r="51955" spans="25:25" x14ac:dyDescent="0.2">
      <c r="Y51955" s="97"/>
    </row>
    <row r="51956" spans="25:25" x14ac:dyDescent="0.2">
      <c r="Y51956" s="97"/>
    </row>
    <row r="51957" spans="25:25" x14ac:dyDescent="0.2">
      <c r="Y51957" s="97"/>
    </row>
    <row r="51958" spans="25:25" x14ac:dyDescent="0.2">
      <c r="Y51958" s="97"/>
    </row>
    <row r="51959" spans="25:25" x14ac:dyDescent="0.2">
      <c r="Y51959" s="97"/>
    </row>
    <row r="51960" spans="25:25" x14ac:dyDescent="0.2">
      <c r="Y51960" s="97"/>
    </row>
    <row r="51961" spans="25:25" x14ac:dyDescent="0.2">
      <c r="Y51961" s="97"/>
    </row>
    <row r="51962" spans="25:25" x14ac:dyDescent="0.2">
      <c r="Y51962" s="97"/>
    </row>
    <row r="51963" spans="25:25" x14ac:dyDescent="0.2">
      <c r="Y51963" s="97"/>
    </row>
    <row r="51964" spans="25:25" x14ac:dyDescent="0.2">
      <c r="Y51964" s="97"/>
    </row>
    <row r="51965" spans="25:25" x14ac:dyDescent="0.2">
      <c r="Y51965" s="97"/>
    </row>
    <row r="51966" spans="25:25" x14ac:dyDescent="0.2">
      <c r="Y51966" s="97"/>
    </row>
    <row r="51967" spans="25:25" x14ac:dyDescent="0.2">
      <c r="Y51967" s="97"/>
    </row>
    <row r="51968" spans="25:25" x14ac:dyDescent="0.2">
      <c r="Y51968" s="97"/>
    </row>
    <row r="51969" spans="25:25" x14ac:dyDescent="0.2">
      <c r="Y51969" s="97"/>
    </row>
    <row r="51970" spans="25:25" x14ac:dyDescent="0.2">
      <c r="Y51970" s="97"/>
    </row>
    <row r="51971" spans="25:25" x14ac:dyDescent="0.2">
      <c r="Y51971" s="97"/>
    </row>
    <row r="51972" spans="25:25" x14ac:dyDescent="0.2">
      <c r="Y51972" s="97"/>
    </row>
    <row r="51973" spans="25:25" x14ac:dyDescent="0.2">
      <c r="Y51973" s="97"/>
    </row>
    <row r="51974" spans="25:25" x14ac:dyDescent="0.2">
      <c r="Y51974" s="97"/>
    </row>
    <row r="51975" spans="25:25" x14ac:dyDescent="0.2">
      <c r="Y51975" s="97"/>
    </row>
    <row r="51976" spans="25:25" x14ac:dyDescent="0.2">
      <c r="Y51976" s="97"/>
    </row>
    <row r="51977" spans="25:25" x14ac:dyDescent="0.2">
      <c r="Y51977" s="97"/>
    </row>
    <row r="51978" spans="25:25" x14ac:dyDescent="0.2">
      <c r="Y51978" s="97"/>
    </row>
    <row r="51979" spans="25:25" x14ac:dyDescent="0.2">
      <c r="Y51979" s="97"/>
    </row>
    <row r="51980" spans="25:25" x14ac:dyDescent="0.2">
      <c r="Y51980" s="97"/>
    </row>
    <row r="51981" spans="25:25" x14ac:dyDescent="0.2">
      <c r="Y51981" s="97"/>
    </row>
    <row r="51982" spans="25:25" x14ac:dyDescent="0.2">
      <c r="Y51982" s="97"/>
    </row>
    <row r="51983" spans="25:25" x14ac:dyDescent="0.2">
      <c r="Y51983" s="97"/>
    </row>
    <row r="51984" spans="25:25" x14ac:dyDescent="0.2">
      <c r="Y51984" s="97"/>
    </row>
    <row r="51985" spans="25:25" x14ac:dyDescent="0.2">
      <c r="Y51985" s="97"/>
    </row>
    <row r="51986" spans="25:25" x14ac:dyDescent="0.2">
      <c r="Y51986" s="97"/>
    </row>
    <row r="51987" spans="25:25" x14ac:dyDescent="0.2">
      <c r="Y51987" s="97"/>
    </row>
    <row r="51988" spans="25:25" x14ac:dyDescent="0.2">
      <c r="Y51988" s="97"/>
    </row>
    <row r="51989" spans="25:25" x14ac:dyDescent="0.2">
      <c r="Y51989" s="97"/>
    </row>
    <row r="51990" spans="25:25" x14ac:dyDescent="0.2">
      <c r="Y51990" s="97"/>
    </row>
    <row r="51991" spans="25:25" x14ac:dyDescent="0.2">
      <c r="Y51991" s="97"/>
    </row>
    <row r="51992" spans="25:25" x14ac:dyDescent="0.2">
      <c r="Y51992" s="97"/>
    </row>
    <row r="51993" spans="25:25" x14ac:dyDescent="0.2">
      <c r="Y51993" s="97"/>
    </row>
    <row r="51994" spans="25:25" x14ac:dyDescent="0.2">
      <c r="Y51994" s="97"/>
    </row>
    <row r="51995" spans="25:25" x14ac:dyDescent="0.2">
      <c r="Y51995" s="97"/>
    </row>
    <row r="51996" spans="25:25" x14ac:dyDescent="0.2">
      <c r="Y51996" s="97"/>
    </row>
    <row r="51997" spans="25:25" x14ac:dyDescent="0.2">
      <c r="Y51997" s="97"/>
    </row>
    <row r="51998" spans="25:25" x14ac:dyDescent="0.2">
      <c r="Y51998" s="97"/>
    </row>
    <row r="51999" spans="25:25" x14ac:dyDescent="0.2">
      <c r="Y51999" s="97"/>
    </row>
    <row r="52000" spans="25:25" x14ac:dyDescent="0.2">
      <c r="Y52000" s="97"/>
    </row>
    <row r="52001" spans="25:25" x14ac:dyDescent="0.2">
      <c r="Y52001" s="97"/>
    </row>
    <row r="52002" spans="25:25" x14ac:dyDescent="0.2">
      <c r="Y52002" s="97"/>
    </row>
    <row r="52003" spans="25:25" x14ac:dyDescent="0.2">
      <c r="Y52003" s="97"/>
    </row>
    <row r="52004" spans="25:25" x14ac:dyDescent="0.2">
      <c r="Y52004" s="97"/>
    </row>
    <row r="52005" spans="25:25" x14ac:dyDescent="0.2">
      <c r="Y52005" s="97"/>
    </row>
    <row r="52006" spans="25:25" x14ac:dyDescent="0.2">
      <c r="Y52006" s="97"/>
    </row>
    <row r="52007" spans="25:25" x14ac:dyDescent="0.2">
      <c r="Y52007" s="97"/>
    </row>
    <row r="52008" spans="25:25" x14ac:dyDescent="0.2">
      <c r="Y52008" s="97"/>
    </row>
    <row r="52009" spans="25:25" x14ac:dyDescent="0.2">
      <c r="Y52009" s="97"/>
    </row>
    <row r="52010" spans="25:25" x14ac:dyDescent="0.2">
      <c r="Y52010" s="97"/>
    </row>
    <row r="52011" spans="25:25" x14ac:dyDescent="0.2">
      <c r="Y52011" s="97"/>
    </row>
    <row r="52012" spans="25:25" x14ac:dyDescent="0.2">
      <c r="Y52012" s="97"/>
    </row>
    <row r="52013" spans="25:25" x14ac:dyDescent="0.2">
      <c r="Y52013" s="97"/>
    </row>
    <row r="52014" spans="25:25" x14ac:dyDescent="0.2">
      <c r="Y52014" s="97"/>
    </row>
    <row r="52015" spans="25:25" x14ac:dyDescent="0.2">
      <c r="Y52015" s="97"/>
    </row>
    <row r="52016" spans="25:25" x14ac:dyDescent="0.2">
      <c r="Y52016" s="97"/>
    </row>
    <row r="52017" spans="25:25" x14ac:dyDescent="0.2">
      <c r="Y52017" s="97"/>
    </row>
    <row r="52018" spans="25:25" x14ac:dyDescent="0.2">
      <c r="Y52018" s="97"/>
    </row>
    <row r="52019" spans="25:25" x14ac:dyDescent="0.2">
      <c r="Y52019" s="97"/>
    </row>
    <row r="52020" spans="25:25" x14ac:dyDescent="0.2">
      <c r="Y52020" s="97"/>
    </row>
    <row r="52021" spans="25:25" x14ac:dyDescent="0.2">
      <c r="Y52021" s="97"/>
    </row>
    <row r="52022" spans="25:25" x14ac:dyDescent="0.2">
      <c r="Y52022" s="97"/>
    </row>
    <row r="52023" spans="25:25" x14ac:dyDescent="0.2">
      <c r="Y52023" s="97"/>
    </row>
    <row r="52024" spans="25:25" x14ac:dyDescent="0.2">
      <c r="Y52024" s="97"/>
    </row>
    <row r="52025" spans="25:25" x14ac:dyDescent="0.2">
      <c r="Y52025" s="97"/>
    </row>
    <row r="52026" spans="25:25" x14ac:dyDescent="0.2">
      <c r="Y52026" s="97"/>
    </row>
    <row r="52027" spans="25:25" x14ac:dyDescent="0.2">
      <c r="Y52027" s="97"/>
    </row>
    <row r="52028" spans="25:25" x14ac:dyDescent="0.2">
      <c r="Y52028" s="97"/>
    </row>
    <row r="52029" spans="25:25" x14ac:dyDescent="0.2">
      <c r="Y52029" s="97"/>
    </row>
    <row r="52030" spans="25:25" x14ac:dyDescent="0.2">
      <c r="Y52030" s="97"/>
    </row>
    <row r="52031" spans="25:25" x14ac:dyDescent="0.2">
      <c r="Y52031" s="97"/>
    </row>
    <row r="52032" spans="25:25" x14ac:dyDescent="0.2">
      <c r="Y52032" s="97"/>
    </row>
    <row r="52033" spans="25:25" x14ac:dyDescent="0.2">
      <c r="Y52033" s="97"/>
    </row>
    <row r="52034" spans="25:25" x14ac:dyDescent="0.2">
      <c r="Y52034" s="97"/>
    </row>
    <row r="52035" spans="25:25" x14ac:dyDescent="0.2">
      <c r="Y52035" s="97"/>
    </row>
    <row r="52036" spans="25:25" x14ac:dyDescent="0.2">
      <c r="Y52036" s="97"/>
    </row>
    <row r="52037" spans="25:25" x14ac:dyDescent="0.2">
      <c r="Y52037" s="97"/>
    </row>
    <row r="52038" spans="25:25" x14ac:dyDescent="0.2">
      <c r="Y52038" s="97"/>
    </row>
    <row r="52039" spans="25:25" x14ac:dyDescent="0.2">
      <c r="Y52039" s="97"/>
    </row>
    <row r="52040" spans="25:25" x14ac:dyDescent="0.2">
      <c r="Y52040" s="97"/>
    </row>
    <row r="52041" spans="25:25" x14ac:dyDescent="0.2">
      <c r="Y52041" s="97"/>
    </row>
    <row r="52042" spans="25:25" x14ac:dyDescent="0.2">
      <c r="Y52042" s="97"/>
    </row>
    <row r="52043" spans="25:25" x14ac:dyDescent="0.2">
      <c r="Y52043" s="97"/>
    </row>
    <row r="52044" spans="25:25" x14ac:dyDescent="0.2">
      <c r="Y52044" s="97"/>
    </row>
    <row r="52045" spans="25:25" x14ac:dyDescent="0.2">
      <c r="Y52045" s="97"/>
    </row>
    <row r="52046" spans="25:25" x14ac:dyDescent="0.2">
      <c r="Y52046" s="97"/>
    </row>
    <row r="52047" spans="25:25" x14ac:dyDescent="0.2">
      <c r="Y52047" s="97"/>
    </row>
    <row r="52048" spans="25:25" x14ac:dyDescent="0.2">
      <c r="Y52048" s="97"/>
    </row>
    <row r="52049" spans="25:25" x14ac:dyDescent="0.2">
      <c r="Y52049" s="97"/>
    </row>
    <row r="52050" spans="25:25" x14ac:dyDescent="0.2">
      <c r="Y52050" s="97"/>
    </row>
    <row r="52051" spans="25:25" x14ac:dyDescent="0.2">
      <c r="Y52051" s="97"/>
    </row>
    <row r="52052" spans="25:25" x14ac:dyDescent="0.2">
      <c r="Y52052" s="97"/>
    </row>
    <row r="52053" spans="25:25" x14ac:dyDescent="0.2">
      <c r="Y52053" s="97"/>
    </row>
    <row r="52054" spans="25:25" x14ac:dyDescent="0.2">
      <c r="Y52054" s="97"/>
    </row>
    <row r="52055" spans="25:25" x14ac:dyDescent="0.2">
      <c r="Y52055" s="97"/>
    </row>
    <row r="52056" spans="25:25" x14ac:dyDescent="0.2">
      <c r="Y52056" s="97"/>
    </row>
    <row r="52057" spans="25:25" x14ac:dyDescent="0.2">
      <c r="Y52057" s="97"/>
    </row>
    <row r="52058" spans="25:25" x14ac:dyDescent="0.2">
      <c r="Y52058" s="97"/>
    </row>
    <row r="52059" spans="25:25" x14ac:dyDescent="0.2">
      <c r="Y52059" s="97"/>
    </row>
    <row r="52060" spans="25:25" x14ac:dyDescent="0.2">
      <c r="Y52060" s="97"/>
    </row>
    <row r="52061" spans="25:25" x14ac:dyDescent="0.2">
      <c r="Y52061" s="97"/>
    </row>
    <row r="52062" spans="25:25" x14ac:dyDescent="0.2">
      <c r="Y52062" s="97"/>
    </row>
    <row r="52063" spans="25:25" x14ac:dyDescent="0.2">
      <c r="Y52063" s="97"/>
    </row>
    <row r="52064" spans="25:25" x14ac:dyDescent="0.2">
      <c r="Y52064" s="97"/>
    </row>
    <row r="52065" spans="25:25" x14ac:dyDescent="0.2">
      <c r="Y52065" s="97"/>
    </row>
    <row r="52066" spans="25:25" x14ac:dyDescent="0.2">
      <c r="Y52066" s="97"/>
    </row>
    <row r="52067" spans="25:25" x14ac:dyDescent="0.2">
      <c r="Y52067" s="97"/>
    </row>
    <row r="52068" spans="25:25" x14ac:dyDescent="0.2">
      <c r="Y52068" s="97"/>
    </row>
    <row r="52069" spans="25:25" x14ac:dyDescent="0.2">
      <c r="Y52069" s="97"/>
    </row>
    <row r="52070" spans="25:25" x14ac:dyDescent="0.2">
      <c r="Y52070" s="97"/>
    </row>
    <row r="52071" spans="25:25" x14ac:dyDescent="0.2">
      <c r="Y52071" s="97"/>
    </row>
    <row r="52072" spans="25:25" x14ac:dyDescent="0.2">
      <c r="Y52072" s="97"/>
    </row>
    <row r="52073" spans="25:25" x14ac:dyDescent="0.2">
      <c r="Y52073" s="97"/>
    </row>
    <row r="52074" spans="25:25" x14ac:dyDescent="0.2">
      <c r="Y52074" s="97"/>
    </row>
    <row r="52075" spans="25:25" x14ac:dyDescent="0.2">
      <c r="Y52075" s="97"/>
    </row>
    <row r="52076" spans="25:25" x14ac:dyDescent="0.2">
      <c r="Y52076" s="97"/>
    </row>
    <row r="52077" spans="25:25" x14ac:dyDescent="0.2">
      <c r="Y52077" s="97"/>
    </row>
    <row r="52078" spans="25:25" x14ac:dyDescent="0.2">
      <c r="Y52078" s="97"/>
    </row>
    <row r="52079" spans="25:25" x14ac:dyDescent="0.2">
      <c r="Y52079" s="97"/>
    </row>
    <row r="52080" spans="25:25" x14ac:dyDescent="0.2">
      <c r="Y52080" s="97"/>
    </row>
    <row r="52081" spans="25:25" x14ac:dyDescent="0.2">
      <c r="Y52081" s="97"/>
    </row>
    <row r="52082" spans="25:25" x14ac:dyDescent="0.2">
      <c r="Y52082" s="97"/>
    </row>
    <row r="52083" spans="25:25" x14ac:dyDescent="0.2">
      <c r="Y52083" s="97"/>
    </row>
    <row r="52084" spans="25:25" x14ac:dyDescent="0.2">
      <c r="Y52084" s="97"/>
    </row>
    <row r="52085" spans="25:25" x14ac:dyDescent="0.2">
      <c r="Y52085" s="97"/>
    </row>
    <row r="52086" spans="25:25" x14ac:dyDescent="0.2">
      <c r="Y52086" s="97"/>
    </row>
    <row r="52087" spans="25:25" x14ac:dyDescent="0.2">
      <c r="Y52087" s="97"/>
    </row>
    <row r="52088" spans="25:25" x14ac:dyDescent="0.2">
      <c r="Y52088" s="97"/>
    </row>
    <row r="52089" spans="25:25" x14ac:dyDescent="0.2">
      <c r="Y52089" s="97"/>
    </row>
    <row r="52090" spans="25:25" x14ac:dyDescent="0.2">
      <c r="Y52090" s="97"/>
    </row>
    <row r="52091" spans="25:25" x14ac:dyDescent="0.2">
      <c r="Y52091" s="97"/>
    </row>
    <row r="52092" spans="25:25" x14ac:dyDescent="0.2">
      <c r="Y52092" s="97"/>
    </row>
    <row r="52093" spans="25:25" x14ac:dyDescent="0.2">
      <c r="Y52093" s="97"/>
    </row>
    <row r="52094" spans="25:25" x14ac:dyDescent="0.2">
      <c r="Y52094" s="97"/>
    </row>
    <row r="52095" spans="25:25" x14ac:dyDescent="0.2">
      <c r="Y52095" s="97"/>
    </row>
    <row r="52096" spans="25:25" x14ac:dyDescent="0.2">
      <c r="Y52096" s="97"/>
    </row>
    <row r="52097" spans="25:25" x14ac:dyDescent="0.2">
      <c r="Y52097" s="97"/>
    </row>
    <row r="52098" spans="25:25" x14ac:dyDescent="0.2">
      <c r="Y52098" s="97"/>
    </row>
    <row r="52099" spans="25:25" x14ac:dyDescent="0.2">
      <c r="Y52099" s="97"/>
    </row>
    <row r="52100" spans="25:25" x14ac:dyDescent="0.2">
      <c r="Y52100" s="97"/>
    </row>
    <row r="52101" spans="25:25" x14ac:dyDescent="0.2">
      <c r="Y52101" s="97"/>
    </row>
    <row r="52102" spans="25:25" x14ac:dyDescent="0.2">
      <c r="Y52102" s="97"/>
    </row>
    <row r="52103" spans="25:25" x14ac:dyDescent="0.2">
      <c r="Y52103" s="97"/>
    </row>
    <row r="52104" spans="25:25" x14ac:dyDescent="0.2">
      <c r="Y52104" s="97"/>
    </row>
    <row r="52105" spans="25:25" x14ac:dyDescent="0.2">
      <c r="Y52105" s="97"/>
    </row>
    <row r="52106" spans="25:25" x14ac:dyDescent="0.2">
      <c r="Y52106" s="97"/>
    </row>
    <row r="52107" spans="25:25" x14ac:dyDescent="0.2">
      <c r="Y52107" s="97"/>
    </row>
    <row r="52108" spans="25:25" x14ac:dyDescent="0.2">
      <c r="Y52108" s="97"/>
    </row>
    <row r="52109" spans="25:25" x14ac:dyDescent="0.2">
      <c r="Y52109" s="97"/>
    </row>
    <row r="52110" spans="25:25" x14ac:dyDescent="0.2">
      <c r="Y52110" s="97"/>
    </row>
    <row r="52111" spans="25:25" x14ac:dyDescent="0.2">
      <c r="Y52111" s="97"/>
    </row>
    <row r="52112" spans="25:25" x14ac:dyDescent="0.2">
      <c r="Y52112" s="97"/>
    </row>
    <row r="52113" spans="25:25" x14ac:dyDescent="0.2">
      <c r="Y52113" s="97"/>
    </row>
    <row r="52114" spans="25:25" x14ac:dyDescent="0.2">
      <c r="Y52114" s="97"/>
    </row>
    <row r="52115" spans="25:25" x14ac:dyDescent="0.2">
      <c r="Y52115" s="97"/>
    </row>
    <row r="52116" spans="25:25" x14ac:dyDescent="0.2">
      <c r="Y52116" s="97"/>
    </row>
    <row r="52117" spans="25:25" x14ac:dyDescent="0.2">
      <c r="Y52117" s="97"/>
    </row>
    <row r="52118" spans="25:25" x14ac:dyDescent="0.2">
      <c r="Y52118" s="97"/>
    </row>
    <row r="52119" spans="25:25" x14ac:dyDescent="0.2">
      <c r="Y52119" s="97"/>
    </row>
    <row r="52120" spans="25:25" x14ac:dyDescent="0.2">
      <c r="Y52120" s="97"/>
    </row>
    <row r="52121" spans="25:25" x14ac:dyDescent="0.2">
      <c r="Y52121" s="97"/>
    </row>
    <row r="52122" spans="25:25" x14ac:dyDescent="0.2">
      <c r="Y52122" s="97"/>
    </row>
    <row r="52123" spans="25:25" x14ac:dyDescent="0.2">
      <c r="Y52123" s="97"/>
    </row>
    <row r="52124" spans="25:25" x14ac:dyDescent="0.2">
      <c r="Y52124" s="97"/>
    </row>
    <row r="52125" spans="25:25" x14ac:dyDescent="0.2">
      <c r="Y52125" s="97"/>
    </row>
    <row r="52126" spans="25:25" x14ac:dyDescent="0.2">
      <c r="Y52126" s="97"/>
    </row>
    <row r="52127" spans="25:25" x14ac:dyDescent="0.2">
      <c r="Y52127" s="97"/>
    </row>
    <row r="52128" spans="25:25" x14ac:dyDescent="0.2">
      <c r="Y52128" s="97"/>
    </row>
    <row r="52129" spans="25:25" x14ac:dyDescent="0.2">
      <c r="Y52129" s="97"/>
    </row>
    <row r="52130" spans="25:25" x14ac:dyDescent="0.2">
      <c r="Y52130" s="97"/>
    </row>
    <row r="52131" spans="25:25" x14ac:dyDescent="0.2">
      <c r="Y52131" s="97"/>
    </row>
    <row r="52132" spans="25:25" x14ac:dyDescent="0.2">
      <c r="Y52132" s="97"/>
    </row>
    <row r="52133" spans="25:25" x14ac:dyDescent="0.2">
      <c r="Y52133" s="97"/>
    </row>
    <row r="52134" spans="25:25" x14ac:dyDescent="0.2">
      <c r="Y52134" s="97"/>
    </row>
    <row r="52135" spans="25:25" x14ac:dyDescent="0.2">
      <c r="Y52135" s="97"/>
    </row>
    <row r="52136" spans="25:25" x14ac:dyDescent="0.2">
      <c r="Y52136" s="97"/>
    </row>
    <row r="52137" spans="25:25" x14ac:dyDescent="0.2">
      <c r="Y52137" s="97"/>
    </row>
    <row r="52138" spans="25:25" x14ac:dyDescent="0.2">
      <c r="Y52138" s="97"/>
    </row>
    <row r="52139" spans="25:25" x14ac:dyDescent="0.2">
      <c r="Y52139" s="97"/>
    </row>
    <row r="52140" spans="25:25" x14ac:dyDescent="0.2">
      <c r="Y52140" s="97"/>
    </row>
    <row r="52141" spans="25:25" x14ac:dyDescent="0.2">
      <c r="Y52141" s="97"/>
    </row>
    <row r="52142" spans="25:25" x14ac:dyDescent="0.2">
      <c r="Y52142" s="97"/>
    </row>
    <row r="52143" spans="25:25" x14ac:dyDescent="0.2">
      <c r="Y52143" s="97"/>
    </row>
    <row r="52144" spans="25:25" x14ac:dyDescent="0.2">
      <c r="Y52144" s="97"/>
    </row>
    <row r="52145" spans="25:25" x14ac:dyDescent="0.2">
      <c r="Y52145" s="97"/>
    </row>
    <row r="52146" spans="25:25" x14ac:dyDescent="0.2">
      <c r="Y52146" s="97"/>
    </row>
    <row r="52147" spans="25:25" x14ac:dyDescent="0.2">
      <c r="Y52147" s="97"/>
    </row>
    <row r="52148" spans="25:25" x14ac:dyDescent="0.2">
      <c r="Y52148" s="97"/>
    </row>
    <row r="52149" spans="25:25" x14ac:dyDescent="0.2">
      <c r="Y52149" s="97"/>
    </row>
    <row r="52150" spans="25:25" x14ac:dyDescent="0.2">
      <c r="Y52150" s="97"/>
    </row>
    <row r="52151" spans="25:25" x14ac:dyDescent="0.2">
      <c r="Y52151" s="97"/>
    </row>
    <row r="52152" spans="25:25" x14ac:dyDescent="0.2">
      <c r="Y52152" s="97"/>
    </row>
    <row r="52153" spans="25:25" x14ac:dyDescent="0.2">
      <c r="Y52153" s="97"/>
    </row>
    <row r="52154" spans="25:25" x14ac:dyDescent="0.2">
      <c r="Y52154" s="97"/>
    </row>
    <row r="52155" spans="25:25" x14ac:dyDescent="0.2">
      <c r="Y52155" s="97"/>
    </row>
    <row r="52156" spans="25:25" x14ac:dyDescent="0.2">
      <c r="Y52156" s="97"/>
    </row>
    <row r="52157" spans="25:25" x14ac:dyDescent="0.2">
      <c r="Y52157" s="97"/>
    </row>
    <row r="52158" spans="25:25" x14ac:dyDescent="0.2">
      <c r="Y52158" s="97"/>
    </row>
    <row r="52159" spans="25:25" x14ac:dyDescent="0.2">
      <c r="Y52159" s="97"/>
    </row>
    <row r="52160" spans="25:25" x14ac:dyDescent="0.2">
      <c r="Y52160" s="97"/>
    </row>
    <row r="52161" spans="25:25" x14ac:dyDescent="0.2">
      <c r="Y52161" s="97"/>
    </row>
    <row r="52162" spans="25:25" x14ac:dyDescent="0.2">
      <c r="Y52162" s="97"/>
    </row>
    <row r="52163" spans="25:25" x14ac:dyDescent="0.2">
      <c r="Y52163" s="97"/>
    </row>
    <row r="52164" spans="25:25" x14ac:dyDescent="0.2">
      <c r="Y52164" s="97"/>
    </row>
    <row r="52165" spans="25:25" x14ac:dyDescent="0.2">
      <c r="Y52165" s="97"/>
    </row>
    <row r="52166" spans="25:25" x14ac:dyDescent="0.2">
      <c r="Y52166" s="97"/>
    </row>
    <row r="52167" spans="25:25" x14ac:dyDescent="0.2">
      <c r="Y52167" s="97"/>
    </row>
    <row r="52168" spans="25:25" x14ac:dyDescent="0.2">
      <c r="Y52168" s="97"/>
    </row>
    <row r="52169" spans="25:25" x14ac:dyDescent="0.2">
      <c r="Y52169" s="97"/>
    </row>
    <row r="52170" spans="25:25" x14ac:dyDescent="0.2">
      <c r="Y52170" s="97"/>
    </row>
    <row r="52171" spans="25:25" x14ac:dyDescent="0.2">
      <c r="Y52171" s="97"/>
    </row>
    <row r="52172" spans="25:25" x14ac:dyDescent="0.2">
      <c r="Y52172" s="97"/>
    </row>
    <row r="52173" spans="25:25" x14ac:dyDescent="0.2">
      <c r="Y52173" s="97"/>
    </row>
    <row r="52174" spans="25:25" x14ac:dyDescent="0.2">
      <c r="Y52174" s="97"/>
    </row>
    <row r="52175" spans="25:25" x14ac:dyDescent="0.2">
      <c r="Y52175" s="97"/>
    </row>
    <row r="52176" spans="25:25" x14ac:dyDescent="0.2">
      <c r="Y52176" s="97"/>
    </row>
    <row r="52177" spans="25:25" x14ac:dyDescent="0.2">
      <c r="Y52177" s="97"/>
    </row>
    <row r="52178" spans="25:25" x14ac:dyDescent="0.2">
      <c r="Y52178" s="97"/>
    </row>
    <row r="52179" spans="25:25" x14ac:dyDescent="0.2">
      <c r="Y52179" s="97"/>
    </row>
    <row r="52180" spans="25:25" x14ac:dyDescent="0.2">
      <c r="Y52180" s="97"/>
    </row>
    <row r="52181" spans="25:25" x14ac:dyDescent="0.2">
      <c r="Y52181" s="97"/>
    </row>
    <row r="52182" spans="25:25" x14ac:dyDescent="0.2">
      <c r="Y52182" s="97"/>
    </row>
    <row r="52183" spans="25:25" x14ac:dyDescent="0.2">
      <c r="Y52183" s="97"/>
    </row>
    <row r="52184" spans="25:25" x14ac:dyDescent="0.2">
      <c r="Y52184" s="97"/>
    </row>
    <row r="52185" spans="25:25" x14ac:dyDescent="0.2">
      <c r="Y52185" s="97"/>
    </row>
    <row r="52186" spans="25:25" x14ac:dyDescent="0.2">
      <c r="Y52186" s="97"/>
    </row>
    <row r="52187" spans="25:25" x14ac:dyDescent="0.2">
      <c r="Y52187" s="97"/>
    </row>
    <row r="52188" spans="25:25" x14ac:dyDescent="0.2">
      <c r="Y52188" s="97"/>
    </row>
    <row r="52189" spans="25:25" x14ac:dyDescent="0.2">
      <c r="Y52189" s="97"/>
    </row>
    <row r="52190" spans="25:25" x14ac:dyDescent="0.2">
      <c r="Y52190" s="97"/>
    </row>
    <row r="52191" spans="25:25" x14ac:dyDescent="0.2">
      <c r="Y52191" s="97"/>
    </row>
    <row r="52192" spans="25:25" x14ac:dyDescent="0.2">
      <c r="Y52192" s="97"/>
    </row>
    <row r="52193" spans="25:25" x14ac:dyDescent="0.2">
      <c r="Y52193" s="97"/>
    </row>
    <row r="52194" spans="25:25" x14ac:dyDescent="0.2">
      <c r="Y52194" s="97"/>
    </row>
    <row r="52195" spans="25:25" x14ac:dyDescent="0.2">
      <c r="Y52195" s="97"/>
    </row>
    <row r="52196" spans="25:25" x14ac:dyDescent="0.2">
      <c r="Y52196" s="97"/>
    </row>
    <row r="52197" spans="25:25" x14ac:dyDescent="0.2">
      <c r="Y52197" s="97"/>
    </row>
    <row r="52198" spans="25:25" x14ac:dyDescent="0.2">
      <c r="Y52198" s="97"/>
    </row>
    <row r="52199" spans="25:25" x14ac:dyDescent="0.2">
      <c r="Y52199" s="97"/>
    </row>
    <row r="52200" spans="25:25" x14ac:dyDescent="0.2">
      <c r="Y52200" s="97"/>
    </row>
    <row r="52201" spans="25:25" x14ac:dyDescent="0.2">
      <c r="Y52201" s="97"/>
    </row>
    <row r="52202" spans="25:25" x14ac:dyDescent="0.2">
      <c r="Y52202" s="97"/>
    </row>
    <row r="52203" spans="25:25" x14ac:dyDescent="0.2">
      <c r="Y52203" s="97"/>
    </row>
    <row r="52204" spans="25:25" x14ac:dyDescent="0.2">
      <c r="Y52204" s="97"/>
    </row>
    <row r="52205" spans="25:25" x14ac:dyDescent="0.2">
      <c r="Y52205" s="97"/>
    </row>
    <row r="52206" spans="25:25" x14ac:dyDescent="0.2">
      <c r="Y52206" s="97"/>
    </row>
    <row r="52207" spans="25:25" x14ac:dyDescent="0.2">
      <c r="Y52207" s="97"/>
    </row>
    <row r="52208" spans="25:25" x14ac:dyDescent="0.2">
      <c r="Y52208" s="97"/>
    </row>
    <row r="52209" spans="25:25" x14ac:dyDescent="0.2">
      <c r="Y52209" s="97"/>
    </row>
    <row r="52210" spans="25:25" x14ac:dyDescent="0.2">
      <c r="Y52210" s="97"/>
    </row>
    <row r="52211" spans="25:25" x14ac:dyDescent="0.2">
      <c r="Y52211" s="97"/>
    </row>
    <row r="52212" spans="25:25" x14ac:dyDescent="0.2">
      <c r="Y52212" s="97"/>
    </row>
    <row r="52213" spans="25:25" x14ac:dyDescent="0.2">
      <c r="Y52213" s="97"/>
    </row>
    <row r="52214" spans="25:25" x14ac:dyDescent="0.2">
      <c r="Y52214" s="97"/>
    </row>
    <row r="52215" spans="25:25" x14ac:dyDescent="0.2">
      <c r="Y52215" s="97"/>
    </row>
    <row r="52216" spans="25:25" x14ac:dyDescent="0.2">
      <c r="Y52216" s="97"/>
    </row>
    <row r="52217" spans="25:25" x14ac:dyDescent="0.2">
      <c r="Y52217" s="97"/>
    </row>
    <row r="52218" spans="25:25" x14ac:dyDescent="0.2">
      <c r="Y52218" s="97"/>
    </row>
    <row r="52219" spans="25:25" x14ac:dyDescent="0.2">
      <c r="Y52219" s="97"/>
    </row>
    <row r="52220" spans="25:25" x14ac:dyDescent="0.2">
      <c r="Y52220" s="97"/>
    </row>
    <row r="52221" spans="25:25" x14ac:dyDescent="0.2">
      <c r="Y52221" s="97"/>
    </row>
    <row r="52222" spans="25:25" x14ac:dyDescent="0.2">
      <c r="Y52222" s="97"/>
    </row>
    <row r="52223" spans="25:25" x14ac:dyDescent="0.2">
      <c r="Y52223" s="97"/>
    </row>
    <row r="52224" spans="25:25" x14ac:dyDescent="0.2">
      <c r="Y52224" s="97"/>
    </row>
    <row r="52225" spans="25:25" x14ac:dyDescent="0.2">
      <c r="Y52225" s="97"/>
    </row>
    <row r="52226" spans="25:25" x14ac:dyDescent="0.2">
      <c r="Y52226" s="97"/>
    </row>
    <row r="52227" spans="25:25" x14ac:dyDescent="0.2">
      <c r="Y52227" s="97"/>
    </row>
    <row r="52228" spans="25:25" x14ac:dyDescent="0.2">
      <c r="Y52228" s="97"/>
    </row>
    <row r="52229" spans="25:25" x14ac:dyDescent="0.2">
      <c r="Y52229" s="97"/>
    </row>
    <row r="52230" spans="25:25" x14ac:dyDescent="0.2">
      <c r="Y52230" s="97"/>
    </row>
    <row r="52231" spans="25:25" x14ac:dyDescent="0.2">
      <c r="Y52231" s="97"/>
    </row>
    <row r="52232" spans="25:25" x14ac:dyDescent="0.2">
      <c r="Y52232" s="97"/>
    </row>
    <row r="52233" spans="25:25" x14ac:dyDescent="0.2">
      <c r="Y52233" s="97"/>
    </row>
    <row r="52234" spans="25:25" x14ac:dyDescent="0.2">
      <c r="Y52234" s="97"/>
    </row>
    <row r="52235" spans="25:25" x14ac:dyDescent="0.2">
      <c r="Y52235" s="97"/>
    </row>
    <row r="52236" spans="25:25" x14ac:dyDescent="0.2">
      <c r="Y52236" s="97"/>
    </row>
    <row r="52237" spans="25:25" x14ac:dyDescent="0.2">
      <c r="Y52237" s="97"/>
    </row>
    <row r="52238" spans="25:25" x14ac:dyDescent="0.2">
      <c r="Y52238" s="97"/>
    </row>
    <row r="52239" spans="25:25" x14ac:dyDescent="0.2">
      <c r="Y52239" s="97"/>
    </row>
    <row r="52240" spans="25:25" x14ac:dyDescent="0.2">
      <c r="Y52240" s="97"/>
    </row>
    <row r="52241" spans="25:25" x14ac:dyDescent="0.2">
      <c r="Y52241" s="97"/>
    </row>
    <row r="52242" spans="25:25" x14ac:dyDescent="0.2">
      <c r="Y52242" s="97"/>
    </row>
    <row r="52243" spans="25:25" x14ac:dyDescent="0.2">
      <c r="Y52243" s="97"/>
    </row>
    <row r="52244" spans="25:25" x14ac:dyDescent="0.2">
      <c r="Y52244" s="97"/>
    </row>
    <row r="52245" spans="25:25" x14ac:dyDescent="0.2">
      <c r="Y52245" s="97"/>
    </row>
    <row r="52246" spans="25:25" x14ac:dyDescent="0.2">
      <c r="Y52246" s="97"/>
    </row>
    <row r="52247" spans="25:25" x14ac:dyDescent="0.2">
      <c r="Y52247" s="97"/>
    </row>
    <row r="52248" spans="25:25" x14ac:dyDescent="0.2">
      <c r="Y52248" s="97"/>
    </row>
    <row r="52249" spans="25:25" x14ac:dyDescent="0.2">
      <c r="Y52249" s="97"/>
    </row>
    <row r="52250" spans="25:25" x14ac:dyDescent="0.2">
      <c r="Y52250" s="97"/>
    </row>
    <row r="52251" spans="25:25" x14ac:dyDescent="0.2">
      <c r="Y52251" s="97"/>
    </row>
    <row r="52252" spans="25:25" x14ac:dyDescent="0.2">
      <c r="Y52252" s="97"/>
    </row>
    <row r="52253" spans="25:25" x14ac:dyDescent="0.2">
      <c r="Y52253" s="97"/>
    </row>
    <row r="52254" spans="25:25" x14ac:dyDescent="0.2">
      <c r="Y52254" s="97"/>
    </row>
    <row r="52255" spans="25:25" x14ac:dyDescent="0.2">
      <c r="Y52255" s="97"/>
    </row>
    <row r="52256" spans="25:25" x14ac:dyDescent="0.2">
      <c r="Y52256" s="97"/>
    </row>
    <row r="52257" spans="25:25" x14ac:dyDescent="0.2">
      <c r="Y52257" s="97"/>
    </row>
    <row r="52258" spans="25:25" x14ac:dyDescent="0.2">
      <c r="Y52258" s="97"/>
    </row>
    <row r="52259" spans="25:25" x14ac:dyDescent="0.2">
      <c r="Y52259" s="97"/>
    </row>
    <row r="52260" spans="25:25" x14ac:dyDescent="0.2">
      <c r="Y52260" s="97"/>
    </row>
    <row r="52261" spans="25:25" x14ac:dyDescent="0.2">
      <c r="Y52261" s="97"/>
    </row>
    <row r="52262" spans="25:25" x14ac:dyDescent="0.2">
      <c r="Y52262" s="97"/>
    </row>
    <row r="52263" spans="25:25" x14ac:dyDescent="0.2">
      <c r="Y52263" s="97"/>
    </row>
    <row r="52264" spans="25:25" x14ac:dyDescent="0.2">
      <c r="Y52264" s="97"/>
    </row>
    <row r="52265" spans="25:25" x14ac:dyDescent="0.2">
      <c r="Y52265" s="97"/>
    </row>
    <row r="52266" spans="25:25" x14ac:dyDescent="0.2">
      <c r="Y52266" s="97"/>
    </row>
    <row r="52267" spans="25:25" x14ac:dyDescent="0.2">
      <c r="Y52267" s="97"/>
    </row>
    <row r="52268" spans="25:25" x14ac:dyDescent="0.2">
      <c r="Y52268" s="97"/>
    </row>
    <row r="52269" spans="25:25" x14ac:dyDescent="0.2">
      <c r="Y52269" s="97"/>
    </row>
    <row r="52270" spans="25:25" x14ac:dyDescent="0.2">
      <c r="Y52270" s="97"/>
    </row>
    <row r="52271" spans="25:25" x14ac:dyDescent="0.2">
      <c r="Y52271" s="97"/>
    </row>
    <row r="52272" spans="25:25" x14ac:dyDescent="0.2">
      <c r="Y52272" s="97"/>
    </row>
    <row r="52273" spans="25:25" x14ac:dyDescent="0.2">
      <c r="Y52273" s="97"/>
    </row>
    <row r="52274" spans="25:25" x14ac:dyDescent="0.2">
      <c r="Y52274" s="97"/>
    </row>
    <row r="52275" spans="25:25" x14ac:dyDescent="0.2">
      <c r="Y52275" s="97"/>
    </row>
    <row r="52276" spans="25:25" x14ac:dyDescent="0.2">
      <c r="Y52276" s="97"/>
    </row>
    <row r="52277" spans="25:25" x14ac:dyDescent="0.2">
      <c r="Y52277" s="97"/>
    </row>
    <row r="52278" spans="25:25" x14ac:dyDescent="0.2">
      <c r="Y52278" s="97"/>
    </row>
    <row r="52279" spans="25:25" x14ac:dyDescent="0.2">
      <c r="Y52279" s="97"/>
    </row>
    <row r="52280" spans="25:25" x14ac:dyDescent="0.2">
      <c r="Y52280" s="97"/>
    </row>
    <row r="52281" spans="25:25" x14ac:dyDescent="0.2">
      <c r="Y52281" s="97"/>
    </row>
    <row r="52282" spans="25:25" x14ac:dyDescent="0.2">
      <c r="Y52282" s="97"/>
    </row>
    <row r="52283" spans="25:25" x14ac:dyDescent="0.2">
      <c r="Y52283" s="97"/>
    </row>
    <row r="52284" spans="25:25" x14ac:dyDescent="0.2">
      <c r="Y52284" s="97"/>
    </row>
    <row r="52285" spans="25:25" x14ac:dyDescent="0.2">
      <c r="Y52285" s="97"/>
    </row>
    <row r="52286" spans="25:25" x14ac:dyDescent="0.2">
      <c r="Y52286" s="97"/>
    </row>
    <row r="52287" spans="25:25" x14ac:dyDescent="0.2">
      <c r="Y52287" s="97"/>
    </row>
    <row r="52288" spans="25:25" x14ac:dyDescent="0.2">
      <c r="Y52288" s="97"/>
    </row>
    <row r="52289" spans="25:25" x14ac:dyDescent="0.2">
      <c r="Y52289" s="97"/>
    </row>
    <row r="52290" spans="25:25" x14ac:dyDescent="0.2">
      <c r="Y52290" s="97"/>
    </row>
    <row r="52291" spans="25:25" x14ac:dyDescent="0.2">
      <c r="Y52291" s="97"/>
    </row>
    <row r="52292" spans="25:25" x14ac:dyDescent="0.2">
      <c r="Y52292" s="97"/>
    </row>
    <row r="52293" spans="25:25" x14ac:dyDescent="0.2">
      <c r="Y52293" s="97"/>
    </row>
    <row r="52294" spans="25:25" x14ac:dyDescent="0.2">
      <c r="Y52294" s="97"/>
    </row>
    <row r="52295" spans="25:25" x14ac:dyDescent="0.2">
      <c r="Y52295" s="97"/>
    </row>
    <row r="52296" spans="25:25" x14ac:dyDescent="0.2">
      <c r="Y52296" s="97"/>
    </row>
    <row r="52297" spans="25:25" x14ac:dyDescent="0.2">
      <c r="Y52297" s="97"/>
    </row>
    <row r="52298" spans="25:25" x14ac:dyDescent="0.2">
      <c r="Y52298" s="97"/>
    </row>
    <row r="52299" spans="25:25" x14ac:dyDescent="0.2">
      <c r="Y52299" s="97"/>
    </row>
    <row r="52300" spans="25:25" x14ac:dyDescent="0.2">
      <c r="Y52300" s="97"/>
    </row>
    <row r="52301" spans="25:25" x14ac:dyDescent="0.2">
      <c r="Y52301" s="97"/>
    </row>
    <row r="52302" spans="25:25" x14ac:dyDescent="0.2">
      <c r="Y52302" s="97"/>
    </row>
    <row r="52303" spans="25:25" x14ac:dyDescent="0.2">
      <c r="Y52303" s="97"/>
    </row>
    <row r="52304" spans="25:25" x14ac:dyDescent="0.2">
      <c r="Y52304" s="97"/>
    </row>
    <row r="52305" spans="25:25" x14ac:dyDescent="0.2">
      <c r="Y52305" s="97"/>
    </row>
    <row r="52306" spans="25:25" x14ac:dyDescent="0.2">
      <c r="Y52306" s="97"/>
    </row>
    <row r="52307" spans="25:25" x14ac:dyDescent="0.2">
      <c r="Y52307" s="97"/>
    </row>
    <row r="52308" spans="25:25" x14ac:dyDescent="0.2">
      <c r="Y52308" s="97"/>
    </row>
    <row r="52309" spans="25:25" x14ac:dyDescent="0.2">
      <c r="Y52309" s="97"/>
    </row>
    <row r="52310" spans="25:25" x14ac:dyDescent="0.2">
      <c r="Y52310" s="97"/>
    </row>
    <row r="52311" spans="25:25" x14ac:dyDescent="0.2">
      <c r="Y52311" s="97"/>
    </row>
    <row r="52312" spans="25:25" x14ac:dyDescent="0.2">
      <c r="Y52312" s="97"/>
    </row>
    <row r="52313" spans="25:25" x14ac:dyDescent="0.2">
      <c r="Y52313" s="97"/>
    </row>
    <row r="52314" spans="25:25" x14ac:dyDescent="0.2">
      <c r="Y52314" s="97"/>
    </row>
    <row r="52315" spans="25:25" x14ac:dyDescent="0.2">
      <c r="Y52315" s="97"/>
    </row>
    <row r="52316" spans="25:25" x14ac:dyDescent="0.2">
      <c r="Y52316" s="97"/>
    </row>
    <row r="52317" spans="25:25" x14ac:dyDescent="0.2">
      <c r="Y52317" s="97"/>
    </row>
    <row r="52318" spans="25:25" x14ac:dyDescent="0.2">
      <c r="Y52318" s="97"/>
    </row>
    <row r="52319" spans="25:25" x14ac:dyDescent="0.2">
      <c r="Y52319" s="97"/>
    </row>
    <row r="52320" spans="25:25" x14ac:dyDescent="0.2">
      <c r="Y52320" s="97"/>
    </row>
    <row r="52321" spans="25:25" x14ac:dyDescent="0.2">
      <c r="Y52321" s="97"/>
    </row>
    <row r="52322" spans="25:25" x14ac:dyDescent="0.2">
      <c r="Y52322" s="97"/>
    </row>
    <row r="52323" spans="25:25" x14ac:dyDescent="0.2">
      <c r="Y52323" s="97"/>
    </row>
    <row r="52324" spans="25:25" x14ac:dyDescent="0.2">
      <c r="Y52324" s="97"/>
    </row>
    <row r="52325" spans="25:25" x14ac:dyDescent="0.2">
      <c r="Y52325" s="97"/>
    </row>
    <row r="52326" spans="25:25" x14ac:dyDescent="0.2">
      <c r="Y52326" s="97"/>
    </row>
    <row r="52327" spans="25:25" x14ac:dyDescent="0.2">
      <c r="Y52327" s="97"/>
    </row>
    <row r="52328" spans="25:25" x14ac:dyDescent="0.2">
      <c r="Y52328" s="97"/>
    </row>
    <row r="52329" spans="25:25" x14ac:dyDescent="0.2">
      <c r="Y52329" s="97"/>
    </row>
    <row r="52330" spans="25:25" x14ac:dyDescent="0.2">
      <c r="Y52330" s="97"/>
    </row>
    <row r="52331" spans="25:25" x14ac:dyDescent="0.2">
      <c r="Y52331" s="97"/>
    </row>
    <row r="52332" spans="25:25" x14ac:dyDescent="0.2">
      <c r="Y52332" s="97"/>
    </row>
    <row r="52333" spans="25:25" x14ac:dyDescent="0.2">
      <c r="Y52333" s="97"/>
    </row>
    <row r="52334" spans="25:25" x14ac:dyDescent="0.2">
      <c r="Y52334" s="97"/>
    </row>
    <row r="52335" spans="25:25" x14ac:dyDescent="0.2">
      <c r="Y52335" s="97"/>
    </row>
    <row r="52336" spans="25:25" x14ac:dyDescent="0.2">
      <c r="Y52336" s="97"/>
    </row>
    <row r="52337" spans="25:25" x14ac:dyDescent="0.2">
      <c r="Y52337" s="97"/>
    </row>
    <row r="52338" spans="25:25" x14ac:dyDescent="0.2">
      <c r="Y52338" s="97"/>
    </row>
    <row r="52339" spans="25:25" x14ac:dyDescent="0.2">
      <c r="Y52339" s="97"/>
    </row>
    <row r="52340" spans="25:25" x14ac:dyDescent="0.2">
      <c r="Y52340" s="97"/>
    </row>
    <row r="52341" spans="25:25" x14ac:dyDescent="0.2">
      <c r="Y52341" s="97"/>
    </row>
    <row r="52342" spans="25:25" x14ac:dyDescent="0.2">
      <c r="Y52342" s="97"/>
    </row>
    <row r="52343" spans="25:25" x14ac:dyDescent="0.2">
      <c r="Y52343" s="97"/>
    </row>
    <row r="52344" spans="25:25" x14ac:dyDescent="0.2">
      <c r="Y52344" s="97"/>
    </row>
    <row r="52345" spans="25:25" x14ac:dyDescent="0.2">
      <c r="Y52345" s="97"/>
    </row>
    <row r="52346" spans="25:25" x14ac:dyDescent="0.2">
      <c r="Y52346" s="97"/>
    </row>
    <row r="52347" spans="25:25" x14ac:dyDescent="0.2">
      <c r="Y52347" s="97"/>
    </row>
    <row r="52348" spans="25:25" x14ac:dyDescent="0.2">
      <c r="Y52348" s="97"/>
    </row>
    <row r="52349" spans="25:25" x14ac:dyDescent="0.2">
      <c r="Y52349" s="97"/>
    </row>
    <row r="52350" spans="25:25" x14ac:dyDescent="0.2">
      <c r="Y52350" s="97"/>
    </row>
    <row r="52351" spans="25:25" x14ac:dyDescent="0.2">
      <c r="Y52351" s="97"/>
    </row>
    <row r="52352" spans="25:25" x14ac:dyDescent="0.2">
      <c r="Y52352" s="97"/>
    </row>
    <row r="52353" spans="25:25" x14ac:dyDescent="0.2">
      <c r="Y52353" s="97"/>
    </row>
    <row r="52354" spans="25:25" x14ac:dyDescent="0.2">
      <c r="Y52354" s="97"/>
    </row>
    <row r="52355" spans="25:25" x14ac:dyDescent="0.2">
      <c r="Y52355" s="97"/>
    </row>
    <row r="52356" spans="25:25" x14ac:dyDescent="0.2">
      <c r="Y52356" s="97"/>
    </row>
    <row r="52357" spans="25:25" x14ac:dyDescent="0.2">
      <c r="Y52357" s="97"/>
    </row>
    <row r="52358" spans="25:25" x14ac:dyDescent="0.2">
      <c r="Y52358" s="97"/>
    </row>
    <row r="52359" spans="25:25" x14ac:dyDescent="0.2">
      <c r="Y52359" s="97"/>
    </row>
    <row r="52360" spans="25:25" x14ac:dyDescent="0.2">
      <c r="Y52360" s="97"/>
    </row>
    <row r="52361" spans="25:25" x14ac:dyDescent="0.2">
      <c r="Y52361" s="97"/>
    </row>
    <row r="52362" spans="25:25" x14ac:dyDescent="0.2">
      <c r="Y52362" s="97"/>
    </row>
    <row r="52363" spans="25:25" x14ac:dyDescent="0.2">
      <c r="Y52363" s="97"/>
    </row>
    <row r="52364" spans="25:25" x14ac:dyDescent="0.2">
      <c r="Y52364" s="97"/>
    </row>
    <row r="52365" spans="25:25" x14ac:dyDescent="0.2">
      <c r="Y52365" s="97"/>
    </row>
    <row r="52366" spans="25:25" x14ac:dyDescent="0.2">
      <c r="Y52366" s="97"/>
    </row>
    <row r="52367" spans="25:25" x14ac:dyDescent="0.2">
      <c r="Y52367" s="97"/>
    </row>
    <row r="52368" spans="25:25" x14ac:dyDescent="0.2">
      <c r="Y52368" s="97"/>
    </row>
    <row r="52369" spans="25:25" x14ac:dyDescent="0.2">
      <c r="Y52369" s="97"/>
    </row>
    <row r="52370" spans="25:25" x14ac:dyDescent="0.2">
      <c r="Y52370" s="97"/>
    </row>
    <row r="52371" spans="25:25" x14ac:dyDescent="0.2">
      <c r="Y52371" s="97"/>
    </row>
    <row r="52372" spans="25:25" x14ac:dyDescent="0.2">
      <c r="Y52372" s="97"/>
    </row>
    <row r="52373" spans="25:25" x14ac:dyDescent="0.2">
      <c r="Y52373" s="97"/>
    </row>
    <row r="52374" spans="25:25" x14ac:dyDescent="0.2">
      <c r="Y52374" s="97"/>
    </row>
    <row r="52375" spans="25:25" x14ac:dyDescent="0.2">
      <c r="Y52375" s="97"/>
    </row>
    <row r="52376" spans="25:25" x14ac:dyDescent="0.2">
      <c r="Y52376" s="97"/>
    </row>
    <row r="52377" spans="25:25" x14ac:dyDescent="0.2">
      <c r="Y52377" s="97"/>
    </row>
    <row r="52378" spans="25:25" x14ac:dyDescent="0.2">
      <c r="Y52378" s="97"/>
    </row>
    <row r="52379" spans="25:25" x14ac:dyDescent="0.2">
      <c r="Y52379" s="97"/>
    </row>
    <row r="52380" spans="25:25" x14ac:dyDescent="0.2">
      <c r="Y52380" s="97"/>
    </row>
    <row r="52381" spans="25:25" x14ac:dyDescent="0.2">
      <c r="Y52381" s="97"/>
    </row>
    <row r="52382" spans="25:25" x14ac:dyDescent="0.2">
      <c r="Y52382" s="97"/>
    </row>
    <row r="52383" spans="25:25" x14ac:dyDescent="0.2">
      <c r="Y52383" s="97"/>
    </row>
    <row r="52384" spans="25:25" x14ac:dyDescent="0.2">
      <c r="Y52384" s="97"/>
    </row>
    <row r="52385" spans="25:25" x14ac:dyDescent="0.2">
      <c r="Y52385" s="97"/>
    </row>
    <row r="52386" spans="25:25" x14ac:dyDescent="0.2">
      <c r="Y52386" s="97"/>
    </row>
    <row r="52387" spans="25:25" x14ac:dyDescent="0.2">
      <c r="Y52387" s="97"/>
    </row>
    <row r="52388" spans="25:25" x14ac:dyDescent="0.2">
      <c r="Y52388" s="97"/>
    </row>
    <row r="52389" spans="25:25" x14ac:dyDescent="0.2">
      <c r="Y52389" s="97"/>
    </row>
    <row r="52390" spans="25:25" x14ac:dyDescent="0.2">
      <c r="Y52390" s="97"/>
    </row>
    <row r="52391" spans="25:25" x14ac:dyDescent="0.2">
      <c r="Y52391" s="97"/>
    </row>
    <row r="52392" spans="25:25" x14ac:dyDescent="0.2">
      <c r="Y52392" s="97"/>
    </row>
    <row r="52393" spans="25:25" x14ac:dyDescent="0.2">
      <c r="Y52393" s="97"/>
    </row>
    <row r="52394" spans="25:25" x14ac:dyDescent="0.2">
      <c r="Y52394" s="97"/>
    </row>
    <row r="52395" spans="25:25" x14ac:dyDescent="0.2">
      <c r="Y52395" s="97"/>
    </row>
    <row r="52396" spans="25:25" x14ac:dyDescent="0.2">
      <c r="Y52396" s="97"/>
    </row>
    <row r="52397" spans="25:25" x14ac:dyDescent="0.2">
      <c r="Y52397" s="97"/>
    </row>
    <row r="52398" spans="25:25" x14ac:dyDescent="0.2">
      <c r="Y52398" s="97"/>
    </row>
    <row r="52399" spans="25:25" x14ac:dyDescent="0.2">
      <c r="Y52399" s="97"/>
    </row>
    <row r="52400" spans="25:25" x14ac:dyDescent="0.2">
      <c r="Y52400" s="97"/>
    </row>
    <row r="52401" spans="25:25" x14ac:dyDescent="0.2">
      <c r="Y52401" s="97"/>
    </row>
    <row r="52402" spans="25:25" x14ac:dyDescent="0.2">
      <c r="Y52402" s="97"/>
    </row>
    <row r="52403" spans="25:25" x14ac:dyDescent="0.2">
      <c r="Y52403" s="97"/>
    </row>
    <row r="52404" spans="25:25" x14ac:dyDescent="0.2">
      <c r="Y52404" s="97"/>
    </row>
    <row r="52405" spans="25:25" x14ac:dyDescent="0.2">
      <c r="Y52405" s="97"/>
    </row>
    <row r="52406" spans="25:25" x14ac:dyDescent="0.2">
      <c r="Y52406" s="97"/>
    </row>
    <row r="52407" spans="25:25" x14ac:dyDescent="0.2">
      <c r="Y52407" s="97"/>
    </row>
    <row r="52408" spans="25:25" x14ac:dyDescent="0.2">
      <c r="Y52408" s="97"/>
    </row>
    <row r="52409" spans="25:25" x14ac:dyDescent="0.2">
      <c r="Y52409" s="97"/>
    </row>
    <row r="52410" spans="25:25" x14ac:dyDescent="0.2">
      <c r="Y52410" s="97"/>
    </row>
    <row r="52411" spans="25:25" x14ac:dyDescent="0.2">
      <c r="Y52411" s="97"/>
    </row>
    <row r="52412" spans="25:25" x14ac:dyDescent="0.2">
      <c r="Y52412" s="97"/>
    </row>
    <row r="52413" spans="25:25" x14ac:dyDescent="0.2">
      <c r="Y52413" s="97"/>
    </row>
    <row r="52414" spans="25:25" x14ac:dyDescent="0.2">
      <c r="Y52414" s="97"/>
    </row>
    <row r="52415" spans="25:25" x14ac:dyDescent="0.2">
      <c r="Y52415" s="97"/>
    </row>
    <row r="52416" spans="25:25" x14ac:dyDescent="0.2">
      <c r="Y52416" s="97"/>
    </row>
    <row r="52417" spans="25:25" x14ac:dyDescent="0.2">
      <c r="Y52417" s="97"/>
    </row>
    <row r="52418" spans="25:25" x14ac:dyDescent="0.2">
      <c r="Y52418" s="97"/>
    </row>
    <row r="52419" spans="25:25" x14ac:dyDescent="0.2">
      <c r="Y52419" s="97"/>
    </row>
    <row r="52420" spans="25:25" x14ac:dyDescent="0.2">
      <c r="Y52420" s="97"/>
    </row>
    <row r="52421" spans="25:25" x14ac:dyDescent="0.2">
      <c r="Y52421" s="97"/>
    </row>
    <row r="52422" spans="25:25" x14ac:dyDescent="0.2">
      <c r="Y52422" s="97"/>
    </row>
    <row r="52423" spans="25:25" x14ac:dyDescent="0.2">
      <c r="Y52423" s="97"/>
    </row>
    <row r="52424" spans="25:25" x14ac:dyDescent="0.2">
      <c r="Y52424" s="97"/>
    </row>
    <row r="52425" spans="25:25" x14ac:dyDescent="0.2">
      <c r="Y52425" s="97"/>
    </row>
    <row r="52426" spans="25:25" x14ac:dyDescent="0.2">
      <c r="Y52426" s="97"/>
    </row>
    <row r="52427" spans="25:25" x14ac:dyDescent="0.2">
      <c r="Y52427" s="97"/>
    </row>
    <row r="52428" spans="25:25" x14ac:dyDescent="0.2">
      <c r="Y52428" s="97"/>
    </row>
    <row r="52429" spans="25:25" x14ac:dyDescent="0.2">
      <c r="Y52429" s="97"/>
    </row>
    <row r="52430" spans="25:25" x14ac:dyDescent="0.2">
      <c r="Y52430" s="97"/>
    </row>
    <row r="52431" spans="25:25" x14ac:dyDescent="0.2">
      <c r="Y52431" s="97"/>
    </row>
    <row r="52432" spans="25:25" x14ac:dyDescent="0.2">
      <c r="Y52432" s="97"/>
    </row>
    <row r="52433" spans="25:25" x14ac:dyDescent="0.2">
      <c r="Y52433" s="97"/>
    </row>
    <row r="52434" spans="25:25" x14ac:dyDescent="0.2">
      <c r="Y52434" s="97"/>
    </row>
    <row r="52435" spans="25:25" x14ac:dyDescent="0.2">
      <c r="Y52435" s="97"/>
    </row>
    <row r="52436" spans="25:25" x14ac:dyDescent="0.2">
      <c r="Y52436" s="97"/>
    </row>
    <row r="52437" spans="25:25" x14ac:dyDescent="0.2">
      <c r="Y52437" s="97"/>
    </row>
    <row r="52438" spans="25:25" x14ac:dyDescent="0.2">
      <c r="Y52438" s="97"/>
    </row>
    <row r="52439" spans="25:25" x14ac:dyDescent="0.2">
      <c r="Y52439" s="97"/>
    </row>
    <row r="52440" spans="25:25" x14ac:dyDescent="0.2">
      <c r="Y52440" s="97"/>
    </row>
    <row r="52441" spans="25:25" x14ac:dyDescent="0.2">
      <c r="Y52441" s="97"/>
    </row>
    <row r="52442" spans="25:25" x14ac:dyDescent="0.2">
      <c r="Y52442" s="97"/>
    </row>
    <row r="52443" spans="25:25" x14ac:dyDescent="0.2">
      <c r="Y52443" s="97"/>
    </row>
    <row r="52444" spans="25:25" x14ac:dyDescent="0.2">
      <c r="Y52444" s="97"/>
    </row>
    <row r="52445" spans="25:25" x14ac:dyDescent="0.2">
      <c r="Y52445" s="97"/>
    </row>
    <row r="52446" spans="25:25" x14ac:dyDescent="0.2">
      <c r="Y52446" s="97"/>
    </row>
    <row r="52447" spans="25:25" x14ac:dyDescent="0.2">
      <c r="Y52447" s="97"/>
    </row>
    <row r="52448" spans="25:25" x14ac:dyDescent="0.2">
      <c r="Y52448" s="97"/>
    </row>
    <row r="52449" spans="25:25" x14ac:dyDescent="0.2">
      <c r="Y52449" s="97"/>
    </row>
    <row r="52450" spans="25:25" x14ac:dyDescent="0.2">
      <c r="Y52450" s="97"/>
    </row>
    <row r="52451" spans="25:25" x14ac:dyDescent="0.2">
      <c r="Y52451" s="97"/>
    </row>
    <row r="52452" spans="25:25" x14ac:dyDescent="0.2">
      <c r="Y52452" s="97"/>
    </row>
    <row r="52453" spans="25:25" x14ac:dyDescent="0.2">
      <c r="Y52453" s="97"/>
    </row>
    <row r="52454" spans="25:25" x14ac:dyDescent="0.2">
      <c r="Y52454" s="97"/>
    </row>
    <row r="52455" spans="25:25" x14ac:dyDescent="0.2">
      <c r="Y52455" s="97"/>
    </row>
    <row r="52456" spans="25:25" x14ac:dyDescent="0.2">
      <c r="Y52456" s="97"/>
    </row>
    <row r="52457" spans="25:25" x14ac:dyDescent="0.2">
      <c r="Y52457" s="97"/>
    </row>
    <row r="52458" spans="25:25" x14ac:dyDescent="0.2">
      <c r="Y52458" s="97"/>
    </row>
    <row r="52459" spans="25:25" x14ac:dyDescent="0.2">
      <c r="Y52459" s="97"/>
    </row>
    <row r="52460" spans="25:25" x14ac:dyDescent="0.2">
      <c r="Y52460" s="97"/>
    </row>
    <row r="52461" spans="25:25" x14ac:dyDescent="0.2">
      <c r="Y52461" s="97"/>
    </row>
    <row r="52462" spans="25:25" x14ac:dyDescent="0.2">
      <c r="Y52462" s="97"/>
    </row>
    <row r="52463" spans="25:25" x14ac:dyDescent="0.2">
      <c r="Y52463" s="97"/>
    </row>
    <row r="52464" spans="25:25" x14ac:dyDescent="0.2">
      <c r="Y52464" s="97"/>
    </row>
    <row r="52465" spans="25:25" x14ac:dyDescent="0.2">
      <c r="Y52465" s="97"/>
    </row>
    <row r="52466" spans="25:25" x14ac:dyDescent="0.2">
      <c r="Y52466" s="97"/>
    </row>
    <row r="52467" spans="25:25" x14ac:dyDescent="0.2">
      <c r="Y52467" s="97"/>
    </row>
    <row r="52468" spans="25:25" x14ac:dyDescent="0.2">
      <c r="Y52468" s="97"/>
    </row>
    <row r="52469" spans="25:25" x14ac:dyDescent="0.2">
      <c r="Y52469" s="97"/>
    </row>
    <row r="52470" spans="25:25" x14ac:dyDescent="0.2">
      <c r="Y52470" s="97"/>
    </row>
    <row r="52471" spans="25:25" x14ac:dyDescent="0.2">
      <c r="Y52471" s="97"/>
    </row>
    <row r="52472" spans="25:25" x14ac:dyDescent="0.2">
      <c r="Y52472" s="97"/>
    </row>
    <row r="52473" spans="25:25" x14ac:dyDescent="0.2">
      <c r="Y52473" s="97"/>
    </row>
    <row r="52474" spans="25:25" x14ac:dyDescent="0.2">
      <c r="Y52474" s="97"/>
    </row>
    <row r="52475" spans="25:25" x14ac:dyDescent="0.2">
      <c r="Y52475" s="97"/>
    </row>
    <row r="52476" spans="25:25" x14ac:dyDescent="0.2">
      <c r="Y52476" s="97"/>
    </row>
    <row r="52477" spans="25:25" x14ac:dyDescent="0.2">
      <c r="Y52477" s="97"/>
    </row>
    <row r="52478" spans="25:25" x14ac:dyDescent="0.2">
      <c r="Y52478" s="97"/>
    </row>
    <row r="52479" spans="25:25" x14ac:dyDescent="0.2">
      <c r="Y52479" s="97"/>
    </row>
    <row r="52480" spans="25:25" x14ac:dyDescent="0.2">
      <c r="Y52480" s="97"/>
    </row>
    <row r="52481" spans="25:25" x14ac:dyDescent="0.2">
      <c r="Y52481" s="97"/>
    </row>
    <row r="52482" spans="25:25" x14ac:dyDescent="0.2">
      <c r="Y52482" s="97"/>
    </row>
    <row r="52483" spans="25:25" x14ac:dyDescent="0.2">
      <c r="Y52483" s="97"/>
    </row>
    <row r="52484" spans="25:25" x14ac:dyDescent="0.2">
      <c r="Y52484" s="97"/>
    </row>
    <row r="52485" spans="25:25" x14ac:dyDescent="0.2">
      <c r="Y52485" s="97"/>
    </row>
    <row r="52486" spans="25:25" x14ac:dyDescent="0.2">
      <c r="Y52486" s="97"/>
    </row>
    <row r="52487" spans="25:25" x14ac:dyDescent="0.2">
      <c r="Y52487" s="97"/>
    </row>
    <row r="52488" spans="25:25" x14ac:dyDescent="0.2">
      <c r="Y52488" s="97"/>
    </row>
    <row r="52489" spans="25:25" x14ac:dyDescent="0.2">
      <c r="Y52489" s="97"/>
    </row>
    <row r="52490" spans="25:25" x14ac:dyDescent="0.2">
      <c r="Y52490" s="97"/>
    </row>
    <row r="52491" spans="25:25" x14ac:dyDescent="0.2">
      <c r="Y52491" s="97"/>
    </row>
    <row r="52492" spans="25:25" x14ac:dyDescent="0.2">
      <c r="Y52492" s="97"/>
    </row>
    <row r="52493" spans="25:25" x14ac:dyDescent="0.2">
      <c r="Y52493" s="97"/>
    </row>
    <row r="52494" spans="25:25" x14ac:dyDescent="0.2">
      <c r="Y52494" s="97"/>
    </row>
    <row r="52495" spans="25:25" x14ac:dyDescent="0.2">
      <c r="Y52495" s="97"/>
    </row>
    <row r="52496" spans="25:25" x14ac:dyDescent="0.2">
      <c r="Y52496" s="97"/>
    </row>
    <row r="52497" spans="25:25" x14ac:dyDescent="0.2">
      <c r="Y52497" s="97"/>
    </row>
    <row r="52498" spans="25:25" x14ac:dyDescent="0.2">
      <c r="Y52498" s="97"/>
    </row>
    <row r="52499" spans="25:25" x14ac:dyDescent="0.2">
      <c r="Y52499" s="97"/>
    </row>
    <row r="52500" spans="25:25" x14ac:dyDescent="0.2">
      <c r="Y52500" s="97"/>
    </row>
    <row r="52501" spans="25:25" x14ac:dyDescent="0.2">
      <c r="Y52501" s="97"/>
    </row>
    <row r="52502" spans="25:25" x14ac:dyDescent="0.2">
      <c r="Y52502" s="97"/>
    </row>
    <row r="52503" spans="25:25" x14ac:dyDescent="0.2">
      <c r="Y52503" s="97"/>
    </row>
    <row r="52504" spans="25:25" x14ac:dyDescent="0.2">
      <c r="Y52504" s="97"/>
    </row>
    <row r="52505" spans="25:25" x14ac:dyDescent="0.2">
      <c r="Y52505" s="97"/>
    </row>
    <row r="52506" spans="25:25" x14ac:dyDescent="0.2">
      <c r="Y52506" s="97"/>
    </row>
    <row r="52507" spans="25:25" x14ac:dyDescent="0.2">
      <c r="Y52507" s="97"/>
    </row>
    <row r="52508" spans="25:25" x14ac:dyDescent="0.2">
      <c r="Y52508" s="97"/>
    </row>
    <row r="52509" spans="25:25" x14ac:dyDescent="0.2">
      <c r="Y52509" s="97"/>
    </row>
    <row r="52510" spans="25:25" x14ac:dyDescent="0.2">
      <c r="Y52510" s="97"/>
    </row>
    <row r="52511" spans="25:25" x14ac:dyDescent="0.2">
      <c r="Y52511" s="97"/>
    </row>
    <row r="52512" spans="25:25" x14ac:dyDescent="0.2">
      <c r="Y52512" s="97"/>
    </row>
    <row r="52513" spans="25:25" x14ac:dyDescent="0.2">
      <c r="Y52513" s="97"/>
    </row>
    <row r="52514" spans="25:25" x14ac:dyDescent="0.2">
      <c r="Y52514" s="97"/>
    </row>
    <row r="52515" spans="25:25" x14ac:dyDescent="0.2">
      <c r="Y52515" s="97"/>
    </row>
    <row r="52516" spans="25:25" x14ac:dyDescent="0.2">
      <c r="Y52516" s="97"/>
    </row>
    <row r="52517" spans="25:25" x14ac:dyDescent="0.2">
      <c r="Y52517" s="97"/>
    </row>
    <row r="52518" spans="25:25" x14ac:dyDescent="0.2">
      <c r="Y52518" s="97"/>
    </row>
    <row r="52519" spans="25:25" x14ac:dyDescent="0.2">
      <c r="Y52519" s="97"/>
    </row>
    <row r="52520" spans="25:25" x14ac:dyDescent="0.2">
      <c r="Y52520" s="97"/>
    </row>
    <row r="52521" spans="25:25" x14ac:dyDescent="0.2">
      <c r="Y52521" s="97"/>
    </row>
    <row r="52522" spans="25:25" x14ac:dyDescent="0.2">
      <c r="Y52522" s="97"/>
    </row>
    <row r="52523" spans="25:25" x14ac:dyDescent="0.2">
      <c r="Y52523" s="97"/>
    </row>
    <row r="52524" spans="25:25" x14ac:dyDescent="0.2">
      <c r="Y52524" s="97"/>
    </row>
    <row r="52525" spans="25:25" x14ac:dyDescent="0.2">
      <c r="Y52525" s="97"/>
    </row>
    <row r="52526" spans="25:25" x14ac:dyDescent="0.2">
      <c r="Y52526" s="97"/>
    </row>
    <row r="52527" spans="25:25" x14ac:dyDescent="0.2">
      <c r="Y52527" s="97"/>
    </row>
    <row r="52528" spans="25:25" x14ac:dyDescent="0.2">
      <c r="Y52528" s="97"/>
    </row>
    <row r="52529" spans="25:25" x14ac:dyDescent="0.2">
      <c r="Y52529" s="97"/>
    </row>
    <row r="52530" spans="25:25" x14ac:dyDescent="0.2">
      <c r="Y52530" s="97"/>
    </row>
    <row r="52531" spans="25:25" x14ac:dyDescent="0.2">
      <c r="Y52531" s="97"/>
    </row>
    <row r="52532" spans="25:25" x14ac:dyDescent="0.2">
      <c r="Y52532" s="97"/>
    </row>
    <row r="52533" spans="25:25" x14ac:dyDescent="0.2">
      <c r="Y52533" s="97"/>
    </row>
    <row r="52534" spans="25:25" x14ac:dyDescent="0.2">
      <c r="Y52534" s="97"/>
    </row>
    <row r="52535" spans="25:25" x14ac:dyDescent="0.2">
      <c r="Y52535" s="97"/>
    </row>
    <row r="52536" spans="25:25" x14ac:dyDescent="0.2">
      <c r="Y52536" s="97"/>
    </row>
    <row r="52537" spans="25:25" x14ac:dyDescent="0.2">
      <c r="Y52537" s="97"/>
    </row>
    <row r="52538" spans="25:25" x14ac:dyDescent="0.2">
      <c r="Y52538" s="97"/>
    </row>
    <row r="52539" spans="25:25" x14ac:dyDescent="0.2">
      <c r="Y52539" s="97"/>
    </row>
    <row r="52540" spans="25:25" x14ac:dyDescent="0.2">
      <c r="Y52540" s="97"/>
    </row>
    <row r="52541" spans="25:25" x14ac:dyDescent="0.2">
      <c r="Y52541" s="97"/>
    </row>
    <row r="52542" spans="25:25" x14ac:dyDescent="0.2">
      <c r="Y52542" s="97"/>
    </row>
    <row r="52543" spans="25:25" x14ac:dyDescent="0.2">
      <c r="Y52543" s="97"/>
    </row>
    <row r="52544" spans="25:25" x14ac:dyDescent="0.2">
      <c r="Y52544" s="97"/>
    </row>
    <row r="52545" spans="25:25" x14ac:dyDescent="0.2">
      <c r="Y52545" s="97"/>
    </row>
    <row r="52546" spans="25:25" x14ac:dyDescent="0.2">
      <c r="Y52546" s="97"/>
    </row>
    <row r="52547" spans="25:25" x14ac:dyDescent="0.2">
      <c r="Y52547" s="97"/>
    </row>
    <row r="52548" spans="25:25" x14ac:dyDescent="0.2">
      <c r="Y52548" s="97"/>
    </row>
    <row r="52549" spans="25:25" x14ac:dyDescent="0.2">
      <c r="Y52549" s="97"/>
    </row>
    <row r="52550" spans="25:25" x14ac:dyDescent="0.2">
      <c r="Y52550" s="97"/>
    </row>
    <row r="52551" spans="25:25" x14ac:dyDescent="0.2">
      <c r="Y52551" s="97"/>
    </row>
    <row r="52552" spans="25:25" x14ac:dyDescent="0.2">
      <c r="Y52552" s="97"/>
    </row>
    <row r="52553" spans="25:25" x14ac:dyDescent="0.2">
      <c r="Y52553" s="97"/>
    </row>
    <row r="52554" spans="25:25" x14ac:dyDescent="0.2">
      <c r="Y52554" s="97"/>
    </row>
    <row r="52555" spans="25:25" x14ac:dyDescent="0.2">
      <c r="Y52555" s="97"/>
    </row>
    <row r="52556" spans="25:25" x14ac:dyDescent="0.2">
      <c r="Y52556" s="97"/>
    </row>
    <row r="52557" spans="25:25" x14ac:dyDescent="0.2">
      <c r="Y52557" s="97"/>
    </row>
    <row r="52558" spans="25:25" x14ac:dyDescent="0.2">
      <c r="Y52558" s="97"/>
    </row>
    <row r="52559" spans="25:25" x14ac:dyDescent="0.2">
      <c r="Y52559" s="97"/>
    </row>
    <row r="52560" spans="25:25" x14ac:dyDescent="0.2">
      <c r="Y52560" s="97"/>
    </row>
    <row r="52561" spans="25:25" x14ac:dyDescent="0.2">
      <c r="Y52561" s="97"/>
    </row>
    <row r="52562" spans="25:25" x14ac:dyDescent="0.2">
      <c r="Y52562" s="97"/>
    </row>
    <row r="52563" spans="25:25" x14ac:dyDescent="0.2">
      <c r="Y52563" s="97"/>
    </row>
    <row r="52564" spans="25:25" x14ac:dyDescent="0.2">
      <c r="Y52564" s="97"/>
    </row>
    <row r="52565" spans="25:25" x14ac:dyDescent="0.2">
      <c r="Y52565" s="97"/>
    </row>
    <row r="52566" spans="25:25" x14ac:dyDescent="0.2">
      <c r="Y52566" s="97"/>
    </row>
    <row r="52567" spans="25:25" x14ac:dyDescent="0.2">
      <c r="Y52567" s="97"/>
    </row>
    <row r="52568" spans="25:25" x14ac:dyDescent="0.2">
      <c r="Y52568" s="97"/>
    </row>
    <row r="52569" spans="25:25" x14ac:dyDescent="0.2">
      <c r="Y52569" s="97"/>
    </row>
    <row r="52570" spans="25:25" x14ac:dyDescent="0.2">
      <c r="Y52570" s="97"/>
    </row>
    <row r="52571" spans="25:25" x14ac:dyDescent="0.2">
      <c r="Y52571" s="97"/>
    </row>
    <row r="52572" spans="25:25" x14ac:dyDescent="0.2">
      <c r="Y52572" s="97"/>
    </row>
    <row r="52573" spans="25:25" x14ac:dyDescent="0.2">
      <c r="Y52573" s="97"/>
    </row>
    <row r="52574" spans="25:25" x14ac:dyDescent="0.2">
      <c r="Y52574" s="97"/>
    </row>
    <row r="52575" spans="25:25" x14ac:dyDescent="0.2">
      <c r="Y52575" s="97"/>
    </row>
    <row r="52576" spans="25:25" x14ac:dyDescent="0.2">
      <c r="Y52576" s="97"/>
    </row>
    <row r="52577" spans="25:25" x14ac:dyDescent="0.2">
      <c r="Y52577" s="97"/>
    </row>
    <row r="52578" spans="25:25" x14ac:dyDescent="0.2">
      <c r="Y52578" s="97"/>
    </row>
    <row r="52579" spans="25:25" x14ac:dyDescent="0.2">
      <c r="Y52579" s="97"/>
    </row>
    <row r="52580" spans="25:25" x14ac:dyDescent="0.2">
      <c r="Y52580" s="97"/>
    </row>
    <row r="52581" spans="25:25" x14ac:dyDescent="0.2">
      <c r="Y52581" s="97"/>
    </row>
    <row r="52582" spans="25:25" x14ac:dyDescent="0.2">
      <c r="Y52582" s="97"/>
    </row>
    <row r="52583" spans="25:25" x14ac:dyDescent="0.2">
      <c r="Y52583" s="97"/>
    </row>
    <row r="52584" spans="25:25" x14ac:dyDescent="0.2">
      <c r="Y52584" s="97"/>
    </row>
    <row r="52585" spans="25:25" x14ac:dyDescent="0.2">
      <c r="Y52585" s="97"/>
    </row>
    <row r="52586" spans="25:25" x14ac:dyDescent="0.2">
      <c r="Y52586" s="97"/>
    </row>
    <row r="52587" spans="25:25" x14ac:dyDescent="0.2">
      <c r="Y52587" s="97"/>
    </row>
    <row r="52588" spans="25:25" x14ac:dyDescent="0.2">
      <c r="Y52588" s="97"/>
    </row>
    <row r="52589" spans="25:25" x14ac:dyDescent="0.2">
      <c r="Y52589" s="97"/>
    </row>
    <row r="52590" spans="25:25" x14ac:dyDescent="0.2">
      <c r="Y52590" s="97"/>
    </row>
    <row r="52591" spans="25:25" x14ac:dyDescent="0.2">
      <c r="Y52591" s="97"/>
    </row>
    <row r="52592" spans="25:25" x14ac:dyDescent="0.2">
      <c r="Y52592" s="97"/>
    </row>
    <row r="52593" spans="25:25" x14ac:dyDescent="0.2">
      <c r="Y52593" s="97"/>
    </row>
    <row r="52594" spans="25:25" x14ac:dyDescent="0.2">
      <c r="Y52594" s="97"/>
    </row>
    <row r="52595" spans="25:25" x14ac:dyDescent="0.2">
      <c r="Y52595" s="97"/>
    </row>
    <row r="52596" spans="25:25" x14ac:dyDescent="0.2">
      <c r="Y52596" s="97"/>
    </row>
    <row r="52597" spans="25:25" x14ac:dyDescent="0.2">
      <c r="Y52597" s="97"/>
    </row>
    <row r="52598" spans="25:25" x14ac:dyDescent="0.2">
      <c r="Y52598" s="97"/>
    </row>
    <row r="52599" spans="25:25" x14ac:dyDescent="0.2">
      <c r="Y52599" s="97"/>
    </row>
    <row r="52600" spans="25:25" x14ac:dyDescent="0.2">
      <c r="Y52600" s="97"/>
    </row>
    <row r="52601" spans="25:25" x14ac:dyDescent="0.2">
      <c r="Y52601" s="97"/>
    </row>
    <row r="52602" spans="25:25" x14ac:dyDescent="0.2">
      <c r="Y52602" s="97"/>
    </row>
    <row r="52603" spans="25:25" x14ac:dyDescent="0.2">
      <c r="Y52603" s="97"/>
    </row>
    <row r="52604" spans="25:25" x14ac:dyDescent="0.2">
      <c r="Y52604" s="97"/>
    </row>
    <row r="52605" spans="25:25" x14ac:dyDescent="0.2">
      <c r="Y52605" s="97"/>
    </row>
    <row r="52606" spans="25:25" x14ac:dyDescent="0.2">
      <c r="Y52606" s="97"/>
    </row>
    <row r="52607" spans="25:25" x14ac:dyDescent="0.2">
      <c r="Y52607" s="97"/>
    </row>
    <row r="52608" spans="25:25" x14ac:dyDescent="0.2">
      <c r="Y52608" s="97"/>
    </row>
    <row r="52609" spans="25:25" x14ac:dyDescent="0.2">
      <c r="Y52609" s="97"/>
    </row>
    <row r="52610" spans="25:25" x14ac:dyDescent="0.2">
      <c r="Y52610" s="97"/>
    </row>
    <row r="52611" spans="25:25" x14ac:dyDescent="0.2">
      <c r="Y52611" s="97"/>
    </row>
    <row r="52612" spans="25:25" x14ac:dyDescent="0.2">
      <c r="Y52612" s="97"/>
    </row>
    <row r="52613" spans="25:25" x14ac:dyDescent="0.2">
      <c r="Y52613" s="97"/>
    </row>
    <row r="52614" spans="25:25" x14ac:dyDescent="0.2">
      <c r="Y52614" s="97"/>
    </row>
    <row r="52615" spans="25:25" x14ac:dyDescent="0.2">
      <c r="Y52615" s="97"/>
    </row>
    <row r="52616" spans="25:25" x14ac:dyDescent="0.2">
      <c r="Y52616" s="97"/>
    </row>
    <row r="52617" spans="25:25" x14ac:dyDescent="0.2">
      <c r="Y52617" s="97"/>
    </row>
    <row r="52618" spans="25:25" x14ac:dyDescent="0.2">
      <c r="Y52618" s="97"/>
    </row>
    <row r="52619" spans="25:25" x14ac:dyDescent="0.2">
      <c r="Y52619" s="97"/>
    </row>
    <row r="52620" spans="25:25" x14ac:dyDescent="0.2">
      <c r="Y52620" s="97"/>
    </row>
    <row r="52621" spans="25:25" x14ac:dyDescent="0.2">
      <c r="Y52621" s="97"/>
    </row>
    <row r="52622" spans="25:25" x14ac:dyDescent="0.2">
      <c r="Y52622" s="97"/>
    </row>
    <row r="52623" spans="25:25" x14ac:dyDescent="0.2">
      <c r="Y52623" s="97"/>
    </row>
    <row r="52624" spans="25:25" x14ac:dyDescent="0.2">
      <c r="Y52624" s="97"/>
    </row>
    <row r="52625" spans="25:25" x14ac:dyDescent="0.2">
      <c r="Y52625" s="97"/>
    </row>
    <row r="52626" spans="25:25" x14ac:dyDescent="0.2">
      <c r="Y52626" s="97"/>
    </row>
    <row r="52627" spans="25:25" x14ac:dyDescent="0.2">
      <c r="Y52627" s="97"/>
    </row>
    <row r="52628" spans="25:25" x14ac:dyDescent="0.2">
      <c r="Y52628" s="97"/>
    </row>
    <row r="52629" spans="25:25" x14ac:dyDescent="0.2">
      <c r="Y52629" s="97"/>
    </row>
    <row r="52630" spans="25:25" x14ac:dyDescent="0.2">
      <c r="Y52630" s="97"/>
    </row>
    <row r="52631" spans="25:25" x14ac:dyDescent="0.2">
      <c r="Y52631" s="97"/>
    </row>
    <row r="52632" spans="25:25" x14ac:dyDescent="0.2">
      <c r="Y52632" s="97"/>
    </row>
    <row r="52633" spans="25:25" x14ac:dyDescent="0.2">
      <c r="Y52633" s="97"/>
    </row>
    <row r="52634" spans="25:25" x14ac:dyDescent="0.2">
      <c r="Y52634" s="97"/>
    </row>
    <row r="52635" spans="25:25" x14ac:dyDescent="0.2">
      <c r="Y52635" s="97"/>
    </row>
    <row r="52636" spans="25:25" x14ac:dyDescent="0.2">
      <c r="Y52636" s="97"/>
    </row>
    <row r="52637" spans="25:25" x14ac:dyDescent="0.2">
      <c r="Y52637" s="97"/>
    </row>
    <row r="52638" spans="25:25" x14ac:dyDescent="0.2">
      <c r="Y52638" s="97"/>
    </row>
    <row r="52639" spans="25:25" x14ac:dyDescent="0.2">
      <c r="Y52639" s="97"/>
    </row>
    <row r="52640" spans="25:25" x14ac:dyDescent="0.2">
      <c r="Y52640" s="97"/>
    </row>
    <row r="52641" spans="25:25" x14ac:dyDescent="0.2">
      <c r="Y52641" s="97"/>
    </row>
    <row r="52642" spans="25:25" x14ac:dyDescent="0.2">
      <c r="Y52642" s="97"/>
    </row>
    <row r="52643" spans="25:25" x14ac:dyDescent="0.2">
      <c r="Y52643" s="97"/>
    </row>
    <row r="52644" spans="25:25" x14ac:dyDescent="0.2">
      <c r="Y52644" s="97"/>
    </row>
    <row r="52645" spans="25:25" x14ac:dyDescent="0.2">
      <c r="Y52645" s="97"/>
    </row>
    <row r="52646" spans="25:25" x14ac:dyDescent="0.2">
      <c r="Y52646" s="97"/>
    </row>
    <row r="52647" spans="25:25" x14ac:dyDescent="0.2">
      <c r="Y52647" s="97"/>
    </row>
    <row r="52648" spans="25:25" x14ac:dyDescent="0.2">
      <c r="Y52648" s="97"/>
    </row>
    <row r="52649" spans="25:25" x14ac:dyDescent="0.2">
      <c r="Y52649" s="97"/>
    </row>
    <row r="52650" spans="25:25" x14ac:dyDescent="0.2">
      <c r="Y52650" s="97"/>
    </row>
    <row r="52651" spans="25:25" x14ac:dyDescent="0.2">
      <c r="Y52651" s="97"/>
    </row>
    <row r="52652" spans="25:25" x14ac:dyDescent="0.2">
      <c r="Y52652" s="97"/>
    </row>
    <row r="52653" spans="25:25" x14ac:dyDescent="0.2">
      <c r="Y52653" s="97"/>
    </row>
    <row r="52654" spans="25:25" x14ac:dyDescent="0.2">
      <c r="Y52654" s="97"/>
    </row>
    <row r="52655" spans="25:25" x14ac:dyDescent="0.2">
      <c r="Y52655" s="97"/>
    </row>
    <row r="52656" spans="25:25" x14ac:dyDescent="0.2">
      <c r="Y52656" s="97"/>
    </row>
    <row r="52657" spans="25:25" x14ac:dyDescent="0.2">
      <c r="Y52657" s="97"/>
    </row>
    <row r="52658" spans="25:25" x14ac:dyDescent="0.2">
      <c r="Y52658" s="97"/>
    </row>
    <row r="52659" spans="25:25" x14ac:dyDescent="0.2">
      <c r="Y52659" s="97"/>
    </row>
    <row r="52660" spans="25:25" x14ac:dyDescent="0.2">
      <c r="Y52660" s="97"/>
    </row>
    <row r="52661" spans="25:25" x14ac:dyDescent="0.2">
      <c r="Y52661" s="97"/>
    </row>
    <row r="52662" spans="25:25" x14ac:dyDescent="0.2">
      <c r="Y52662" s="97"/>
    </row>
    <row r="52663" spans="25:25" x14ac:dyDescent="0.2">
      <c r="Y52663" s="97"/>
    </row>
    <row r="52664" spans="25:25" x14ac:dyDescent="0.2">
      <c r="Y52664" s="97"/>
    </row>
    <row r="52665" spans="25:25" x14ac:dyDescent="0.2">
      <c r="Y52665" s="97"/>
    </row>
    <row r="52666" spans="25:25" x14ac:dyDescent="0.2">
      <c r="Y52666" s="97"/>
    </row>
    <row r="52667" spans="25:25" x14ac:dyDescent="0.2">
      <c r="Y52667" s="97"/>
    </row>
    <row r="52668" spans="25:25" x14ac:dyDescent="0.2">
      <c r="Y52668" s="97"/>
    </row>
    <row r="52669" spans="25:25" x14ac:dyDescent="0.2">
      <c r="Y52669" s="97"/>
    </row>
    <row r="52670" spans="25:25" x14ac:dyDescent="0.2">
      <c r="Y52670" s="97"/>
    </row>
    <row r="52671" spans="25:25" x14ac:dyDescent="0.2">
      <c r="Y52671" s="97"/>
    </row>
    <row r="52672" spans="25:25" x14ac:dyDescent="0.2">
      <c r="Y52672" s="97"/>
    </row>
    <row r="52673" spans="25:25" x14ac:dyDescent="0.2">
      <c r="Y52673" s="97"/>
    </row>
    <row r="52674" spans="25:25" x14ac:dyDescent="0.2">
      <c r="Y52674" s="97"/>
    </row>
    <row r="52675" spans="25:25" x14ac:dyDescent="0.2">
      <c r="Y52675" s="97"/>
    </row>
    <row r="52676" spans="25:25" x14ac:dyDescent="0.2">
      <c r="Y52676" s="97"/>
    </row>
    <row r="52677" spans="25:25" x14ac:dyDescent="0.2">
      <c r="Y52677" s="97"/>
    </row>
    <row r="52678" spans="25:25" x14ac:dyDescent="0.2">
      <c r="Y52678" s="97"/>
    </row>
    <row r="52679" spans="25:25" x14ac:dyDescent="0.2">
      <c r="Y52679" s="97"/>
    </row>
    <row r="52680" spans="25:25" x14ac:dyDescent="0.2">
      <c r="Y52680" s="97"/>
    </row>
    <row r="52681" spans="25:25" x14ac:dyDescent="0.2">
      <c r="Y52681" s="97"/>
    </row>
    <row r="52682" spans="25:25" x14ac:dyDescent="0.2">
      <c r="Y52682" s="97"/>
    </row>
    <row r="52683" spans="25:25" x14ac:dyDescent="0.2">
      <c r="Y52683" s="97"/>
    </row>
    <row r="52684" spans="25:25" x14ac:dyDescent="0.2">
      <c r="Y52684" s="97"/>
    </row>
    <row r="52685" spans="25:25" x14ac:dyDescent="0.2">
      <c r="Y52685" s="97"/>
    </row>
    <row r="52686" spans="25:25" x14ac:dyDescent="0.2">
      <c r="Y52686" s="97"/>
    </row>
    <row r="52687" spans="25:25" x14ac:dyDescent="0.2">
      <c r="Y52687" s="97"/>
    </row>
    <row r="52688" spans="25:25" x14ac:dyDescent="0.2">
      <c r="Y52688" s="97"/>
    </row>
    <row r="52689" spans="25:25" x14ac:dyDescent="0.2">
      <c r="Y52689" s="97"/>
    </row>
    <row r="52690" spans="25:25" x14ac:dyDescent="0.2">
      <c r="Y52690" s="97"/>
    </row>
    <row r="52691" spans="25:25" x14ac:dyDescent="0.2">
      <c r="Y52691" s="97"/>
    </row>
    <row r="52692" spans="25:25" x14ac:dyDescent="0.2">
      <c r="Y52692" s="97"/>
    </row>
    <row r="52693" spans="25:25" x14ac:dyDescent="0.2">
      <c r="Y52693" s="97"/>
    </row>
    <row r="52694" spans="25:25" x14ac:dyDescent="0.2">
      <c r="Y52694" s="97"/>
    </row>
    <row r="52695" spans="25:25" x14ac:dyDescent="0.2">
      <c r="Y52695" s="97"/>
    </row>
    <row r="52696" spans="25:25" x14ac:dyDescent="0.2">
      <c r="Y52696" s="97"/>
    </row>
    <row r="52697" spans="25:25" x14ac:dyDescent="0.2">
      <c r="Y52697" s="97"/>
    </row>
    <row r="52698" spans="25:25" x14ac:dyDescent="0.2">
      <c r="Y52698" s="97"/>
    </row>
    <row r="52699" spans="25:25" x14ac:dyDescent="0.2">
      <c r="Y52699" s="97"/>
    </row>
    <row r="52700" spans="25:25" x14ac:dyDescent="0.2">
      <c r="Y52700" s="97"/>
    </row>
    <row r="52701" spans="25:25" x14ac:dyDescent="0.2">
      <c r="Y52701" s="97"/>
    </row>
    <row r="52702" spans="25:25" x14ac:dyDescent="0.2">
      <c r="Y52702" s="97"/>
    </row>
    <row r="52703" spans="25:25" x14ac:dyDescent="0.2">
      <c r="Y52703" s="97"/>
    </row>
    <row r="52704" spans="25:25" x14ac:dyDescent="0.2">
      <c r="Y52704" s="97"/>
    </row>
    <row r="52705" spans="25:25" x14ac:dyDescent="0.2">
      <c r="Y52705" s="97"/>
    </row>
    <row r="52706" spans="25:25" x14ac:dyDescent="0.2">
      <c r="Y52706" s="97"/>
    </row>
    <row r="52707" spans="25:25" x14ac:dyDescent="0.2">
      <c r="Y52707" s="97"/>
    </row>
    <row r="52708" spans="25:25" x14ac:dyDescent="0.2">
      <c r="Y52708" s="97"/>
    </row>
    <row r="52709" spans="25:25" x14ac:dyDescent="0.2">
      <c r="Y52709" s="97"/>
    </row>
    <row r="52710" spans="25:25" x14ac:dyDescent="0.2">
      <c r="Y52710" s="97"/>
    </row>
    <row r="52711" spans="25:25" x14ac:dyDescent="0.2">
      <c r="Y52711" s="97"/>
    </row>
    <row r="52712" spans="25:25" x14ac:dyDescent="0.2">
      <c r="Y52712" s="97"/>
    </row>
    <row r="52713" spans="25:25" x14ac:dyDescent="0.2">
      <c r="Y52713" s="97"/>
    </row>
    <row r="52714" spans="25:25" x14ac:dyDescent="0.2">
      <c r="Y52714" s="97"/>
    </row>
    <row r="52715" spans="25:25" x14ac:dyDescent="0.2">
      <c r="Y52715" s="97"/>
    </row>
    <row r="52716" spans="25:25" x14ac:dyDescent="0.2">
      <c r="Y52716" s="97"/>
    </row>
    <row r="52717" spans="25:25" x14ac:dyDescent="0.2">
      <c r="Y52717" s="97"/>
    </row>
    <row r="52718" spans="25:25" x14ac:dyDescent="0.2">
      <c r="Y52718" s="97"/>
    </row>
    <row r="52719" spans="25:25" x14ac:dyDescent="0.2">
      <c r="Y52719" s="97"/>
    </row>
    <row r="52720" spans="25:25" x14ac:dyDescent="0.2">
      <c r="Y52720" s="97"/>
    </row>
    <row r="52721" spans="25:25" x14ac:dyDescent="0.2">
      <c r="Y52721" s="97"/>
    </row>
    <row r="52722" spans="25:25" x14ac:dyDescent="0.2">
      <c r="Y52722" s="97"/>
    </row>
    <row r="52723" spans="25:25" x14ac:dyDescent="0.2">
      <c r="Y52723" s="97"/>
    </row>
    <row r="52724" spans="25:25" x14ac:dyDescent="0.2">
      <c r="Y52724" s="97"/>
    </row>
    <row r="52725" spans="25:25" x14ac:dyDescent="0.2">
      <c r="Y52725" s="97"/>
    </row>
    <row r="52726" spans="25:25" x14ac:dyDescent="0.2">
      <c r="Y52726" s="97"/>
    </row>
    <row r="52727" spans="25:25" x14ac:dyDescent="0.2">
      <c r="Y52727" s="97"/>
    </row>
    <row r="52728" spans="25:25" x14ac:dyDescent="0.2">
      <c r="Y52728" s="97"/>
    </row>
    <row r="52729" spans="25:25" x14ac:dyDescent="0.2">
      <c r="Y52729" s="97"/>
    </row>
    <row r="52730" spans="25:25" x14ac:dyDescent="0.2">
      <c r="Y52730" s="97"/>
    </row>
    <row r="52731" spans="25:25" x14ac:dyDescent="0.2">
      <c r="Y52731" s="97"/>
    </row>
    <row r="52732" spans="25:25" x14ac:dyDescent="0.2">
      <c r="Y52732" s="97"/>
    </row>
    <row r="52733" spans="25:25" x14ac:dyDescent="0.2">
      <c r="Y52733" s="97"/>
    </row>
    <row r="52734" spans="25:25" x14ac:dyDescent="0.2">
      <c r="Y52734" s="97"/>
    </row>
    <row r="52735" spans="25:25" x14ac:dyDescent="0.2">
      <c r="Y52735" s="97"/>
    </row>
    <row r="52736" spans="25:25" x14ac:dyDescent="0.2">
      <c r="Y52736" s="97"/>
    </row>
    <row r="52737" spans="25:25" x14ac:dyDescent="0.2">
      <c r="Y52737" s="97"/>
    </row>
    <row r="52738" spans="25:25" x14ac:dyDescent="0.2">
      <c r="Y52738" s="97"/>
    </row>
    <row r="52739" spans="25:25" x14ac:dyDescent="0.2">
      <c r="Y52739" s="97"/>
    </row>
    <row r="52740" spans="25:25" x14ac:dyDescent="0.2">
      <c r="Y52740" s="97"/>
    </row>
    <row r="52741" spans="25:25" x14ac:dyDescent="0.2">
      <c r="Y52741" s="97"/>
    </row>
    <row r="52742" spans="25:25" x14ac:dyDescent="0.2">
      <c r="Y52742" s="97"/>
    </row>
    <row r="52743" spans="25:25" x14ac:dyDescent="0.2">
      <c r="Y52743" s="97"/>
    </row>
    <row r="52744" spans="25:25" x14ac:dyDescent="0.2">
      <c r="Y52744" s="97"/>
    </row>
    <row r="52745" spans="25:25" x14ac:dyDescent="0.2">
      <c r="Y52745" s="97"/>
    </row>
    <row r="52746" spans="25:25" x14ac:dyDescent="0.2">
      <c r="Y52746" s="97"/>
    </row>
    <row r="52747" spans="25:25" x14ac:dyDescent="0.2">
      <c r="Y52747" s="97"/>
    </row>
    <row r="52748" spans="25:25" x14ac:dyDescent="0.2">
      <c r="Y52748" s="97"/>
    </row>
    <row r="52749" spans="25:25" x14ac:dyDescent="0.2">
      <c r="Y52749" s="97"/>
    </row>
    <row r="52750" spans="25:25" x14ac:dyDescent="0.2">
      <c r="Y52750" s="97"/>
    </row>
    <row r="52751" spans="25:25" x14ac:dyDescent="0.2">
      <c r="Y52751" s="97"/>
    </row>
    <row r="52752" spans="25:25" x14ac:dyDescent="0.2">
      <c r="Y52752" s="97"/>
    </row>
    <row r="52753" spans="25:25" x14ac:dyDescent="0.2">
      <c r="Y52753" s="97"/>
    </row>
    <row r="52754" spans="25:25" x14ac:dyDescent="0.2">
      <c r="Y52754" s="97"/>
    </row>
    <row r="52755" spans="25:25" x14ac:dyDescent="0.2">
      <c r="Y52755" s="97"/>
    </row>
    <row r="52756" spans="25:25" x14ac:dyDescent="0.2">
      <c r="Y52756" s="97"/>
    </row>
    <row r="52757" spans="25:25" x14ac:dyDescent="0.2">
      <c r="Y52757" s="97"/>
    </row>
    <row r="52758" spans="25:25" x14ac:dyDescent="0.2">
      <c r="Y52758" s="97"/>
    </row>
    <row r="52759" spans="25:25" x14ac:dyDescent="0.2">
      <c r="Y52759" s="97"/>
    </row>
    <row r="52760" spans="25:25" x14ac:dyDescent="0.2">
      <c r="Y52760" s="97"/>
    </row>
    <row r="52761" spans="25:25" x14ac:dyDescent="0.2">
      <c r="Y52761" s="97"/>
    </row>
    <row r="52762" spans="25:25" x14ac:dyDescent="0.2">
      <c r="Y52762" s="97"/>
    </row>
    <row r="52763" spans="25:25" x14ac:dyDescent="0.2">
      <c r="Y52763" s="97"/>
    </row>
    <row r="52764" spans="25:25" x14ac:dyDescent="0.2">
      <c r="Y52764" s="97"/>
    </row>
    <row r="52765" spans="25:25" x14ac:dyDescent="0.2">
      <c r="Y52765" s="97"/>
    </row>
    <row r="52766" spans="25:25" x14ac:dyDescent="0.2">
      <c r="Y52766" s="97"/>
    </row>
    <row r="52767" spans="25:25" x14ac:dyDescent="0.2">
      <c r="Y52767" s="97"/>
    </row>
    <row r="52768" spans="25:25" x14ac:dyDescent="0.2">
      <c r="Y52768" s="97"/>
    </row>
    <row r="52769" spans="25:25" x14ac:dyDescent="0.2">
      <c r="Y52769" s="97"/>
    </row>
    <row r="52770" spans="25:25" x14ac:dyDescent="0.2">
      <c r="Y52770" s="97"/>
    </row>
    <row r="52771" spans="25:25" x14ac:dyDescent="0.2">
      <c r="Y52771" s="97"/>
    </row>
    <row r="52772" spans="25:25" x14ac:dyDescent="0.2">
      <c r="Y52772" s="97"/>
    </row>
    <row r="52773" spans="25:25" x14ac:dyDescent="0.2">
      <c r="Y52773" s="97"/>
    </row>
    <row r="52774" spans="25:25" x14ac:dyDescent="0.2">
      <c r="Y52774" s="97"/>
    </row>
    <row r="52775" spans="25:25" x14ac:dyDescent="0.2">
      <c r="Y52775" s="97"/>
    </row>
    <row r="52776" spans="25:25" x14ac:dyDescent="0.2">
      <c r="Y52776" s="97"/>
    </row>
    <row r="52777" spans="25:25" x14ac:dyDescent="0.2">
      <c r="Y52777" s="97"/>
    </row>
    <row r="52778" spans="25:25" x14ac:dyDescent="0.2">
      <c r="Y52778" s="97"/>
    </row>
    <row r="52779" spans="25:25" x14ac:dyDescent="0.2">
      <c r="Y52779" s="97"/>
    </row>
    <row r="52780" spans="25:25" x14ac:dyDescent="0.2">
      <c r="Y52780" s="97"/>
    </row>
    <row r="52781" spans="25:25" x14ac:dyDescent="0.2">
      <c r="Y52781" s="97"/>
    </row>
    <row r="52782" spans="25:25" x14ac:dyDescent="0.2">
      <c r="Y52782" s="97"/>
    </row>
    <row r="52783" spans="25:25" x14ac:dyDescent="0.2">
      <c r="Y52783" s="97"/>
    </row>
    <row r="52784" spans="25:25" x14ac:dyDescent="0.2">
      <c r="Y52784" s="97"/>
    </row>
    <row r="52785" spans="25:25" x14ac:dyDescent="0.2">
      <c r="Y52785" s="97"/>
    </row>
    <row r="52786" spans="25:25" x14ac:dyDescent="0.2">
      <c r="Y52786" s="97"/>
    </row>
    <row r="52787" spans="25:25" x14ac:dyDescent="0.2">
      <c r="Y52787" s="97"/>
    </row>
    <row r="52788" spans="25:25" x14ac:dyDescent="0.2">
      <c r="Y52788" s="97"/>
    </row>
    <row r="52789" spans="25:25" x14ac:dyDescent="0.2">
      <c r="Y52789" s="97"/>
    </row>
    <row r="52790" spans="25:25" x14ac:dyDescent="0.2">
      <c r="Y52790" s="97"/>
    </row>
    <row r="52791" spans="25:25" x14ac:dyDescent="0.2">
      <c r="Y52791" s="97"/>
    </row>
    <row r="52792" spans="25:25" x14ac:dyDescent="0.2">
      <c r="Y52792" s="97"/>
    </row>
    <row r="52793" spans="25:25" x14ac:dyDescent="0.2">
      <c r="Y52793" s="97"/>
    </row>
    <row r="52794" spans="25:25" x14ac:dyDescent="0.2">
      <c r="Y52794" s="97"/>
    </row>
    <row r="52795" spans="25:25" x14ac:dyDescent="0.2">
      <c r="Y52795" s="97"/>
    </row>
    <row r="52796" spans="25:25" x14ac:dyDescent="0.2">
      <c r="Y52796" s="97"/>
    </row>
    <row r="52797" spans="25:25" x14ac:dyDescent="0.2">
      <c r="Y52797" s="97"/>
    </row>
    <row r="52798" spans="25:25" x14ac:dyDescent="0.2">
      <c r="Y52798" s="97"/>
    </row>
    <row r="52799" spans="25:25" x14ac:dyDescent="0.2">
      <c r="Y52799" s="97"/>
    </row>
    <row r="52800" spans="25:25" x14ac:dyDescent="0.2">
      <c r="Y52800" s="97"/>
    </row>
    <row r="52801" spans="25:25" x14ac:dyDescent="0.2">
      <c r="Y52801" s="97"/>
    </row>
    <row r="52802" spans="25:25" x14ac:dyDescent="0.2">
      <c r="Y52802" s="97"/>
    </row>
    <row r="52803" spans="25:25" x14ac:dyDescent="0.2">
      <c r="Y52803" s="97"/>
    </row>
    <row r="52804" spans="25:25" x14ac:dyDescent="0.2">
      <c r="Y52804" s="97"/>
    </row>
    <row r="52805" spans="25:25" x14ac:dyDescent="0.2">
      <c r="Y52805" s="97"/>
    </row>
    <row r="52806" spans="25:25" x14ac:dyDescent="0.2">
      <c r="Y52806" s="97"/>
    </row>
    <row r="52807" spans="25:25" x14ac:dyDescent="0.2">
      <c r="Y52807" s="97"/>
    </row>
    <row r="52808" spans="25:25" x14ac:dyDescent="0.2">
      <c r="Y52808" s="97"/>
    </row>
    <row r="52809" spans="25:25" x14ac:dyDescent="0.2">
      <c r="Y52809" s="97"/>
    </row>
    <row r="52810" spans="25:25" x14ac:dyDescent="0.2">
      <c r="Y52810" s="97"/>
    </row>
    <row r="52811" spans="25:25" x14ac:dyDescent="0.2">
      <c r="Y52811" s="97"/>
    </row>
    <row r="52812" spans="25:25" x14ac:dyDescent="0.2">
      <c r="Y52812" s="97"/>
    </row>
    <row r="52813" spans="25:25" x14ac:dyDescent="0.2">
      <c r="Y52813" s="97"/>
    </row>
    <row r="52814" spans="25:25" x14ac:dyDescent="0.2">
      <c r="Y52814" s="97"/>
    </row>
    <row r="52815" spans="25:25" x14ac:dyDescent="0.2">
      <c r="Y52815" s="97"/>
    </row>
    <row r="52816" spans="25:25" x14ac:dyDescent="0.2">
      <c r="Y52816" s="97"/>
    </row>
    <row r="52817" spans="25:25" x14ac:dyDescent="0.2">
      <c r="Y52817" s="97"/>
    </row>
    <row r="52818" spans="25:25" x14ac:dyDescent="0.2">
      <c r="Y52818" s="97"/>
    </row>
    <row r="52819" spans="25:25" x14ac:dyDescent="0.2">
      <c r="Y52819" s="97"/>
    </row>
    <row r="52820" spans="25:25" x14ac:dyDescent="0.2">
      <c r="Y52820" s="97"/>
    </row>
    <row r="52821" spans="25:25" x14ac:dyDescent="0.2">
      <c r="Y52821" s="97"/>
    </row>
    <row r="52822" spans="25:25" x14ac:dyDescent="0.2">
      <c r="Y52822" s="97"/>
    </row>
    <row r="52823" spans="25:25" x14ac:dyDescent="0.2">
      <c r="Y52823" s="97"/>
    </row>
    <row r="52824" spans="25:25" x14ac:dyDescent="0.2">
      <c r="Y52824" s="97"/>
    </row>
    <row r="52825" spans="25:25" x14ac:dyDescent="0.2">
      <c r="Y52825" s="97"/>
    </row>
    <row r="52826" spans="25:25" x14ac:dyDescent="0.2">
      <c r="Y52826" s="97"/>
    </row>
    <row r="52827" spans="25:25" x14ac:dyDescent="0.2">
      <c r="Y52827" s="97"/>
    </row>
    <row r="52828" spans="25:25" x14ac:dyDescent="0.2">
      <c r="Y52828" s="97"/>
    </row>
    <row r="52829" spans="25:25" x14ac:dyDescent="0.2">
      <c r="Y52829" s="97"/>
    </row>
    <row r="52830" spans="25:25" x14ac:dyDescent="0.2">
      <c r="Y52830" s="97"/>
    </row>
    <row r="52831" spans="25:25" x14ac:dyDescent="0.2">
      <c r="Y52831" s="97"/>
    </row>
    <row r="52832" spans="25:25" x14ac:dyDescent="0.2">
      <c r="Y52832" s="97"/>
    </row>
    <row r="52833" spans="25:25" x14ac:dyDescent="0.2">
      <c r="Y52833" s="97"/>
    </row>
    <row r="52834" spans="25:25" x14ac:dyDescent="0.2">
      <c r="Y52834" s="97"/>
    </row>
    <row r="52835" spans="25:25" x14ac:dyDescent="0.2">
      <c r="Y52835" s="97"/>
    </row>
    <row r="52836" spans="25:25" x14ac:dyDescent="0.2">
      <c r="Y52836" s="97"/>
    </row>
    <row r="52837" spans="25:25" x14ac:dyDescent="0.2">
      <c r="Y52837" s="97"/>
    </row>
    <row r="52838" spans="25:25" x14ac:dyDescent="0.2">
      <c r="Y52838" s="97"/>
    </row>
    <row r="52839" spans="25:25" x14ac:dyDescent="0.2">
      <c r="Y52839" s="97"/>
    </row>
    <row r="52840" spans="25:25" x14ac:dyDescent="0.2">
      <c r="Y52840" s="97"/>
    </row>
    <row r="52841" spans="25:25" x14ac:dyDescent="0.2">
      <c r="Y52841" s="97"/>
    </row>
    <row r="52842" spans="25:25" x14ac:dyDescent="0.2">
      <c r="Y52842" s="97"/>
    </row>
    <row r="52843" spans="25:25" x14ac:dyDescent="0.2">
      <c r="Y52843" s="97"/>
    </row>
    <row r="52844" spans="25:25" x14ac:dyDescent="0.2">
      <c r="Y52844" s="97"/>
    </row>
    <row r="52845" spans="25:25" x14ac:dyDescent="0.2">
      <c r="Y52845" s="97"/>
    </row>
    <row r="52846" spans="25:25" x14ac:dyDescent="0.2">
      <c r="Y52846" s="97"/>
    </row>
    <row r="52847" spans="25:25" x14ac:dyDescent="0.2">
      <c r="Y52847" s="97"/>
    </row>
    <row r="52848" spans="25:25" x14ac:dyDescent="0.2">
      <c r="Y52848" s="97"/>
    </row>
    <row r="52849" spans="25:25" x14ac:dyDescent="0.2">
      <c r="Y52849" s="97"/>
    </row>
    <row r="52850" spans="25:25" x14ac:dyDescent="0.2">
      <c r="Y52850" s="97"/>
    </row>
    <row r="52851" spans="25:25" x14ac:dyDescent="0.2">
      <c r="Y52851" s="97"/>
    </row>
    <row r="52852" spans="25:25" x14ac:dyDescent="0.2">
      <c r="Y52852" s="97"/>
    </row>
    <row r="52853" spans="25:25" x14ac:dyDescent="0.2">
      <c r="Y52853" s="97"/>
    </row>
    <row r="52854" spans="25:25" x14ac:dyDescent="0.2">
      <c r="Y52854" s="97"/>
    </row>
    <row r="52855" spans="25:25" x14ac:dyDescent="0.2">
      <c r="Y52855" s="97"/>
    </row>
    <row r="52856" spans="25:25" x14ac:dyDescent="0.2">
      <c r="Y52856" s="97"/>
    </row>
    <row r="52857" spans="25:25" x14ac:dyDescent="0.2">
      <c r="Y52857" s="97"/>
    </row>
    <row r="52858" spans="25:25" x14ac:dyDescent="0.2">
      <c r="Y52858" s="97"/>
    </row>
    <row r="52859" spans="25:25" x14ac:dyDescent="0.2">
      <c r="Y52859" s="97"/>
    </row>
    <row r="52860" spans="25:25" x14ac:dyDescent="0.2">
      <c r="Y52860" s="97"/>
    </row>
    <row r="52861" spans="25:25" x14ac:dyDescent="0.2">
      <c r="Y52861" s="97"/>
    </row>
    <row r="52862" spans="25:25" x14ac:dyDescent="0.2">
      <c r="Y52862" s="97"/>
    </row>
    <row r="52863" spans="25:25" x14ac:dyDescent="0.2">
      <c r="Y52863" s="97"/>
    </row>
    <row r="52864" spans="25:25" x14ac:dyDescent="0.2">
      <c r="Y52864" s="97"/>
    </row>
    <row r="52865" spans="25:25" x14ac:dyDescent="0.2">
      <c r="Y52865" s="97"/>
    </row>
    <row r="52866" spans="25:25" x14ac:dyDescent="0.2">
      <c r="Y52866" s="97"/>
    </row>
    <row r="52867" spans="25:25" x14ac:dyDescent="0.2">
      <c r="Y52867" s="97"/>
    </row>
    <row r="52868" spans="25:25" x14ac:dyDescent="0.2">
      <c r="Y52868" s="97"/>
    </row>
    <row r="52869" spans="25:25" x14ac:dyDescent="0.2">
      <c r="Y52869" s="97"/>
    </row>
    <row r="52870" spans="25:25" x14ac:dyDescent="0.2">
      <c r="Y52870" s="97"/>
    </row>
    <row r="52871" spans="25:25" x14ac:dyDescent="0.2">
      <c r="Y52871" s="97"/>
    </row>
    <row r="52872" spans="25:25" x14ac:dyDescent="0.2">
      <c r="Y52872" s="97"/>
    </row>
    <row r="52873" spans="25:25" x14ac:dyDescent="0.2">
      <c r="Y52873" s="97"/>
    </row>
    <row r="52874" spans="25:25" x14ac:dyDescent="0.2">
      <c r="Y52874" s="97"/>
    </row>
    <row r="52875" spans="25:25" x14ac:dyDescent="0.2">
      <c r="Y52875" s="97"/>
    </row>
    <row r="52876" spans="25:25" x14ac:dyDescent="0.2">
      <c r="Y52876" s="97"/>
    </row>
    <row r="52877" spans="25:25" x14ac:dyDescent="0.2">
      <c r="Y52877" s="97"/>
    </row>
    <row r="52878" spans="25:25" x14ac:dyDescent="0.2">
      <c r="Y52878" s="97"/>
    </row>
    <row r="52879" spans="25:25" x14ac:dyDescent="0.2">
      <c r="Y52879" s="97"/>
    </row>
    <row r="52880" spans="25:25" x14ac:dyDescent="0.2">
      <c r="Y52880" s="97"/>
    </row>
    <row r="52881" spans="25:25" x14ac:dyDescent="0.2">
      <c r="Y52881" s="97"/>
    </row>
    <row r="52882" spans="25:25" x14ac:dyDescent="0.2">
      <c r="Y52882" s="97"/>
    </row>
    <row r="52883" spans="25:25" x14ac:dyDescent="0.2">
      <c r="Y52883" s="97"/>
    </row>
    <row r="52884" spans="25:25" x14ac:dyDescent="0.2">
      <c r="Y52884" s="97"/>
    </row>
    <row r="52885" spans="25:25" x14ac:dyDescent="0.2">
      <c r="Y52885" s="97"/>
    </row>
    <row r="52886" spans="25:25" x14ac:dyDescent="0.2">
      <c r="Y52886" s="97"/>
    </row>
    <row r="52887" spans="25:25" x14ac:dyDescent="0.2">
      <c r="Y52887" s="97"/>
    </row>
    <row r="52888" spans="25:25" x14ac:dyDescent="0.2">
      <c r="Y52888" s="97"/>
    </row>
    <row r="52889" spans="25:25" x14ac:dyDescent="0.2">
      <c r="Y52889" s="97"/>
    </row>
    <row r="52890" spans="25:25" x14ac:dyDescent="0.2">
      <c r="Y52890" s="97"/>
    </row>
    <row r="52891" spans="25:25" x14ac:dyDescent="0.2">
      <c r="Y52891" s="97"/>
    </row>
    <row r="52892" spans="25:25" x14ac:dyDescent="0.2">
      <c r="Y52892" s="97"/>
    </row>
    <row r="52893" spans="25:25" x14ac:dyDescent="0.2">
      <c r="Y52893" s="97"/>
    </row>
    <row r="52894" spans="25:25" x14ac:dyDescent="0.2">
      <c r="Y52894" s="97"/>
    </row>
    <row r="52895" spans="25:25" x14ac:dyDescent="0.2">
      <c r="Y52895" s="97"/>
    </row>
    <row r="52896" spans="25:25" x14ac:dyDescent="0.2">
      <c r="Y52896" s="97"/>
    </row>
    <row r="52897" spans="25:25" x14ac:dyDescent="0.2">
      <c r="Y52897" s="97"/>
    </row>
    <row r="52898" spans="25:25" x14ac:dyDescent="0.2">
      <c r="Y52898" s="97"/>
    </row>
    <row r="52899" spans="25:25" x14ac:dyDescent="0.2">
      <c r="Y52899" s="97"/>
    </row>
    <row r="52900" spans="25:25" x14ac:dyDescent="0.2">
      <c r="Y52900" s="97"/>
    </row>
    <row r="52901" spans="25:25" x14ac:dyDescent="0.2">
      <c r="Y52901" s="97"/>
    </row>
    <row r="52902" spans="25:25" x14ac:dyDescent="0.2">
      <c r="Y52902" s="97"/>
    </row>
    <row r="52903" spans="25:25" x14ac:dyDescent="0.2">
      <c r="Y52903" s="97"/>
    </row>
    <row r="52904" spans="25:25" x14ac:dyDescent="0.2">
      <c r="Y52904" s="97"/>
    </row>
    <row r="52905" spans="25:25" x14ac:dyDescent="0.2">
      <c r="Y52905" s="97"/>
    </row>
    <row r="52906" spans="25:25" x14ac:dyDescent="0.2">
      <c r="Y52906" s="97"/>
    </row>
    <row r="52907" spans="25:25" x14ac:dyDescent="0.2">
      <c r="Y52907" s="97"/>
    </row>
    <row r="52908" spans="25:25" x14ac:dyDescent="0.2">
      <c r="Y52908" s="97"/>
    </row>
    <row r="52909" spans="25:25" x14ac:dyDescent="0.2">
      <c r="Y52909" s="97"/>
    </row>
    <row r="52910" spans="25:25" x14ac:dyDescent="0.2">
      <c r="Y52910" s="97"/>
    </row>
    <row r="52911" spans="25:25" x14ac:dyDescent="0.2">
      <c r="Y52911" s="97"/>
    </row>
    <row r="52912" spans="25:25" x14ac:dyDescent="0.2">
      <c r="Y52912" s="97"/>
    </row>
    <row r="52913" spans="25:25" x14ac:dyDescent="0.2">
      <c r="Y52913" s="97"/>
    </row>
    <row r="52914" spans="25:25" x14ac:dyDescent="0.2">
      <c r="Y52914" s="97"/>
    </row>
    <row r="52915" spans="25:25" x14ac:dyDescent="0.2">
      <c r="Y52915" s="97"/>
    </row>
    <row r="52916" spans="25:25" x14ac:dyDescent="0.2">
      <c r="Y52916" s="97"/>
    </row>
    <row r="52917" spans="25:25" x14ac:dyDescent="0.2">
      <c r="Y52917" s="97"/>
    </row>
    <row r="52918" spans="25:25" x14ac:dyDescent="0.2">
      <c r="Y52918" s="97"/>
    </row>
    <row r="52919" spans="25:25" x14ac:dyDescent="0.2">
      <c r="Y52919" s="97"/>
    </row>
    <row r="52920" spans="25:25" x14ac:dyDescent="0.2">
      <c r="Y52920" s="97"/>
    </row>
    <row r="52921" spans="25:25" x14ac:dyDescent="0.2">
      <c r="Y52921" s="97"/>
    </row>
    <row r="52922" spans="25:25" x14ac:dyDescent="0.2">
      <c r="Y52922" s="97"/>
    </row>
    <row r="52923" spans="25:25" x14ac:dyDescent="0.2">
      <c r="Y52923" s="97"/>
    </row>
    <row r="52924" spans="25:25" x14ac:dyDescent="0.2">
      <c r="Y52924" s="97"/>
    </row>
    <row r="52925" spans="25:25" x14ac:dyDescent="0.2">
      <c r="Y52925" s="97"/>
    </row>
    <row r="52926" spans="25:25" x14ac:dyDescent="0.2">
      <c r="Y52926" s="97"/>
    </row>
    <row r="52927" spans="25:25" x14ac:dyDescent="0.2">
      <c r="Y52927" s="97"/>
    </row>
    <row r="52928" spans="25:25" x14ac:dyDescent="0.2">
      <c r="Y52928" s="97"/>
    </row>
    <row r="52929" spans="25:25" x14ac:dyDescent="0.2">
      <c r="Y52929" s="97"/>
    </row>
    <row r="52930" spans="25:25" x14ac:dyDescent="0.2">
      <c r="Y52930" s="97"/>
    </row>
    <row r="52931" spans="25:25" x14ac:dyDescent="0.2">
      <c r="Y52931" s="97"/>
    </row>
    <row r="52932" spans="25:25" x14ac:dyDescent="0.2">
      <c r="Y52932" s="97"/>
    </row>
    <row r="52933" spans="25:25" x14ac:dyDescent="0.2">
      <c r="Y52933" s="97"/>
    </row>
    <row r="52934" spans="25:25" x14ac:dyDescent="0.2">
      <c r="Y52934" s="97"/>
    </row>
    <row r="52935" spans="25:25" x14ac:dyDescent="0.2">
      <c r="Y52935" s="97"/>
    </row>
    <row r="52936" spans="25:25" x14ac:dyDescent="0.2">
      <c r="Y52936" s="97"/>
    </row>
    <row r="52937" spans="25:25" x14ac:dyDescent="0.2">
      <c r="Y52937" s="97"/>
    </row>
    <row r="52938" spans="25:25" x14ac:dyDescent="0.2">
      <c r="Y52938" s="97"/>
    </row>
    <row r="52939" spans="25:25" x14ac:dyDescent="0.2">
      <c r="Y52939" s="97"/>
    </row>
    <row r="52940" spans="25:25" x14ac:dyDescent="0.2">
      <c r="Y52940" s="97"/>
    </row>
    <row r="52941" spans="25:25" x14ac:dyDescent="0.2">
      <c r="Y52941" s="97"/>
    </row>
    <row r="52942" spans="25:25" x14ac:dyDescent="0.2">
      <c r="Y52942" s="97"/>
    </row>
    <row r="52943" spans="25:25" x14ac:dyDescent="0.2">
      <c r="Y52943" s="97"/>
    </row>
    <row r="52944" spans="25:25" x14ac:dyDescent="0.2">
      <c r="Y52944" s="97"/>
    </row>
    <row r="52945" spans="25:25" x14ac:dyDescent="0.2">
      <c r="Y52945" s="97"/>
    </row>
    <row r="52946" spans="25:25" x14ac:dyDescent="0.2">
      <c r="Y52946" s="97"/>
    </row>
    <row r="52947" spans="25:25" x14ac:dyDescent="0.2">
      <c r="Y52947" s="97"/>
    </row>
    <row r="52948" spans="25:25" x14ac:dyDescent="0.2">
      <c r="Y52948" s="97"/>
    </row>
    <row r="52949" spans="25:25" x14ac:dyDescent="0.2">
      <c r="Y52949" s="97"/>
    </row>
    <row r="52950" spans="25:25" x14ac:dyDescent="0.2">
      <c r="Y52950" s="97"/>
    </row>
    <row r="52951" spans="25:25" x14ac:dyDescent="0.2">
      <c r="Y52951" s="97"/>
    </row>
    <row r="52952" spans="25:25" x14ac:dyDescent="0.2">
      <c r="Y52952" s="97"/>
    </row>
    <row r="52953" spans="25:25" x14ac:dyDescent="0.2">
      <c r="Y52953" s="97"/>
    </row>
    <row r="52954" spans="25:25" x14ac:dyDescent="0.2">
      <c r="Y52954" s="97"/>
    </row>
    <row r="52955" spans="25:25" x14ac:dyDescent="0.2">
      <c r="Y52955" s="97"/>
    </row>
    <row r="52956" spans="25:25" x14ac:dyDescent="0.2">
      <c r="Y52956" s="97"/>
    </row>
    <row r="52957" spans="25:25" x14ac:dyDescent="0.2">
      <c r="Y52957" s="97"/>
    </row>
    <row r="52958" spans="25:25" x14ac:dyDescent="0.2">
      <c r="Y52958" s="97"/>
    </row>
    <row r="52959" spans="25:25" x14ac:dyDescent="0.2">
      <c r="Y52959" s="97"/>
    </row>
    <row r="52960" spans="25:25" x14ac:dyDescent="0.2">
      <c r="Y52960" s="97"/>
    </row>
    <row r="52961" spans="25:25" x14ac:dyDescent="0.2">
      <c r="Y52961" s="97"/>
    </row>
    <row r="52962" spans="25:25" x14ac:dyDescent="0.2">
      <c r="Y52962" s="97"/>
    </row>
    <row r="52963" spans="25:25" x14ac:dyDescent="0.2">
      <c r="Y52963" s="97"/>
    </row>
    <row r="52964" spans="25:25" x14ac:dyDescent="0.2">
      <c r="Y52964" s="97"/>
    </row>
    <row r="52965" spans="25:25" x14ac:dyDescent="0.2">
      <c r="Y52965" s="97"/>
    </row>
    <row r="52966" spans="25:25" x14ac:dyDescent="0.2">
      <c r="Y52966" s="97"/>
    </row>
    <row r="52967" spans="25:25" x14ac:dyDescent="0.2">
      <c r="Y52967" s="97"/>
    </row>
    <row r="52968" spans="25:25" x14ac:dyDescent="0.2">
      <c r="Y52968" s="97"/>
    </row>
    <row r="52969" spans="25:25" x14ac:dyDescent="0.2">
      <c r="Y52969" s="97"/>
    </row>
    <row r="52970" spans="25:25" x14ac:dyDescent="0.2">
      <c r="Y52970" s="97"/>
    </row>
    <row r="52971" spans="25:25" x14ac:dyDescent="0.2">
      <c r="Y52971" s="97"/>
    </row>
    <row r="52972" spans="25:25" x14ac:dyDescent="0.2">
      <c r="Y52972" s="97"/>
    </row>
    <row r="52973" spans="25:25" x14ac:dyDescent="0.2">
      <c r="Y52973" s="97"/>
    </row>
    <row r="52974" spans="25:25" x14ac:dyDescent="0.2">
      <c r="Y52974" s="97"/>
    </row>
    <row r="52975" spans="25:25" x14ac:dyDescent="0.2">
      <c r="Y52975" s="97"/>
    </row>
    <row r="52976" spans="25:25" x14ac:dyDescent="0.2">
      <c r="Y52976" s="97"/>
    </row>
    <row r="52977" spans="25:25" x14ac:dyDescent="0.2">
      <c r="Y52977" s="97"/>
    </row>
    <row r="52978" spans="25:25" x14ac:dyDescent="0.2">
      <c r="Y52978" s="97"/>
    </row>
    <row r="52979" spans="25:25" x14ac:dyDescent="0.2">
      <c r="Y52979" s="97"/>
    </row>
    <row r="52980" spans="25:25" x14ac:dyDescent="0.2">
      <c r="Y52980" s="97"/>
    </row>
    <row r="52981" spans="25:25" x14ac:dyDescent="0.2">
      <c r="Y52981" s="97"/>
    </row>
    <row r="52982" spans="25:25" x14ac:dyDescent="0.2">
      <c r="Y52982" s="97"/>
    </row>
    <row r="52983" spans="25:25" x14ac:dyDescent="0.2">
      <c r="Y52983" s="97"/>
    </row>
    <row r="52984" spans="25:25" x14ac:dyDescent="0.2">
      <c r="Y52984" s="97"/>
    </row>
    <row r="52985" spans="25:25" x14ac:dyDescent="0.2">
      <c r="Y52985" s="97"/>
    </row>
    <row r="52986" spans="25:25" x14ac:dyDescent="0.2">
      <c r="Y52986" s="97"/>
    </row>
    <row r="52987" spans="25:25" x14ac:dyDescent="0.2">
      <c r="Y52987" s="97"/>
    </row>
    <row r="52988" spans="25:25" x14ac:dyDescent="0.2">
      <c r="Y52988" s="97"/>
    </row>
    <row r="52989" spans="25:25" x14ac:dyDescent="0.2">
      <c r="Y52989" s="97"/>
    </row>
    <row r="52990" spans="25:25" x14ac:dyDescent="0.2">
      <c r="Y52990" s="97"/>
    </row>
    <row r="52991" spans="25:25" x14ac:dyDescent="0.2">
      <c r="Y52991" s="97"/>
    </row>
    <row r="52992" spans="25:25" x14ac:dyDescent="0.2">
      <c r="Y52992" s="97"/>
    </row>
    <row r="52993" spans="25:25" x14ac:dyDescent="0.2">
      <c r="Y52993" s="97"/>
    </row>
    <row r="52994" spans="25:25" x14ac:dyDescent="0.2">
      <c r="Y52994" s="97"/>
    </row>
    <row r="52995" spans="25:25" x14ac:dyDescent="0.2">
      <c r="Y52995" s="97"/>
    </row>
    <row r="52996" spans="25:25" x14ac:dyDescent="0.2">
      <c r="Y52996" s="97"/>
    </row>
    <row r="52997" spans="25:25" x14ac:dyDescent="0.2">
      <c r="Y52997" s="97"/>
    </row>
    <row r="52998" spans="25:25" x14ac:dyDescent="0.2">
      <c r="Y52998" s="97"/>
    </row>
    <row r="52999" spans="25:25" x14ac:dyDescent="0.2">
      <c r="Y52999" s="97"/>
    </row>
    <row r="53000" spans="25:25" x14ac:dyDescent="0.2">
      <c r="Y53000" s="97"/>
    </row>
    <row r="53001" spans="25:25" x14ac:dyDescent="0.2">
      <c r="Y53001" s="97"/>
    </row>
    <row r="53002" spans="25:25" x14ac:dyDescent="0.2">
      <c r="Y53002" s="97"/>
    </row>
    <row r="53003" spans="25:25" x14ac:dyDescent="0.2">
      <c r="Y53003" s="97"/>
    </row>
    <row r="53004" spans="25:25" x14ac:dyDescent="0.2">
      <c r="Y53004" s="97"/>
    </row>
    <row r="53005" spans="25:25" x14ac:dyDescent="0.2">
      <c r="Y53005" s="97"/>
    </row>
    <row r="53006" spans="25:25" x14ac:dyDescent="0.2">
      <c r="Y53006" s="97"/>
    </row>
    <row r="53007" spans="25:25" x14ac:dyDescent="0.2">
      <c r="Y53007" s="97"/>
    </row>
    <row r="53008" spans="25:25" x14ac:dyDescent="0.2">
      <c r="Y53008" s="97"/>
    </row>
    <row r="53009" spans="25:25" x14ac:dyDescent="0.2">
      <c r="Y53009" s="97"/>
    </row>
    <row r="53010" spans="25:25" x14ac:dyDescent="0.2">
      <c r="Y53010" s="97"/>
    </row>
    <row r="53011" spans="25:25" x14ac:dyDescent="0.2">
      <c r="Y53011" s="97"/>
    </row>
    <row r="53012" spans="25:25" x14ac:dyDescent="0.2">
      <c r="Y53012" s="97"/>
    </row>
    <row r="53013" spans="25:25" x14ac:dyDescent="0.2">
      <c r="Y53013" s="97"/>
    </row>
    <row r="53014" spans="25:25" x14ac:dyDescent="0.2">
      <c r="Y53014" s="97"/>
    </row>
    <row r="53015" spans="25:25" x14ac:dyDescent="0.2">
      <c r="Y53015" s="97"/>
    </row>
    <row r="53016" spans="25:25" x14ac:dyDescent="0.2">
      <c r="Y53016" s="97"/>
    </row>
    <row r="53017" spans="25:25" x14ac:dyDescent="0.2">
      <c r="Y53017" s="97"/>
    </row>
    <row r="53018" spans="25:25" x14ac:dyDescent="0.2">
      <c r="Y53018" s="97"/>
    </row>
    <row r="53019" spans="25:25" x14ac:dyDescent="0.2">
      <c r="Y53019" s="97"/>
    </row>
    <row r="53020" spans="25:25" x14ac:dyDescent="0.2">
      <c r="Y53020" s="97"/>
    </row>
    <row r="53021" spans="25:25" x14ac:dyDescent="0.2">
      <c r="Y53021" s="97"/>
    </row>
    <row r="53022" spans="25:25" x14ac:dyDescent="0.2">
      <c r="Y53022" s="97"/>
    </row>
    <row r="53023" spans="25:25" x14ac:dyDescent="0.2">
      <c r="Y53023" s="97"/>
    </row>
    <row r="53024" spans="25:25" x14ac:dyDescent="0.2">
      <c r="Y53024" s="97"/>
    </row>
    <row r="53025" spans="25:25" x14ac:dyDescent="0.2">
      <c r="Y53025" s="97"/>
    </row>
    <row r="53026" spans="25:25" x14ac:dyDescent="0.2">
      <c r="Y53026" s="97"/>
    </row>
    <row r="53027" spans="25:25" x14ac:dyDescent="0.2">
      <c r="Y53027" s="97"/>
    </row>
    <row r="53028" spans="25:25" x14ac:dyDescent="0.2">
      <c r="Y53028" s="97"/>
    </row>
    <row r="53029" spans="25:25" x14ac:dyDescent="0.2">
      <c r="Y53029" s="97"/>
    </row>
    <row r="53030" spans="25:25" x14ac:dyDescent="0.2">
      <c r="Y53030" s="97"/>
    </row>
    <row r="53031" spans="25:25" x14ac:dyDescent="0.2">
      <c r="Y53031" s="97"/>
    </row>
    <row r="53032" spans="25:25" x14ac:dyDescent="0.2">
      <c r="Y53032" s="97"/>
    </row>
    <row r="53033" spans="25:25" x14ac:dyDescent="0.2">
      <c r="Y53033" s="97"/>
    </row>
    <row r="53034" spans="25:25" x14ac:dyDescent="0.2">
      <c r="Y53034" s="97"/>
    </row>
    <row r="53035" spans="25:25" x14ac:dyDescent="0.2">
      <c r="Y53035" s="97"/>
    </row>
    <row r="53036" spans="25:25" x14ac:dyDescent="0.2">
      <c r="Y53036" s="97"/>
    </row>
    <row r="53037" spans="25:25" x14ac:dyDescent="0.2">
      <c r="Y53037" s="97"/>
    </row>
    <row r="53038" spans="25:25" x14ac:dyDescent="0.2">
      <c r="Y53038" s="97"/>
    </row>
    <row r="53039" spans="25:25" x14ac:dyDescent="0.2">
      <c r="Y53039" s="97"/>
    </row>
    <row r="53040" spans="25:25" x14ac:dyDescent="0.2">
      <c r="Y53040" s="97"/>
    </row>
    <row r="53041" spans="25:25" x14ac:dyDescent="0.2">
      <c r="Y53041" s="97"/>
    </row>
    <row r="53042" spans="25:25" x14ac:dyDescent="0.2">
      <c r="Y53042" s="97"/>
    </row>
    <row r="53043" spans="25:25" x14ac:dyDescent="0.2">
      <c r="Y53043" s="97"/>
    </row>
    <row r="53044" spans="25:25" x14ac:dyDescent="0.2">
      <c r="Y53044" s="97"/>
    </row>
    <row r="53045" spans="25:25" x14ac:dyDescent="0.2">
      <c r="Y53045" s="97"/>
    </row>
    <row r="53046" spans="25:25" x14ac:dyDescent="0.2">
      <c r="Y53046" s="97"/>
    </row>
    <row r="53047" spans="25:25" x14ac:dyDescent="0.2">
      <c r="Y53047" s="97"/>
    </row>
    <row r="53048" spans="25:25" x14ac:dyDescent="0.2">
      <c r="Y53048" s="97"/>
    </row>
    <row r="53049" spans="25:25" x14ac:dyDescent="0.2">
      <c r="Y53049" s="97"/>
    </row>
    <row r="53050" spans="25:25" x14ac:dyDescent="0.2">
      <c r="Y53050" s="97"/>
    </row>
    <row r="53051" spans="25:25" x14ac:dyDescent="0.2">
      <c r="Y53051" s="97"/>
    </row>
    <row r="53052" spans="25:25" x14ac:dyDescent="0.2">
      <c r="Y53052" s="97"/>
    </row>
    <row r="53053" spans="25:25" x14ac:dyDescent="0.2">
      <c r="Y53053" s="97"/>
    </row>
    <row r="53054" spans="25:25" x14ac:dyDescent="0.2">
      <c r="Y53054" s="97"/>
    </row>
    <row r="53055" spans="25:25" x14ac:dyDescent="0.2">
      <c r="Y53055" s="97"/>
    </row>
    <row r="53056" spans="25:25" x14ac:dyDescent="0.2">
      <c r="Y53056" s="97"/>
    </row>
    <row r="53057" spans="25:25" x14ac:dyDescent="0.2">
      <c r="Y53057" s="97"/>
    </row>
    <row r="53058" spans="25:25" x14ac:dyDescent="0.2">
      <c r="Y53058" s="97"/>
    </row>
    <row r="53059" spans="25:25" x14ac:dyDescent="0.2">
      <c r="Y53059" s="97"/>
    </row>
    <row r="53060" spans="25:25" x14ac:dyDescent="0.2">
      <c r="Y53060" s="97"/>
    </row>
    <row r="53061" spans="25:25" x14ac:dyDescent="0.2">
      <c r="Y53061" s="97"/>
    </row>
    <row r="53062" spans="25:25" x14ac:dyDescent="0.2">
      <c r="Y53062" s="97"/>
    </row>
    <row r="53063" spans="25:25" x14ac:dyDescent="0.2">
      <c r="Y53063" s="97"/>
    </row>
    <row r="53064" spans="25:25" x14ac:dyDescent="0.2">
      <c r="Y53064" s="97"/>
    </row>
    <row r="53065" spans="25:25" x14ac:dyDescent="0.2">
      <c r="Y53065" s="97"/>
    </row>
    <row r="53066" spans="25:25" x14ac:dyDescent="0.2">
      <c r="Y53066" s="97"/>
    </row>
    <row r="53067" spans="25:25" x14ac:dyDescent="0.2">
      <c r="Y53067" s="97"/>
    </row>
    <row r="53068" spans="25:25" x14ac:dyDescent="0.2">
      <c r="Y53068" s="97"/>
    </row>
    <row r="53069" spans="25:25" x14ac:dyDescent="0.2">
      <c r="Y53069" s="97"/>
    </row>
    <row r="53070" spans="25:25" x14ac:dyDescent="0.2">
      <c r="Y53070" s="97"/>
    </row>
    <row r="53071" spans="25:25" x14ac:dyDescent="0.2">
      <c r="Y53071" s="97"/>
    </row>
    <row r="53072" spans="25:25" x14ac:dyDescent="0.2">
      <c r="Y53072" s="97"/>
    </row>
    <row r="53073" spans="25:25" x14ac:dyDescent="0.2">
      <c r="Y53073" s="97"/>
    </row>
    <row r="53074" spans="25:25" x14ac:dyDescent="0.2">
      <c r="Y53074" s="97"/>
    </row>
    <row r="53075" spans="25:25" x14ac:dyDescent="0.2">
      <c r="Y53075" s="97"/>
    </row>
    <row r="53076" spans="25:25" x14ac:dyDescent="0.2">
      <c r="Y53076" s="97"/>
    </row>
    <row r="53077" spans="25:25" x14ac:dyDescent="0.2">
      <c r="Y53077" s="97"/>
    </row>
    <row r="53078" spans="25:25" x14ac:dyDescent="0.2">
      <c r="Y53078" s="97"/>
    </row>
    <row r="53079" spans="25:25" x14ac:dyDescent="0.2">
      <c r="Y53079" s="97"/>
    </row>
    <row r="53080" spans="25:25" x14ac:dyDescent="0.2">
      <c r="Y53080" s="97"/>
    </row>
    <row r="53081" spans="25:25" x14ac:dyDescent="0.2">
      <c r="Y53081" s="97"/>
    </row>
    <row r="53082" spans="25:25" x14ac:dyDescent="0.2">
      <c r="Y53082" s="97"/>
    </row>
    <row r="53083" spans="25:25" x14ac:dyDescent="0.2">
      <c r="Y53083" s="97"/>
    </row>
    <row r="53084" spans="25:25" x14ac:dyDescent="0.2">
      <c r="Y53084" s="97"/>
    </row>
    <row r="53085" spans="25:25" x14ac:dyDescent="0.2">
      <c r="Y53085" s="97"/>
    </row>
    <row r="53086" spans="25:25" x14ac:dyDescent="0.2">
      <c r="Y53086" s="97"/>
    </row>
    <row r="53087" spans="25:25" x14ac:dyDescent="0.2">
      <c r="Y53087" s="97"/>
    </row>
    <row r="53088" spans="25:25" x14ac:dyDescent="0.2">
      <c r="Y53088" s="97"/>
    </row>
    <row r="53089" spans="25:25" x14ac:dyDescent="0.2">
      <c r="Y53089" s="97"/>
    </row>
    <row r="53090" spans="25:25" x14ac:dyDescent="0.2">
      <c r="Y53090" s="97"/>
    </row>
    <row r="53091" spans="25:25" x14ac:dyDescent="0.2">
      <c r="Y53091" s="97"/>
    </row>
    <row r="53092" spans="25:25" x14ac:dyDescent="0.2">
      <c r="Y53092" s="97"/>
    </row>
    <row r="53093" spans="25:25" x14ac:dyDescent="0.2">
      <c r="Y53093" s="97"/>
    </row>
    <row r="53094" spans="25:25" x14ac:dyDescent="0.2">
      <c r="Y53094" s="97"/>
    </row>
    <row r="53095" spans="25:25" x14ac:dyDescent="0.2">
      <c r="Y53095" s="97"/>
    </row>
    <row r="53096" spans="25:25" x14ac:dyDescent="0.2">
      <c r="Y53096" s="97"/>
    </row>
    <row r="53097" spans="25:25" x14ac:dyDescent="0.2">
      <c r="Y53097" s="97"/>
    </row>
    <row r="53098" spans="25:25" x14ac:dyDescent="0.2">
      <c r="Y53098" s="97"/>
    </row>
    <row r="53099" spans="25:25" x14ac:dyDescent="0.2">
      <c r="Y53099" s="97"/>
    </row>
    <row r="53100" spans="25:25" x14ac:dyDescent="0.2">
      <c r="Y53100" s="97"/>
    </row>
    <row r="53101" spans="25:25" x14ac:dyDescent="0.2">
      <c r="Y53101" s="97"/>
    </row>
    <row r="53102" spans="25:25" x14ac:dyDescent="0.2">
      <c r="Y53102" s="97"/>
    </row>
    <row r="53103" spans="25:25" x14ac:dyDescent="0.2">
      <c r="Y53103" s="97"/>
    </row>
    <row r="53104" spans="25:25" x14ac:dyDescent="0.2">
      <c r="Y53104" s="97"/>
    </row>
    <row r="53105" spans="25:25" x14ac:dyDescent="0.2">
      <c r="Y53105" s="97"/>
    </row>
    <row r="53106" spans="25:25" x14ac:dyDescent="0.2">
      <c r="Y53106" s="97"/>
    </row>
    <row r="53107" spans="25:25" x14ac:dyDescent="0.2">
      <c r="Y53107" s="97"/>
    </row>
    <row r="53108" spans="25:25" x14ac:dyDescent="0.2">
      <c r="Y53108" s="97"/>
    </row>
    <row r="53109" spans="25:25" x14ac:dyDescent="0.2">
      <c r="Y53109" s="97"/>
    </row>
    <row r="53110" spans="25:25" x14ac:dyDescent="0.2">
      <c r="Y53110" s="97"/>
    </row>
    <row r="53111" spans="25:25" x14ac:dyDescent="0.2">
      <c r="Y53111" s="97"/>
    </row>
    <row r="53112" spans="25:25" x14ac:dyDescent="0.2">
      <c r="Y53112" s="97"/>
    </row>
    <row r="53113" spans="25:25" x14ac:dyDescent="0.2">
      <c r="Y53113" s="97"/>
    </row>
    <row r="53114" spans="25:25" x14ac:dyDescent="0.2">
      <c r="Y53114" s="97"/>
    </row>
    <row r="53115" spans="25:25" x14ac:dyDescent="0.2">
      <c r="Y53115" s="97"/>
    </row>
    <row r="53116" spans="25:25" x14ac:dyDescent="0.2">
      <c r="Y53116" s="97"/>
    </row>
    <row r="53117" spans="25:25" x14ac:dyDescent="0.2">
      <c r="Y53117" s="97"/>
    </row>
    <row r="53118" spans="25:25" x14ac:dyDescent="0.2">
      <c r="Y53118" s="97"/>
    </row>
    <row r="53119" spans="25:25" x14ac:dyDescent="0.2">
      <c r="Y53119" s="97"/>
    </row>
    <row r="53120" spans="25:25" x14ac:dyDescent="0.2">
      <c r="Y53120" s="97"/>
    </row>
    <row r="53121" spans="25:25" x14ac:dyDescent="0.2">
      <c r="Y53121" s="97"/>
    </row>
    <row r="53122" spans="25:25" x14ac:dyDescent="0.2">
      <c r="Y53122" s="97"/>
    </row>
    <row r="53123" spans="25:25" x14ac:dyDescent="0.2">
      <c r="Y53123" s="97"/>
    </row>
    <row r="53124" spans="25:25" x14ac:dyDescent="0.2">
      <c r="Y53124" s="97"/>
    </row>
    <row r="53125" spans="25:25" x14ac:dyDescent="0.2">
      <c r="Y53125" s="97"/>
    </row>
    <row r="53126" spans="25:25" x14ac:dyDescent="0.2">
      <c r="Y53126" s="97"/>
    </row>
    <row r="53127" spans="25:25" x14ac:dyDescent="0.2">
      <c r="Y53127" s="97"/>
    </row>
    <row r="53128" spans="25:25" x14ac:dyDescent="0.2">
      <c r="Y53128" s="97"/>
    </row>
    <row r="53129" spans="25:25" x14ac:dyDescent="0.2">
      <c r="Y53129" s="97"/>
    </row>
    <row r="53130" spans="25:25" x14ac:dyDescent="0.2">
      <c r="Y53130" s="97"/>
    </row>
    <row r="53131" spans="25:25" x14ac:dyDescent="0.2">
      <c r="Y53131" s="97"/>
    </row>
    <row r="53132" spans="25:25" x14ac:dyDescent="0.2">
      <c r="Y53132" s="97"/>
    </row>
    <row r="53133" spans="25:25" x14ac:dyDescent="0.2">
      <c r="Y53133" s="97"/>
    </row>
    <row r="53134" spans="25:25" x14ac:dyDescent="0.2">
      <c r="Y53134" s="97"/>
    </row>
    <row r="53135" spans="25:25" x14ac:dyDescent="0.2">
      <c r="Y53135" s="97"/>
    </row>
    <row r="53136" spans="25:25" x14ac:dyDescent="0.2">
      <c r="Y53136" s="97"/>
    </row>
    <row r="53137" spans="25:25" x14ac:dyDescent="0.2">
      <c r="Y53137" s="97"/>
    </row>
    <row r="53138" spans="25:25" x14ac:dyDescent="0.2">
      <c r="Y53138" s="97"/>
    </row>
    <row r="53139" spans="25:25" x14ac:dyDescent="0.2">
      <c r="Y53139" s="97"/>
    </row>
    <row r="53140" spans="25:25" x14ac:dyDescent="0.2">
      <c r="Y53140" s="97"/>
    </row>
    <row r="53141" spans="25:25" x14ac:dyDescent="0.2">
      <c r="Y53141" s="97"/>
    </row>
    <row r="53142" spans="25:25" x14ac:dyDescent="0.2">
      <c r="Y53142" s="97"/>
    </row>
    <row r="53143" spans="25:25" x14ac:dyDescent="0.2">
      <c r="Y53143" s="97"/>
    </row>
    <row r="53144" spans="25:25" x14ac:dyDescent="0.2">
      <c r="Y53144" s="97"/>
    </row>
    <row r="53145" spans="25:25" x14ac:dyDescent="0.2">
      <c r="Y53145" s="97"/>
    </row>
    <row r="53146" spans="25:25" x14ac:dyDescent="0.2">
      <c r="Y53146" s="97"/>
    </row>
    <row r="53147" spans="25:25" x14ac:dyDescent="0.2">
      <c r="Y53147" s="97"/>
    </row>
    <row r="53148" spans="25:25" x14ac:dyDescent="0.2">
      <c r="Y53148" s="97"/>
    </row>
    <row r="53149" spans="25:25" x14ac:dyDescent="0.2">
      <c r="Y53149" s="97"/>
    </row>
    <row r="53150" spans="25:25" x14ac:dyDescent="0.2">
      <c r="Y53150" s="97"/>
    </row>
    <row r="53151" spans="25:25" x14ac:dyDescent="0.2">
      <c r="Y53151" s="97"/>
    </row>
    <row r="53152" spans="25:25" x14ac:dyDescent="0.2">
      <c r="Y53152" s="97"/>
    </row>
    <row r="53153" spans="25:25" x14ac:dyDescent="0.2">
      <c r="Y53153" s="97"/>
    </row>
    <row r="53154" spans="25:25" x14ac:dyDescent="0.2">
      <c r="Y53154" s="97"/>
    </row>
    <row r="53155" spans="25:25" x14ac:dyDescent="0.2">
      <c r="Y53155" s="97"/>
    </row>
    <row r="53156" spans="25:25" x14ac:dyDescent="0.2">
      <c r="Y53156" s="97"/>
    </row>
    <row r="53157" spans="25:25" x14ac:dyDescent="0.2">
      <c r="Y53157" s="97"/>
    </row>
    <row r="53158" spans="25:25" x14ac:dyDescent="0.2">
      <c r="Y53158" s="97"/>
    </row>
    <row r="53159" spans="25:25" x14ac:dyDescent="0.2">
      <c r="Y53159" s="97"/>
    </row>
    <row r="53160" spans="25:25" x14ac:dyDescent="0.2">
      <c r="Y53160" s="97"/>
    </row>
    <row r="53161" spans="25:25" x14ac:dyDescent="0.2">
      <c r="Y53161" s="97"/>
    </row>
    <row r="53162" spans="25:25" x14ac:dyDescent="0.2">
      <c r="Y53162" s="97"/>
    </row>
    <row r="53163" spans="25:25" x14ac:dyDescent="0.2">
      <c r="Y53163" s="97"/>
    </row>
    <row r="53164" spans="25:25" x14ac:dyDescent="0.2">
      <c r="Y53164" s="97"/>
    </row>
    <row r="53165" spans="25:25" x14ac:dyDescent="0.2">
      <c r="Y53165" s="97"/>
    </row>
    <row r="53166" spans="25:25" x14ac:dyDescent="0.2">
      <c r="Y53166" s="97"/>
    </row>
    <row r="53167" spans="25:25" x14ac:dyDescent="0.2">
      <c r="Y53167" s="97"/>
    </row>
    <row r="53168" spans="25:25" x14ac:dyDescent="0.2">
      <c r="Y53168" s="97"/>
    </row>
    <row r="53169" spans="25:25" x14ac:dyDescent="0.2">
      <c r="Y53169" s="97"/>
    </row>
    <row r="53170" spans="25:25" x14ac:dyDescent="0.2">
      <c r="Y53170" s="97"/>
    </row>
    <row r="53171" spans="25:25" x14ac:dyDescent="0.2">
      <c r="Y53171" s="97"/>
    </row>
    <row r="53172" spans="25:25" x14ac:dyDescent="0.2">
      <c r="Y53172" s="97"/>
    </row>
    <row r="53173" spans="25:25" x14ac:dyDescent="0.2">
      <c r="Y53173" s="97"/>
    </row>
    <row r="53174" spans="25:25" x14ac:dyDescent="0.2">
      <c r="Y53174" s="97"/>
    </row>
    <row r="53175" spans="25:25" x14ac:dyDescent="0.2">
      <c r="Y53175" s="97"/>
    </row>
    <row r="53176" spans="25:25" x14ac:dyDescent="0.2">
      <c r="Y53176" s="97"/>
    </row>
    <row r="53177" spans="25:25" x14ac:dyDescent="0.2">
      <c r="Y53177" s="97"/>
    </row>
    <row r="53178" spans="25:25" x14ac:dyDescent="0.2">
      <c r="Y53178" s="97"/>
    </row>
    <row r="53179" spans="25:25" x14ac:dyDescent="0.2">
      <c r="Y53179" s="97"/>
    </row>
    <row r="53180" spans="25:25" x14ac:dyDescent="0.2">
      <c r="Y53180" s="97"/>
    </row>
    <row r="53181" spans="25:25" x14ac:dyDescent="0.2">
      <c r="Y53181" s="97"/>
    </row>
    <row r="53182" spans="25:25" x14ac:dyDescent="0.2">
      <c r="Y53182" s="97"/>
    </row>
    <row r="53183" spans="25:25" x14ac:dyDescent="0.2">
      <c r="Y53183" s="97"/>
    </row>
    <row r="53184" spans="25:25" x14ac:dyDescent="0.2">
      <c r="Y53184" s="97"/>
    </row>
    <row r="53185" spans="25:25" x14ac:dyDescent="0.2">
      <c r="Y53185" s="97"/>
    </row>
    <row r="53186" spans="25:25" x14ac:dyDescent="0.2">
      <c r="Y53186" s="97"/>
    </row>
    <row r="53187" spans="25:25" x14ac:dyDescent="0.2">
      <c r="Y53187" s="97"/>
    </row>
    <row r="53188" spans="25:25" x14ac:dyDescent="0.2">
      <c r="Y53188" s="97"/>
    </row>
    <row r="53189" spans="25:25" x14ac:dyDescent="0.2">
      <c r="Y53189" s="97"/>
    </row>
    <row r="53190" spans="25:25" x14ac:dyDescent="0.2">
      <c r="Y53190" s="97"/>
    </row>
    <row r="53191" spans="25:25" x14ac:dyDescent="0.2">
      <c r="Y53191" s="97"/>
    </row>
    <row r="53192" spans="25:25" x14ac:dyDescent="0.2">
      <c r="Y53192" s="97"/>
    </row>
    <row r="53193" spans="25:25" x14ac:dyDescent="0.2">
      <c r="Y53193" s="97"/>
    </row>
    <row r="53194" spans="25:25" x14ac:dyDescent="0.2">
      <c r="Y53194" s="97"/>
    </row>
    <row r="53195" spans="25:25" x14ac:dyDescent="0.2">
      <c r="Y53195" s="97"/>
    </row>
    <row r="53196" spans="25:25" x14ac:dyDescent="0.2">
      <c r="Y53196" s="97"/>
    </row>
    <row r="53197" spans="25:25" x14ac:dyDescent="0.2">
      <c r="Y53197" s="97"/>
    </row>
    <row r="53198" spans="25:25" x14ac:dyDescent="0.2">
      <c r="Y53198" s="97"/>
    </row>
    <row r="53199" spans="25:25" x14ac:dyDescent="0.2">
      <c r="Y53199" s="97"/>
    </row>
    <row r="53200" spans="25:25" x14ac:dyDescent="0.2">
      <c r="Y53200" s="97"/>
    </row>
    <row r="53201" spans="25:25" x14ac:dyDescent="0.2">
      <c r="Y53201" s="97"/>
    </row>
    <row r="53202" spans="25:25" x14ac:dyDescent="0.2">
      <c r="Y53202" s="97"/>
    </row>
    <row r="53203" spans="25:25" x14ac:dyDescent="0.2">
      <c r="Y53203" s="97"/>
    </row>
    <row r="53204" spans="25:25" x14ac:dyDescent="0.2">
      <c r="Y53204" s="97"/>
    </row>
    <row r="53205" spans="25:25" x14ac:dyDescent="0.2">
      <c r="Y53205" s="97"/>
    </row>
    <row r="53206" spans="25:25" x14ac:dyDescent="0.2">
      <c r="Y53206" s="97"/>
    </row>
    <row r="53207" spans="25:25" x14ac:dyDescent="0.2">
      <c r="Y53207" s="97"/>
    </row>
    <row r="53208" spans="25:25" x14ac:dyDescent="0.2">
      <c r="Y53208" s="97"/>
    </row>
    <row r="53209" spans="25:25" x14ac:dyDescent="0.2">
      <c r="Y53209" s="97"/>
    </row>
    <row r="53210" spans="25:25" x14ac:dyDescent="0.2">
      <c r="Y53210" s="97"/>
    </row>
    <row r="53211" spans="25:25" x14ac:dyDescent="0.2">
      <c r="Y53211" s="97"/>
    </row>
    <row r="53212" spans="25:25" x14ac:dyDescent="0.2">
      <c r="Y53212" s="97"/>
    </row>
    <row r="53213" spans="25:25" x14ac:dyDescent="0.2">
      <c r="Y53213" s="97"/>
    </row>
    <row r="53214" spans="25:25" x14ac:dyDescent="0.2">
      <c r="Y53214" s="97"/>
    </row>
    <row r="53215" spans="25:25" x14ac:dyDescent="0.2">
      <c r="Y53215" s="97"/>
    </row>
    <row r="53216" spans="25:25" x14ac:dyDescent="0.2">
      <c r="Y53216" s="97"/>
    </row>
    <row r="53217" spans="25:25" x14ac:dyDescent="0.2">
      <c r="Y53217" s="97"/>
    </row>
    <row r="53218" spans="25:25" x14ac:dyDescent="0.2">
      <c r="Y53218" s="97"/>
    </row>
    <row r="53219" spans="25:25" x14ac:dyDescent="0.2">
      <c r="Y53219" s="97"/>
    </row>
    <row r="53220" spans="25:25" x14ac:dyDescent="0.2">
      <c r="Y53220" s="97"/>
    </row>
    <row r="53221" spans="25:25" x14ac:dyDescent="0.2">
      <c r="Y53221" s="97"/>
    </row>
    <row r="53222" spans="25:25" x14ac:dyDescent="0.2">
      <c r="Y53222" s="97"/>
    </row>
    <row r="53223" spans="25:25" x14ac:dyDescent="0.2">
      <c r="Y53223" s="97"/>
    </row>
    <row r="53224" spans="25:25" x14ac:dyDescent="0.2">
      <c r="Y53224" s="97"/>
    </row>
    <row r="53225" spans="25:25" x14ac:dyDescent="0.2">
      <c r="Y53225" s="97"/>
    </row>
    <row r="53226" spans="25:25" x14ac:dyDescent="0.2">
      <c r="Y53226" s="97"/>
    </row>
    <row r="53227" spans="25:25" x14ac:dyDescent="0.2">
      <c r="Y53227" s="97"/>
    </row>
    <row r="53228" spans="25:25" x14ac:dyDescent="0.2">
      <c r="Y53228" s="97"/>
    </row>
    <row r="53229" spans="25:25" x14ac:dyDescent="0.2">
      <c r="Y53229" s="97"/>
    </row>
    <row r="53230" spans="25:25" x14ac:dyDescent="0.2">
      <c r="Y53230" s="97"/>
    </row>
    <row r="53231" spans="25:25" x14ac:dyDescent="0.2">
      <c r="Y53231" s="97"/>
    </row>
    <row r="53232" spans="25:25" x14ac:dyDescent="0.2">
      <c r="Y53232" s="97"/>
    </row>
    <row r="53233" spans="25:25" x14ac:dyDescent="0.2">
      <c r="Y53233" s="97"/>
    </row>
    <row r="53234" spans="25:25" x14ac:dyDescent="0.2">
      <c r="Y53234" s="97"/>
    </row>
    <row r="53235" spans="25:25" x14ac:dyDescent="0.2">
      <c r="Y53235" s="97"/>
    </row>
    <row r="53236" spans="25:25" x14ac:dyDescent="0.2">
      <c r="Y53236" s="97"/>
    </row>
    <row r="53237" spans="25:25" x14ac:dyDescent="0.2">
      <c r="Y53237" s="97"/>
    </row>
    <row r="53238" spans="25:25" x14ac:dyDescent="0.2">
      <c r="Y53238" s="97"/>
    </row>
    <row r="53239" spans="25:25" x14ac:dyDescent="0.2">
      <c r="Y53239" s="97"/>
    </row>
    <row r="53240" spans="25:25" x14ac:dyDescent="0.2">
      <c r="Y53240" s="97"/>
    </row>
    <row r="53241" spans="25:25" x14ac:dyDescent="0.2">
      <c r="Y53241" s="97"/>
    </row>
    <row r="53242" spans="25:25" x14ac:dyDescent="0.2">
      <c r="Y53242" s="97"/>
    </row>
    <row r="53243" spans="25:25" x14ac:dyDescent="0.2">
      <c r="Y53243" s="97"/>
    </row>
    <row r="53244" spans="25:25" x14ac:dyDescent="0.2">
      <c r="Y53244" s="97"/>
    </row>
    <row r="53245" spans="25:25" x14ac:dyDescent="0.2">
      <c r="Y53245" s="97"/>
    </row>
    <row r="53246" spans="25:25" x14ac:dyDescent="0.2">
      <c r="Y53246" s="97"/>
    </row>
    <row r="53247" spans="25:25" x14ac:dyDescent="0.2">
      <c r="Y53247" s="97"/>
    </row>
    <row r="53248" spans="25:25" x14ac:dyDescent="0.2">
      <c r="Y53248" s="97"/>
    </row>
    <row r="53249" spans="25:25" x14ac:dyDescent="0.2">
      <c r="Y53249" s="97"/>
    </row>
    <row r="53250" spans="25:25" x14ac:dyDescent="0.2">
      <c r="Y53250" s="97"/>
    </row>
    <row r="53251" spans="25:25" x14ac:dyDescent="0.2">
      <c r="Y53251" s="97"/>
    </row>
    <row r="53252" spans="25:25" x14ac:dyDescent="0.2">
      <c r="Y53252" s="97"/>
    </row>
    <row r="53253" spans="25:25" x14ac:dyDescent="0.2">
      <c r="Y53253" s="97"/>
    </row>
    <row r="53254" spans="25:25" x14ac:dyDescent="0.2">
      <c r="Y53254" s="97"/>
    </row>
    <row r="53255" spans="25:25" x14ac:dyDescent="0.2">
      <c r="Y53255" s="97"/>
    </row>
    <row r="53256" spans="25:25" x14ac:dyDescent="0.2">
      <c r="Y53256" s="97"/>
    </row>
    <row r="53257" spans="25:25" x14ac:dyDescent="0.2">
      <c r="Y53257" s="97"/>
    </row>
    <row r="53258" spans="25:25" x14ac:dyDescent="0.2">
      <c r="Y53258" s="97"/>
    </row>
    <row r="53259" spans="25:25" x14ac:dyDescent="0.2">
      <c r="Y53259" s="97"/>
    </row>
    <row r="53260" spans="25:25" x14ac:dyDescent="0.2">
      <c r="Y53260" s="97"/>
    </row>
    <row r="53261" spans="25:25" x14ac:dyDescent="0.2">
      <c r="Y53261" s="97"/>
    </row>
    <row r="53262" spans="25:25" x14ac:dyDescent="0.2">
      <c r="Y53262" s="97"/>
    </row>
    <row r="53263" spans="25:25" x14ac:dyDescent="0.2">
      <c r="Y53263" s="97"/>
    </row>
    <row r="53264" spans="25:25" x14ac:dyDescent="0.2">
      <c r="Y53264" s="97"/>
    </row>
    <row r="53265" spans="25:25" x14ac:dyDescent="0.2">
      <c r="Y53265" s="97"/>
    </row>
    <row r="53266" spans="25:25" x14ac:dyDescent="0.2">
      <c r="Y53266" s="97"/>
    </row>
    <row r="53267" spans="25:25" x14ac:dyDescent="0.2">
      <c r="Y53267" s="97"/>
    </row>
    <row r="53268" spans="25:25" x14ac:dyDescent="0.2">
      <c r="Y53268" s="97"/>
    </row>
    <row r="53269" spans="25:25" x14ac:dyDescent="0.2">
      <c r="Y53269" s="97"/>
    </row>
    <row r="53270" spans="25:25" x14ac:dyDescent="0.2">
      <c r="Y53270" s="97"/>
    </row>
    <row r="53271" spans="25:25" x14ac:dyDescent="0.2">
      <c r="Y53271" s="97"/>
    </row>
    <row r="53272" spans="25:25" x14ac:dyDescent="0.2">
      <c r="Y53272" s="97"/>
    </row>
    <row r="53273" spans="25:25" x14ac:dyDescent="0.2">
      <c r="Y53273" s="97"/>
    </row>
    <row r="53274" spans="25:25" x14ac:dyDescent="0.2">
      <c r="Y53274" s="97"/>
    </row>
    <row r="53275" spans="25:25" x14ac:dyDescent="0.2">
      <c r="Y53275" s="97"/>
    </row>
    <row r="53276" spans="25:25" x14ac:dyDescent="0.2">
      <c r="Y53276" s="97"/>
    </row>
    <row r="53277" spans="25:25" x14ac:dyDescent="0.2">
      <c r="Y53277" s="97"/>
    </row>
    <row r="53278" spans="25:25" x14ac:dyDescent="0.2">
      <c r="Y53278" s="97"/>
    </row>
    <row r="53279" spans="25:25" x14ac:dyDescent="0.2">
      <c r="Y53279" s="97"/>
    </row>
    <row r="53280" spans="25:25" x14ac:dyDescent="0.2">
      <c r="Y53280" s="97"/>
    </row>
    <row r="53281" spans="25:25" x14ac:dyDescent="0.2">
      <c r="Y53281" s="97"/>
    </row>
    <row r="53282" spans="25:25" x14ac:dyDescent="0.2">
      <c r="Y53282" s="97"/>
    </row>
    <row r="53283" spans="25:25" x14ac:dyDescent="0.2">
      <c r="Y53283" s="97"/>
    </row>
    <row r="53284" spans="25:25" x14ac:dyDescent="0.2">
      <c r="Y53284" s="97"/>
    </row>
    <row r="53285" spans="25:25" x14ac:dyDescent="0.2">
      <c r="Y53285" s="97"/>
    </row>
    <row r="53286" spans="25:25" x14ac:dyDescent="0.2">
      <c r="Y53286" s="97"/>
    </row>
    <row r="53287" spans="25:25" x14ac:dyDescent="0.2">
      <c r="Y53287" s="97"/>
    </row>
    <row r="53288" spans="25:25" x14ac:dyDescent="0.2">
      <c r="Y53288" s="97"/>
    </row>
    <row r="53289" spans="25:25" x14ac:dyDescent="0.2">
      <c r="Y53289" s="97"/>
    </row>
    <row r="53290" spans="25:25" x14ac:dyDescent="0.2">
      <c r="Y53290" s="97"/>
    </row>
    <row r="53291" spans="25:25" x14ac:dyDescent="0.2">
      <c r="Y53291" s="97"/>
    </row>
    <row r="53292" spans="25:25" x14ac:dyDescent="0.2">
      <c r="Y53292" s="97"/>
    </row>
    <row r="53293" spans="25:25" x14ac:dyDescent="0.2">
      <c r="Y53293" s="97"/>
    </row>
    <row r="53294" spans="25:25" x14ac:dyDescent="0.2">
      <c r="Y53294" s="97"/>
    </row>
    <row r="53295" spans="25:25" x14ac:dyDescent="0.2">
      <c r="Y53295" s="97"/>
    </row>
    <row r="53296" spans="25:25" x14ac:dyDescent="0.2">
      <c r="Y53296" s="97"/>
    </row>
    <row r="53297" spans="25:25" x14ac:dyDescent="0.2">
      <c r="Y53297" s="97"/>
    </row>
    <row r="53298" spans="25:25" x14ac:dyDescent="0.2">
      <c r="Y53298" s="97"/>
    </row>
    <row r="53299" spans="25:25" x14ac:dyDescent="0.2">
      <c r="Y53299" s="97"/>
    </row>
    <row r="53300" spans="25:25" x14ac:dyDescent="0.2">
      <c r="Y53300" s="97"/>
    </row>
    <row r="53301" spans="25:25" x14ac:dyDescent="0.2">
      <c r="Y53301" s="97"/>
    </row>
    <row r="53302" spans="25:25" x14ac:dyDescent="0.2">
      <c r="Y53302" s="97"/>
    </row>
    <row r="53303" spans="25:25" x14ac:dyDescent="0.2">
      <c r="Y53303" s="97"/>
    </row>
    <row r="53304" spans="25:25" x14ac:dyDescent="0.2">
      <c r="Y53304" s="97"/>
    </row>
    <row r="53305" spans="25:25" x14ac:dyDescent="0.2">
      <c r="Y53305" s="97"/>
    </row>
    <row r="53306" spans="25:25" x14ac:dyDescent="0.2">
      <c r="Y53306" s="97"/>
    </row>
    <row r="53307" spans="25:25" x14ac:dyDescent="0.2">
      <c r="Y53307" s="97"/>
    </row>
    <row r="53308" spans="25:25" x14ac:dyDescent="0.2">
      <c r="Y53308" s="97"/>
    </row>
    <row r="53309" spans="25:25" x14ac:dyDescent="0.2">
      <c r="Y53309" s="97"/>
    </row>
    <row r="53310" spans="25:25" x14ac:dyDescent="0.2">
      <c r="Y53310" s="97"/>
    </row>
    <row r="53311" spans="25:25" x14ac:dyDescent="0.2">
      <c r="Y53311" s="97"/>
    </row>
    <row r="53312" spans="25:25" x14ac:dyDescent="0.2">
      <c r="Y53312" s="97"/>
    </row>
    <row r="53313" spans="25:25" x14ac:dyDescent="0.2">
      <c r="Y53313" s="97"/>
    </row>
    <row r="53314" spans="25:25" x14ac:dyDescent="0.2">
      <c r="Y53314" s="97"/>
    </row>
    <row r="53315" spans="25:25" x14ac:dyDescent="0.2">
      <c r="Y53315" s="97"/>
    </row>
    <row r="53316" spans="25:25" x14ac:dyDescent="0.2">
      <c r="Y53316" s="97"/>
    </row>
    <row r="53317" spans="25:25" x14ac:dyDescent="0.2">
      <c r="Y53317" s="97"/>
    </row>
    <row r="53318" spans="25:25" x14ac:dyDescent="0.2">
      <c r="Y53318" s="97"/>
    </row>
    <row r="53319" spans="25:25" x14ac:dyDescent="0.2">
      <c r="Y53319" s="97"/>
    </row>
    <row r="53320" spans="25:25" x14ac:dyDescent="0.2">
      <c r="Y53320" s="97"/>
    </row>
    <row r="53321" spans="25:25" x14ac:dyDescent="0.2">
      <c r="Y53321" s="97"/>
    </row>
    <row r="53322" spans="25:25" x14ac:dyDescent="0.2">
      <c r="Y53322" s="97"/>
    </row>
    <row r="53323" spans="25:25" x14ac:dyDescent="0.2">
      <c r="Y53323" s="97"/>
    </row>
    <row r="53324" spans="25:25" x14ac:dyDescent="0.2">
      <c r="Y53324" s="97"/>
    </row>
    <row r="53325" spans="25:25" x14ac:dyDescent="0.2">
      <c r="Y53325" s="97"/>
    </row>
    <row r="53326" spans="25:25" x14ac:dyDescent="0.2">
      <c r="Y53326" s="97"/>
    </row>
    <row r="53327" spans="25:25" x14ac:dyDescent="0.2">
      <c r="Y53327" s="97"/>
    </row>
    <row r="53328" spans="25:25" x14ac:dyDescent="0.2">
      <c r="Y53328" s="97"/>
    </row>
    <row r="53329" spans="25:25" x14ac:dyDescent="0.2">
      <c r="Y53329" s="97"/>
    </row>
    <row r="53330" spans="25:25" x14ac:dyDescent="0.2">
      <c r="Y53330" s="97"/>
    </row>
    <row r="53331" spans="25:25" x14ac:dyDescent="0.2">
      <c r="Y53331" s="97"/>
    </row>
    <row r="53332" spans="25:25" x14ac:dyDescent="0.2">
      <c r="Y53332" s="97"/>
    </row>
    <row r="53333" spans="25:25" x14ac:dyDescent="0.2">
      <c r="Y53333" s="97"/>
    </row>
    <row r="53334" spans="25:25" x14ac:dyDescent="0.2">
      <c r="Y53334" s="97"/>
    </row>
    <row r="53335" spans="25:25" x14ac:dyDescent="0.2">
      <c r="Y53335" s="97"/>
    </row>
    <row r="53336" spans="25:25" x14ac:dyDescent="0.2">
      <c r="Y53336" s="97"/>
    </row>
    <row r="53337" spans="25:25" x14ac:dyDescent="0.2">
      <c r="Y53337" s="97"/>
    </row>
    <row r="53338" spans="25:25" x14ac:dyDescent="0.2">
      <c r="Y53338" s="97"/>
    </row>
    <row r="53339" spans="25:25" x14ac:dyDescent="0.2">
      <c r="Y53339" s="97"/>
    </row>
    <row r="53340" spans="25:25" x14ac:dyDescent="0.2">
      <c r="Y53340" s="97"/>
    </row>
    <row r="53341" spans="25:25" x14ac:dyDescent="0.2">
      <c r="Y53341" s="97"/>
    </row>
    <row r="53342" spans="25:25" x14ac:dyDescent="0.2">
      <c r="Y53342" s="97"/>
    </row>
    <row r="53343" spans="25:25" x14ac:dyDescent="0.2">
      <c r="Y53343" s="97"/>
    </row>
    <row r="53344" spans="25:25" x14ac:dyDescent="0.2">
      <c r="Y53344" s="97"/>
    </row>
    <row r="53345" spans="25:25" x14ac:dyDescent="0.2">
      <c r="Y53345" s="97"/>
    </row>
    <row r="53346" spans="25:25" x14ac:dyDescent="0.2">
      <c r="Y53346" s="97"/>
    </row>
    <row r="53347" spans="25:25" x14ac:dyDescent="0.2">
      <c r="Y53347" s="97"/>
    </row>
    <row r="53348" spans="25:25" x14ac:dyDescent="0.2">
      <c r="Y53348" s="97"/>
    </row>
    <row r="53349" spans="25:25" x14ac:dyDescent="0.2">
      <c r="Y53349" s="97"/>
    </row>
    <row r="53350" spans="25:25" x14ac:dyDescent="0.2">
      <c r="Y53350" s="97"/>
    </row>
    <row r="53351" spans="25:25" x14ac:dyDescent="0.2">
      <c r="Y53351" s="97"/>
    </row>
    <row r="53352" spans="25:25" x14ac:dyDescent="0.2">
      <c r="Y53352" s="97"/>
    </row>
    <row r="53353" spans="25:25" x14ac:dyDescent="0.2">
      <c r="Y53353" s="97"/>
    </row>
    <row r="53354" spans="25:25" x14ac:dyDescent="0.2">
      <c r="Y53354" s="97"/>
    </row>
    <row r="53355" spans="25:25" x14ac:dyDescent="0.2">
      <c r="Y53355" s="97"/>
    </row>
    <row r="53356" spans="25:25" x14ac:dyDescent="0.2">
      <c r="Y53356" s="97"/>
    </row>
    <row r="53357" spans="25:25" x14ac:dyDescent="0.2">
      <c r="Y53357" s="97"/>
    </row>
    <row r="53358" spans="25:25" x14ac:dyDescent="0.2">
      <c r="Y53358" s="97"/>
    </row>
    <row r="53359" spans="25:25" x14ac:dyDescent="0.2">
      <c r="Y53359" s="97"/>
    </row>
    <row r="53360" spans="25:25" x14ac:dyDescent="0.2">
      <c r="Y53360" s="97"/>
    </row>
    <row r="53361" spans="25:25" x14ac:dyDescent="0.2">
      <c r="Y53361" s="97"/>
    </row>
    <row r="53362" spans="25:25" x14ac:dyDescent="0.2">
      <c r="Y53362" s="97"/>
    </row>
    <row r="53363" spans="25:25" x14ac:dyDescent="0.2">
      <c r="Y53363" s="97"/>
    </row>
    <row r="53364" spans="25:25" x14ac:dyDescent="0.2">
      <c r="Y53364" s="97"/>
    </row>
    <row r="53365" spans="25:25" x14ac:dyDescent="0.2">
      <c r="Y53365" s="97"/>
    </row>
    <row r="53366" spans="25:25" x14ac:dyDescent="0.2">
      <c r="Y53366" s="97"/>
    </row>
    <row r="53367" spans="25:25" x14ac:dyDescent="0.2">
      <c r="Y53367" s="97"/>
    </row>
    <row r="53368" spans="25:25" x14ac:dyDescent="0.2">
      <c r="Y53368" s="97"/>
    </row>
    <row r="53369" spans="25:25" x14ac:dyDescent="0.2">
      <c r="Y53369" s="97"/>
    </row>
    <row r="53370" spans="25:25" x14ac:dyDescent="0.2">
      <c r="Y53370" s="97"/>
    </row>
    <row r="53371" spans="25:25" x14ac:dyDescent="0.2">
      <c r="Y53371" s="97"/>
    </row>
    <row r="53372" spans="25:25" x14ac:dyDescent="0.2">
      <c r="Y53372" s="97"/>
    </row>
    <row r="53373" spans="25:25" x14ac:dyDescent="0.2">
      <c r="Y53373" s="97"/>
    </row>
    <row r="53374" spans="25:25" x14ac:dyDescent="0.2">
      <c r="Y53374" s="97"/>
    </row>
    <row r="53375" spans="25:25" x14ac:dyDescent="0.2">
      <c r="Y53375" s="97"/>
    </row>
    <row r="53376" spans="25:25" x14ac:dyDescent="0.2">
      <c r="Y53376" s="97"/>
    </row>
    <row r="53377" spans="25:25" x14ac:dyDescent="0.2">
      <c r="Y53377" s="97"/>
    </row>
    <row r="53378" spans="25:25" x14ac:dyDescent="0.2">
      <c r="Y53378" s="97"/>
    </row>
    <row r="53379" spans="25:25" x14ac:dyDescent="0.2">
      <c r="Y53379" s="97"/>
    </row>
    <row r="53380" spans="25:25" x14ac:dyDescent="0.2">
      <c r="Y53380" s="97"/>
    </row>
    <row r="53381" spans="25:25" x14ac:dyDescent="0.2">
      <c r="Y53381" s="97"/>
    </row>
    <row r="53382" spans="25:25" x14ac:dyDescent="0.2">
      <c r="Y53382" s="97"/>
    </row>
    <row r="53383" spans="25:25" x14ac:dyDescent="0.2">
      <c r="Y53383" s="97"/>
    </row>
    <row r="53384" spans="25:25" x14ac:dyDescent="0.2">
      <c r="Y53384" s="97"/>
    </row>
    <row r="53385" spans="25:25" x14ac:dyDescent="0.2">
      <c r="Y53385" s="97"/>
    </row>
    <row r="53386" spans="25:25" x14ac:dyDescent="0.2">
      <c r="Y53386" s="97"/>
    </row>
    <row r="53387" spans="25:25" x14ac:dyDescent="0.2">
      <c r="Y53387" s="97"/>
    </row>
    <row r="53388" spans="25:25" x14ac:dyDescent="0.2">
      <c r="Y53388" s="97"/>
    </row>
    <row r="53389" spans="25:25" x14ac:dyDescent="0.2">
      <c r="Y53389" s="97"/>
    </row>
    <row r="53390" spans="25:25" x14ac:dyDescent="0.2">
      <c r="Y53390" s="97"/>
    </row>
    <row r="53391" spans="25:25" x14ac:dyDescent="0.2">
      <c r="Y53391" s="97"/>
    </row>
    <row r="53392" spans="25:25" x14ac:dyDescent="0.2">
      <c r="Y53392" s="97"/>
    </row>
    <row r="53393" spans="25:25" x14ac:dyDescent="0.2">
      <c r="Y53393" s="97"/>
    </row>
    <row r="53394" spans="25:25" x14ac:dyDescent="0.2">
      <c r="Y53394" s="97"/>
    </row>
    <row r="53395" spans="25:25" x14ac:dyDescent="0.2">
      <c r="Y53395" s="97"/>
    </row>
    <row r="53396" spans="25:25" x14ac:dyDescent="0.2">
      <c r="Y53396" s="97"/>
    </row>
    <row r="53397" spans="25:25" x14ac:dyDescent="0.2">
      <c r="Y53397" s="97"/>
    </row>
    <row r="53398" spans="25:25" x14ac:dyDescent="0.2">
      <c r="Y53398" s="97"/>
    </row>
    <row r="53399" spans="25:25" x14ac:dyDescent="0.2">
      <c r="Y53399" s="97"/>
    </row>
    <row r="53400" spans="25:25" x14ac:dyDescent="0.2">
      <c r="Y53400" s="97"/>
    </row>
    <row r="53401" spans="25:25" x14ac:dyDescent="0.2">
      <c r="Y53401" s="97"/>
    </row>
    <row r="53402" spans="25:25" x14ac:dyDescent="0.2">
      <c r="Y53402" s="97"/>
    </row>
    <row r="53403" spans="25:25" x14ac:dyDescent="0.2">
      <c r="Y53403" s="97"/>
    </row>
    <row r="53404" spans="25:25" x14ac:dyDescent="0.2">
      <c r="Y53404" s="97"/>
    </row>
    <row r="53405" spans="25:25" x14ac:dyDescent="0.2">
      <c r="Y53405" s="97"/>
    </row>
    <row r="53406" spans="25:25" x14ac:dyDescent="0.2">
      <c r="Y53406" s="97"/>
    </row>
    <row r="53407" spans="25:25" x14ac:dyDescent="0.2">
      <c r="Y53407" s="97"/>
    </row>
    <row r="53408" spans="25:25" x14ac:dyDescent="0.2">
      <c r="Y53408" s="97"/>
    </row>
    <row r="53409" spans="25:25" x14ac:dyDescent="0.2">
      <c r="Y53409" s="97"/>
    </row>
    <row r="53410" spans="25:25" x14ac:dyDescent="0.2">
      <c r="Y53410" s="97"/>
    </row>
    <row r="53411" spans="25:25" x14ac:dyDescent="0.2">
      <c r="Y53411" s="97"/>
    </row>
    <row r="53412" spans="25:25" x14ac:dyDescent="0.2">
      <c r="Y53412" s="97"/>
    </row>
    <row r="53413" spans="25:25" x14ac:dyDescent="0.2">
      <c r="Y53413" s="97"/>
    </row>
    <row r="53414" spans="25:25" x14ac:dyDescent="0.2">
      <c r="Y53414" s="97"/>
    </row>
    <row r="53415" spans="25:25" x14ac:dyDescent="0.2">
      <c r="Y53415" s="97"/>
    </row>
    <row r="53416" spans="25:25" x14ac:dyDescent="0.2">
      <c r="Y53416" s="97"/>
    </row>
    <row r="53417" spans="25:25" x14ac:dyDescent="0.2">
      <c r="Y53417" s="97"/>
    </row>
    <row r="53418" spans="25:25" x14ac:dyDescent="0.2">
      <c r="Y53418" s="97"/>
    </row>
    <row r="53419" spans="25:25" x14ac:dyDescent="0.2">
      <c r="Y53419" s="97"/>
    </row>
    <row r="53420" spans="25:25" x14ac:dyDescent="0.2">
      <c r="Y53420" s="97"/>
    </row>
    <row r="53421" spans="25:25" x14ac:dyDescent="0.2">
      <c r="Y53421" s="97"/>
    </row>
    <row r="53422" spans="25:25" x14ac:dyDescent="0.2">
      <c r="Y53422" s="97"/>
    </row>
    <row r="53423" spans="25:25" x14ac:dyDescent="0.2">
      <c r="Y53423" s="97"/>
    </row>
    <row r="53424" spans="25:25" x14ac:dyDescent="0.2">
      <c r="Y53424" s="97"/>
    </row>
    <row r="53425" spans="25:25" x14ac:dyDescent="0.2">
      <c r="Y53425" s="97"/>
    </row>
    <row r="53426" spans="25:25" x14ac:dyDescent="0.2">
      <c r="Y53426" s="97"/>
    </row>
    <row r="53427" spans="25:25" x14ac:dyDescent="0.2">
      <c r="Y53427" s="97"/>
    </row>
    <row r="53428" spans="25:25" x14ac:dyDescent="0.2">
      <c r="Y53428" s="97"/>
    </row>
    <row r="53429" spans="25:25" x14ac:dyDescent="0.2">
      <c r="Y53429" s="97"/>
    </row>
    <row r="53430" spans="25:25" x14ac:dyDescent="0.2">
      <c r="Y53430" s="97"/>
    </row>
    <row r="53431" spans="25:25" x14ac:dyDescent="0.2">
      <c r="Y53431" s="97"/>
    </row>
    <row r="53432" spans="25:25" x14ac:dyDescent="0.2">
      <c r="Y53432" s="97"/>
    </row>
    <row r="53433" spans="25:25" x14ac:dyDescent="0.2">
      <c r="Y53433" s="97"/>
    </row>
    <row r="53434" spans="25:25" x14ac:dyDescent="0.2">
      <c r="Y53434" s="97"/>
    </row>
    <row r="53435" spans="25:25" x14ac:dyDescent="0.2">
      <c r="Y53435" s="97"/>
    </row>
    <row r="53436" spans="25:25" x14ac:dyDescent="0.2">
      <c r="Y53436" s="97"/>
    </row>
    <row r="53437" spans="25:25" x14ac:dyDescent="0.2">
      <c r="Y53437" s="97"/>
    </row>
    <row r="53438" spans="25:25" x14ac:dyDescent="0.2">
      <c r="Y53438" s="97"/>
    </row>
    <row r="53439" spans="25:25" x14ac:dyDescent="0.2">
      <c r="Y53439" s="97"/>
    </row>
    <row r="53440" spans="25:25" x14ac:dyDescent="0.2">
      <c r="Y53440" s="97"/>
    </row>
    <row r="53441" spans="25:25" x14ac:dyDescent="0.2">
      <c r="Y53441" s="97"/>
    </row>
    <row r="53442" spans="25:25" x14ac:dyDescent="0.2">
      <c r="Y53442" s="97"/>
    </row>
    <row r="53443" spans="25:25" x14ac:dyDescent="0.2">
      <c r="Y53443" s="97"/>
    </row>
    <row r="53444" spans="25:25" x14ac:dyDescent="0.2">
      <c r="Y53444" s="97"/>
    </row>
    <row r="53445" spans="25:25" x14ac:dyDescent="0.2">
      <c r="Y53445" s="97"/>
    </row>
    <row r="53446" spans="25:25" x14ac:dyDescent="0.2">
      <c r="Y53446" s="97"/>
    </row>
    <row r="53447" spans="25:25" x14ac:dyDescent="0.2">
      <c r="Y53447" s="97"/>
    </row>
    <row r="53448" spans="25:25" x14ac:dyDescent="0.2">
      <c r="Y53448" s="97"/>
    </row>
    <row r="53449" spans="25:25" x14ac:dyDescent="0.2">
      <c r="Y53449" s="97"/>
    </row>
    <row r="53450" spans="25:25" x14ac:dyDescent="0.2">
      <c r="Y53450" s="97"/>
    </row>
    <row r="53451" spans="25:25" x14ac:dyDescent="0.2">
      <c r="Y53451" s="97"/>
    </row>
    <row r="53452" spans="25:25" x14ac:dyDescent="0.2">
      <c r="Y53452" s="97"/>
    </row>
    <row r="53453" spans="25:25" x14ac:dyDescent="0.2">
      <c r="Y53453" s="97"/>
    </row>
    <row r="53454" spans="25:25" x14ac:dyDescent="0.2">
      <c r="Y53454" s="97"/>
    </row>
    <row r="53455" spans="25:25" x14ac:dyDescent="0.2">
      <c r="Y53455" s="97"/>
    </row>
    <row r="53456" spans="25:25" x14ac:dyDescent="0.2">
      <c r="Y53456" s="97"/>
    </row>
    <row r="53457" spans="25:25" x14ac:dyDescent="0.2">
      <c r="Y53457" s="97"/>
    </row>
    <row r="53458" spans="25:25" x14ac:dyDescent="0.2">
      <c r="Y53458" s="97"/>
    </row>
    <row r="53459" spans="25:25" x14ac:dyDescent="0.2">
      <c r="Y53459" s="97"/>
    </row>
    <row r="53460" spans="25:25" x14ac:dyDescent="0.2">
      <c r="Y53460" s="97"/>
    </row>
    <row r="53461" spans="25:25" x14ac:dyDescent="0.2">
      <c r="Y53461" s="97"/>
    </row>
    <row r="53462" spans="25:25" x14ac:dyDescent="0.2">
      <c r="Y53462" s="97"/>
    </row>
    <row r="53463" spans="25:25" x14ac:dyDescent="0.2">
      <c r="Y53463" s="97"/>
    </row>
    <row r="53464" spans="25:25" x14ac:dyDescent="0.2">
      <c r="Y53464" s="97"/>
    </row>
    <row r="53465" spans="25:25" x14ac:dyDescent="0.2">
      <c r="Y53465" s="97"/>
    </row>
    <row r="53466" spans="25:25" x14ac:dyDescent="0.2">
      <c r="Y53466" s="97"/>
    </row>
    <row r="53467" spans="25:25" x14ac:dyDescent="0.2">
      <c r="Y53467" s="97"/>
    </row>
    <row r="53468" spans="25:25" x14ac:dyDescent="0.2">
      <c r="Y53468" s="97"/>
    </row>
    <row r="53469" spans="25:25" x14ac:dyDescent="0.2">
      <c r="Y53469" s="97"/>
    </row>
    <row r="53470" spans="25:25" x14ac:dyDescent="0.2">
      <c r="Y53470" s="97"/>
    </row>
    <row r="53471" spans="25:25" x14ac:dyDescent="0.2">
      <c r="Y53471" s="97"/>
    </row>
    <row r="53472" spans="25:25" x14ac:dyDescent="0.2">
      <c r="Y53472" s="97"/>
    </row>
    <row r="53473" spans="25:25" x14ac:dyDescent="0.2">
      <c r="Y53473" s="97"/>
    </row>
    <row r="53474" spans="25:25" x14ac:dyDescent="0.2">
      <c r="Y53474" s="97"/>
    </row>
    <row r="53475" spans="25:25" x14ac:dyDescent="0.2">
      <c r="Y53475" s="97"/>
    </row>
    <row r="53476" spans="25:25" x14ac:dyDescent="0.2">
      <c r="Y53476" s="97"/>
    </row>
    <row r="53477" spans="25:25" x14ac:dyDescent="0.2">
      <c r="Y53477" s="97"/>
    </row>
    <row r="53478" spans="25:25" x14ac:dyDescent="0.2">
      <c r="Y53478" s="97"/>
    </row>
    <row r="53479" spans="25:25" x14ac:dyDescent="0.2">
      <c r="Y53479" s="97"/>
    </row>
    <row r="53480" spans="25:25" x14ac:dyDescent="0.2">
      <c r="Y53480" s="97"/>
    </row>
    <row r="53481" spans="25:25" x14ac:dyDescent="0.2">
      <c r="Y53481" s="97"/>
    </row>
    <row r="53482" spans="25:25" x14ac:dyDescent="0.2">
      <c r="Y53482" s="97"/>
    </row>
    <row r="53483" spans="25:25" x14ac:dyDescent="0.2">
      <c r="Y53483" s="97"/>
    </row>
    <row r="53484" spans="25:25" x14ac:dyDescent="0.2">
      <c r="Y53484" s="97"/>
    </row>
    <row r="53485" spans="25:25" x14ac:dyDescent="0.2">
      <c r="Y53485" s="97"/>
    </row>
    <row r="53486" spans="25:25" x14ac:dyDescent="0.2">
      <c r="Y53486" s="97"/>
    </row>
    <row r="53487" spans="25:25" x14ac:dyDescent="0.2">
      <c r="Y53487" s="97"/>
    </row>
    <row r="53488" spans="25:25" x14ac:dyDescent="0.2">
      <c r="Y53488" s="97"/>
    </row>
    <row r="53489" spans="25:25" x14ac:dyDescent="0.2">
      <c r="Y53489" s="97"/>
    </row>
    <row r="53490" spans="25:25" x14ac:dyDescent="0.2">
      <c r="Y53490" s="97"/>
    </row>
    <row r="53491" spans="25:25" x14ac:dyDescent="0.2">
      <c r="Y53491" s="97"/>
    </row>
    <row r="53492" spans="25:25" x14ac:dyDescent="0.2">
      <c r="Y53492" s="97"/>
    </row>
    <row r="53493" spans="25:25" x14ac:dyDescent="0.2">
      <c r="Y53493" s="97"/>
    </row>
    <row r="53494" spans="25:25" x14ac:dyDescent="0.2">
      <c r="Y53494" s="97"/>
    </row>
    <row r="53495" spans="25:25" x14ac:dyDescent="0.2">
      <c r="Y53495" s="97"/>
    </row>
    <row r="53496" spans="25:25" x14ac:dyDescent="0.2">
      <c r="Y53496" s="97"/>
    </row>
    <row r="53497" spans="25:25" x14ac:dyDescent="0.2">
      <c r="Y53497" s="97"/>
    </row>
    <row r="53498" spans="25:25" x14ac:dyDescent="0.2">
      <c r="Y53498" s="97"/>
    </row>
    <row r="53499" spans="25:25" x14ac:dyDescent="0.2">
      <c r="Y53499" s="97"/>
    </row>
    <row r="53500" spans="25:25" x14ac:dyDescent="0.2">
      <c r="Y53500" s="97"/>
    </row>
    <row r="53501" spans="25:25" x14ac:dyDescent="0.2">
      <c r="Y53501" s="97"/>
    </row>
    <row r="53502" spans="25:25" x14ac:dyDescent="0.2">
      <c r="Y53502" s="97"/>
    </row>
    <row r="53503" spans="25:25" x14ac:dyDescent="0.2">
      <c r="Y53503" s="97"/>
    </row>
    <row r="53504" spans="25:25" x14ac:dyDescent="0.2">
      <c r="Y53504" s="97"/>
    </row>
    <row r="53505" spans="25:25" x14ac:dyDescent="0.2">
      <c r="Y53505" s="97"/>
    </row>
    <row r="53506" spans="25:25" x14ac:dyDescent="0.2">
      <c r="Y53506" s="97"/>
    </row>
    <row r="53507" spans="25:25" x14ac:dyDescent="0.2">
      <c r="Y53507" s="97"/>
    </row>
    <row r="53508" spans="25:25" x14ac:dyDescent="0.2">
      <c r="Y53508" s="97"/>
    </row>
    <row r="53509" spans="25:25" x14ac:dyDescent="0.2">
      <c r="Y53509" s="97"/>
    </row>
    <row r="53510" spans="25:25" x14ac:dyDescent="0.2">
      <c r="Y53510" s="97"/>
    </row>
    <row r="53511" spans="25:25" x14ac:dyDescent="0.2">
      <c r="Y53511" s="97"/>
    </row>
    <row r="53512" spans="25:25" x14ac:dyDescent="0.2">
      <c r="Y53512" s="97"/>
    </row>
    <row r="53513" spans="25:25" x14ac:dyDescent="0.2">
      <c r="Y53513" s="97"/>
    </row>
    <row r="53514" spans="25:25" x14ac:dyDescent="0.2">
      <c r="Y53514" s="97"/>
    </row>
    <row r="53515" spans="25:25" x14ac:dyDescent="0.2">
      <c r="Y53515" s="97"/>
    </row>
    <row r="53516" spans="25:25" x14ac:dyDescent="0.2">
      <c r="Y53516" s="97"/>
    </row>
    <row r="53517" spans="25:25" x14ac:dyDescent="0.2">
      <c r="Y53517" s="97"/>
    </row>
    <row r="53518" spans="25:25" x14ac:dyDescent="0.2">
      <c r="Y53518" s="97"/>
    </row>
    <row r="53519" spans="25:25" x14ac:dyDescent="0.2">
      <c r="Y53519" s="97"/>
    </row>
    <row r="53520" spans="25:25" x14ac:dyDescent="0.2">
      <c r="Y53520" s="97"/>
    </row>
    <row r="53521" spans="25:25" x14ac:dyDescent="0.2">
      <c r="Y53521" s="97"/>
    </row>
    <row r="53522" spans="25:25" x14ac:dyDescent="0.2">
      <c r="Y53522" s="97"/>
    </row>
    <row r="53523" spans="25:25" x14ac:dyDescent="0.2">
      <c r="Y53523" s="97"/>
    </row>
    <row r="53524" spans="25:25" x14ac:dyDescent="0.2">
      <c r="Y53524" s="97"/>
    </row>
    <row r="53525" spans="25:25" x14ac:dyDescent="0.2">
      <c r="Y53525" s="97"/>
    </row>
    <row r="53526" spans="25:25" x14ac:dyDescent="0.2">
      <c r="Y53526" s="97"/>
    </row>
    <row r="53527" spans="25:25" x14ac:dyDescent="0.2">
      <c r="Y53527" s="97"/>
    </row>
    <row r="53528" spans="25:25" x14ac:dyDescent="0.2">
      <c r="Y53528" s="97"/>
    </row>
    <row r="53529" spans="25:25" x14ac:dyDescent="0.2">
      <c r="Y53529" s="97"/>
    </row>
    <row r="53530" spans="25:25" x14ac:dyDescent="0.2">
      <c r="Y53530" s="97"/>
    </row>
    <row r="53531" spans="25:25" x14ac:dyDescent="0.2">
      <c r="Y53531" s="97"/>
    </row>
    <row r="53532" spans="25:25" x14ac:dyDescent="0.2">
      <c r="Y53532" s="97"/>
    </row>
    <row r="53533" spans="25:25" x14ac:dyDescent="0.2">
      <c r="Y53533" s="97"/>
    </row>
    <row r="53534" spans="25:25" x14ac:dyDescent="0.2">
      <c r="Y53534" s="97"/>
    </row>
    <row r="53535" spans="25:25" x14ac:dyDescent="0.2">
      <c r="Y53535" s="97"/>
    </row>
    <row r="53536" spans="25:25" x14ac:dyDescent="0.2">
      <c r="Y53536" s="97"/>
    </row>
    <row r="53537" spans="25:25" x14ac:dyDescent="0.2">
      <c r="Y53537" s="97"/>
    </row>
    <row r="53538" spans="25:25" x14ac:dyDescent="0.2">
      <c r="Y53538" s="97"/>
    </row>
    <row r="53539" spans="25:25" x14ac:dyDescent="0.2">
      <c r="Y53539" s="97"/>
    </row>
    <row r="53540" spans="25:25" x14ac:dyDescent="0.2">
      <c r="Y53540" s="97"/>
    </row>
    <row r="53541" spans="25:25" x14ac:dyDescent="0.2">
      <c r="Y53541" s="97"/>
    </row>
    <row r="53542" spans="25:25" x14ac:dyDescent="0.2">
      <c r="Y53542" s="97"/>
    </row>
    <row r="53543" spans="25:25" x14ac:dyDescent="0.2">
      <c r="Y53543" s="97"/>
    </row>
    <row r="53544" spans="25:25" x14ac:dyDescent="0.2">
      <c r="Y53544" s="97"/>
    </row>
    <row r="53545" spans="25:25" x14ac:dyDescent="0.2">
      <c r="Y53545" s="97"/>
    </row>
    <row r="53546" spans="25:25" x14ac:dyDescent="0.2">
      <c r="Y53546" s="97"/>
    </row>
    <row r="53547" spans="25:25" x14ac:dyDescent="0.2">
      <c r="Y53547" s="97"/>
    </row>
    <row r="53548" spans="25:25" x14ac:dyDescent="0.2">
      <c r="Y53548" s="97"/>
    </row>
    <row r="53549" spans="25:25" x14ac:dyDescent="0.2">
      <c r="Y53549" s="97"/>
    </row>
    <row r="53550" spans="25:25" x14ac:dyDescent="0.2">
      <c r="Y53550" s="97"/>
    </row>
    <row r="53551" spans="25:25" x14ac:dyDescent="0.2">
      <c r="Y53551" s="97"/>
    </row>
    <row r="53552" spans="25:25" x14ac:dyDescent="0.2">
      <c r="Y53552" s="97"/>
    </row>
    <row r="53553" spans="25:25" x14ac:dyDescent="0.2">
      <c r="Y53553" s="97"/>
    </row>
    <row r="53554" spans="25:25" x14ac:dyDescent="0.2">
      <c r="Y53554" s="97"/>
    </row>
    <row r="53555" spans="25:25" x14ac:dyDescent="0.2">
      <c r="Y53555" s="97"/>
    </row>
    <row r="53556" spans="25:25" x14ac:dyDescent="0.2">
      <c r="Y53556" s="97"/>
    </row>
    <row r="53557" spans="25:25" x14ac:dyDescent="0.2">
      <c r="Y53557" s="97"/>
    </row>
    <row r="53558" spans="25:25" x14ac:dyDescent="0.2">
      <c r="Y53558" s="97"/>
    </row>
    <row r="53559" spans="25:25" x14ac:dyDescent="0.2">
      <c r="Y53559" s="97"/>
    </row>
    <row r="53560" spans="25:25" x14ac:dyDescent="0.2">
      <c r="Y53560" s="97"/>
    </row>
    <row r="53561" spans="25:25" x14ac:dyDescent="0.2">
      <c r="Y53561" s="97"/>
    </row>
    <row r="53562" spans="25:25" x14ac:dyDescent="0.2">
      <c r="Y53562" s="97"/>
    </row>
    <row r="53563" spans="25:25" x14ac:dyDescent="0.2">
      <c r="Y53563" s="97"/>
    </row>
    <row r="53564" spans="25:25" x14ac:dyDescent="0.2">
      <c r="Y53564" s="97"/>
    </row>
    <row r="53565" spans="25:25" x14ac:dyDescent="0.2">
      <c r="Y53565" s="97"/>
    </row>
    <row r="53566" spans="25:25" x14ac:dyDescent="0.2">
      <c r="Y53566" s="97"/>
    </row>
    <row r="53567" spans="25:25" x14ac:dyDescent="0.2">
      <c r="Y53567" s="97"/>
    </row>
    <row r="53568" spans="25:25" x14ac:dyDescent="0.2">
      <c r="Y53568" s="97"/>
    </row>
    <row r="53569" spans="25:25" x14ac:dyDescent="0.2">
      <c r="Y53569" s="97"/>
    </row>
    <row r="53570" spans="25:25" x14ac:dyDescent="0.2">
      <c r="Y53570" s="97"/>
    </row>
    <row r="53571" spans="25:25" x14ac:dyDescent="0.2">
      <c r="Y53571" s="97"/>
    </row>
    <row r="53572" spans="25:25" x14ac:dyDescent="0.2">
      <c r="Y53572" s="97"/>
    </row>
    <row r="53573" spans="25:25" x14ac:dyDescent="0.2">
      <c r="Y53573" s="97"/>
    </row>
    <row r="53574" spans="25:25" x14ac:dyDescent="0.2">
      <c r="Y53574" s="97"/>
    </row>
    <row r="53575" spans="25:25" x14ac:dyDescent="0.2">
      <c r="Y53575" s="97"/>
    </row>
    <row r="53576" spans="25:25" x14ac:dyDescent="0.2">
      <c r="Y53576" s="97"/>
    </row>
    <row r="53577" spans="25:25" x14ac:dyDescent="0.2">
      <c r="Y53577" s="97"/>
    </row>
    <row r="53578" spans="25:25" x14ac:dyDescent="0.2">
      <c r="Y53578" s="97"/>
    </row>
    <row r="53579" spans="25:25" x14ac:dyDescent="0.2">
      <c r="Y53579" s="97"/>
    </row>
    <row r="53580" spans="25:25" x14ac:dyDescent="0.2">
      <c r="Y53580" s="97"/>
    </row>
    <row r="53581" spans="25:25" x14ac:dyDescent="0.2">
      <c r="Y53581" s="97"/>
    </row>
    <row r="53582" spans="25:25" x14ac:dyDescent="0.2">
      <c r="Y53582" s="97"/>
    </row>
    <row r="53583" spans="25:25" x14ac:dyDescent="0.2">
      <c r="Y53583" s="97"/>
    </row>
    <row r="53584" spans="25:25" x14ac:dyDescent="0.2">
      <c r="Y53584" s="97"/>
    </row>
    <row r="53585" spans="25:25" x14ac:dyDescent="0.2">
      <c r="Y53585" s="97"/>
    </row>
    <row r="53586" spans="25:25" x14ac:dyDescent="0.2">
      <c r="Y53586" s="97"/>
    </row>
    <row r="53587" spans="25:25" x14ac:dyDescent="0.2">
      <c r="Y53587" s="97"/>
    </row>
    <row r="53588" spans="25:25" x14ac:dyDescent="0.2">
      <c r="Y53588" s="97"/>
    </row>
    <row r="53589" spans="25:25" x14ac:dyDescent="0.2">
      <c r="Y53589" s="97"/>
    </row>
    <row r="53590" spans="25:25" x14ac:dyDescent="0.2">
      <c r="Y53590" s="97"/>
    </row>
    <row r="53591" spans="25:25" x14ac:dyDescent="0.2">
      <c r="Y53591" s="97"/>
    </row>
    <row r="53592" spans="25:25" x14ac:dyDescent="0.2">
      <c r="Y53592" s="97"/>
    </row>
    <row r="53593" spans="25:25" x14ac:dyDescent="0.2">
      <c r="Y53593" s="97"/>
    </row>
    <row r="53594" spans="25:25" x14ac:dyDescent="0.2">
      <c r="Y53594" s="97"/>
    </row>
    <row r="53595" spans="25:25" x14ac:dyDescent="0.2">
      <c r="Y53595" s="97"/>
    </row>
    <row r="53596" spans="25:25" x14ac:dyDescent="0.2">
      <c r="Y53596" s="97"/>
    </row>
    <row r="53597" spans="25:25" x14ac:dyDescent="0.2">
      <c r="Y53597" s="97"/>
    </row>
    <row r="53598" spans="25:25" x14ac:dyDescent="0.2">
      <c r="Y53598" s="97"/>
    </row>
    <row r="53599" spans="25:25" x14ac:dyDescent="0.2">
      <c r="Y53599" s="97"/>
    </row>
    <row r="53600" spans="25:25" x14ac:dyDescent="0.2">
      <c r="Y53600" s="97"/>
    </row>
    <row r="53601" spans="25:25" x14ac:dyDescent="0.2">
      <c r="Y53601" s="97"/>
    </row>
    <row r="53602" spans="25:25" x14ac:dyDescent="0.2">
      <c r="Y53602" s="97"/>
    </row>
    <row r="53603" spans="25:25" x14ac:dyDescent="0.2">
      <c r="Y53603" s="97"/>
    </row>
    <row r="53604" spans="25:25" x14ac:dyDescent="0.2">
      <c r="Y53604" s="97"/>
    </row>
    <row r="53605" spans="25:25" x14ac:dyDescent="0.2">
      <c r="Y53605" s="97"/>
    </row>
    <row r="53606" spans="25:25" x14ac:dyDescent="0.2">
      <c r="Y53606" s="97"/>
    </row>
    <row r="53607" spans="25:25" x14ac:dyDescent="0.2">
      <c r="Y53607" s="97"/>
    </row>
    <row r="53608" spans="25:25" x14ac:dyDescent="0.2">
      <c r="Y53608" s="97"/>
    </row>
    <row r="53609" spans="25:25" x14ac:dyDescent="0.2">
      <c r="Y53609" s="97"/>
    </row>
    <row r="53610" spans="25:25" x14ac:dyDescent="0.2">
      <c r="Y53610" s="97"/>
    </row>
    <row r="53611" spans="25:25" x14ac:dyDescent="0.2">
      <c r="Y53611" s="97"/>
    </row>
    <row r="53612" spans="25:25" x14ac:dyDescent="0.2">
      <c r="Y53612" s="97"/>
    </row>
    <row r="53613" spans="25:25" x14ac:dyDescent="0.2">
      <c r="Y53613" s="97"/>
    </row>
    <row r="53614" spans="25:25" x14ac:dyDescent="0.2">
      <c r="Y53614" s="97"/>
    </row>
    <row r="53615" spans="25:25" x14ac:dyDescent="0.2">
      <c r="Y53615" s="97"/>
    </row>
    <row r="53616" spans="25:25" x14ac:dyDescent="0.2">
      <c r="Y53616" s="97"/>
    </row>
    <row r="53617" spans="25:25" x14ac:dyDescent="0.2">
      <c r="Y53617" s="97"/>
    </row>
    <row r="53618" spans="25:25" x14ac:dyDescent="0.2">
      <c r="Y53618" s="97"/>
    </row>
    <row r="53619" spans="25:25" x14ac:dyDescent="0.2">
      <c r="Y53619" s="97"/>
    </row>
    <row r="53620" spans="25:25" x14ac:dyDescent="0.2">
      <c r="Y53620" s="97"/>
    </row>
    <row r="53621" spans="25:25" x14ac:dyDescent="0.2">
      <c r="Y53621" s="97"/>
    </row>
    <row r="53622" spans="25:25" x14ac:dyDescent="0.2">
      <c r="Y53622" s="97"/>
    </row>
    <row r="53623" spans="25:25" x14ac:dyDescent="0.2">
      <c r="Y53623" s="97"/>
    </row>
    <row r="53624" spans="25:25" x14ac:dyDescent="0.2">
      <c r="Y53624" s="97"/>
    </row>
    <row r="53625" spans="25:25" x14ac:dyDescent="0.2">
      <c r="Y53625" s="97"/>
    </row>
    <row r="53626" spans="25:25" x14ac:dyDescent="0.2">
      <c r="Y53626" s="97"/>
    </row>
    <row r="53627" spans="25:25" x14ac:dyDescent="0.2">
      <c r="Y53627" s="97"/>
    </row>
    <row r="53628" spans="25:25" x14ac:dyDescent="0.2">
      <c r="Y53628" s="97"/>
    </row>
    <row r="53629" spans="25:25" x14ac:dyDescent="0.2">
      <c r="Y53629" s="97"/>
    </row>
    <row r="53630" spans="25:25" x14ac:dyDescent="0.2">
      <c r="Y53630" s="97"/>
    </row>
    <row r="53631" spans="25:25" x14ac:dyDescent="0.2">
      <c r="Y53631" s="97"/>
    </row>
    <row r="53632" spans="25:25" x14ac:dyDescent="0.2">
      <c r="Y53632" s="97"/>
    </row>
    <row r="53633" spans="25:25" x14ac:dyDescent="0.2">
      <c r="Y53633" s="97"/>
    </row>
    <row r="53634" spans="25:25" x14ac:dyDescent="0.2">
      <c r="Y53634" s="97"/>
    </row>
    <row r="53635" spans="25:25" x14ac:dyDescent="0.2">
      <c r="Y53635" s="97"/>
    </row>
    <row r="53636" spans="25:25" x14ac:dyDescent="0.2">
      <c r="Y53636" s="97"/>
    </row>
    <row r="53637" spans="25:25" x14ac:dyDescent="0.2">
      <c r="Y53637" s="97"/>
    </row>
    <row r="53638" spans="25:25" x14ac:dyDescent="0.2">
      <c r="Y53638" s="97"/>
    </row>
    <row r="53639" spans="25:25" x14ac:dyDescent="0.2">
      <c r="Y53639" s="97"/>
    </row>
    <row r="53640" spans="25:25" x14ac:dyDescent="0.2">
      <c r="Y53640" s="97"/>
    </row>
    <row r="53641" spans="25:25" x14ac:dyDescent="0.2">
      <c r="Y53641" s="97"/>
    </row>
    <row r="53642" spans="25:25" x14ac:dyDescent="0.2">
      <c r="Y53642" s="97"/>
    </row>
    <row r="53643" spans="25:25" x14ac:dyDescent="0.2">
      <c r="Y53643" s="97"/>
    </row>
    <row r="53644" spans="25:25" x14ac:dyDescent="0.2">
      <c r="Y53644" s="97"/>
    </row>
    <row r="53645" spans="25:25" x14ac:dyDescent="0.2">
      <c r="Y53645" s="97"/>
    </row>
    <row r="53646" spans="25:25" x14ac:dyDescent="0.2">
      <c r="Y53646" s="97"/>
    </row>
    <row r="53647" spans="25:25" x14ac:dyDescent="0.2">
      <c r="Y53647" s="97"/>
    </row>
    <row r="53648" spans="25:25" x14ac:dyDescent="0.2">
      <c r="Y53648" s="97"/>
    </row>
    <row r="53649" spans="25:25" x14ac:dyDescent="0.2">
      <c r="Y53649" s="97"/>
    </row>
    <row r="53650" spans="25:25" x14ac:dyDescent="0.2">
      <c r="Y53650" s="97"/>
    </row>
    <row r="53651" spans="25:25" x14ac:dyDescent="0.2">
      <c r="Y53651" s="97"/>
    </row>
    <row r="53652" spans="25:25" x14ac:dyDescent="0.2">
      <c r="Y53652" s="97"/>
    </row>
    <row r="53653" spans="25:25" x14ac:dyDescent="0.2">
      <c r="Y53653" s="97"/>
    </row>
    <row r="53654" spans="25:25" x14ac:dyDescent="0.2">
      <c r="Y53654" s="97"/>
    </row>
    <row r="53655" spans="25:25" x14ac:dyDescent="0.2">
      <c r="Y53655" s="97"/>
    </row>
    <row r="53656" spans="25:25" x14ac:dyDescent="0.2">
      <c r="Y53656" s="97"/>
    </row>
    <row r="53657" spans="25:25" x14ac:dyDescent="0.2">
      <c r="Y53657" s="97"/>
    </row>
    <row r="53658" spans="25:25" x14ac:dyDescent="0.2">
      <c r="Y53658" s="97"/>
    </row>
    <row r="53659" spans="25:25" x14ac:dyDescent="0.2">
      <c r="Y53659" s="97"/>
    </row>
    <row r="53660" spans="25:25" x14ac:dyDescent="0.2">
      <c r="Y53660" s="97"/>
    </row>
    <row r="53661" spans="25:25" x14ac:dyDescent="0.2">
      <c r="Y53661" s="97"/>
    </row>
    <row r="53662" spans="25:25" x14ac:dyDescent="0.2">
      <c r="Y53662" s="97"/>
    </row>
    <row r="53663" spans="25:25" x14ac:dyDescent="0.2">
      <c r="Y53663" s="97"/>
    </row>
    <row r="53664" spans="25:25" x14ac:dyDescent="0.2">
      <c r="Y53664" s="97"/>
    </row>
    <row r="53665" spans="25:25" x14ac:dyDescent="0.2">
      <c r="Y53665" s="97"/>
    </row>
    <row r="53666" spans="25:25" x14ac:dyDescent="0.2">
      <c r="Y53666" s="97"/>
    </row>
    <row r="53667" spans="25:25" x14ac:dyDescent="0.2">
      <c r="Y53667" s="97"/>
    </row>
    <row r="53668" spans="25:25" x14ac:dyDescent="0.2">
      <c r="Y53668" s="97"/>
    </row>
    <row r="53669" spans="25:25" x14ac:dyDescent="0.2">
      <c r="Y53669" s="97"/>
    </row>
    <row r="53670" spans="25:25" x14ac:dyDescent="0.2">
      <c r="Y53670" s="97"/>
    </row>
    <row r="53671" spans="25:25" x14ac:dyDescent="0.2">
      <c r="Y53671" s="97"/>
    </row>
    <row r="53672" spans="25:25" x14ac:dyDescent="0.2">
      <c r="Y53672" s="97"/>
    </row>
    <row r="53673" spans="25:25" x14ac:dyDescent="0.2">
      <c r="Y53673" s="97"/>
    </row>
    <row r="53674" spans="25:25" x14ac:dyDescent="0.2">
      <c r="Y53674" s="97"/>
    </row>
    <row r="53675" spans="25:25" x14ac:dyDescent="0.2">
      <c r="Y53675" s="97"/>
    </row>
    <row r="53676" spans="25:25" x14ac:dyDescent="0.2">
      <c r="Y53676" s="97"/>
    </row>
    <row r="53677" spans="25:25" x14ac:dyDescent="0.2">
      <c r="Y53677" s="97"/>
    </row>
    <row r="53678" spans="25:25" x14ac:dyDescent="0.2">
      <c r="Y53678" s="97"/>
    </row>
    <row r="53679" spans="25:25" x14ac:dyDescent="0.2">
      <c r="Y53679" s="97"/>
    </row>
    <row r="53680" spans="25:25" x14ac:dyDescent="0.2">
      <c r="Y53680" s="97"/>
    </row>
    <row r="53681" spans="25:25" x14ac:dyDescent="0.2">
      <c r="Y53681" s="97"/>
    </row>
    <row r="53682" spans="25:25" x14ac:dyDescent="0.2">
      <c r="Y53682" s="97"/>
    </row>
    <row r="53683" spans="25:25" x14ac:dyDescent="0.2">
      <c r="Y53683" s="97"/>
    </row>
    <row r="53684" spans="25:25" x14ac:dyDescent="0.2">
      <c r="Y53684" s="97"/>
    </row>
    <row r="53685" spans="25:25" x14ac:dyDescent="0.2">
      <c r="Y53685" s="97"/>
    </row>
    <row r="53686" spans="25:25" x14ac:dyDescent="0.2">
      <c r="Y53686" s="97"/>
    </row>
    <row r="53687" spans="25:25" x14ac:dyDescent="0.2">
      <c r="Y53687" s="97"/>
    </row>
    <row r="53688" spans="25:25" x14ac:dyDescent="0.2">
      <c r="Y53688" s="97"/>
    </row>
    <row r="53689" spans="25:25" x14ac:dyDescent="0.2">
      <c r="Y53689" s="97"/>
    </row>
    <row r="53690" spans="25:25" x14ac:dyDescent="0.2">
      <c r="Y53690" s="97"/>
    </row>
    <row r="53691" spans="25:25" x14ac:dyDescent="0.2">
      <c r="Y53691" s="97"/>
    </row>
    <row r="53692" spans="25:25" x14ac:dyDescent="0.2">
      <c r="Y53692" s="97"/>
    </row>
    <row r="53693" spans="25:25" x14ac:dyDescent="0.2">
      <c r="Y53693" s="97"/>
    </row>
    <row r="53694" spans="25:25" x14ac:dyDescent="0.2">
      <c r="Y53694" s="97"/>
    </row>
    <row r="53695" spans="25:25" x14ac:dyDescent="0.2">
      <c r="Y53695" s="97"/>
    </row>
    <row r="53696" spans="25:25" x14ac:dyDescent="0.2">
      <c r="Y53696" s="97"/>
    </row>
    <row r="53697" spans="25:25" x14ac:dyDescent="0.2">
      <c r="Y53697" s="97"/>
    </row>
    <row r="53698" spans="25:25" x14ac:dyDescent="0.2">
      <c r="Y53698" s="97"/>
    </row>
    <row r="53699" spans="25:25" x14ac:dyDescent="0.2">
      <c r="Y53699" s="97"/>
    </row>
    <row r="53700" spans="25:25" x14ac:dyDescent="0.2">
      <c r="Y53700" s="97"/>
    </row>
    <row r="53701" spans="25:25" x14ac:dyDescent="0.2">
      <c r="Y53701" s="97"/>
    </row>
    <row r="53702" spans="25:25" x14ac:dyDescent="0.2">
      <c r="Y53702" s="97"/>
    </row>
    <row r="53703" spans="25:25" x14ac:dyDescent="0.2">
      <c r="Y53703" s="97"/>
    </row>
    <row r="53704" spans="25:25" x14ac:dyDescent="0.2">
      <c r="Y53704" s="97"/>
    </row>
    <row r="53705" spans="25:25" x14ac:dyDescent="0.2">
      <c r="Y53705" s="97"/>
    </row>
    <row r="53706" spans="25:25" x14ac:dyDescent="0.2">
      <c r="Y53706" s="97"/>
    </row>
    <row r="53707" spans="25:25" x14ac:dyDescent="0.2">
      <c r="Y53707" s="97"/>
    </row>
    <row r="53708" spans="25:25" x14ac:dyDescent="0.2">
      <c r="Y53708" s="97"/>
    </row>
    <row r="53709" spans="25:25" x14ac:dyDescent="0.2">
      <c r="Y53709" s="97"/>
    </row>
    <row r="53710" spans="25:25" x14ac:dyDescent="0.2">
      <c r="Y53710" s="97"/>
    </row>
    <row r="53711" spans="25:25" x14ac:dyDescent="0.2">
      <c r="Y53711" s="97"/>
    </row>
    <row r="53712" spans="25:25" x14ac:dyDescent="0.2">
      <c r="Y53712" s="97"/>
    </row>
    <row r="53713" spans="25:25" x14ac:dyDescent="0.2">
      <c r="Y53713" s="97"/>
    </row>
    <row r="53714" spans="25:25" x14ac:dyDescent="0.2">
      <c r="Y53714" s="97"/>
    </row>
    <row r="53715" spans="25:25" x14ac:dyDescent="0.2">
      <c r="Y53715" s="97"/>
    </row>
    <row r="53716" spans="25:25" x14ac:dyDescent="0.2">
      <c r="Y53716" s="97"/>
    </row>
    <row r="53717" spans="25:25" x14ac:dyDescent="0.2">
      <c r="Y53717" s="97"/>
    </row>
    <row r="53718" spans="25:25" x14ac:dyDescent="0.2">
      <c r="Y53718" s="97"/>
    </row>
    <row r="53719" spans="25:25" x14ac:dyDescent="0.2">
      <c r="Y53719" s="97"/>
    </row>
    <row r="53720" spans="25:25" x14ac:dyDescent="0.2">
      <c r="Y53720" s="97"/>
    </row>
    <row r="53721" spans="25:25" x14ac:dyDescent="0.2">
      <c r="Y53721" s="97"/>
    </row>
    <row r="53722" spans="25:25" x14ac:dyDescent="0.2">
      <c r="Y53722" s="97"/>
    </row>
    <row r="53723" spans="25:25" x14ac:dyDescent="0.2">
      <c r="Y53723" s="97"/>
    </row>
    <row r="53724" spans="25:25" x14ac:dyDescent="0.2">
      <c r="Y53724" s="97"/>
    </row>
    <row r="53725" spans="25:25" x14ac:dyDescent="0.2">
      <c r="Y53725" s="97"/>
    </row>
    <row r="53726" spans="25:25" x14ac:dyDescent="0.2">
      <c r="Y53726" s="97"/>
    </row>
    <row r="53727" spans="25:25" x14ac:dyDescent="0.2">
      <c r="Y53727" s="97"/>
    </row>
    <row r="53728" spans="25:25" x14ac:dyDescent="0.2">
      <c r="Y53728" s="97"/>
    </row>
    <row r="53729" spans="25:25" x14ac:dyDescent="0.2">
      <c r="Y53729" s="97"/>
    </row>
    <row r="53730" spans="25:25" x14ac:dyDescent="0.2">
      <c r="Y53730" s="97"/>
    </row>
    <row r="53731" spans="25:25" x14ac:dyDescent="0.2">
      <c r="Y53731" s="97"/>
    </row>
    <row r="53732" spans="25:25" x14ac:dyDescent="0.2">
      <c r="Y53732" s="97"/>
    </row>
    <row r="53733" spans="25:25" x14ac:dyDescent="0.2">
      <c r="Y53733" s="97"/>
    </row>
    <row r="53734" spans="25:25" x14ac:dyDescent="0.2">
      <c r="Y53734" s="97"/>
    </row>
    <row r="53735" spans="25:25" x14ac:dyDescent="0.2">
      <c r="Y53735" s="97"/>
    </row>
    <row r="53736" spans="25:25" x14ac:dyDescent="0.2">
      <c r="Y53736" s="97"/>
    </row>
    <row r="53737" spans="25:25" x14ac:dyDescent="0.2">
      <c r="Y53737" s="97"/>
    </row>
    <row r="53738" spans="25:25" x14ac:dyDescent="0.2">
      <c r="Y53738" s="97"/>
    </row>
    <row r="53739" spans="25:25" x14ac:dyDescent="0.2">
      <c r="Y53739" s="97"/>
    </row>
    <row r="53740" spans="25:25" x14ac:dyDescent="0.2">
      <c r="Y53740" s="97"/>
    </row>
    <row r="53741" spans="25:25" x14ac:dyDescent="0.2">
      <c r="Y53741" s="97"/>
    </row>
    <row r="53742" spans="25:25" x14ac:dyDescent="0.2">
      <c r="Y53742" s="97"/>
    </row>
    <row r="53743" spans="25:25" x14ac:dyDescent="0.2">
      <c r="Y53743" s="97"/>
    </row>
    <row r="53744" spans="25:25" x14ac:dyDescent="0.2">
      <c r="Y53744" s="97"/>
    </row>
    <row r="53745" spans="25:25" x14ac:dyDescent="0.2">
      <c r="Y53745" s="97"/>
    </row>
    <row r="53746" spans="25:25" x14ac:dyDescent="0.2">
      <c r="Y53746" s="97"/>
    </row>
    <row r="53747" spans="25:25" x14ac:dyDescent="0.2">
      <c r="Y53747" s="97"/>
    </row>
    <row r="53748" spans="25:25" x14ac:dyDescent="0.2">
      <c r="Y53748" s="97"/>
    </row>
    <row r="53749" spans="25:25" x14ac:dyDescent="0.2">
      <c r="Y53749" s="97"/>
    </row>
    <row r="53750" spans="25:25" x14ac:dyDescent="0.2">
      <c r="Y53750" s="97"/>
    </row>
    <row r="53751" spans="25:25" x14ac:dyDescent="0.2">
      <c r="Y53751" s="97"/>
    </row>
    <row r="53752" spans="25:25" x14ac:dyDescent="0.2">
      <c r="Y53752" s="97"/>
    </row>
    <row r="53753" spans="25:25" x14ac:dyDescent="0.2">
      <c r="Y53753" s="97"/>
    </row>
    <row r="53754" spans="25:25" x14ac:dyDescent="0.2">
      <c r="Y53754" s="97"/>
    </row>
    <row r="53755" spans="25:25" x14ac:dyDescent="0.2">
      <c r="Y53755" s="97"/>
    </row>
    <row r="53756" spans="25:25" x14ac:dyDescent="0.2">
      <c r="Y53756" s="97"/>
    </row>
    <row r="53757" spans="25:25" x14ac:dyDescent="0.2">
      <c r="Y53757" s="97"/>
    </row>
    <row r="53758" spans="25:25" x14ac:dyDescent="0.2">
      <c r="Y53758" s="97"/>
    </row>
    <row r="53759" spans="25:25" x14ac:dyDescent="0.2">
      <c r="Y53759" s="97"/>
    </row>
    <row r="53760" spans="25:25" x14ac:dyDescent="0.2">
      <c r="Y53760" s="97"/>
    </row>
    <row r="53761" spans="25:25" x14ac:dyDescent="0.2">
      <c r="Y53761" s="97"/>
    </row>
    <row r="53762" spans="25:25" x14ac:dyDescent="0.2">
      <c r="Y53762" s="97"/>
    </row>
    <row r="53763" spans="25:25" x14ac:dyDescent="0.2">
      <c r="Y53763" s="97"/>
    </row>
    <row r="53764" spans="25:25" x14ac:dyDescent="0.2">
      <c r="Y53764" s="97"/>
    </row>
    <row r="53765" spans="25:25" x14ac:dyDescent="0.2">
      <c r="Y53765" s="97"/>
    </row>
    <row r="53766" spans="25:25" x14ac:dyDescent="0.2">
      <c r="Y53766" s="97"/>
    </row>
    <row r="53767" spans="25:25" x14ac:dyDescent="0.2">
      <c r="Y53767" s="97"/>
    </row>
    <row r="53768" spans="25:25" x14ac:dyDescent="0.2">
      <c r="Y53768" s="97"/>
    </row>
    <row r="53769" spans="25:25" x14ac:dyDescent="0.2">
      <c r="Y53769" s="97"/>
    </row>
    <row r="53770" spans="25:25" x14ac:dyDescent="0.2">
      <c r="Y53770" s="97"/>
    </row>
    <row r="53771" spans="25:25" x14ac:dyDescent="0.2">
      <c r="Y53771" s="97"/>
    </row>
    <row r="53772" spans="25:25" x14ac:dyDescent="0.2">
      <c r="Y53772" s="97"/>
    </row>
    <row r="53773" spans="25:25" x14ac:dyDescent="0.2">
      <c r="Y53773" s="97"/>
    </row>
    <row r="53774" spans="25:25" x14ac:dyDescent="0.2">
      <c r="Y53774" s="97"/>
    </row>
    <row r="53775" spans="25:25" x14ac:dyDescent="0.2">
      <c r="Y53775" s="97"/>
    </row>
    <row r="53776" spans="25:25" x14ac:dyDescent="0.2">
      <c r="Y53776" s="97"/>
    </row>
    <row r="53777" spans="25:25" x14ac:dyDescent="0.2">
      <c r="Y53777" s="97"/>
    </row>
    <row r="53778" spans="25:25" x14ac:dyDescent="0.2">
      <c r="Y53778" s="97"/>
    </row>
    <row r="53779" spans="25:25" x14ac:dyDescent="0.2">
      <c r="Y53779" s="97"/>
    </row>
    <row r="53780" spans="25:25" x14ac:dyDescent="0.2">
      <c r="Y53780" s="97"/>
    </row>
    <row r="53781" spans="25:25" x14ac:dyDescent="0.2">
      <c r="Y53781" s="97"/>
    </row>
    <row r="53782" spans="25:25" x14ac:dyDescent="0.2">
      <c r="Y53782" s="97"/>
    </row>
    <row r="53783" spans="25:25" x14ac:dyDescent="0.2">
      <c r="Y53783" s="97"/>
    </row>
    <row r="53784" spans="25:25" x14ac:dyDescent="0.2">
      <c r="Y53784" s="97"/>
    </row>
    <row r="53785" spans="25:25" x14ac:dyDescent="0.2">
      <c r="Y53785" s="97"/>
    </row>
    <row r="53786" spans="25:25" x14ac:dyDescent="0.2">
      <c r="Y53786" s="97"/>
    </row>
    <row r="53787" spans="25:25" x14ac:dyDescent="0.2">
      <c r="Y53787" s="97"/>
    </row>
    <row r="53788" spans="25:25" x14ac:dyDescent="0.2">
      <c r="Y53788" s="97"/>
    </row>
    <row r="53789" spans="25:25" x14ac:dyDescent="0.2">
      <c r="Y53789" s="97"/>
    </row>
    <row r="53790" spans="25:25" x14ac:dyDescent="0.2">
      <c r="Y53790" s="97"/>
    </row>
    <row r="53791" spans="25:25" x14ac:dyDescent="0.2">
      <c r="Y53791" s="97"/>
    </row>
    <row r="53792" spans="25:25" x14ac:dyDescent="0.2">
      <c r="Y53792" s="97"/>
    </row>
    <row r="53793" spans="25:25" x14ac:dyDescent="0.2">
      <c r="Y53793" s="97"/>
    </row>
    <row r="53794" spans="25:25" x14ac:dyDescent="0.2">
      <c r="Y53794" s="97"/>
    </row>
    <row r="53795" spans="25:25" x14ac:dyDescent="0.2">
      <c r="Y53795" s="97"/>
    </row>
    <row r="53796" spans="25:25" x14ac:dyDescent="0.2">
      <c r="Y53796" s="97"/>
    </row>
    <row r="53797" spans="25:25" x14ac:dyDescent="0.2">
      <c r="Y53797" s="97"/>
    </row>
    <row r="53798" spans="25:25" x14ac:dyDescent="0.2">
      <c r="Y53798" s="97"/>
    </row>
    <row r="53799" spans="25:25" x14ac:dyDescent="0.2">
      <c r="Y53799" s="97"/>
    </row>
    <row r="53800" spans="25:25" x14ac:dyDescent="0.2">
      <c r="Y53800" s="97"/>
    </row>
    <row r="53801" spans="25:25" x14ac:dyDescent="0.2">
      <c r="Y53801" s="97"/>
    </row>
    <row r="53802" spans="25:25" x14ac:dyDescent="0.2">
      <c r="Y53802" s="97"/>
    </row>
    <row r="53803" spans="25:25" x14ac:dyDescent="0.2">
      <c r="Y53803" s="97"/>
    </row>
    <row r="53804" spans="25:25" x14ac:dyDescent="0.2">
      <c r="Y53804" s="97"/>
    </row>
    <row r="53805" spans="25:25" x14ac:dyDescent="0.2">
      <c r="Y53805" s="97"/>
    </row>
    <row r="53806" spans="25:25" x14ac:dyDescent="0.2">
      <c r="Y53806" s="97"/>
    </row>
    <row r="53807" spans="25:25" x14ac:dyDescent="0.2">
      <c r="Y53807" s="97"/>
    </row>
    <row r="53808" spans="25:25" x14ac:dyDescent="0.2">
      <c r="Y53808" s="97"/>
    </row>
    <row r="53809" spans="25:25" x14ac:dyDescent="0.2">
      <c r="Y53809" s="97"/>
    </row>
    <row r="53810" spans="25:25" x14ac:dyDescent="0.2">
      <c r="Y53810" s="97"/>
    </row>
    <row r="53811" spans="25:25" x14ac:dyDescent="0.2">
      <c r="Y53811" s="97"/>
    </row>
    <row r="53812" spans="25:25" x14ac:dyDescent="0.2">
      <c r="Y53812" s="97"/>
    </row>
    <row r="53813" spans="25:25" x14ac:dyDescent="0.2">
      <c r="Y53813" s="97"/>
    </row>
    <row r="53814" spans="25:25" x14ac:dyDescent="0.2">
      <c r="Y53814" s="97"/>
    </row>
    <row r="53815" spans="25:25" x14ac:dyDescent="0.2">
      <c r="Y53815" s="97"/>
    </row>
    <row r="53816" spans="25:25" x14ac:dyDescent="0.2">
      <c r="Y53816" s="97"/>
    </row>
    <row r="53817" spans="25:25" x14ac:dyDescent="0.2">
      <c r="Y53817" s="97"/>
    </row>
    <row r="53818" spans="25:25" x14ac:dyDescent="0.2">
      <c r="Y53818" s="97"/>
    </row>
    <row r="53819" spans="25:25" x14ac:dyDescent="0.2">
      <c r="Y53819" s="97"/>
    </row>
    <row r="53820" spans="25:25" x14ac:dyDescent="0.2">
      <c r="Y53820" s="97"/>
    </row>
    <row r="53821" spans="25:25" x14ac:dyDescent="0.2">
      <c r="Y53821" s="97"/>
    </row>
    <row r="53822" spans="25:25" x14ac:dyDescent="0.2">
      <c r="Y53822" s="97"/>
    </row>
    <row r="53823" spans="25:25" x14ac:dyDescent="0.2">
      <c r="Y53823" s="97"/>
    </row>
    <row r="53824" spans="25:25" x14ac:dyDescent="0.2">
      <c r="Y53824" s="97"/>
    </row>
    <row r="53825" spans="25:25" x14ac:dyDescent="0.2">
      <c r="Y53825" s="97"/>
    </row>
    <row r="53826" spans="25:25" x14ac:dyDescent="0.2">
      <c r="Y53826" s="97"/>
    </row>
    <row r="53827" spans="25:25" x14ac:dyDescent="0.2">
      <c r="Y53827" s="97"/>
    </row>
    <row r="53828" spans="25:25" x14ac:dyDescent="0.2">
      <c r="Y53828" s="97"/>
    </row>
    <row r="53829" spans="25:25" x14ac:dyDescent="0.2">
      <c r="Y53829" s="97"/>
    </row>
    <row r="53830" spans="25:25" x14ac:dyDescent="0.2">
      <c r="Y53830" s="97"/>
    </row>
    <row r="53831" spans="25:25" x14ac:dyDescent="0.2">
      <c r="Y53831" s="97"/>
    </row>
    <row r="53832" spans="25:25" x14ac:dyDescent="0.2">
      <c r="Y53832" s="97"/>
    </row>
    <row r="53833" spans="25:25" x14ac:dyDescent="0.2">
      <c r="Y53833" s="97"/>
    </row>
    <row r="53834" spans="25:25" x14ac:dyDescent="0.2">
      <c r="Y53834" s="97"/>
    </row>
    <row r="53835" spans="25:25" x14ac:dyDescent="0.2">
      <c r="Y53835" s="97"/>
    </row>
    <row r="53836" spans="25:25" x14ac:dyDescent="0.2">
      <c r="Y53836" s="97"/>
    </row>
    <row r="53837" spans="25:25" x14ac:dyDescent="0.2">
      <c r="Y53837" s="97"/>
    </row>
    <row r="53838" spans="25:25" x14ac:dyDescent="0.2">
      <c r="Y53838" s="97"/>
    </row>
    <row r="53839" spans="25:25" x14ac:dyDescent="0.2">
      <c r="Y53839" s="97"/>
    </row>
    <row r="53840" spans="25:25" x14ac:dyDescent="0.2">
      <c r="Y53840" s="97"/>
    </row>
    <row r="53841" spans="25:25" x14ac:dyDescent="0.2">
      <c r="Y53841" s="97"/>
    </row>
    <row r="53842" spans="25:25" x14ac:dyDescent="0.2">
      <c r="Y53842" s="97"/>
    </row>
    <row r="53843" spans="25:25" x14ac:dyDescent="0.2">
      <c r="Y53843" s="97"/>
    </row>
    <row r="53844" spans="25:25" x14ac:dyDescent="0.2">
      <c r="Y53844" s="97"/>
    </row>
    <row r="53845" spans="25:25" x14ac:dyDescent="0.2">
      <c r="Y53845" s="97"/>
    </row>
    <row r="53846" spans="25:25" x14ac:dyDescent="0.2">
      <c r="Y53846" s="97"/>
    </row>
    <row r="53847" spans="25:25" x14ac:dyDescent="0.2">
      <c r="Y53847" s="97"/>
    </row>
    <row r="53848" spans="25:25" x14ac:dyDescent="0.2">
      <c r="Y53848" s="97"/>
    </row>
    <row r="53849" spans="25:25" x14ac:dyDescent="0.2">
      <c r="Y53849" s="97"/>
    </row>
    <row r="53850" spans="25:25" x14ac:dyDescent="0.2">
      <c r="Y53850" s="97"/>
    </row>
    <row r="53851" spans="25:25" x14ac:dyDescent="0.2">
      <c r="Y53851" s="97"/>
    </row>
    <row r="53852" spans="25:25" x14ac:dyDescent="0.2">
      <c r="Y53852" s="97"/>
    </row>
    <row r="53853" spans="25:25" x14ac:dyDescent="0.2">
      <c r="Y53853" s="97"/>
    </row>
    <row r="53854" spans="25:25" x14ac:dyDescent="0.2">
      <c r="Y53854" s="97"/>
    </row>
    <row r="53855" spans="25:25" x14ac:dyDescent="0.2">
      <c r="Y53855" s="97"/>
    </row>
    <row r="53856" spans="25:25" x14ac:dyDescent="0.2">
      <c r="Y53856" s="97"/>
    </row>
    <row r="53857" spans="25:25" x14ac:dyDescent="0.2">
      <c r="Y53857" s="97"/>
    </row>
    <row r="53858" spans="25:25" x14ac:dyDescent="0.2">
      <c r="Y53858" s="97"/>
    </row>
    <row r="53859" spans="25:25" x14ac:dyDescent="0.2">
      <c r="Y53859" s="97"/>
    </row>
    <row r="53860" spans="25:25" x14ac:dyDescent="0.2">
      <c r="Y53860" s="97"/>
    </row>
    <row r="53861" spans="25:25" x14ac:dyDescent="0.2">
      <c r="Y53861" s="97"/>
    </row>
    <row r="53862" spans="25:25" x14ac:dyDescent="0.2">
      <c r="Y53862" s="97"/>
    </row>
    <row r="53863" spans="25:25" x14ac:dyDescent="0.2">
      <c r="Y53863" s="97"/>
    </row>
    <row r="53864" spans="25:25" x14ac:dyDescent="0.2">
      <c r="Y53864" s="97"/>
    </row>
    <row r="53865" spans="25:25" x14ac:dyDescent="0.2">
      <c r="Y53865" s="97"/>
    </row>
    <row r="53866" spans="25:25" x14ac:dyDescent="0.2">
      <c r="Y53866" s="97"/>
    </row>
    <row r="53867" spans="25:25" x14ac:dyDescent="0.2">
      <c r="Y53867" s="97"/>
    </row>
    <row r="53868" spans="25:25" x14ac:dyDescent="0.2">
      <c r="Y53868" s="97"/>
    </row>
    <row r="53869" spans="25:25" x14ac:dyDescent="0.2">
      <c r="Y53869" s="97"/>
    </row>
    <row r="53870" spans="25:25" x14ac:dyDescent="0.2">
      <c r="Y53870" s="97"/>
    </row>
    <row r="53871" spans="25:25" x14ac:dyDescent="0.2">
      <c r="Y53871" s="97"/>
    </row>
    <row r="53872" spans="25:25" x14ac:dyDescent="0.2">
      <c r="Y53872" s="97"/>
    </row>
    <row r="53873" spans="25:25" x14ac:dyDescent="0.2">
      <c r="Y53873" s="97"/>
    </row>
    <row r="53874" spans="25:25" x14ac:dyDescent="0.2">
      <c r="Y53874" s="97"/>
    </row>
    <row r="53875" spans="25:25" x14ac:dyDescent="0.2">
      <c r="Y53875" s="97"/>
    </row>
    <row r="53876" spans="25:25" x14ac:dyDescent="0.2">
      <c r="Y53876" s="97"/>
    </row>
    <row r="53877" spans="25:25" x14ac:dyDescent="0.2">
      <c r="Y53877" s="97"/>
    </row>
    <row r="53878" spans="25:25" x14ac:dyDescent="0.2">
      <c r="Y53878" s="97"/>
    </row>
    <row r="53879" spans="25:25" x14ac:dyDescent="0.2">
      <c r="Y53879" s="97"/>
    </row>
    <row r="53880" spans="25:25" x14ac:dyDescent="0.2">
      <c r="Y53880" s="97"/>
    </row>
    <row r="53881" spans="25:25" x14ac:dyDescent="0.2">
      <c r="Y53881" s="97"/>
    </row>
    <row r="53882" spans="25:25" x14ac:dyDescent="0.2">
      <c r="Y53882" s="97"/>
    </row>
    <row r="53883" spans="25:25" x14ac:dyDescent="0.2">
      <c r="Y53883" s="97"/>
    </row>
    <row r="53884" spans="25:25" x14ac:dyDescent="0.2">
      <c r="Y53884" s="97"/>
    </row>
    <row r="53885" spans="25:25" x14ac:dyDescent="0.2">
      <c r="Y53885" s="97"/>
    </row>
    <row r="53886" spans="25:25" x14ac:dyDescent="0.2">
      <c r="Y53886" s="97"/>
    </row>
    <row r="53887" spans="25:25" x14ac:dyDescent="0.2">
      <c r="Y53887" s="97"/>
    </row>
    <row r="53888" spans="25:25" x14ac:dyDescent="0.2">
      <c r="Y53888" s="97"/>
    </row>
    <row r="53889" spans="25:25" x14ac:dyDescent="0.2">
      <c r="Y53889" s="97"/>
    </row>
    <row r="53890" spans="25:25" x14ac:dyDescent="0.2">
      <c r="Y53890" s="97"/>
    </row>
    <row r="53891" spans="25:25" x14ac:dyDescent="0.2">
      <c r="Y53891" s="97"/>
    </row>
    <row r="53892" spans="25:25" x14ac:dyDescent="0.2">
      <c r="Y53892" s="97"/>
    </row>
    <row r="53893" spans="25:25" x14ac:dyDescent="0.2">
      <c r="Y53893" s="97"/>
    </row>
    <row r="53894" spans="25:25" x14ac:dyDescent="0.2">
      <c r="Y53894" s="97"/>
    </row>
    <row r="53895" spans="25:25" x14ac:dyDescent="0.2">
      <c r="Y53895" s="97"/>
    </row>
    <row r="53896" spans="25:25" x14ac:dyDescent="0.2">
      <c r="Y53896" s="97"/>
    </row>
    <row r="53897" spans="25:25" x14ac:dyDescent="0.2">
      <c r="Y53897" s="97"/>
    </row>
    <row r="53898" spans="25:25" x14ac:dyDescent="0.2">
      <c r="Y53898" s="97"/>
    </row>
    <row r="53899" spans="25:25" x14ac:dyDescent="0.2">
      <c r="Y53899" s="97"/>
    </row>
    <row r="53900" spans="25:25" x14ac:dyDescent="0.2">
      <c r="Y53900" s="97"/>
    </row>
    <row r="53901" spans="25:25" x14ac:dyDescent="0.2">
      <c r="Y53901" s="97"/>
    </row>
    <row r="53902" spans="25:25" x14ac:dyDescent="0.2">
      <c r="Y53902" s="97"/>
    </row>
    <row r="53903" spans="25:25" x14ac:dyDescent="0.2">
      <c r="Y53903" s="97"/>
    </row>
    <row r="53904" spans="25:25" x14ac:dyDescent="0.2">
      <c r="Y53904" s="97"/>
    </row>
    <row r="53905" spans="25:25" x14ac:dyDescent="0.2">
      <c r="Y53905" s="97"/>
    </row>
    <row r="53906" spans="25:25" x14ac:dyDescent="0.2">
      <c r="Y53906" s="97"/>
    </row>
    <row r="53907" spans="25:25" x14ac:dyDescent="0.2">
      <c r="Y53907" s="97"/>
    </row>
    <row r="53908" spans="25:25" x14ac:dyDescent="0.2">
      <c r="Y53908" s="97"/>
    </row>
    <row r="53909" spans="25:25" x14ac:dyDescent="0.2">
      <c r="Y53909" s="97"/>
    </row>
    <row r="53910" spans="25:25" x14ac:dyDescent="0.2">
      <c r="Y53910" s="97"/>
    </row>
    <row r="53911" spans="25:25" x14ac:dyDescent="0.2">
      <c r="Y53911" s="97"/>
    </row>
    <row r="53912" spans="25:25" x14ac:dyDescent="0.2">
      <c r="Y53912" s="97"/>
    </row>
    <row r="53913" spans="25:25" x14ac:dyDescent="0.2">
      <c r="Y53913" s="97"/>
    </row>
    <row r="53914" spans="25:25" x14ac:dyDescent="0.2">
      <c r="Y53914" s="97"/>
    </row>
    <row r="53915" spans="25:25" x14ac:dyDescent="0.2">
      <c r="Y53915" s="97"/>
    </row>
    <row r="53916" spans="25:25" x14ac:dyDescent="0.2">
      <c r="Y53916" s="97"/>
    </row>
    <row r="53917" spans="25:25" x14ac:dyDescent="0.2">
      <c r="Y53917" s="97"/>
    </row>
    <row r="53918" spans="25:25" x14ac:dyDescent="0.2">
      <c r="Y53918" s="97"/>
    </row>
    <row r="53919" spans="25:25" x14ac:dyDescent="0.2">
      <c r="Y53919" s="97"/>
    </row>
    <row r="53920" spans="25:25" x14ac:dyDescent="0.2">
      <c r="Y53920" s="97"/>
    </row>
    <row r="53921" spans="25:25" x14ac:dyDescent="0.2">
      <c r="Y53921" s="97"/>
    </row>
    <row r="53922" spans="25:25" x14ac:dyDescent="0.2">
      <c r="Y53922" s="97"/>
    </row>
    <row r="53923" spans="25:25" x14ac:dyDescent="0.2">
      <c r="Y53923" s="97"/>
    </row>
    <row r="53924" spans="25:25" x14ac:dyDescent="0.2">
      <c r="Y53924" s="97"/>
    </row>
    <row r="53925" spans="25:25" x14ac:dyDescent="0.2">
      <c r="Y53925" s="97"/>
    </row>
    <row r="53926" spans="25:25" x14ac:dyDescent="0.2">
      <c r="Y53926" s="97"/>
    </row>
    <row r="53927" spans="25:25" x14ac:dyDescent="0.2">
      <c r="Y53927" s="97"/>
    </row>
    <row r="53928" spans="25:25" x14ac:dyDescent="0.2">
      <c r="Y53928" s="97"/>
    </row>
    <row r="53929" spans="25:25" x14ac:dyDescent="0.2">
      <c r="Y53929" s="97"/>
    </row>
    <row r="53930" spans="25:25" x14ac:dyDescent="0.2">
      <c r="Y53930" s="97"/>
    </row>
    <row r="53931" spans="25:25" x14ac:dyDescent="0.2">
      <c r="Y53931" s="97"/>
    </row>
    <row r="53932" spans="25:25" x14ac:dyDescent="0.2">
      <c r="Y53932" s="97"/>
    </row>
    <row r="53933" spans="25:25" x14ac:dyDescent="0.2">
      <c r="Y53933" s="97"/>
    </row>
    <row r="53934" spans="25:25" x14ac:dyDescent="0.2">
      <c r="Y53934" s="97"/>
    </row>
    <row r="53935" spans="25:25" x14ac:dyDescent="0.2">
      <c r="Y53935" s="97"/>
    </row>
    <row r="53936" spans="25:25" x14ac:dyDescent="0.2">
      <c r="Y53936" s="97"/>
    </row>
    <row r="53937" spans="25:25" x14ac:dyDescent="0.2">
      <c r="Y53937" s="97"/>
    </row>
    <row r="53938" spans="25:25" x14ac:dyDescent="0.2">
      <c r="Y53938" s="97"/>
    </row>
    <row r="53939" spans="25:25" x14ac:dyDescent="0.2">
      <c r="Y53939" s="97"/>
    </row>
    <row r="53940" spans="25:25" x14ac:dyDescent="0.2">
      <c r="Y53940" s="97"/>
    </row>
    <row r="53941" spans="25:25" x14ac:dyDescent="0.2">
      <c r="Y53941" s="97"/>
    </row>
    <row r="53942" spans="25:25" x14ac:dyDescent="0.2">
      <c r="Y53942" s="97"/>
    </row>
    <row r="53943" spans="25:25" x14ac:dyDescent="0.2">
      <c r="Y53943" s="97"/>
    </row>
    <row r="53944" spans="25:25" x14ac:dyDescent="0.2">
      <c r="Y53944" s="97"/>
    </row>
    <row r="53945" spans="25:25" x14ac:dyDescent="0.2">
      <c r="Y53945" s="97"/>
    </row>
    <row r="53946" spans="25:25" x14ac:dyDescent="0.2">
      <c r="Y53946" s="97"/>
    </row>
    <row r="53947" spans="25:25" x14ac:dyDescent="0.2">
      <c r="Y53947" s="97"/>
    </row>
    <row r="53948" spans="25:25" x14ac:dyDescent="0.2">
      <c r="Y53948" s="97"/>
    </row>
    <row r="53949" spans="25:25" x14ac:dyDescent="0.2">
      <c r="Y53949" s="97"/>
    </row>
    <row r="53950" spans="25:25" x14ac:dyDescent="0.2">
      <c r="Y53950" s="97"/>
    </row>
    <row r="53951" spans="25:25" x14ac:dyDescent="0.2">
      <c r="Y53951" s="97"/>
    </row>
    <row r="53952" spans="25:25" x14ac:dyDescent="0.2">
      <c r="Y53952" s="97"/>
    </row>
    <row r="53953" spans="25:25" x14ac:dyDescent="0.2">
      <c r="Y53953" s="97"/>
    </row>
    <row r="53954" spans="25:25" x14ac:dyDescent="0.2">
      <c r="Y53954" s="97"/>
    </row>
    <row r="53955" spans="25:25" x14ac:dyDescent="0.2">
      <c r="Y53955" s="97"/>
    </row>
    <row r="53956" spans="25:25" x14ac:dyDescent="0.2">
      <c r="Y53956" s="97"/>
    </row>
    <row r="53957" spans="25:25" x14ac:dyDescent="0.2">
      <c r="Y53957" s="97"/>
    </row>
    <row r="53958" spans="25:25" x14ac:dyDescent="0.2">
      <c r="Y53958" s="97"/>
    </row>
    <row r="53959" spans="25:25" x14ac:dyDescent="0.2">
      <c r="Y53959" s="97"/>
    </row>
    <row r="53960" spans="25:25" x14ac:dyDescent="0.2">
      <c r="Y53960" s="97"/>
    </row>
    <row r="53961" spans="25:25" x14ac:dyDescent="0.2">
      <c r="Y53961" s="97"/>
    </row>
    <row r="53962" spans="25:25" x14ac:dyDescent="0.2">
      <c r="Y53962" s="97"/>
    </row>
    <row r="53963" spans="25:25" x14ac:dyDescent="0.2">
      <c r="Y53963" s="97"/>
    </row>
    <row r="53964" spans="25:25" x14ac:dyDescent="0.2">
      <c r="Y53964" s="97"/>
    </row>
    <row r="53965" spans="25:25" x14ac:dyDescent="0.2">
      <c r="Y53965" s="97"/>
    </row>
    <row r="53966" spans="25:25" x14ac:dyDescent="0.2">
      <c r="Y53966" s="97"/>
    </row>
    <row r="53967" spans="25:25" x14ac:dyDescent="0.2">
      <c r="Y53967" s="97"/>
    </row>
    <row r="53968" spans="25:25" x14ac:dyDescent="0.2">
      <c r="Y53968" s="97"/>
    </row>
    <row r="53969" spans="25:25" x14ac:dyDescent="0.2">
      <c r="Y53969" s="97"/>
    </row>
    <row r="53970" spans="25:25" x14ac:dyDescent="0.2">
      <c r="Y53970" s="97"/>
    </row>
    <row r="53971" spans="25:25" x14ac:dyDescent="0.2">
      <c r="Y53971" s="97"/>
    </row>
    <row r="53972" spans="25:25" x14ac:dyDescent="0.2">
      <c r="Y53972" s="97"/>
    </row>
    <row r="53973" spans="25:25" x14ac:dyDescent="0.2">
      <c r="Y53973" s="97"/>
    </row>
    <row r="53974" spans="25:25" x14ac:dyDescent="0.2">
      <c r="Y53974" s="97"/>
    </row>
    <row r="53975" spans="25:25" x14ac:dyDescent="0.2">
      <c r="Y53975" s="97"/>
    </row>
    <row r="53976" spans="25:25" x14ac:dyDescent="0.2">
      <c r="Y53976" s="97"/>
    </row>
    <row r="53977" spans="25:25" x14ac:dyDescent="0.2">
      <c r="Y53977" s="97"/>
    </row>
    <row r="53978" spans="25:25" x14ac:dyDescent="0.2">
      <c r="Y53978" s="97"/>
    </row>
    <row r="53979" spans="25:25" x14ac:dyDescent="0.2">
      <c r="Y53979" s="97"/>
    </row>
    <row r="53980" spans="25:25" x14ac:dyDescent="0.2">
      <c r="Y53980" s="97"/>
    </row>
    <row r="53981" spans="25:25" x14ac:dyDescent="0.2">
      <c r="Y53981" s="97"/>
    </row>
    <row r="53982" spans="25:25" x14ac:dyDescent="0.2">
      <c r="Y53982" s="97"/>
    </row>
    <row r="53983" spans="25:25" x14ac:dyDescent="0.2">
      <c r="Y53983" s="97"/>
    </row>
    <row r="53984" spans="25:25" x14ac:dyDescent="0.2">
      <c r="Y53984" s="97"/>
    </row>
    <row r="53985" spans="25:25" x14ac:dyDescent="0.2">
      <c r="Y53985" s="97"/>
    </row>
    <row r="53986" spans="25:25" x14ac:dyDescent="0.2">
      <c r="Y53986" s="97"/>
    </row>
    <row r="53987" spans="25:25" x14ac:dyDescent="0.2">
      <c r="Y53987" s="97"/>
    </row>
    <row r="53988" spans="25:25" x14ac:dyDescent="0.2">
      <c r="Y53988" s="97"/>
    </row>
    <row r="53989" spans="25:25" x14ac:dyDescent="0.2">
      <c r="Y53989" s="97"/>
    </row>
    <row r="53990" spans="25:25" x14ac:dyDescent="0.2">
      <c r="Y53990" s="97"/>
    </row>
    <row r="53991" spans="25:25" x14ac:dyDescent="0.2">
      <c r="Y53991" s="97"/>
    </row>
    <row r="53992" spans="25:25" x14ac:dyDescent="0.2">
      <c r="Y53992" s="97"/>
    </row>
    <row r="53993" spans="25:25" x14ac:dyDescent="0.2">
      <c r="Y53993" s="97"/>
    </row>
    <row r="53994" spans="25:25" x14ac:dyDescent="0.2">
      <c r="Y53994" s="97"/>
    </row>
    <row r="53995" spans="25:25" x14ac:dyDescent="0.2">
      <c r="Y53995" s="97"/>
    </row>
    <row r="53996" spans="25:25" x14ac:dyDescent="0.2">
      <c r="Y53996" s="97"/>
    </row>
    <row r="53997" spans="25:25" x14ac:dyDescent="0.2">
      <c r="Y53997" s="97"/>
    </row>
    <row r="53998" spans="25:25" x14ac:dyDescent="0.2">
      <c r="Y53998" s="97"/>
    </row>
    <row r="53999" spans="25:25" x14ac:dyDescent="0.2">
      <c r="Y53999" s="97"/>
    </row>
    <row r="54000" spans="25:25" x14ac:dyDescent="0.2">
      <c r="Y54000" s="97"/>
    </row>
    <row r="54001" spans="25:25" x14ac:dyDescent="0.2">
      <c r="Y54001" s="97"/>
    </row>
    <row r="54002" spans="25:25" x14ac:dyDescent="0.2">
      <c r="Y54002" s="97"/>
    </row>
    <row r="54003" spans="25:25" x14ac:dyDescent="0.2">
      <c r="Y54003" s="97"/>
    </row>
    <row r="54004" spans="25:25" x14ac:dyDescent="0.2">
      <c r="Y54004" s="97"/>
    </row>
    <row r="54005" spans="25:25" x14ac:dyDescent="0.2">
      <c r="Y54005" s="97"/>
    </row>
    <row r="54006" spans="25:25" x14ac:dyDescent="0.2">
      <c r="Y54006" s="97"/>
    </row>
    <row r="54007" spans="25:25" x14ac:dyDescent="0.2">
      <c r="Y54007" s="97"/>
    </row>
    <row r="54008" spans="25:25" x14ac:dyDescent="0.2">
      <c r="Y54008" s="97"/>
    </row>
    <row r="54009" spans="25:25" x14ac:dyDescent="0.2">
      <c r="Y54009" s="97"/>
    </row>
    <row r="54010" spans="25:25" x14ac:dyDescent="0.2">
      <c r="Y54010" s="97"/>
    </row>
    <row r="54011" spans="25:25" x14ac:dyDescent="0.2">
      <c r="Y54011" s="97"/>
    </row>
    <row r="54012" spans="25:25" x14ac:dyDescent="0.2">
      <c r="Y54012" s="97"/>
    </row>
    <row r="54013" spans="25:25" x14ac:dyDescent="0.2">
      <c r="Y54013" s="97"/>
    </row>
    <row r="54014" spans="25:25" x14ac:dyDescent="0.2">
      <c r="Y54014" s="97"/>
    </row>
    <row r="54015" spans="25:25" x14ac:dyDescent="0.2">
      <c r="Y54015" s="97"/>
    </row>
    <row r="54016" spans="25:25" x14ac:dyDescent="0.2">
      <c r="Y54016" s="97"/>
    </row>
    <row r="54017" spans="25:25" x14ac:dyDescent="0.2">
      <c r="Y54017" s="97"/>
    </row>
    <row r="54018" spans="25:25" x14ac:dyDescent="0.2">
      <c r="Y54018" s="97"/>
    </row>
    <row r="54019" spans="25:25" x14ac:dyDescent="0.2">
      <c r="Y54019" s="97"/>
    </row>
    <row r="54020" spans="25:25" x14ac:dyDescent="0.2">
      <c r="Y54020" s="97"/>
    </row>
    <row r="54021" spans="25:25" x14ac:dyDescent="0.2">
      <c r="Y54021" s="97"/>
    </row>
    <row r="54022" spans="25:25" x14ac:dyDescent="0.2">
      <c r="Y54022" s="97"/>
    </row>
    <row r="54023" spans="25:25" x14ac:dyDescent="0.2">
      <c r="Y54023" s="97"/>
    </row>
    <row r="54024" spans="25:25" x14ac:dyDescent="0.2">
      <c r="Y54024" s="97"/>
    </row>
    <row r="54025" spans="25:25" x14ac:dyDescent="0.2">
      <c r="Y54025" s="97"/>
    </row>
    <row r="54026" spans="25:25" x14ac:dyDescent="0.2">
      <c r="Y54026" s="97"/>
    </row>
    <row r="54027" spans="25:25" x14ac:dyDescent="0.2">
      <c r="Y54027" s="97"/>
    </row>
    <row r="54028" spans="25:25" x14ac:dyDescent="0.2">
      <c r="Y54028" s="97"/>
    </row>
    <row r="54029" spans="25:25" x14ac:dyDescent="0.2">
      <c r="Y54029" s="97"/>
    </row>
    <row r="54030" spans="25:25" x14ac:dyDescent="0.2">
      <c r="Y54030" s="97"/>
    </row>
    <row r="54031" spans="25:25" x14ac:dyDescent="0.2">
      <c r="Y54031" s="97"/>
    </row>
    <row r="54032" spans="25:25" x14ac:dyDescent="0.2">
      <c r="Y54032" s="97"/>
    </row>
    <row r="54033" spans="25:25" x14ac:dyDescent="0.2">
      <c r="Y54033" s="97"/>
    </row>
    <row r="54034" spans="25:25" x14ac:dyDescent="0.2">
      <c r="Y54034" s="97"/>
    </row>
    <row r="54035" spans="25:25" x14ac:dyDescent="0.2">
      <c r="Y54035" s="97"/>
    </row>
    <row r="54036" spans="25:25" x14ac:dyDescent="0.2">
      <c r="Y54036" s="97"/>
    </row>
    <row r="54037" spans="25:25" x14ac:dyDescent="0.2">
      <c r="Y54037" s="97"/>
    </row>
    <row r="54038" spans="25:25" x14ac:dyDescent="0.2">
      <c r="Y54038" s="97"/>
    </row>
    <row r="54039" spans="25:25" x14ac:dyDescent="0.2">
      <c r="Y54039" s="97"/>
    </row>
    <row r="54040" spans="25:25" x14ac:dyDescent="0.2">
      <c r="Y54040" s="97"/>
    </row>
    <row r="54041" spans="25:25" x14ac:dyDescent="0.2">
      <c r="Y54041" s="97"/>
    </row>
    <row r="54042" spans="25:25" x14ac:dyDescent="0.2">
      <c r="Y54042" s="97"/>
    </row>
    <row r="54043" spans="25:25" x14ac:dyDescent="0.2">
      <c r="Y54043" s="97"/>
    </row>
    <row r="54044" spans="25:25" x14ac:dyDescent="0.2">
      <c r="Y54044" s="97"/>
    </row>
    <row r="54045" spans="25:25" x14ac:dyDescent="0.2">
      <c r="Y54045" s="97"/>
    </row>
    <row r="54046" spans="25:25" x14ac:dyDescent="0.2">
      <c r="Y54046" s="97"/>
    </row>
    <row r="54047" spans="25:25" x14ac:dyDescent="0.2">
      <c r="Y54047" s="97"/>
    </row>
    <row r="54048" spans="25:25" x14ac:dyDescent="0.2">
      <c r="Y54048" s="97"/>
    </row>
    <row r="54049" spans="25:25" x14ac:dyDescent="0.2">
      <c r="Y54049" s="97"/>
    </row>
    <row r="54050" spans="25:25" x14ac:dyDescent="0.2">
      <c r="Y54050" s="97"/>
    </row>
    <row r="54051" spans="25:25" x14ac:dyDescent="0.2">
      <c r="Y54051" s="97"/>
    </row>
    <row r="54052" spans="25:25" x14ac:dyDescent="0.2">
      <c r="Y54052" s="97"/>
    </row>
    <row r="54053" spans="25:25" x14ac:dyDescent="0.2">
      <c r="Y54053" s="97"/>
    </row>
    <row r="54054" spans="25:25" x14ac:dyDescent="0.2">
      <c r="Y54054" s="97"/>
    </row>
    <row r="54055" spans="25:25" x14ac:dyDescent="0.2">
      <c r="Y54055" s="97"/>
    </row>
    <row r="54056" spans="25:25" x14ac:dyDescent="0.2">
      <c r="Y54056" s="97"/>
    </row>
    <row r="54057" spans="25:25" x14ac:dyDescent="0.2">
      <c r="Y54057" s="97"/>
    </row>
    <row r="54058" spans="25:25" x14ac:dyDescent="0.2">
      <c r="Y54058" s="97"/>
    </row>
    <row r="54059" spans="25:25" x14ac:dyDescent="0.2">
      <c r="Y54059" s="97"/>
    </row>
    <row r="54060" spans="25:25" x14ac:dyDescent="0.2">
      <c r="Y54060" s="97"/>
    </row>
    <row r="54061" spans="25:25" x14ac:dyDescent="0.2">
      <c r="Y54061" s="97"/>
    </row>
    <row r="54062" spans="25:25" x14ac:dyDescent="0.2">
      <c r="Y54062" s="97"/>
    </row>
    <row r="54063" spans="25:25" x14ac:dyDescent="0.2">
      <c r="Y54063" s="97"/>
    </row>
    <row r="54064" spans="25:25" x14ac:dyDescent="0.2">
      <c r="Y54064" s="97"/>
    </row>
    <row r="54065" spans="25:25" x14ac:dyDescent="0.2">
      <c r="Y54065" s="97"/>
    </row>
    <row r="54066" spans="25:25" x14ac:dyDescent="0.2">
      <c r="Y54066" s="97"/>
    </row>
    <row r="54067" spans="25:25" x14ac:dyDescent="0.2">
      <c r="Y54067" s="97"/>
    </row>
    <row r="54068" spans="25:25" x14ac:dyDescent="0.2">
      <c r="Y54068" s="97"/>
    </row>
    <row r="54069" spans="25:25" x14ac:dyDescent="0.2">
      <c r="Y54069" s="97"/>
    </row>
    <row r="54070" spans="25:25" x14ac:dyDescent="0.2">
      <c r="Y54070" s="97"/>
    </row>
    <row r="54071" spans="25:25" x14ac:dyDescent="0.2">
      <c r="Y54071" s="97"/>
    </row>
    <row r="54072" spans="25:25" x14ac:dyDescent="0.2">
      <c r="Y54072" s="97"/>
    </row>
    <row r="54073" spans="25:25" x14ac:dyDescent="0.2">
      <c r="Y54073" s="97"/>
    </row>
    <row r="54074" spans="25:25" x14ac:dyDescent="0.2">
      <c r="Y54074" s="97"/>
    </row>
    <row r="54075" spans="25:25" x14ac:dyDescent="0.2">
      <c r="Y54075" s="97"/>
    </row>
    <row r="54076" spans="25:25" x14ac:dyDescent="0.2">
      <c r="Y54076" s="97"/>
    </row>
    <row r="54077" spans="25:25" x14ac:dyDescent="0.2">
      <c r="Y54077" s="97"/>
    </row>
    <row r="54078" spans="25:25" x14ac:dyDescent="0.2">
      <c r="Y54078" s="97"/>
    </row>
    <row r="54079" spans="25:25" x14ac:dyDescent="0.2">
      <c r="Y54079" s="97"/>
    </row>
    <row r="54080" spans="25:25" x14ac:dyDescent="0.2">
      <c r="Y54080" s="97"/>
    </row>
    <row r="54081" spans="25:25" x14ac:dyDescent="0.2">
      <c r="Y54081" s="97"/>
    </row>
    <row r="54082" spans="25:25" x14ac:dyDescent="0.2">
      <c r="Y54082" s="97"/>
    </row>
    <row r="54083" spans="25:25" x14ac:dyDescent="0.2">
      <c r="Y54083" s="97"/>
    </row>
    <row r="54084" spans="25:25" x14ac:dyDescent="0.2">
      <c r="Y54084" s="97"/>
    </row>
    <row r="54085" spans="25:25" x14ac:dyDescent="0.2">
      <c r="Y54085" s="97"/>
    </row>
    <row r="54086" spans="25:25" x14ac:dyDescent="0.2">
      <c r="Y54086" s="97"/>
    </row>
    <row r="54087" spans="25:25" x14ac:dyDescent="0.2">
      <c r="Y54087" s="97"/>
    </row>
    <row r="54088" spans="25:25" x14ac:dyDescent="0.2">
      <c r="Y54088" s="97"/>
    </row>
    <row r="54089" spans="25:25" x14ac:dyDescent="0.2">
      <c r="Y54089" s="97"/>
    </row>
    <row r="54090" spans="25:25" x14ac:dyDescent="0.2">
      <c r="Y54090" s="97"/>
    </row>
    <row r="54091" spans="25:25" x14ac:dyDescent="0.2">
      <c r="Y54091" s="97"/>
    </row>
    <row r="54092" spans="25:25" x14ac:dyDescent="0.2">
      <c r="Y54092" s="97"/>
    </row>
    <row r="54093" spans="25:25" x14ac:dyDescent="0.2">
      <c r="Y54093" s="97"/>
    </row>
    <row r="54094" spans="25:25" x14ac:dyDescent="0.2">
      <c r="Y54094" s="97"/>
    </row>
    <row r="54095" spans="25:25" x14ac:dyDescent="0.2">
      <c r="Y54095" s="97"/>
    </row>
    <row r="54096" spans="25:25" x14ac:dyDescent="0.2">
      <c r="Y54096" s="97"/>
    </row>
    <row r="54097" spans="25:25" x14ac:dyDescent="0.2">
      <c r="Y54097" s="97"/>
    </row>
    <row r="54098" spans="25:25" x14ac:dyDescent="0.2">
      <c r="Y54098" s="97"/>
    </row>
    <row r="54099" spans="25:25" x14ac:dyDescent="0.2">
      <c r="Y54099" s="97"/>
    </row>
    <row r="54100" spans="25:25" x14ac:dyDescent="0.2">
      <c r="Y54100" s="97"/>
    </row>
    <row r="54101" spans="25:25" x14ac:dyDescent="0.2">
      <c r="Y54101" s="97"/>
    </row>
    <row r="54102" spans="25:25" x14ac:dyDescent="0.2">
      <c r="Y54102" s="97"/>
    </row>
    <row r="54103" spans="25:25" x14ac:dyDescent="0.2">
      <c r="Y54103" s="97"/>
    </row>
    <row r="54104" spans="25:25" x14ac:dyDescent="0.2">
      <c r="Y54104" s="97"/>
    </row>
    <row r="54105" spans="25:25" x14ac:dyDescent="0.2">
      <c r="Y54105" s="97"/>
    </row>
    <row r="54106" spans="25:25" x14ac:dyDescent="0.2">
      <c r="Y54106" s="97"/>
    </row>
    <row r="54107" spans="25:25" x14ac:dyDescent="0.2">
      <c r="Y54107" s="97"/>
    </row>
    <row r="54108" spans="25:25" x14ac:dyDescent="0.2">
      <c r="Y54108" s="97"/>
    </row>
    <row r="54109" spans="25:25" x14ac:dyDescent="0.2">
      <c r="Y54109" s="97"/>
    </row>
    <row r="54110" spans="25:25" x14ac:dyDescent="0.2">
      <c r="Y54110" s="97"/>
    </row>
    <row r="54111" spans="25:25" x14ac:dyDescent="0.2">
      <c r="Y54111" s="97"/>
    </row>
    <row r="54112" spans="25:25" x14ac:dyDescent="0.2">
      <c r="Y54112" s="97"/>
    </row>
    <row r="54113" spans="25:25" x14ac:dyDescent="0.2">
      <c r="Y54113" s="97"/>
    </row>
    <row r="54114" spans="25:25" x14ac:dyDescent="0.2">
      <c r="Y54114" s="97"/>
    </row>
    <row r="54115" spans="25:25" x14ac:dyDescent="0.2">
      <c r="Y54115" s="97"/>
    </row>
    <row r="54116" spans="25:25" x14ac:dyDescent="0.2">
      <c r="Y54116" s="97"/>
    </row>
    <row r="54117" spans="25:25" x14ac:dyDescent="0.2">
      <c r="Y54117" s="97"/>
    </row>
    <row r="54118" spans="25:25" x14ac:dyDescent="0.2">
      <c r="Y54118" s="97"/>
    </row>
    <row r="54119" spans="25:25" x14ac:dyDescent="0.2">
      <c r="Y54119" s="97"/>
    </row>
    <row r="54120" spans="25:25" x14ac:dyDescent="0.2">
      <c r="Y54120" s="97"/>
    </row>
    <row r="54121" spans="25:25" x14ac:dyDescent="0.2">
      <c r="Y54121" s="97"/>
    </row>
    <row r="54122" spans="25:25" x14ac:dyDescent="0.2">
      <c r="Y54122" s="97"/>
    </row>
    <row r="54123" spans="25:25" x14ac:dyDescent="0.2">
      <c r="Y54123" s="97"/>
    </row>
    <row r="54124" spans="25:25" x14ac:dyDescent="0.2">
      <c r="Y54124" s="97"/>
    </row>
    <row r="54125" spans="25:25" x14ac:dyDescent="0.2">
      <c r="Y54125" s="97"/>
    </row>
    <row r="54126" spans="25:25" x14ac:dyDescent="0.2">
      <c r="Y54126" s="97"/>
    </row>
    <row r="54127" spans="25:25" x14ac:dyDescent="0.2">
      <c r="Y54127" s="97"/>
    </row>
    <row r="54128" spans="25:25" x14ac:dyDescent="0.2">
      <c r="Y54128" s="97"/>
    </row>
    <row r="54129" spans="25:25" x14ac:dyDescent="0.2">
      <c r="Y54129" s="97"/>
    </row>
    <row r="54130" spans="25:25" x14ac:dyDescent="0.2">
      <c r="Y54130" s="97"/>
    </row>
    <row r="54131" spans="25:25" x14ac:dyDescent="0.2">
      <c r="Y54131" s="97"/>
    </row>
    <row r="54132" spans="25:25" x14ac:dyDescent="0.2">
      <c r="Y54132" s="97"/>
    </row>
    <row r="54133" spans="25:25" x14ac:dyDescent="0.2">
      <c r="Y54133" s="97"/>
    </row>
    <row r="54134" spans="25:25" x14ac:dyDescent="0.2">
      <c r="Y54134" s="97"/>
    </row>
    <row r="54135" spans="25:25" x14ac:dyDescent="0.2">
      <c r="Y54135" s="97"/>
    </row>
    <row r="54136" spans="25:25" x14ac:dyDescent="0.2">
      <c r="Y54136" s="97"/>
    </row>
    <row r="54137" spans="25:25" x14ac:dyDescent="0.2">
      <c r="Y54137" s="97"/>
    </row>
    <row r="54138" spans="25:25" x14ac:dyDescent="0.2">
      <c r="Y54138" s="97"/>
    </row>
    <row r="54139" spans="25:25" x14ac:dyDescent="0.2">
      <c r="Y54139" s="97"/>
    </row>
    <row r="54140" spans="25:25" x14ac:dyDescent="0.2">
      <c r="Y54140" s="97"/>
    </row>
    <row r="54141" spans="25:25" x14ac:dyDescent="0.2">
      <c r="Y54141" s="97"/>
    </row>
    <row r="54142" spans="25:25" x14ac:dyDescent="0.2">
      <c r="Y54142" s="97"/>
    </row>
    <row r="54143" spans="25:25" x14ac:dyDescent="0.2">
      <c r="Y54143" s="97"/>
    </row>
    <row r="54144" spans="25:25" x14ac:dyDescent="0.2">
      <c r="Y54144" s="97"/>
    </row>
    <row r="54145" spans="25:25" x14ac:dyDescent="0.2">
      <c r="Y54145" s="97"/>
    </row>
    <row r="54146" spans="25:25" x14ac:dyDescent="0.2">
      <c r="Y54146" s="97"/>
    </row>
    <row r="54147" spans="25:25" x14ac:dyDescent="0.2">
      <c r="Y54147" s="97"/>
    </row>
    <row r="54148" spans="25:25" x14ac:dyDescent="0.2">
      <c r="Y54148" s="97"/>
    </row>
    <row r="54149" spans="25:25" x14ac:dyDescent="0.2">
      <c r="Y54149" s="97"/>
    </row>
    <row r="54150" spans="25:25" x14ac:dyDescent="0.2">
      <c r="Y54150" s="97"/>
    </row>
    <row r="54151" spans="25:25" x14ac:dyDescent="0.2">
      <c r="Y54151" s="97"/>
    </row>
    <row r="54152" spans="25:25" x14ac:dyDescent="0.2">
      <c r="Y54152" s="97"/>
    </row>
    <row r="54153" spans="25:25" x14ac:dyDescent="0.2">
      <c r="Y54153" s="97"/>
    </row>
    <row r="54154" spans="25:25" x14ac:dyDescent="0.2">
      <c r="Y54154" s="97"/>
    </row>
    <row r="54155" spans="25:25" x14ac:dyDescent="0.2">
      <c r="Y54155" s="97"/>
    </row>
    <row r="54156" spans="25:25" x14ac:dyDescent="0.2">
      <c r="Y54156" s="97"/>
    </row>
    <row r="54157" spans="25:25" x14ac:dyDescent="0.2">
      <c r="Y54157" s="97"/>
    </row>
    <row r="54158" spans="25:25" x14ac:dyDescent="0.2">
      <c r="Y54158" s="97"/>
    </row>
    <row r="54159" spans="25:25" x14ac:dyDescent="0.2">
      <c r="Y54159" s="97"/>
    </row>
    <row r="54160" spans="25:25" x14ac:dyDescent="0.2">
      <c r="Y54160" s="97"/>
    </row>
    <row r="54161" spans="25:25" x14ac:dyDescent="0.2">
      <c r="Y54161" s="97"/>
    </row>
    <row r="54162" spans="25:25" x14ac:dyDescent="0.2">
      <c r="Y54162" s="97"/>
    </row>
    <row r="54163" spans="25:25" x14ac:dyDescent="0.2">
      <c r="Y54163" s="97"/>
    </row>
    <row r="54164" spans="25:25" x14ac:dyDescent="0.2">
      <c r="Y54164" s="97"/>
    </row>
    <row r="54165" spans="25:25" x14ac:dyDescent="0.2">
      <c r="Y54165" s="97"/>
    </row>
    <row r="54166" spans="25:25" x14ac:dyDescent="0.2">
      <c r="Y54166" s="97"/>
    </row>
    <row r="54167" spans="25:25" x14ac:dyDescent="0.2">
      <c r="Y54167" s="97"/>
    </row>
    <row r="54168" spans="25:25" x14ac:dyDescent="0.2">
      <c r="Y54168" s="97"/>
    </row>
    <row r="54169" spans="25:25" x14ac:dyDescent="0.2">
      <c r="Y54169" s="97"/>
    </row>
    <row r="54170" spans="25:25" x14ac:dyDescent="0.2">
      <c r="Y54170" s="97"/>
    </row>
    <row r="54171" spans="25:25" x14ac:dyDescent="0.2">
      <c r="Y54171" s="97"/>
    </row>
    <row r="54172" spans="25:25" x14ac:dyDescent="0.2">
      <c r="Y54172" s="97"/>
    </row>
    <row r="54173" spans="25:25" x14ac:dyDescent="0.2">
      <c r="Y54173" s="97"/>
    </row>
    <row r="54174" spans="25:25" x14ac:dyDescent="0.2">
      <c r="Y54174" s="97"/>
    </row>
    <row r="54175" spans="25:25" x14ac:dyDescent="0.2">
      <c r="Y54175" s="97"/>
    </row>
    <row r="54176" spans="25:25" x14ac:dyDescent="0.2">
      <c r="Y54176" s="97"/>
    </row>
    <row r="54177" spans="25:25" x14ac:dyDescent="0.2">
      <c r="Y54177" s="97"/>
    </row>
    <row r="54178" spans="25:25" x14ac:dyDescent="0.2">
      <c r="Y54178" s="97"/>
    </row>
    <row r="54179" spans="25:25" x14ac:dyDescent="0.2">
      <c r="Y54179" s="97"/>
    </row>
    <row r="54180" spans="25:25" x14ac:dyDescent="0.2">
      <c r="Y54180" s="97"/>
    </row>
    <row r="54181" spans="25:25" x14ac:dyDescent="0.2">
      <c r="Y54181" s="97"/>
    </row>
    <row r="54182" spans="25:25" x14ac:dyDescent="0.2">
      <c r="Y54182" s="97"/>
    </row>
    <row r="54183" spans="25:25" x14ac:dyDescent="0.2">
      <c r="Y54183" s="97"/>
    </row>
    <row r="54184" spans="25:25" x14ac:dyDescent="0.2">
      <c r="Y54184" s="97"/>
    </row>
    <row r="54185" spans="25:25" x14ac:dyDescent="0.2">
      <c r="Y54185" s="97"/>
    </row>
    <row r="54186" spans="25:25" x14ac:dyDescent="0.2">
      <c r="Y54186" s="97"/>
    </row>
    <row r="54187" spans="25:25" x14ac:dyDescent="0.2">
      <c r="Y54187" s="97"/>
    </row>
    <row r="54188" spans="25:25" x14ac:dyDescent="0.2">
      <c r="Y54188" s="97"/>
    </row>
    <row r="54189" spans="25:25" x14ac:dyDescent="0.2">
      <c r="Y54189" s="97"/>
    </row>
    <row r="54190" spans="25:25" x14ac:dyDescent="0.2">
      <c r="Y54190" s="97"/>
    </row>
    <row r="54191" spans="25:25" x14ac:dyDescent="0.2">
      <c r="Y54191" s="97"/>
    </row>
    <row r="54192" spans="25:25" x14ac:dyDescent="0.2">
      <c r="Y54192" s="97"/>
    </row>
    <row r="54193" spans="25:25" x14ac:dyDescent="0.2">
      <c r="Y54193" s="97"/>
    </row>
    <row r="54194" spans="25:25" x14ac:dyDescent="0.2">
      <c r="Y54194" s="97"/>
    </row>
    <row r="54195" spans="25:25" x14ac:dyDescent="0.2">
      <c r="Y54195" s="97"/>
    </row>
    <row r="54196" spans="25:25" x14ac:dyDescent="0.2">
      <c r="Y54196" s="97"/>
    </row>
    <row r="54197" spans="25:25" x14ac:dyDescent="0.2">
      <c r="Y54197" s="97"/>
    </row>
    <row r="54198" spans="25:25" x14ac:dyDescent="0.2">
      <c r="Y54198" s="97"/>
    </row>
    <row r="54199" spans="25:25" x14ac:dyDescent="0.2">
      <c r="Y54199" s="97"/>
    </row>
    <row r="54200" spans="25:25" x14ac:dyDescent="0.2">
      <c r="Y54200" s="97"/>
    </row>
    <row r="54201" spans="25:25" x14ac:dyDescent="0.2">
      <c r="Y54201" s="97"/>
    </row>
    <row r="54202" spans="25:25" x14ac:dyDescent="0.2">
      <c r="Y54202" s="97"/>
    </row>
    <row r="54203" spans="25:25" x14ac:dyDescent="0.2">
      <c r="Y54203" s="97"/>
    </row>
    <row r="54204" spans="25:25" x14ac:dyDescent="0.2">
      <c r="Y54204" s="97"/>
    </row>
    <row r="54205" spans="25:25" x14ac:dyDescent="0.2">
      <c r="Y54205" s="97"/>
    </row>
    <row r="54206" spans="25:25" x14ac:dyDescent="0.2">
      <c r="Y54206" s="97"/>
    </row>
    <row r="54207" spans="25:25" x14ac:dyDescent="0.2">
      <c r="Y54207" s="97"/>
    </row>
    <row r="54208" spans="25:25" x14ac:dyDescent="0.2">
      <c r="Y54208" s="97"/>
    </row>
    <row r="54209" spans="25:25" x14ac:dyDescent="0.2">
      <c r="Y54209" s="97"/>
    </row>
    <row r="54210" spans="25:25" x14ac:dyDescent="0.2">
      <c r="Y54210" s="97"/>
    </row>
    <row r="54211" spans="25:25" x14ac:dyDescent="0.2">
      <c r="Y54211" s="97"/>
    </row>
    <row r="54212" spans="25:25" x14ac:dyDescent="0.2">
      <c r="Y54212" s="97"/>
    </row>
    <row r="54213" spans="25:25" x14ac:dyDescent="0.2">
      <c r="Y54213" s="97"/>
    </row>
    <row r="54214" spans="25:25" x14ac:dyDescent="0.2">
      <c r="Y54214" s="97"/>
    </row>
    <row r="54215" spans="25:25" x14ac:dyDescent="0.2">
      <c r="Y54215" s="97"/>
    </row>
    <row r="54216" spans="25:25" x14ac:dyDescent="0.2">
      <c r="Y54216" s="97"/>
    </row>
    <row r="54217" spans="25:25" x14ac:dyDescent="0.2">
      <c r="Y54217" s="97"/>
    </row>
    <row r="54218" spans="25:25" x14ac:dyDescent="0.2">
      <c r="Y54218" s="97"/>
    </row>
    <row r="54219" spans="25:25" x14ac:dyDescent="0.2">
      <c r="Y54219" s="97"/>
    </row>
    <row r="54220" spans="25:25" x14ac:dyDescent="0.2">
      <c r="Y54220" s="97"/>
    </row>
    <row r="54221" spans="25:25" x14ac:dyDescent="0.2">
      <c r="Y54221" s="97"/>
    </row>
    <row r="54222" spans="25:25" x14ac:dyDescent="0.2">
      <c r="Y54222" s="97"/>
    </row>
    <row r="54223" spans="25:25" x14ac:dyDescent="0.2">
      <c r="Y54223" s="97"/>
    </row>
    <row r="54224" spans="25:25" x14ac:dyDescent="0.2">
      <c r="Y54224" s="97"/>
    </row>
    <row r="54225" spans="25:25" x14ac:dyDescent="0.2">
      <c r="Y54225" s="97"/>
    </row>
    <row r="54226" spans="25:25" x14ac:dyDescent="0.2">
      <c r="Y54226" s="97"/>
    </row>
    <row r="54227" spans="25:25" x14ac:dyDescent="0.2">
      <c r="Y54227" s="97"/>
    </row>
    <row r="54228" spans="25:25" x14ac:dyDescent="0.2">
      <c r="Y54228" s="97"/>
    </row>
    <row r="54229" spans="25:25" x14ac:dyDescent="0.2">
      <c r="Y54229" s="97"/>
    </row>
    <row r="54230" spans="25:25" x14ac:dyDescent="0.2">
      <c r="Y54230" s="97"/>
    </row>
    <row r="54231" spans="25:25" x14ac:dyDescent="0.2">
      <c r="Y54231" s="97"/>
    </row>
    <row r="54232" spans="25:25" x14ac:dyDescent="0.2">
      <c r="Y54232" s="97"/>
    </row>
    <row r="54233" spans="25:25" x14ac:dyDescent="0.2">
      <c r="Y54233" s="97"/>
    </row>
    <row r="54234" spans="25:25" x14ac:dyDescent="0.2">
      <c r="Y54234" s="97"/>
    </row>
    <row r="54235" spans="25:25" x14ac:dyDescent="0.2">
      <c r="Y54235" s="97"/>
    </row>
    <row r="54236" spans="25:25" x14ac:dyDescent="0.2">
      <c r="Y54236" s="97"/>
    </row>
    <row r="54237" spans="25:25" x14ac:dyDescent="0.2">
      <c r="Y54237" s="97"/>
    </row>
    <row r="54238" spans="25:25" x14ac:dyDescent="0.2">
      <c r="Y54238" s="97"/>
    </row>
    <row r="54239" spans="25:25" x14ac:dyDescent="0.2">
      <c r="Y54239" s="97"/>
    </row>
    <row r="54240" spans="25:25" x14ac:dyDescent="0.2">
      <c r="Y54240" s="97"/>
    </row>
    <row r="54241" spans="25:25" x14ac:dyDescent="0.2">
      <c r="Y54241" s="97"/>
    </row>
    <row r="54242" spans="25:25" x14ac:dyDescent="0.2">
      <c r="Y54242" s="97"/>
    </row>
    <row r="54243" spans="25:25" x14ac:dyDescent="0.2">
      <c r="Y54243" s="97"/>
    </row>
    <row r="54244" spans="25:25" x14ac:dyDescent="0.2">
      <c r="Y54244" s="97"/>
    </row>
    <row r="54245" spans="25:25" x14ac:dyDescent="0.2">
      <c r="Y54245" s="97"/>
    </row>
    <row r="54246" spans="25:25" x14ac:dyDescent="0.2">
      <c r="Y54246" s="97"/>
    </row>
    <row r="54247" spans="25:25" x14ac:dyDescent="0.2">
      <c r="Y54247" s="97"/>
    </row>
    <row r="54248" spans="25:25" x14ac:dyDescent="0.2">
      <c r="Y54248" s="97"/>
    </row>
    <row r="54249" spans="25:25" x14ac:dyDescent="0.2">
      <c r="Y54249" s="97"/>
    </row>
    <row r="54250" spans="25:25" x14ac:dyDescent="0.2">
      <c r="Y54250" s="97"/>
    </row>
    <row r="54251" spans="25:25" x14ac:dyDescent="0.2">
      <c r="Y54251" s="97"/>
    </row>
    <row r="54252" spans="25:25" x14ac:dyDescent="0.2">
      <c r="Y54252" s="97"/>
    </row>
    <row r="54253" spans="25:25" x14ac:dyDescent="0.2">
      <c r="Y54253" s="97"/>
    </row>
    <row r="54254" spans="25:25" x14ac:dyDescent="0.2">
      <c r="Y54254" s="97"/>
    </row>
    <row r="54255" spans="25:25" x14ac:dyDescent="0.2">
      <c r="Y54255" s="97"/>
    </row>
    <row r="54256" spans="25:25" x14ac:dyDescent="0.2">
      <c r="Y54256" s="97"/>
    </row>
    <row r="54257" spans="25:25" x14ac:dyDescent="0.2">
      <c r="Y54257" s="97"/>
    </row>
    <row r="54258" spans="25:25" x14ac:dyDescent="0.2">
      <c r="Y54258" s="97"/>
    </row>
    <row r="54259" spans="25:25" x14ac:dyDescent="0.2">
      <c r="Y54259" s="97"/>
    </row>
    <row r="54260" spans="25:25" x14ac:dyDescent="0.2">
      <c r="Y54260" s="97"/>
    </row>
    <row r="54261" spans="25:25" x14ac:dyDescent="0.2">
      <c r="Y54261" s="97"/>
    </row>
    <row r="54262" spans="25:25" x14ac:dyDescent="0.2">
      <c r="Y54262" s="97"/>
    </row>
    <row r="54263" spans="25:25" x14ac:dyDescent="0.2">
      <c r="Y54263" s="97"/>
    </row>
    <row r="54264" spans="25:25" x14ac:dyDescent="0.2">
      <c r="Y54264" s="97"/>
    </row>
    <row r="54265" spans="25:25" x14ac:dyDescent="0.2">
      <c r="Y54265" s="97"/>
    </row>
    <row r="54266" spans="25:25" x14ac:dyDescent="0.2">
      <c r="Y54266" s="97"/>
    </row>
    <row r="54267" spans="25:25" x14ac:dyDescent="0.2">
      <c r="Y54267" s="97"/>
    </row>
    <row r="54268" spans="25:25" x14ac:dyDescent="0.2">
      <c r="Y54268" s="97"/>
    </row>
    <row r="54269" spans="25:25" x14ac:dyDescent="0.2">
      <c r="Y54269" s="97"/>
    </row>
    <row r="54270" spans="25:25" x14ac:dyDescent="0.2">
      <c r="Y54270" s="97"/>
    </row>
    <row r="54271" spans="25:25" x14ac:dyDescent="0.2">
      <c r="Y54271" s="97"/>
    </row>
    <row r="54272" spans="25:25" x14ac:dyDescent="0.2">
      <c r="Y54272" s="97"/>
    </row>
    <row r="54273" spans="25:25" x14ac:dyDescent="0.2">
      <c r="Y54273" s="97"/>
    </row>
    <row r="54274" spans="25:25" x14ac:dyDescent="0.2">
      <c r="Y54274" s="97"/>
    </row>
    <row r="54275" spans="25:25" x14ac:dyDescent="0.2">
      <c r="Y54275" s="97"/>
    </row>
    <row r="54276" spans="25:25" x14ac:dyDescent="0.2">
      <c r="Y54276" s="97"/>
    </row>
    <row r="54277" spans="25:25" x14ac:dyDescent="0.2">
      <c r="Y54277" s="97"/>
    </row>
    <row r="54278" spans="25:25" x14ac:dyDescent="0.2">
      <c r="Y54278" s="97"/>
    </row>
    <row r="54279" spans="25:25" x14ac:dyDescent="0.2">
      <c r="Y54279" s="97"/>
    </row>
    <row r="54280" spans="25:25" x14ac:dyDescent="0.2">
      <c r="Y54280" s="97"/>
    </row>
    <row r="54281" spans="25:25" x14ac:dyDescent="0.2">
      <c r="Y54281" s="97"/>
    </row>
    <row r="54282" spans="25:25" x14ac:dyDescent="0.2">
      <c r="Y54282" s="97"/>
    </row>
    <row r="54283" spans="25:25" x14ac:dyDescent="0.2">
      <c r="Y54283" s="97"/>
    </row>
    <row r="54284" spans="25:25" x14ac:dyDescent="0.2">
      <c r="Y54284" s="97"/>
    </row>
    <row r="54285" spans="25:25" x14ac:dyDescent="0.2">
      <c r="Y54285" s="97"/>
    </row>
    <row r="54286" spans="25:25" x14ac:dyDescent="0.2">
      <c r="Y54286" s="97"/>
    </row>
    <row r="54287" spans="25:25" x14ac:dyDescent="0.2">
      <c r="Y54287" s="97"/>
    </row>
    <row r="54288" spans="25:25" x14ac:dyDescent="0.2">
      <c r="Y54288" s="97"/>
    </row>
    <row r="54289" spans="25:25" x14ac:dyDescent="0.2">
      <c r="Y54289" s="97"/>
    </row>
    <row r="54290" spans="25:25" x14ac:dyDescent="0.2">
      <c r="Y54290" s="97"/>
    </row>
    <row r="54291" spans="25:25" x14ac:dyDescent="0.2">
      <c r="Y54291" s="97"/>
    </row>
    <row r="54292" spans="25:25" x14ac:dyDescent="0.2">
      <c r="Y54292" s="97"/>
    </row>
    <row r="54293" spans="25:25" x14ac:dyDescent="0.2">
      <c r="Y54293" s="97"/>
    </row>
    <row r="54294" spans="25:25" x14ac:dyDescent="0.2">
      <c r="Y54294" s="97"/>
    </row>
    <row r="54295" spans="25:25" x14ac:dyDescent="0.2">
      <c r="Y54295" s="97"/>
    </row>
    <row r="54296" spans="25:25" x14ac:dyDescent="0.2">
      <c r="Y54296" s="97"/>
    </row>
    <row r="54297" spans="25:25" x14ac:dyDescent="0.2">
      <c r="Y54297" s="97"/>
    </row>
    <row r="54298" spans="25:25" x14ac:dyDescent="0.2">
      <c r="Y54298" s="97"/>
    </row>
    <row r="54299" spans="25:25" x14ac:dyDescent="0.2">
      <c r="Y54299" s="97"/>
    </row>
    <row r="54300" spans="25:25" x14ac:dyDescent="0.2">
      <c r="Y54300" s="97"/>
    </row>
    <row r="54301" spans="25:25" x14ac:dyDescent="0.2">
      <c r="Y54301" s="97"/>
    </row>
    <row r="54302" spans="25:25" x14ac:dyDescent="0.2">
      <c r="Y54302" s="97"/>
    </row>
    <row r="54303" spans="25:25" x14ac:dyDescent="0.2">
      <c r="Y54303" s="97"/>
    </row>
    <row r="54304" spans="25:25" x14ac:dyDescent="0.2">
      <c r="Y54304" s="97"/>
    </row>
    <row r="54305" spans="25:25" x14ac:dyDescent="0.2">
      <c r="Y54305" s="97"/>
    </row>
    <row r="54306" spans="25:25" x14ac:dyDescent="0.2">
      <c r="Y54306" s="97"/>
    </row>
    <row r="54307" spans="25:25" x14ac:dyDescent="0.2">
      <c r="Y54307" s="97"/>
    </row>
    <row r="54308" spans="25:25" x14ac:dyDescent="0.2">
      <c r="Y54308" s="97"/>
    </row>
    <row r="54309" spans="25:25" x14ac:dyDescent="0.2">
      <c r="Y54309" s="97"/>
    </row>
    <row r="54310" spans="25:25" x14ac:dyDescent="0.2">
      <c r="Y54310" s="97"/>
    </row>
    <row r="54311" spans="25:25" x14ac:dyDescent="0.2">
      <c r="Y54311" s="97"/>
    </row>
    <row r="54312" spans="25:25" x14ac:dyDescent="0.2">
      <c r="Y54312" s="97"/>
    </row>
    <row r="54313" spans="25:25" x14ac:dyDescent="0.2">
      <c r="Y54313" s="97"/>
    </row>
    <row r="54314" spans="25:25" x14ac:dyDescent="0.2">
      <c r="Y54314" s="97"/>
    </row>
    <row r="54315" spans="25:25" x14ac:dyDescent="0.2">
      <c r="Y54315" s="97"/>
    </row>
    <row r="54316" spans="25:25" x14ac:dyDescent="0.2">
      <c r="Y54316" s="97"/>
    </row>
    <row r="54317" spans="25:25" x14ac:dyDescent="0.2">
      <c r="Y54317" s="97"/>
    </row>
    <row r="54318" spans="25:25" x14ac:dyDescent="0.2">
      <c r="Y54318" s="97"/>
    </row>
    <row r="54319" spans="25:25" x14ac:dyDescent="0.2">
      <c r="Y54319" s="97"/>
    </row>
    <row r="54320" spans="25:25" x14ac:dyDescent="0.2">
      <c r="Y54320" s="97"/>
    </row>
    <row r="54321" spans="25:25" x14ac:dyDescent="0.2">
      <c r="Y54321" s="97"/>
    </row>
    <row r="54322" spans="25:25" x14ac:dyDescent="0.2">
      <c r="Y54322" s="97"/>
    </row>
    <row r="54323" spans="25:25" x14ac:dyDescent="0.2">
      <c r="Y54323" s="97"/>
    </row>
    <row r="54324" spans="25:25" x14ac:dyDescent="0.2">
      <c r="Y54324" s="97"/>
    </row>
    <row r="54325" spans="25:25" x14ac:dyDescent="0.2">
      <c r="Y54325" s="97"/>
    </row>
    <row r="54326" spans="25:25" x14ac:dyDescent="0.2">
      <c r="Y54326" s="97"/>
    </row>
    <row r="54327" spans="25:25" x14ac:dyDescent="0.2">
      <c r="Y54327" s="97"/>
    </row>
    <row r="54328" spans="25:25" x14ac:dyDescent="0.2">
      <c r="Y54328" s="97"/>
    </row>
    <row r="54329" spans="25:25" x14ac:dyDescent="0.2">
      <c r="Y54329" s="97"/>
    </row>
    <row r="54330" spans="25:25" x14ac:dyDescent="0.2">
      <c r="Y54330" s="97"/>
    </row>
    <row r="54331" spans="25:25" x14ac:dyDescent="0.2">
      <c r="Y54331" s="97"/>
    </row>
    <row r="54332" spans="25:25" x14ac:dyDescent="0.2">
      <c r="Y54332" s="97"/>
    </row>
    <row r="54333" spans="25:25" x14ac:dyDescent="0.2">
      <c r="Y54333" s="97"/>
    </row>
    <row r="54334" spans="25:25" x14ac:dyDescent="0.2">
      <c r="Y54334" s="97"/>
    </row>
    <row r="54335" spans="25:25" x14ac:dyDescent="0.2">
      <c r="Y54335" s="97"/>
    </row>
    <row r="54336" spans="25:25" x14ac:dyDescent="0.2">
      <c r="Y54336" s="97"/>
    </row>
    <row r="54337" spans="25:25" x14ac:dyDescent="0.2">
      <c r="Y54337" s="97"/>
    </row>
    <row r="54338" spans="25:25" x14ac:dyDescent="0.2">
      <c r="Y54338" s="97"/>
    </row>
    <row r="54339" spans="25:25" x14ac:dyDescent="0.2">
      <c r="Y54339" s="97"/>
    </row>
    <row r="54340" spans="25:25" x14ac:dyDescent="0.2">
      <c r="Y54340" s="97"/>
    </row>
    <row r="54341" spans="25:25" x14ac:dyDescent="0.2">
      <c r="Y54341" s="97"/>
    </row>
    <row r="54342" spans="25:25" x14ac:dyDescent="0.2">
      <c r="Y54342" s="97"/>
    </row>
    <row r="54343" spans="25:25" x14ac:dyDescent="0.2">
      <c r="Y54343" s="97"/>
    </row>
    <row r="54344" spans="25:25" x14ac:dyDescent="0.2">
      <c r="Y54344" s="97"/>
    </row>
    <row r="54345" spans="25:25" x14ac:dyDescent="0.2">
      <c r="Y54345" s="97"/>
    </row>
    <row r="54346" spans="25:25" x14ac:dyDescent="0.2">
      <c r="Y54346" s="97"/>
    </row>
    <row r="54347" spans="25:25" x14ac:dyDescent="0.2">
      <c r="Y54347" s="97"/>
    </row>
    <row r="54348" spans="25:25" x14ac:dyDescent="0.2">
      <c r="Y54348" s="97"/>
    </row>
    <row r="54349" spans="25:25" x14ac:dyDescent="0.2">
      <c r="Y54349" s="97"/>
    </row>
    <row r="54350" spans="25:25" x14ac:dyDescent="0.2">
      <c r="Y54350" s="97"/>
    </row>
    <row r="54351" spans="25:25" x14ac:dyDescent="0.2">
      <c r="Y54351" s="97"/>
    </row>
    <row r="54352" spans="25:25" x14ac:dyDescent="0.2">
      <c r="Y54352" s="97"/>
    </row>
    <row r="54353" spans="25:25" x14ac:dyDescent="0.2">
      <c r="Y54353" s="97"/>
    </row>
    <row r="54354" spans="25:25" x14ac:dyDescent="0.2">
      <c r="Y54354" s="97"/>
    </row>
    <row r="54355" spans="25:25" x14ac:dyDescent="0.2">
      <c r="Y54355" s="97"/>
    </row>
    <row r="54356" spans="25:25" x14ac:dyDescent="0.2">
      <c r="Y54356" s="97"/>
    </row>
    <row r="54357" spans="25:25" x14ac:dyDescent="0.2">
      <c r="Y54357" s="97"/>
    </row>
    <row r="54358" spans="25:25" x14ac:dyDescent="0.2">
      <c r="Y54358" s="97"/>
    </row>
    <row r="54359" spans="25:25" x14ac:dyDescent="0.2">
      <c r="Y54359" s="97"/>
    </row>
    <row r="54360" spans="25:25" x14ac:dyDescent="0.2">
      <c r="Y54360" s="97"/>
    </row>
    <row r="54361" spans="25:25" x14ac:dyDescent="0.2">
      <c r="Y54361" s="97"/>
    </row>
    <row r="54362" spans="25:25" x14ac:dyDescent="0.2">
      <c r="Y54362" s="97"/>
    </row>
    <row r="54363" spans="25:25" x14ac:dyDescent="0.2">
      <c r="Y54363" s="97"/>
    </row>
    <row r="54364" spans="25:25" x14ac:dyDescent="0.2">
      <c r="Y54364" s="97"/>
    </row>
    <row r="54365" spans="25:25" x14ac:dyDescent="0.2">
      <c r="Y54365" s="97"/>
    </row>
    <row r="54366" spans="25:25" x14ac:dyDescent="0.2">
      <c r="Y54366" s="97"/>
    </row>
    <row r="54367" spans="25:25" x14ac:dyDescent="0.2">
      <c r="Y54367" s="97"/>
    </row>
    <row r="54368" spans="25:25" x14ac:dyDescent="0.2">
      <c r="Y54368" s="97"/>
    </row>
    <row r="54369" spans="25:25" x14ac:dyDescent="0.2">
      <c r="Y54369" s="97"/>
    </row>
    <row r="54370" spans="25:25" x14ac:dyDescent="0.2">
      <c r="Y54370" s="97"/>
    </row>
    <row r="54371" spans="25:25" x14ac:dyDescent="0.2">
      <c r="Y54371" s="97"/>
    </row>
    <row r="54372" spans="25:25" x14ac:dyDescent="0.2">
      <c r="Y54372" s="97"/>
    </row>
    <row r="54373" spans="25:25" x14ac:dyDescent="0.2">
      <c r="Y54373" s="97"/>
    </row>
    <row r="54374" spans="25:25" x14ac:dyDescent="0.2">
      <c r="Y54374" s="97"/>
    </row>
    <row r="54375" spans="25:25" x14ac:dyDescent="0.2">
      <c r="Y54375" s="97"/>
    </row>
    <row r="54376" spans="25:25" x14ac:dyDescent="0.2">
      <c r="Y54376" s="97"/>
    </row>
    <row r="54377" spans="25:25" x14ac:dyDescent="0.2">
      <c r="Y54377" s="97"/>
    </row>
    <row r="54378" spans="25:25" x14ac:dyDescent="0.2">
      <c r="Y54378" s="97"/>
    </row>
    <row r="54379" spans="25:25" x14ac:dyDescent="0.2">
      <c r="Y54379" s="97"/>
    </row>
    <row r="54380" spans="25:25" x14ac:dyDescent="0.2">
      <c r="Y54380" s="97"/>
    </row>
    <row r="54381" spans="25:25" x14ac:dyDescent="0.2">
      <c r="Y54381" s="97"/>
    </row>
    <row r="54382" spans="25:25" x14ac:dyDescent="0.2">
      <c r="Y54382" s="97"/>
    </row>
    <row r="54383" spans="25:25" x14ac:dyDescent="0.2">
      <c r="Y54383" s="97"/>
    </row>
    <row r="54384" spans="25:25" x14ac:dyDescent="0.2">
      <c r="Y54384" s="97"/>
    </row>
    <row r="54385" spans="25:25" x14ac:dyDescent="0.2">
      <c r="Y54385" s="97"/>
    </row>
    <row r="54386" spans="25:25" x14ac:dyDescent="0.2">
      <c r="Y54386" s="97"/>
    </row>
    <row r="54387" spans="25:25" x14ac:dyDescent="0.2">
      <c r="Y54387" s="97"/>
    </row>
    <row r="54388" spans="25:25" x14ac:dyDescent="0.2">
      <c r="Y54388" s="97"/>
    </row>
    <row r="54389" spans="25:25" x14ac:dyDescent="0.2">
      <c r="Y54389" s="97"/>
    </row>
    <row r="54390" spans="25:25" x14ac:dyDescent="0.2">
      <c r="Y54390" s="97"/>
    </row>
    <row r="54391" spans="25:25" x14ac:dyDescent="0.2">
      <c r="Y54391" s="97"/>
    </row>
    <row r="54392" spans="25:25" x14ac:dyDescent="0.2">
      <c r="Y54392" s="97"/>
    </row>
    <row r="54393" spans="25:25" x14ac:dyDescent="0.2">
      <c r="Y54393" s="97"/>
    </row>
    <row r="54394" spans="25:25" x14ac:dyDescent="0.2">
      <c r="Y54394" s="97"/>
    </row>
    <row r="54395" spans="25:25" x14ac:dyDescent="0.2">
      <c r="Y54395" s="97"/>
    </row>
    <row r="54396" spans="25:25" x14ac:dyDescent="0.2">
      <c r="Y54396" s="97"/>
    </row>
    <row r="54397" spans="25:25" x14ac:dyDescent="0.2">
      <c r="Y54397" s="97"/>
    </row>
    <row r="54398" spans="25:25" x14ac:dyDescent="0.2">
      <c r="Y54398" s="97"/>
    </row>
    <row r="54399" spans="25:25" x14ac:dyDescent="0.2">
      <c r="Y54399" s="97"/>
    </row>
    <row r="54400" spans="25:25" x14ac:dyDescent="0.2">
      <c r="Y54400" s="97"/>
    </row>
    <row r="54401" spans="25:25" x14ac:dyDescent="0.2">
      <c r="Y54401" s="97"/>
    </row>
    <row r="54402" spans="25:25" x14ac:dyDescent="0.2">
      <c r="Y54402" s="97"/>
    </row>
    <row r="54403" spans="25:25" x14ac:dyDescent="0.2">
      <c r="Y54403" s="97"/>
    </row>
    <row r="54404" spans="25:25" x14ac:dyDescent="0.2">
      <c r="Y54404" s="97"/>
    </row>
    <row r="54405" spans="25:25" x14ac:dyDescent="0.2">
      <c r="Y54405" s="97"/>
    </row>
    <row r="54406" spans="25:25" x14ac:dyDescent="0.2">
      <c r="Y54406" s="97"/>
    </row>
    <row r="54407" spans="25:25" x14ac:dyDescent="0.2">
      <c r="Y54407" s="97"/>
    </row>
    <row r="54408" spans="25:25" x14ac:dyDescent="0.2">
      <c r="Y54408" s="97"/>
    </row>
    <row r="54409" spans="25:25" x14ac:dyDescent="0.2">
      <c r="Y54409" s="97"/>
    </row>
    <row r="54410" spans="25:25" x14ac:dyDescent="0.2">
      <c r="Y54410" s="97"/>
    </row>
    <row r="54411" spans="25:25" x14ac:dyDescent="0.2">
      <c r="Y54411" s="97"/>
    </row>
    <row r="54412" spans="25:25" x14ac:dyDescent="0.2">
      <c r="Y54412" s="97"/>
    </row>
    <row r="54413" spans="25:25" x14ac:dyDescent="0.2">
      <c r="Y54413" s="97"/>
    </row>
    <row r="54414" spans="25:25" x14ac:dyDescent="0.2">
      <c r="Y54414" s="97"/>
    </row>
    <row r="54415" spans="25:25" x14ac:dyDescent="0.2">
      <c r="Y54415" s="97"/>
    </row>
    <row r="54416" spans="25:25" x14ac:dyDescent="0.2">
      <c r="Y54416" s="97"/>
    </row>
    <row r="54417" spans="25:25" x14ac:dyDescent="0.2">
      <c r="Y54417" s="97"/>
    </row>
    <row r="54418" spans="25:25" x14ac:dyDescent="0.2">
      <c r="Y54418" s="97"/>
    </row>
    <row r="54419" spans="25:25" x14ac:dyDescent="0.2">
      <c r="Y54419" s="97"/>
    </row>
    <row r="54420" spans="25:25" x14ac:dyDescent="0.2">
      <c r="Y54420" s="97"/>
    </row>
    <row r="54421" spans="25:25" x14ac:dyDescent="0.2">
      <c r="Y54421" s="97"/>
    </row>
    <row r="54422" spans="25:25" x14ac:dyDescent="0.2">
      <c r="Y54422" s="97"/>
    </row>
    <row r="54423" spans="25:25" x14ac:dyDescent="0.2">
      <c r="Y54423" s="97"/>
    </row>
    <row r="54424" spans="25:25" x14ac:dyDescent="0.2">
      <c r="Y54424" s="97"/>
    </row>
    <row r="54425" spans="25:25" x14ac:dyDescent="0.2">
      <c r="Y54425" s="97"/>
    </row>
    <row r="54426" spans="25:25" x14ac:dyDescent="0.2">
      <c r="Y54426" s="97"/>
    </row>
    <row r="54427" spans="25:25" x14ac:dyDescent="0.2">
      <c r="Y54427" s="97"/>
    </row>
    <row r="54428" spans="25:25" x14ac:dyDescent="0.2">
      <c r="Y54428" s="97"/>
    </row>
    <row r="54429" spans="25:25" x14ac:dyDescent="0.2">
      <c r="Y54429" s="97"/>
    </row>
    <row r="54430" spans="25:25" x14ac:dyDescent="0.2">
      <c r="Y54430" s="97"/>
    </row>
    <row r="54431" spans="25:25" x14ac:dyDescent="0.2">
      <c r="Y54431" s="97"/>
    </row>
    <row r="54432" spans="25:25" x14ac:dyDescent="0.2">
      <c r="Y54432" s="97"/>
    </row>
    <row r="54433" spans="25:25" x14ac:dyDescent="0.2">
      <c r="Y54433" s="97"/>
    </row>
    <row r="54434" spans="25:25" x14ac:dyDescent="0.2">
      <c r="Y54434" s="97"/>
    </row>
    <row r="54435" spans="25:25" x14ac:dyDescent="0.2">
      <c r="Y54435" s="97"/>
    </row>
    <row r="54436" spans="25:25" x14ac:dyDescent="0.2">
      <c r="Y54436" s="97"/>
    </row>
    <row r="54437" spans="25:25" x14ac:dyDescent="0.2">
      <c r="Y54437" s="97"/>
    </row>
    <row r="54438" spans="25:25" x14ac:dyDescent="0.2">
      <c r="Y54438" s="97"/>
    </row>
    <row r="54439" spans="25:25" x14ac:dyDescent="0.2">
      <c r="Y54439" s="97"/>
    </row>
    <row r="54440" spans="25:25" x14ac:dyDescent="0.2">
      <c r="Y54440" s="97"/>
    </row>
    <row r="54441" spans="25:25" x14ac:dyDescent="0.2">
      <c r="Y54441" s="97"/>
    </row>
    <row r="54442" spans="25:25" x14ac:dyDescent="0.2">
      <c r="Y54442" s="97"/>
    </row>
    <row r="54443" spans="25:25" x14ac:dyDescent="0.2">
      <c r="Y54443" s="97"/>
    </row>
    <row r="54444" spans="25:25" x14ac:dyDescent="0.2">
      <c r="Y54444" s="97"/>
    </row>
    <row r="54445" spans="25:25" x14ac:dyDescent="0.2">
      <c r="Y54445" s="97"/>
    </row>
    <row r="54446" spans="25:25" x14ac:dyDescent="0.2">
      <c r="Y54446" s="97"/>
    </row>
    <row r="54447" spans="25:25" x14ac:dyDescent="0.2">
      <c r="Y54447" s="97"/>
    </row>
    <row r="54448" spans="25:25" x14ac:dyDescent="0.2">
      <c r="Y54448" s="97"/>
    </row>
    <row r="54449" spans="25:25" x14ac:dyDescent="0.2">
      <c r="Y54449" s="97"/>
    </row>
    <row r="54450" spans="25:25" x14ac:dyDescent="0.2">
      <c r="Y54450" s="97"/>
    </row>
    <row r="54451" spans="25:25" x14ac:dyDescent="0.2">
      <c r="Y54451" s="97"/>
    </row>
    <row r="54452" spans="25:25" x14ac:dyDescent="0.2">
      <c r="Y54452" s="97"/>
    </row>
    <row r="54453" spans="25:25" x14ac:dyDescent="0.2">
      <c r="Y54453" s="97"/>
    </row>
    <row r="54454" spans="25:25" x14ac:dyDescent="0.2">
      <c r="Y54454" s="97"/>
    </row>
    <row r="54455" spans="25:25" x14ac:dyDescent="0.2">
      <c r="Y54455" s="97"/>
    </row>
    <row r="54456" spans="25:25" x14ac:dyDescent="0.2">
      <c r="Y54456" s="97"/>
    </row>
    <row r="54457" spans="25:25" x14ac:dyDescent="0.2">
      <c r="Y54457" s="97"/>
    </row>
    <row r="54458" spans="25:25" x14ac:dyDescent="0.2">
      <c r="Y54458" s="97"/>
    </row>
    <row r="54459" spans="25:25" x14ac:dyDescent="0.2">
      <c r="Y54459" s="97"/>
    </row>
    <row r="54460" spans="25:25" x14ac:dyDescent="0.2">
      <c r="Y54460" s="97"/>
    </row>
    <row r="54461" spans="25:25" x14ac:dyDescent="0.2">
      <c r="Y54461" s="97"/>
    </row>
    <row r="54462" spans="25:25" x14ac:dyDescent="0.2">
      <c r="Y54462" s="97"/>
    </row>
    <row r="54463" spans="25:25" x14ac:dyDescent="0.2">
      <c r="Y54463" s="97"/>
    </row>
    <row r="54464" spans="25:25" x14ac:dyDescent="0.2">
      <c r="Y54464" s="97"/>
    </row>
    <row r="54465" spans="25:25" x14ac:dyDescent="0.2">
      <c r="Y54465" s="97"/>
    </row>
    <row r="54466" spans="25:25" x14ac:dyDescent="0.2">
      <c r="Y54466" s="97"/>
    </row>
    <row r="54467" spans="25:25" x14ac:dyDescent="0.2">
      <c r="Y54467" s="97"/>
    </row>
    <row r="54468" spans="25:25" x14ac:dyDescent="0.2">
      <c r="Y54468" s="97"/>
    </row>
    <row r="54469" spans="25:25" x14ac:dyDescent="0.2">
      <c r="Y54469" s="97"/>
    </row>
    <row r="54470" spans="25:25" x14ac:dyDescent="0.2">
      <c r="Y54470" s="97"/>
    </row>
    <row r="54471" spans="25:25" x14ac:dyDescent="0.2">
      <c r="Y54471" s="97"/>
    </row>
    <row r="54472" spans="25:25" x14ac:dyDescent="0.2">
      <c r="Y54472" s="97"/>
    </row>
    <row r="54473" spans="25:25" x14ac:dyDescent="0.2">
      <c r="Y54473" s="97"/>
    </row>
    <row r="54474" spans="25:25" x14ac:dyDescent="0.2">
      <c r="Y54474" s="97"/>
    </row>
    <row r="54475" spans="25:25" x14ac:dyDescent="0.2">
      <c r="Y54475" s="97"/>
    </row>
    <row r="54476" spans="25:25" x14ac:dyDescent="0.2">
      <c r="Y54476" s="97"/>
    </row>
    <row r="54477" spans="25:25" x14ac:dyDescent="0.2">
      <c r="Y54477" s="97"/>
    </row>
    <row r="54478" spans="25:25" x14ac:dyDescent="0.2">
      <c r="Y54478" s="97"/>
    </row>
    <row r="54479" spans="25:25" x14ac:dyDescent="0.2">
      <c r="Y54479" s="97"/>
    </row>
    <row r="54480" spans="25:25" x14ac:dyDescent="0.2">
      <c r="Y54480" s="97"/>
    </row>
    <row r="54481" spans="25:25" x14ac:dyDescent="0.2">
      <c r="Y54481" s="97"/>
    </row>
    <row r="54482" spans="25:25" x14ac:dyDescent="0.2">
      <c r="Y54482" s="97"/>
    </row>
    <row r="54483" spans="25:25" x14ac:dyDescent="0.2">
      <c r="Y54483" s="97"/>
    </row>
    <row r="54484" spans="25:25" x14ac:dyDescent="0.2">
      <c r="Y54484" s="97"/>
    </row>
    <row r="54485" spans="25:25" x14ac:dyDescent="0.2">
      <c r="Y54485" s="97"/>
    </row>
    <row r="54486" spans="25:25" x14ac:dyDescent="0.2">
      <c r="Y54486" s="97"/>
    </row>
    <row r="54487" spans="25:25" x14ac:dyDescent="0.2">
      <c r="Y54487" s="97"/>
    </row>
    <row r="54488" spans="25:25" x14ac:dyDescent="0.2">
      <c r="Y54488" s="97"/>
    </row>
    <row r="54489" spans="25:25" x14ac:dyDescent="0.2">
      <c r="Y54489" s="97"/>
    </row>
    <row r="54490" spans="25:25" x14ac:dyDescent="0.2">
      <c r="Y54490" s="97"/>
    </row>
    <row r="54491" spans="25:25" x14ac:dyDescent="0.2">
      <c r="Y54491" s="97"/>
    </row>
    <row r="54492" spans="25:25" x14ac:dyDescent="0.2">
      <c r="Y54492" s="97"/>
    </row>
    <row r="54493" spans="25:25" x14ac:dyDescent="0.2">
      <c r="Y54493" s="97"/>
    </row>
    <row r="54494" spans="25:25" x14ac:dyDescent="0.2">
      <c r="Y54494" s="97"/>
    </row>
    <row r="54495" spans="25:25" x14ac:dyDescent="0.2">
      <c r="Y54495" s="97"/>
    </row>
    <row r="54496" spans="25:25" x14ac:dyDescent="0.2">
      <c r="Y54496" s="97"/>
    </row>
    <row r="54497" spans="25:25" x14ac:dyDescent="0.2">
      <c r="Y54497" s="97"/>
    </row>
    <row r="54498" spans="25:25" x14ac:dyDescent="0.2">
      <c r="Y54498" s="97"/>
    </row>
    <row r="54499" spans="25:25" x14ac:dyDescent="0.2">
      <c r="Y54499" s="97"/>
    </row>
    <row r="54500" spans="25:25" x14ac:dyDescent="0.2">
      <c r="Y54500" s="97"/>
    </row>
    <row r="54501" spans="25:25" x14ac:dyDescent="0.2">
      <c r="Y54501" s="97"/>
    </row>
    <row r="54502" spans="25:25" x14ac:dyDescent="0.2">
      <c r="Y54502" s="97"/>
    </row>
    <row r="54503" spans="25:25" x14ac:dyDescent="0.2">
      <c r="Y54503" s="97"/>
    </row>
    <row r="54504" spans="25:25" x14ac:dyDescent="0.2">
      <c r="Y54504" s="97"/>
    </row>
    <row r="54505" spans="25:25" x14ac:dyDescent="0.2">
      <c r="Y54505" s="97"/>
    </row>
    <row r="54506" spans="25:25" x14ac:dyDescent="0.2">
      <c r="Y54506" s="97"/>
    </row>
    <row r="54507" spans="25:25" x14ac:dyDescent="0.2">
      <c r="Y54507" s="97"/>
    </row>
    <row r="54508" spans="25:25" x14ac:dyDescent="0.2">
      <c r="Y54508" s="97"/>
    </row>
    <row r="54509" spans="25:25" x14ac:dyDescent="0.2">
      <c r="Y54509" s="97"/>
    </row>
    <row r="54510" spans="25:25" x14ac:dyDescent="0.2">
      <c r="Y54510" s="97"/>
    </row>
    <row r="54511" spans="25:25" x14ac:dyDescent="0.2">
      <c r="Y54511" s="97"/>
    </row>
    <row r="54512" spans="25:25" x14ac:dyDescent="0.2">
      <c r="Y54512" s="97"/>
    </row>
    <row r="54513" spans="25:25" x14ac:dyDescent="0.2">
      <c r="Y54513" s="97"/>
    </row>
    <row r="54514" spans="25:25" x14ac:dyDescent="0.2">
      <c r="Y54514" s="97"/>
    </row>
    <row r="54515" spans="25:25" x14ac:dyDescent="0.2">
      <c r="Y54515" s="97"/>
    </row>
    <row r="54516" spans="25:25" x14ac:dyDescent="0.2">
      <c r="Y54516" s="97"/>
    </row>
    <row r="54517" spans="25:25" x14ac:dyDescent="0.2">
      <c r="Y54517" s="97"/>
    </row>
    <row r="54518" spans="25:25" x14ac:dyDescent="0.2">
      <c r="Y54518" s="97"/>
    </row>
    <row r="54519" spans="25:25" x14ac:dyDescent="0.2">
      <c r="Y54519" s="97"/>
    </row>
    <row r="54520" spans="25:25" x14ac:dyDescent="0.2">
      <c r="Y54520" s="97"/>
    </row>
    <row r="54521" spans="25:25" x14ac:dyDescent="0.2">
      <c r="Y54521" s="97"/>
    </row>
    <row r="54522" spans="25:25" x14ac:dyDescent="0.2">
      <c r="Y54522" s="97"/>
    </row>
    <row r="54523" spans="25:25" x14ac:dyDescent="0.2">
      <c r="Y54523" s="97"/>
    </row>
    <row r="54524" spans="25:25" x14ac:dyDescent="0.2">
      <c r="Y54524" s="97"/>
    </row>
    <row r="54525" spans="25:25" x14ac:dyDescent="0.2">
      <c r="Y54525" s="97"/>
    </row>
    <row r="54526" spans="25:25" x14ac:dyDescent="0.2">
      <c r="Y54526" s="97"/>
    </row>
    <row r="54527" spans="25:25" x14ac:dyDescent="0.2">
      <c r="Y54527" s="97"/>
    </row>
    <row r="54528" spans="25:25" x14ac:dyDescent="0.2">
      <c r="Y54528" s="97"/>
    </row>
    <row r="54529" spans="25:25" x14ac:dyDescent="0.2">
      <c r="Y54529" s="97"/>
    </row>
    <row r="54530" spans="25:25" x14ac:dyDescent="0.2">
      <c r="Y54530" s="97"/>
    </row>
    <row r="54531" spans="25:25" x14ac:dyDescent="0.2">
      <c r="Y54531" s="97"/>
    </row>
    <row r="54532" spans="25:25" x14ac:dyDescent="0.2">
      <c r="Y54532" s="97"/>
    </row>
    <row r="54533" spans="25:25" x14ac:dyDescent="0.2">
      <c r="Y54533" s="97"/>
    </row>
    <row r="54534" spans="25:25" x14ac:dyDescent="0.2">
      <c r="Y54534" s="97"/>
    </row>
    <row r="54535" spans="25:25" x14ac:dyDescent="0.2">
      <c r="Y54535" s="97"/>
    </row>
    <row r="54536" spans="25:25" x14ac:dyDescent="0.2">
      <c r="Y54536" s="97"/>
    </row>
    <row r="54537" spans="25:25" x14ac:dyDescent="0.2">
      <c r="Y54537" s="97"/>
    </row>
    <row r="54538" spans="25:25" x14ac:dyDescent="0.2">
      <c r="Y54538" s="97"/>
    </row>
    <row r="54539" spans="25:25" x14ac:dyDescent="0.2">
      <c r="Y54539" s="97"/>
    </row>
    <row r="54540" spans="25:25" x14ac:dyDescent="0.2">
      <c r="Y54540" s="97"/>
    </row>
    <row r="54541" spans="25:25" x14ac:dyDescent="0.2">
      <c r="Y54541" s="97"/>
    </row>
    <row r="54542" spans="25:25" x14ac:dyDescent="0.2">
      <c r="Y54542" s="97"/>
    </row>
    <row r="54543" spans="25:25" x14ac:dyDescent="0.2">
      <c r="Y54543" s="97"/>
    </row>
    <row r="54544" spans="25:25" x14ac:dyDescent="0.2">
      <c r="Y54544" s="97"/>
    </row>
    <row r="54545" spans="25:25" x14ac:dyDescent="0.2">
      <c r="Y54545" s="97"/>
    </row>
    <row r="54546" spans="25:25" x14ac:dyDescent="0.2">
      <c r="Y54546" s="97"/>
    </row>
    <row r="54547" spans="25:25" x14ac:dyDescent="0.2">
      <c r="Y54547" s="97"/>
    </row>
    <row r="54548" spans="25:25" x14ac:dyDescent="0.2">
      <c r="Y54548" s="97"/>
    </row>
    <row r="54549" spans="25:25" x14ac:dyDescent="0.2">
      <c r="Y54549" s="97"/>
    </row>
    <row r="54550" spans="25:25" x14ac:dyDescent="0.2">
      <c r="Y54550" s="97"/>
    </row>
    <row r="54551" spans="25:25" x14ac:dyDescent="0.2">
      <c r="Y54551" s="97"/>
    </row>
    <row r="54552" spans="25:25" x14ac:dyDescent="0.2">
      <c r="Y54552" s="97"/>
    </row>
    <row r="54553" spans="25:25" x14ac:dyDescent="0.2">
      <c r="Y54553" s="97"/>
    </row>
    <row r="54554" spans="25:25" x14ac:dyDescent="0.2">
      <c r="Y54554" s="97"/>
    </row>
    <row r="54555" spans="25:25" x14ac:dyDescent="0.2">
      <c r="Y54555" s="97"/>
    </row>
    <row r="54556" spans="25:25" x14ac:dyDescent="0.2">
      <c r="Y54556" s="97"/>
    </row>
    <row r="54557" spans="25:25" x14ac:dyDescent="0.2">
      <c r="Y54557" s="97"/>
    </row>
    <row r="54558" spans="25:25" x14ac:dyDescent="0.2">
      <c r="Y54558" s="97"/>
    </row>
    <row r="54559" spans="25:25" x14ac:dyDescent="0.2">
      <c r="Y54559" s="97"/>
    </row>
    <row r="54560" spans="25:25" x14ac:dyDescent="0.2">
      <c r="Y54560" s="97"/>
    </row>
    <row r="54561" spans="25:25" x14ac:dyDescent="0.2">
      <c r="Y54561" s="97"/>
    </row>
    <row r="54562" spans="25:25" x14ac:dyDescent="0.2">
      <c r="Y54562" s="97"/>
    </row>
    <row r="54563" spans="25:25" x14ac:dyDescent="0.2">
      <c r="Y54563" s="97"/>
    </row>
    <row r="54564" spans="25:25" x14ac:dyDescent="0.2">
      <c r="Y54564" s="97"/>
    </row>
    <row r="54565" spans="25:25" x14ac:dyDescent="0.2">
      <c r="Y54565" s="97"/>
    </row>
    <row r="54566" spans="25:25" x14ac:dyDescent="0.2">
      <c r="Y54566" s="97"/>
    </row>
    <row r="54567" spans="25:25" x14ac:dyDescent="0.2">
      <c r="Y54567" s="97"/>
    </row>
    <row r="54568" spans="25:25" x14ac:dyDescent="0.2">
      <c r="Y54568" s="97"/>
    </row>
    <row r="54569" spans="25:25" x14ac:dyDescent="0.2">
      <c r="Y54569" s="97"/>
    </row>
    <row r="54570" spans="25:25" x14ac:dyDescent="0.2">
      <c r="Y54570" s="97"/>
    </row>
    <row r="54571" spans="25:25" x14ac:dyDescent="0.2">
      <c r="Y54571" s="97"/>
    </row>
    <row r="54572" spans="25:25" x14ac:dyDescent="0.2">
      <c r="Y54572" s="97"/>
    </row>
    <row r="54573" spans="25:25" x14ac:dyDescent="0.2">
      <c r="Y54573" s="97"/>
    </row>
    <row r="54574" spans="25:25" x14ac:dyDescent="0.2">
      <c r="Y54574" s="97"/>
    </row>
    <row r="54575" spans="25:25" x14ac:dyDescent="0.2">
      <c r="Y54575" s="97"/>
    </row>
    <row r="54576" spans="25:25" x14ac:dyDescent="0.2">
      <c r="Y54576" s="97"/>
    </row>
    <row r="54577" spans="25:25" x14ac:dyDescent="0.2">
      <c r="Y54577" s="97"/>
    </row>
    <row r="54578" spans="25:25" x14ac:dyDescent="0.2">
      <c r="Y54578" s="97"/>
    </row>
    <row r="54579" spans="25:25" x14ac:dyDescent="0.2">
      <c r="Y54579" s="97"/>
    </row>
    <row r="54580" spans="25:25" x14ac:dyDescent="0.2">
      <c r="Y54580" s="97"/>
    </row>
    <row r="54581" spans="25:25" x14ac:dyDescent="0.2">
      <c r="Y54581" s="97"/>
    </row>
    <row r="54582" spans="25:25" x14ac:dyDescent="0.2">
      <c r="Y54582" s="97"/>
    </row>
    <row r="54583" spans="25:25" x14ac:dyDescent="0.2">
      <c r="Y54583" s="97"/>
    </row>
    <row r="54584" spans="25:25" x14ac:dyDescent="0.2">
      <c r="Y54584" s="97"/>
    </row>
    <row r="54585" spans="25:25" x14ac:dyDescent="0.2">
      <c r="Y54585" s="97"/>
    </row>
    <row r="54586" spans="25:25" x14ac:dyDescent="0.2">
      <c r="Y54586" s="97"/>
    </row>
    <row r="54587" spans="25:25" x14ac:dyDescent="0.2">
      <c r="Y54587" s="97"/>
    </row>
    <row r="54588" spans="25:25" x14ac:dyDescent="0.2">
      <c r="Y54588" s="97"/>
    </row>
    <row r="54589" spans="25:25" x14ac:dyDescent="0.2">
      <c r="Y54589" s="97"/>
    </row>
    <row r="54590" spans="25:25" x14ac:dyDescent="0.2">
      <c r="Y54590" s="97"/>
    </row>
    <row r="54591" spans="25:25" x14ac:dyDescent="0.2">
      <c r="Y54591" s="97"/>
    </row>
    <row r="54592" spans="25:25" x14ac:dyDescent="0.2">
      <c r="Y54592" s="97"/>
    </row>
    <row r="54593" spans="25:25" x14ac:dyDescent="0.2">
      <c r="Y54593" s="97"/>
    </row>
    <row r="54594" spans="25:25" x14ac:dyDescent="0.2">
      <c r="Y54594" s="97"/>
    </row>
    <row r="54595" spans="25:25" x14ac:dyDescent="0.2">
      <c r="Y54595" s="97"/>
    </row>
    <row r="54596" spans="25:25" x14ac:dyDescent="0.2">
      <c r="Y54596" s="97"/>
    </row>
    <row r="54597" spans="25:25" x14ac:dyDescent="0.2">
      <c r="Y54597" s="97"/>
    </row>
    <row r="54598" spans="25:25" x14ac:dyDescent="0.2">
      <c r="Y54598" s="97"/>
    </row>
    <row r="54599" spans="25:25" x14ac:dyDescent="0.2">
      <c r="Y54599" s="97"/>
    </row>
    <row r="54600" spans="25:25" x14ac:dyDescent="0.2">
      <c r="Y54600" s="97"/>
    </row>
    <row r="54601" spans="25:25" x14ac:dyDescent="0.2">
      <c r="Y54601" s="97"/>
    </row>
    <row r="54602" spans="25:25" x14ac:dyDescent="0.2">
      <c r="Y54602" s="97"/>
    </row>
    <row r="54603" spans="25:25" x14ac:dyDescent="0.2">
      <c r="Y54603" s="97"/>
    </row>
    <row r="54604" spans="25:25" x14ac:dyDescent="0.2">
      <c r="Y54604" s="97"/>
    </row>
    <row r="54605" spans="25:25" x14ac:dyDescent="0.2">
      <c r="Y54605" s="97"/>
    </row>
    <row r="54606" spans="25:25" x14ac:dyDescent="0.2">
      <c r="Y54606" s="97"/>
    </row>
    <row r="54607" spans="25:25" x14ac:dyDescent="0.2">
      <c r="Y54607" s="97"/>
    </row>
    <row r="54608" spans="25:25" x14ac:dyDescent="0.2">
      <c r="Y54608" s="97"/>
    </row>
    <row r="54609" spans="25:25" x14ac:dyDescent="0.2">
      <c r="Y54609" s="97"/>
    </row>
    <row r="54610" spans="25:25" x14ac:dyDescent="0.2">
      <c r="Y54610" s="97"/>
    </row>
    <row r="54611" spans="25:25" x14ac:dyDescent="0.2">
      <c r="Y54611" s="97"/>
    </row>
    <row r="54612" spans="25:25" x14ac:dyDescent="0.2">
      <c r="Y54612" s="97"/>
    </row>
    <row r="54613" spans="25:25" x14ac:dyDescent="0.2">
      <c r="Y54613" s="97"/>
    </row>
    <row r="54614" spans="25:25" x14ac:dyDescent="0.2">
      <c r="Y54614" s="97"/>
    </row>
    <row r="54615" spans="25:25" x14ac:dyDescent="0.2">
      <c r="Y54615" s="97"/>
    </row>
    <row r="54616" spans="25:25" x14ac:dyDescent="0.2">
      <c r="Y54616" s="97"/>
    </row>
    <row r="54617" spans="25:25" x14ac:dyDescent="0.2">
      <c r="Y54617" s="97"/>
    </row>
    <row r="54618" spans="25:25" x14ac:dyDescent="0.2">
      <c r="Y54618" s="97"/>
    </row>
    <row r="54619" spans="25:25" x14ac:dyDescent="0.2">
      <c r="Y54619" s="97"/>
    </row>
    <row r="54620" spans="25:25" x14ac:dyDescent="0.2">
      <c r="Y54620" s="97"/>
    </row>
    <row r="54621" spans="25:25" x14ac:dyDescent="0.2">
      <c r="Y54621" s="97"/>
    </row>
    <row r="54622" spans="25:25" x14ac:dyDescent="0.2">
      <c r="Y54622" s="97"/>
    </row>
    <row r="54623" spans="25:25" x14ac:dyDescent="0.2">
      <c r="Y54623" s="97"/>
    </row>
    <row r="54624" spans="25:25" x14ac:dyDescent="0.2">
      <c r="Y54624" s="97"/>
    </row>
    <row r="54625" spans="25:25" x14ac:dyDescent="0.2">
      <c r="Y54625" s="97"/>
    </row>
    <row r="54626" spans="25:25" x14ac:dyDescent="0.2">
      <c r="Y54626" s="97"/>
    </row>
    <row r="54627" spans="25:25" x14ac:dyDescent="0.2">
      <c r="Y54627" s="97"/>
    </row>
    <row r="54628" spans="25:25" x14ac:dyDescent="0.2">
      <c r="Y54628" s="97"/>
    </row>
    <row r="54629" spans="25:25" x14ac:dyDescent="0.2">
      <c r="Y54629" s="97"/>
    </row>
    <row r="54630" spans="25:25" x14ac:dyDescent="0.2">
      <c r="Y54630" s="97"/>
    </row>
    <row r="54631" spans="25:25" x14ac:dyDescent="0.2">
      <c r="Y54631" s="97"/>
    </row>
    <row r="54632" spans="25:25" x14ac:dyDescent="0.2">
      <c r="Y54632" s="97"/>
    </row>
    <row r="54633" spans="25:25" x14ac:dyDescent="0.2">
      <c r="Y54633" s="97"/>
    </row>
    <row r="54634" spans="25:25" x14ac:dyDescent="0.2">
      <c r="Y54634" s="97"/>
    </row>
    <row r="54635" spans="25:25" x14ac:dyDescent="0.2">
      <c r="Y54635" s="97"/>
    </row>
    <row r="54636" spans="25:25" x14ac:dyDescent="0.2">
      <c r="Y54636" s="97"/>
    </row>
    <row r="54637" spans="25:25" x14ac:dyDescent="0.2">
      <c r="Y54637" s="97"/>
    </row>
    <row r="54638" spans="25:25" x14ac:dyDescent="0.2">
      <c r="Y54638" s="97"/>
    </row>
    <row r="54639" spans="25:25" x14ac:dyDescent="0.2">
      <c r="Y54639" s="97"/>
    </row>
    <row r="54640" spans="25:25" x14ac:dyDescent="0.2">
      <c r="Y54640" s="97"/>
    </row>
    <row r="54641" spans="25:25" x14ac:dyDescent="0.2">
      <c r="Y54641" s="97"/>
    </row>
    <row r="54642" spans="25:25" x14ac:dyDescent="0.2">
      <c r="Y54642" s="97"/>
    </row>
    <row r="54643" spans="25:25" x14ac:dyDescent="0.2">
      <c r="Y54643" s="97"/>
    </row>
    <row r="54644" spans="25:25" x14ac:dyDescent="0.2">
      <c r="Y54644" s="97"/>
    </row>
    <row r="54645" spans="25:25" x14ac:dyDescent="0.2">
      <c r="Y54645" s="97"/>
    </row>
    <row r="54646" spans="25:25" x14ac:dyDescent="0.2">
      <c r="Y54646" s="97"/>
    </row>
    <row r="54647" spans="25:25" x14ac:dyDescent="0.2">
      <c r="Y54647" s="97"/>
    </row>
    <row r="54648" spans="25:25" x14ac:dyDescent="0.2">
      <c r="Y54648" s="97"/>
    </row>
    <row r="54649" spans="25:25" x14ac:dyDescent="0.2">
      <c r="Y54649" s="97"/>
    </row>
    <row r="54650" spans="25:25" x14ac:dyDescent="0.2">
      <c r="Y54650" s="97"/>
    </row>
    <row r="54651" spans="25:25" x14ac:dyDescent="0.2">
      <c r="Y54651" s="97"/>
    </row>
    <row r="54652" spans="25:25" x14ac:dyDescent="0.2">
      <c r="Y54652" s="97"/>
    </row>
    <row r="54653" spans="25:25" x14ac:dyDescent="0.2">
      <c r="Y54653" s="97"/>
    </row>
    <row r="54654" spans="25:25" x14ac:dyDescent="0.2">
      <c r="Y54654" s="97"/>
    </row>
    <row r="54655" spans="25:25" x14ac:dyDescent="0.2">
      <c r="Y54655" s="97"/>
    </row>
    <row r="54656" spans="25:25" x14ac:dyDescent="0.2">
      <c r="Y54656" s="97"/>
    </row>
    <row r="54657" spans="25:25" x14ac:dyDescent="0.2">
      <c r="Y54657" s="97"/>
    </row>
    <row r="54658" spans="25:25" x14ac:dyDescent="0.2">
      <c r="Y54658" s="97"/>
    </row>
    <row r="54659" spans="25:25" x14ac:dyDescent="0.2">
      <c r="Y54659" s="97"/>
    </row>
    <row r="54660" spans="25:25" x14ac:dyDescent="0.2">
      <c r="Y54660" s="97"/>
    </row>
    <row r="54661" spans="25:25" x14ac:dyDescent="0.2">
      <c r="Y54661" s="97"/>
    </row>
    <row r="54662" spans="25:25" x14ac:dyDescent="0.2">
      <c r="Y54662" s="97"/>
    </row>
    <row r="54663" spans="25:25" x14ac:dyDescent="0.2">
      <c r="Y54663" s="97"/>
    </row>
    <row r="54664" spans="25:25" x14ac:dyDescent="0.2">
      <c r="Y54664" s="97"/>
    </row>
    <row r="54665" spans="25:25" x14ac:dyDescent="0.2">
      <c r="Y54665" s="97"/>
    </row>
    <row r="54666" spans="25:25" x14ac:dyDescent="0.2">
      <c r="Y54666" s="97"/>
    </row>
    <row r="54667" spans="25:25" x14ac:dyDescent="0.2">
      <c r="Y54667" s="97"/>
    </row>
    <row r="54668" spans="25:25" x14ac:dyDescent="0.2">
      <c r="Y54668" s="97"/>
    </row>
    <row r="54669" spans="25:25" x14ac:dyDescent="0.2">
      <c r="Y54669" s="97"/>
    </row>
    <row r="54670" spans="25:25" x14ac:dyDescent="0.2">
      <c r="Y54670" s="97"/>
    </row>
    <row r="54671" spans="25:25" x14ac:dyDescent="0.2">
      <c r="Y54671" s="97"/>
    </row>
    <row r="54672" spans="25:25" x14ac:dyDescent="0.2">
      <c r="Y54672" s="97"/>
    </row>
    <row r="54673" spans="25:25" x14ac:dyDescent="0.2">
      <c r="Y54673" s="97"/>
    </row>
    <row r="54674" spans="25:25" x14ac:dyDescent="0.2">
      <c r="Y54674" s="97"/>
    </row>
    <row r="54675" spans="25:25" x14ac:dyDescent="0.2">
      <c r="Y54675" s="97"/>
    </row>
    <row r="54676" spans="25:25" x14ac:dyDescent="0.2">
      <c r="Y54676" s="97"/>
    </row>
    <row r="54677" spans="25:25" x14ac:dyDescent="0.2">
      <c r="Y54677" s="97"/>
    </row>
    <row r="54678" spans="25:25" x14ac:dyDescent="0.2">
      <c r="Y54678" s="97"/>
    </row>
    <row r="54679" spans="25:25" x14ac:dyDescent="0.2">
      <c r="Y54679" s="97"/>
    </row>
    <row r="54680" spans="25:25" x14ac:dyDescent="0.2">
      <c r="Y54680" s="97"/>
    </row>
    <row r="54681" spans="25:25" x14ac:dyDescent="0.2">
      <c r="Y54681" s="97"/>
    </row>
    <row r="54682" spans="25:25" x14ac:dyDescent="0.2">
      <c r="Y54682" s="97"/>
    </row>
    <row r="54683" spans="25:25" x14ac:dyDescent="0.2">
      <c r="Y54683" s="97"/>
    </row>
    <row r="54684" spans="25:25" x14ac:dyDescent="0.2">
      <c r="Y54684" s="97"/>
    </row>
    <row r="54685" spans="25:25" x14ac:dyDescent="0.2">
      <c r="Y54685" s="97"/>
    </row>
    <row r="54686" spans="25:25" x14ac:dyDescent="0.2">
      <c r="Y54686" s="97"/>
    </row>
    <row r="54687" spans="25:25" x14ac:dyDescent="0.2">
      <c r="Y54687" s="97"/>
    </row>
    <row r="54688" spans="25:25" x14ac:dyDescent="0.2">
      <c r="Y54688" s="97"/>
    </row>
    <row r="54689" spans="25:25" x14ac:dyDescent="0.2">
      <c r="Y54689" s="97"/>
    </row>
    <row r="54690" spans="25:25" x14ac:dyDescent="0.2">
      <c r="Y54690" s="97"/>
    </row>
    <row r="54691" spans="25:25" x14ac:dyDescent="0.2">
      <c r="Y54691" s="97"/>
    </row>
    <row r="54692" spans="25:25" x14ac:dyDescent="0.2">
      <c r="Y54692" s="97"/>
    </row>
    <row r="54693" spans="25:25" x14ac:dyDescent="0.2">
      <c r="Y54693" s="97"/>
    </row>
    <row r="54694" spans="25:25" x14ac:dyDescent="0.2">
      <c r="Y54694" s="97"/>
    </row>
    <row r="54695" spans="25:25" x14ac:dyDescent="0.2">
      <c r="Y54695" s="97"/>
    </row>
    <row r="54696" spans="25:25" x14ac:dyDescent="0.2">
      <c r="Y54696" s="97"/>
    </row>
    <row r="54697" spans="25:25" x14ac:dyDescent="0.2">
      <c r="Y54697" s="97"/>
    </row>
    <row r="54698" spans="25:25" x14ac:dyDescent="0.2">
      <c r="Y54698" s="97"/>
    </row>
    <row r="54699" spans="25:25" x14ac:dyDescent="0.2">
      <c r="Y54699" s="97"/>
    </row>
    <row r="54700" spans="25:25" x14ac:dyDescent="0.2">
      <c r="Y54700" s="97"/>
    </row>
    <row r="54701" spans="25:25" x14ac:dyDescent="0.2">
      <c r="Y54701" s="97"/>
    </row>
    <row r="54702" spans="25:25" x14ac:dyDescent="0.2">
      <c r="Y54702" s="97"/>
    </row>
    <row r="54703" spans="25:25" x14ac:dyDescent="0.2">
      <c r="Y54703" s="97"/>
    </row>
    <row r="54704" spans="25:25" x14ac:dyDescent="0.2">
      <c r="Y54704" s="97"/>
    </row>
    <row r="54705" spans="25:25" x14ac:dyDescent="0.2">
      <c r="Y54705" s="97"/>
    </row>
    <row r="54706" spans="25:25" x14ac:dyDescent="0.2">
      <c r="Y54706" s="97"/>
    </row>
    <row r="54707" spans="25:25" x14ac:dyDescent="0.2">
      <c r="Y54707" s="97"/>
    </row>
    <row r="54708" spans="25:25" x14ac:dyDescent="0.2">
      <c r="Y54708" s="97"/>
    </row>
    <row r="54709" spans="25:25" x14ac:dyDescent="0.2">
      <c r="Y54709" s="97"/>
    </row>
    <row r="54710" spans="25:25" x14ac:dyDescent="0.2">
      <c r="Y54710" s="97"/>
    </row>
    <row r="54711" spans="25:25" x14ac:dyDescent="0.2">
      <c r="Y54711" s="97"/>
    </row>
    <row r="54712" spans="25:25" x14ac:dyDescent="0.2">
      <c r="Y54712" s="97"/>
    </row>
    <row r="54713" spans="25:25" x14ac:dyDescent="0.2">
      <c r="Y54713" s="97"/>
    </row>
    <row r="54714" spans="25:25" x14ac:dyDescent="0.2">
      <c r="Y54714" s="97"/>
    </row>
    <row r="54715" spans="25:25" x14ac:dyDescent="0.2">
      <c r="Y54715" s="97"/>
    </row>
    <row r="54716" spans="25:25" x14ac:dyDescent="0.2">
      <c r="Y54716" s="97"/>
    </row>
    <row r="54717" spans="25:25" x14ac:dyDescent="0.2">
      <c r="Y54717" s="97"/>
    </row>
    <row r="54718" spans="25:25" x14ac:dyDescent="0.2">
      <c r="Y54718" s="97"/>
    </row>
    <row r="54719" spans="25:25" x14ac:dyDescent="0.2">
      <c r="Y54719" s="97"/>
    </row>
    <row r="54720" spans="25:25" x14ac:dyDescent="0.2">
      <c r="Y54720" s="97"/>
    </row>
    <row r="54721" spans="25:25" x14ac:dyDescent="0.2">
      <c r="Y54721" s="97"/>
    </row>
    <row r="54722" spans="25:25" x14ac:dyDescent="0.2">
      <c r="Y54722" s="97"/>
    </row>
    <row r="54723" spans="25:25" x14ac:dyDescent="0.2">
      <c r="Y54723" s="97"/>
    </row>
    <row r="54724" spans="25:25" x14ac:dyDescent="0.2">
      <c r="Y54724" s="97"/>
    </row>
    <row r="54725" spans="25:25" x14ac:dyDescent="0.2">
      <c r="Y54725" s="97"/>
    </row>
    <row r="54726" spans="25:25" x14ac:dyDescent="0.2">
      <c r="Y54726" s="97"/>
    </row>
    <row r="54727" spans="25:25" x14ac:dyDescent="0.2">
      <c r="Y54727" s="97"/>
    </row>
    <row r="54728" spans="25:25" x14ac:dyDescent="0.2">
      <c r="Y54728" s="97"/>
    </row>
    <row r="54729" spans="25:25" x14ac:dyDescent="0.2">
      <c r="Y54729" s="97"/>
    </row>
    <row r="54730" spans="25:25" x14ac:dyDescent="0.2">
      <c r="Y54730" s="97"/>
    </row>
    <row r="54731" spans="25:25" x14ac:dyDescent="0.2">
      <c r="Y54731" s="97"/>
    </row>
    <row r="54732" spans="25:25" x14ac:dyDescent="0.2">
      <c r="Y54732" s="97"/>
    </row>
    <row r="54733" spans="25:25" x14ac:dyDescent="0.2">
      <c r="Y54733" s="97"/>
    </row>
    <row r="54734" spans="25:25" x14ac:dyDescent="0.2">
      <c r="Y54734" s="97"/>
    </row>
    <row r="54735" spans="25:25" x14ac:dyDescent="0.2">
      <c r="Y54735" s="97"/>
    </row>
    <row r="54736" spans="25:25" x14ac:dyDescent="0.2">
      <c r="Y54736" s="97"/>
    </row>
    <row r="54737" spans="25:25" x14ac:dyDescent="0.2">
      <c r="Y54737" s="97"/>
    </row>
    <row r="54738" spans="25:25" x14ac:dyDescent="0.2">
      <c r="Y54738" s="97"/>
    </row>
    <row r="54739" spans="25:25" x14ac:dyDescent="0.2">
      <c r="Y54739" s="97"/>
    </row>
    <row r="54740" spans="25:25" x14ac:dyDescent="0.2">
      <c r="Y54740" s="97"/>
    </row>
    <row r="54741" spans="25:25" x14ac:dyDescent="0.2">
      <c r="Y54741" s="97"/>
    </row>
    <row r="54742" spans="25:25" x14ac:dyDescent="0.2">
      <c r="Y54742" s="97"/>
    </row>
    <row r="54743" spans="25:25" x14ac:dyDescent="0.2">
      <c r="Y54743" s="97"/>
    </row>
    <row r="54744" spans="25:25" x14ac:dyDescent="0.2">
      <c r="Y54744" s="97"/>
    </row>
    <row r="54745" spans="25:25" x14ac:dyDescent="0.2">
      <c r="Y54745" s="97"/>
    </row>
    <row r="54746" spans="25:25" x14ac:dyDescent="0.2">
      <c r="Y54746" s="97"/>
    </row>
    <row r="54747" spans="25:25" x14ac:dyDescent="0.2">
      <c r="Y54747" s="97"/>
    </row>
    <row r="54748" spans="25:25" x14ac:dyDescent="0.2">
      <c r="Y54748" s="97"/>
    </row>
    <row r="54749" spans="25:25" x14ac:dyDescent="0.2">
      <c r="Y54749" s="97"/>
    </row>
    <row r="54750" spans="25:25" x14ac:dyDescent="0.2">
      <c r="Y54750" s="97"/>
    </row>
    <row r="54751" spans="25:25" x14ac:dyDescent="0.2">
      <c r="Y54751" s="97"/>
    </row>
    <row r="54752" spans="25:25" x14ac:dyDescent="0.2">
      <c r="Y54752" s="97"/>
    </row>
    <row r="54753" spans="25:25" x14ac:dyDescent="0.2">
      <c r="Y54753" s="97"/>
    </row>
    <row r="54754" spans="25:25" x14ac:dyDescent="0.2">
      <c r="Y54754" s="97"/>
    </row>
    <row r="54755" spans="25:25" x14ac:dyDescent="0.2">
      <c r="Y54755" s="97"/>
    </row>
    <row r="54756" spans="25:25" x14ac:dyDescent="0.2">
      <c r="Y54756" s="97"/>
    </row>
    <row r="54757" spans="25:25" x14ac:dyDescent="0.2">
      <c r="Y54757" s="97"/>
    </row>
    <row r="54758" spans="25:25" x14ac:dyDescent="0.2">
      <c r="Y54758" s="97"/>
    </row>
    <row r="54759" spans="25:25" x14ac:dyDescent="0.2">
      <c r="Y54759" s="97"/>
    </row>
    <row r="54760" spans="25:25" x14ac:dyDescent="0.2">
      <c r="Y54760" s="97"/>
    </row>
    <row r="54761" spans="25:25" x14ac:dyDescent="0.2">
      <c r="Y54761" s="97"/>
    </row>
    <row r="54762" spans="25:25" x14ac:dyDescent="0.2">
      <c r="Y54762" s="97"/>
    </row>
    <row r="54763" spans="25:25" x14ac:dyDescent="0.2">
      <c r="Y54763" s="97"/>
    </row>
    <row r="54764" spans="25:25" x14ac:dyDescent="0.2">
      <c r="Y54764" s="97"/>
    </row>
    <row r="54765" spans="25:25" x14ac:dyDescent="0.2">
      <c r="Y54765" s="97"/>
    </row>
    <row r="54766" spans="25:25" x14ac:dyDescent="0.2">
      <c r="Y54766" s="97"/>
    </row>
    <row r="54767" spans="25:25" x14ac:dyDescent="0.2">
      <c r="Y54767" s="97"/>
    </row>
    <row r="54768" spans="25:25" x14ac:dyDescent="0.2">
      <c r="Y54768" s="97"/>
    </row>
    <row r="54769" spans="25:25" x14ac:dyDescent="0.2">
      <c r="Y54769" s="97"/>
    </row>
    <row r="54770" spans="25:25" x14ac:dyDescent="0.2">
      <c r="Y54770" s="97"/>
    </row>
    <row r="54771" spans="25:25" x14ac:dyDescent="0.2">
      <c r="Y54771" s="97"/>
    </row>
    <row r="54772" spans="25:25" x14ac:dyDescent="0.2">
      <c r="Y54772" s="97"/>
    </row>
    <row r="54773" spans="25:25" x14ac:dyDescent="0.2">
      <c r="Y54773" s="97"/>
    </row>
    <row r="54774" spans="25:25" x14ac:dyDescent="0.2">
      <c r="Y54774" s="97"/>
    </row>
    <row r="54775" spans="25:25" x14ac:dyDescent="0.2">
      <c r="Y54775" s="97"/>
    </row>
    <row r="54776" spans="25:25" x14ac:dyDescent="0.2">
      <c r="Y54776" s="97"/>
    </row>
    <row r="54777" spans="25:25" x14ac:dyDescent="0.2">
      <c r="Y54777" s="97"/>
    </row>
    <row r="54778" spans="25:25" x14ac:dyDescent="0.2">
      <c r="Y54778" s="97"/>
    </row>
    <row r="54779" spans="25:25" x14ac:dyDescent="0.2">
      <c r="Y54779" s="97"/>
    </row>
    <row r="54780" spans="25:25" x14ac:dyDescent="0.2">
      <c r="Y54780" s="97"/>
    </row>
    <row r="54781" spans="25:25" x14ac:dyDescent="0.2">
      <c r="Y54781" s="97"/>
    </row>
    <row r="54782" spans="25:25" x14ac:dyDescent="0.2">
      <c r="Y54782" s="97"/>
    </row>
    <row r="54783" spans="25:25" x14ac:dyDescent="0.2">
      <c r="Y54783" s="97"/>
    </row>
    <row r="54784" spans="25:25" x14ac:dyDescent="0.2">
      <c r="Y54784" s="97"/>
    </row>
    <row r="54785" spans="25:25" x14ac:dyDescent="0.2">
      <c r="Y54785" s="97"/>
    </row>
    <row r="54786" spans="25:25" x14ac:dyDescent="0.2">
      <c r="Y54786" s="97"/>
    </row>
    <row r="54787" spans="25:25" x14ac:dyDescent="0.2">
      <c r="Y54787" s="97"/>
    </row>
    <row r="54788" spans="25:25" x14ac:dyDescent="0.2">
      <c r="Y54788" s="97"/>
    </row>
    <row r="54789" spans="25:25" x14ac:dyDescent="0.2">
      <c r="Y54789" s="97"/>
    </row>
    <row r="54790" spans="25:25" x14ac:dyDescent="0.2">
      <c r="Y54790" s="97"/>
    </row>
    <row r="54791" spans="25:25" x14ac:dyDescent="0.2">
      <c r="Y54791" s="97"/>
    </row>
    <row r="54792" spans="25:25" x14ac:dyDescent="0.2">
      <c r="Y54792" s="97"/>
    </row>
    <row r="54793" spans="25:25" x14ac:dyDescent="0.2">
      <c r="Y54793" s="97"/>
    </row>
    <row r="54794" spans="25:25" x14ac:dyDescent="0.2">
      <c r="Y54794" s="97"/>
    </row>
    <row r="54795" spans="25:25" x14ac:dyDescent="0.2">
      <c r="Y54795" s="97"/>
    </row>
    <row r="54796" spans="25:25" x14ac:dyDescent="0.2">
      <c r="Y54796" s="97"/>
    </row>
    <row r="54797" spans="25:25" x14ac:dyDescent="0.2">
      <c r="Y54797" s="97"/>
    </row>
    <row r="54798" spans="25:25" x14ac:dyDescent="0.2">
      <c r="Y54798" s="97"/>
    </row>
    <row r="54799" spans="25:25" x14ac:dyDescent="0.2">
      <c r="Y54799" s="97"/>
    </row>
    <row r="54800" spans="25:25" x14ac:dyDescent="0.2">
      <c r="Y54800" s="97"/>
    </row>
    <row r="54801" spans="25:25" x14ac:dyDescent="0.2">
      <c r="Y54801" s="97"/>
    </row>
    <row r="54802" spans="25:25" x14ac:dyDescent="0.2">
      <c r="Y54802" s="97"/>
    </row>
    <row r="54803" spans="25:25" x14ac:dyDescent="0.2">
      <c r="Y54803" s="97"/>
    </row>
    <row r="54804" spans="25:25" x14ac:dyDescent="0.2">
      <c r="Y54804" s="97"/>
    </row>
    <row r="54805" spans="25:25" x14ac:dyDescent="0.2">
      <c r="Y54805" s="97"/>
    </row>
    <row r="54806" spans="25:25" x14ac:dyDescent="0.2">
      <c r="Y54806" s="97"/>
    </row>
    <row r="54807" spans="25:25" x14ac:dyDescent="0.2">
      <c r="Y54807" s="97"/>
    </row>
    <row r="54808" spans="25:25" x14ac:dyDescent="0.2">
      <c r="Y54808" s="97"/>
    </row>
    <row r="54809" spans="25:25" x14ac:dyDescent="0.2">
      <c r="Y54809" s="97"/>
    </row>
    <row r="54810" spans="25:25" x14ac:dyDescent="0.2">
      <c r="Y54810" s="97"/>
    </row>
    <row r="54811" spans="25:25" x14ac:dyDescent="0.2">
      <c r="Y54811" s="97"/>
    </row>
    <row r="54812" spans="25:25" x14ac:dyDescent="0.2">
      <c r="Y54812" s="97"/>
    </row>
    <row r="54813" spans="25:25" x14ac:dyDescent="0.2">
      <c r="Y54813" s="97"/>
    </row>
    <row r="54814" spans="25:25" x14ac:dyDescent="0.2">
      <c r="Y54814" s="97"/>
    </row>
    <row r="54815" spans="25:25" x14ac:dyDescent="0.2">
      <c r="Y54815" s="97"/>
    </row>
    <row r="54816" spans="25:25" x14ac:dyDescent="0.2">
      <c r="Y54816" s="97"/>
    </row>
    <row r="54817" spans="25:25" x14ac:dyDescent="0.2">
      <c r="Y54817" s="97"/>
    </row>
    <row r="54818" spans="25:25" x14ac:dyDescent="0.2">
      <c r="Y54818" s="97"/>
    </row>
    <row r="54819" spans="25:25" x14ac:dyDescent="0.2">
      <c r="Y54819" s="97"/>
    </row>
    <row r="54820" spans="25:25" x14ac:dyDescent="0.2">
      <c r="Y54820" s="97"/>
    </row>
    <row r="54821" spans="25:25" x14ac:dyDescent="0.2">
      <c r="Y54821" s="97"/>
    </row>
    <row r="54822" spans="25:25" x14ac:dyDescent="0.2">
      <c r="Y54822" s="97"/>
    </row>
    <row r="54823" spans="25:25" x14ac:dyDescent="0.2">
      <c r="Y54823" s="97"/>
    </row>
    <row r="54824" spans="25:25" x14ac:dyDescent="0.2">
      <c r="Y54824" s="97"/>
    </row>
    <row r="54825" spans="25:25" x14ac:dyDescent="0.2">
      <c r="Y54825" s="97"/>
    </row>
    <row r="54826" spans="25:25" x14ac:dyDescent="0.2">
      <c r="Y54826" s="97"/>
    </row>
    <row r="54827" spans="25:25" x14ac:dyDescent="0.2">
      <c r="Y54827" s="97"/>
    </row>
    <row r="54828" spans="25:25" x14ac:dyDescent="0.2">
      <c r="Y54828" s="97"/>
    </row>
    <row r="54829" spans="25:25" x14ac:dyDescent="0.2">
      <c r="Y54829" s="97"/>
    </row>
    <row r="54830" spans="25:25" x14ac:dyDescent="0.2">
      <c r="Y54830" s="97"/>
    </row>
    <row r="54831" spans="25:25" x14ac:dyDescent="0.2">
      <c r="Y54831" s="97"/>
    </row>
    <row r="54832" spans="25:25" x14ac:dyDescent="0.2">
      <c r="Y54832" s="97"/>
    </row>
    <row r="54833" spans="25:25" x14ac:dyDescent="0.2">
      <c r="Y54833" s="97"/>
    </row>
    <row r="54834" spans="25:25" x14ac:dyDescent="0.2">
      <c r="Y54834" s="97"/>
    </row>
    <row r="54835" spans="25:25" x14ac:dyDescent="0.2">
      <c r="Y54835" s="97"/>
    </row>
    <row r="54836" spans="25:25" x14ac:dyDescent="0.2">
      <c r="Y54836" s="97"/>
    </row>
    <row r="54837" spans="25:25" x14ac:dyDescent="0.2">
      <c r="Y54837" s="97"/>
    </row>
    <row r="54838" spans="25:25" x14ac:dyDescent="0.2">
      <c r="Y54838" s="97"/>
    </row>
    <row r="54839" spans="25:25" x14ac:dyDescent="0.2">
      <c r="Y54839" s="97"/>
    </row>
    <row r="54840" spans="25:25" x14ac:dyDescent="0.2">
      <c r="Y54840" s="97"/>
    </row>
    <row r="54841" spans="25:25" x14ac:dyDescent="0.2">
      <c r="Y54841" s="97"/>
    </row>
    <row r="54842" spans="25:25" x14ac:dyDescent="0.2">
      <c r="Y54842" s="97"/>
    </row>
    <row r="54843" spans="25:25" x14ac:dyDescent="0.2">
      <c r="Y54843" s="97"/>
    </row>
    <row r="54844" spans="25:25" x14ac:dyDescent="0.2">
      <c r="Y54844" s="97"/>
    </row>
    <row r="54845" spans="25:25" x14ac:dyDescent="0.2">
      <c r="Y54845" s="97"/>
    </row>
    <row r="54846" spans="25:25" x14ac:dyDescent="0.2">
      <c r="Y54846" s="97"/>
    </row>
    <row r="54847" spans="25:25" x14ac:dyDescent="0.2">
      <c r="Y54847" s="97"/>
    </row>
    <row r="54848" spans="25:25" x14ac:dyDescent="0.2">
      <c r="Y54848" s="97"/>
    </row>
    <row r="54849" spans="25:25" x14ac:dyDescent="0.2">
      <c r="Y54849" s="97"/>
    </row>
    <row r="54850" spans="25:25" x14ac:dyDescent="0.2">
      <c r="Y54850" s="97"/>
    </row>
    <row r="54851" spans="25:25" x14ac:dyDescent="0.2">
      <c r="Y54851" s="97"/>
    </row>
    <row r="54852" spans="25:25" x14ac:dyDescent="0.2">
      <c r="Y54852" s="97"/>
    </row>
    <row r="54853" spans="25:25" x14ac:dyDescent="0.2">
      <c r="Y54853" s="97"/>
    </row>
    <row r="54854" spans="25:25" x14ac:dyDescent="0.2">
      <c r="Y54854" s="97"/>
    </row>
    <row r="54855" spans="25:25" x14ac:dyDescent="0.2">
      <c r="Y54855" s="97"/>
    </row>
    <row r="54856" spans="25:25" x14ac:dyDescent="0.2">
      <c r="Y54856" s="97"/>
    </row>
    <row r="54857" spans="25:25" x14ac:dyDescent="0.2">
      <c r="Y54857" s="97"/>
    </row>
    <row r="54858" spans="25:25" x14ac:dyDescent="0.2">
      <c r="Y54858" s="97"/>
    </row>
    <row r="54859" spans="25:25" x14ac:dyDescent="0.2">
      <c r="Y54859" s="97"/>
    </row>
    <row r="54860" spans="25:25" x14ac:dyDescent="0.2">
      <c r="Y54860" s="97"/>
    </row>
    <row r="54861" spans="25:25" x14ac:dyDescent="0.2">
      <c r="Y54861" s="97"/>
    </row>
    <row r="54862" spans="25:25" x14ac:dyDescent="0.2">
      <c r="Y54862" s="97"/>
    </row>
    <row r="54863" spans="25:25" x14ac:dyDescent="0.2">
      <c r="Y54863" s="97"/>
    </row>
    <row r="54864" spans="25:25" x14ac:dyDescent="0.2">
      <c r="Y54864" s="97"/>
    </row>
    <row r="54865" spans="25:25" x14ac:dyDescent="0.2">
      <c r="Y54865" s="97"/>
    </row>
    <row r="54866" spans="25:25" x14ac:dyDescent="0.2">
      <c r="Y54866" s="97"/>
    </row>
    <row r="54867" spans="25:25" x14ac:dyDescent="0.2">
      <c r="Y54867" s="97"/>
    </row>
    <row r="54868" spans="25:25" x14ac:dyDescent="0.2">
      <c r="Y54868" s="97"/>
    </row>
    <row r="54869" spans="25:25" x14ac:dyDescent="0.2">
      <c r="Y54869" s="97"/>
    </row>
    <row r="54870" spans="25:25" x14ac:dyDescent="0.2">
      <c r="Y54870" s="97"/>
    </row>
    <row r="54871" spans="25:25" x14ac:dyDescent="0.2">
      <c r="Y54871" s="97"/>
    </row>
    <row r="54872" spans="25:25" x14ac:dyDescent="0.2">
      <c r="Y54872" s="97"/>
    </row>
    <row r="54873" spans="25:25" x14ac:dyDescent="0.2">
      <c r="Y54873" s="97"/>
    </row>
    <row r="54874" spans="25:25" x14ac:dyDescent="0.2">
      <c r="Y54874" s="97"/>
    </row>
    <row r="54875" spans="25:25" x14ac:dyDescent="0.2">
      <c r="Y54875" s="97"/>
    </row>
    <row r="54876" spans="25:25" x14ac:dyDescent="0.2">
      <c r="Y54876" s="97"/>
    </row>
    <row r="54877" spans="25:25" x14ac:dyDescent="0.2">
      <c r="Y54877" s="97"/>
    </row>
    <row r="54878" spans="25:25" x14ac:dyDescent="0.2">
      <c r="Y54878" s="97"/>
    </row>
    <row r="54879" spans="25:25" x14ac:dyDescent="0.2">
      <c r="Y54879" s="97"/>
    </row>
    <row r="54880" spans="25:25" x14ac:dyDescent="0.2">
      <c r="Y54880" s="97"/>
    </row>
    <row r="54881" spans="25:25" x14ac:dyDescent="0.2">
      <c r="Y54881" s="97"/>
    </row>
    <row r="54882" spans="25:25" x14ac:dyDescent="0.2">
      <c r="Y54882" s="97"/>
    </row>
    <row r="54883" spans="25:25" x14ac:dyDescent="0.2">
      <c r="Y54883" s="97"/>
    </row>
    <row r="54884" spans="25:25" x14ac:dyDescent="0.2">
      <c r="Y54884" s="97"/>
    </row>
    <row r="54885" spans="25:25" x14ac:dyDescent="0.2">
      <c r="Y54885" s="97"/>
    </row>
    <row r="54886" spans="25:25" x14ac:dyDescent="0.2">
      <c r="Y54886" s="97"/>
    </row>
    <row r="54887" spans="25:25" x14ac:dyDescent="0.2">
      <c r="Y54887" s="97"/>
    </row>
    <row r="54888" spans="25:25" x14ac:dyDescent="0.2">
      <c r="Y54888" s="97"/>
    </row>
    <row r="54889" spans="25:25" x14ac:dyDescent="0.2">
      <c r="Y54889" s="97"/>
    </row>
    <row r="54890" spans="25:25" x14ac:dyDescent="0.2">
      <c r="Y54890" s="97"/>
    </row>
    <row r="54891" spans="25:25" x14ac:dyDescent="0.2">
      <c r="Y54891" s="97"/>
    </row>
    <row r="54892" spans="25:25" x14ac:dyDescent="0.2">
      <c r="Y54892" s="97"/>
    </row>
    <row r="54893" spans="25:25" x14ac:dyDescent="0.2">
      <c r="Y54893" s="97"/>
    </row>
    <row r="54894" spans="25:25" x14ac:dyDescent="0.2">
      <c r="Y54894" s="97"/>
    </row>
    <row r="54895" spans="25:25" x14ac:dyDescent="0.2">
      <c r="Y54895" s="97"/>
    </row>
    <row r="54896" spans="25:25" x14ac:dyDescent="0.2">
      <c r="Y54896" s="97"/>
    </row>
    <row r="54897" spans="25:25" x14ac:dyDescent="0.2">
      <c r="Y54897" s="97"/>
    </row>
    <row r="54898" spans="25:25" x14ac:dyDescent="0.2">
      <c r="Y54898" s="97"/>
    </row>
    <row r="54899" spans="25:25" x14ac:dyDescent="0.2">
      <c r="Y54899" s="97"/>
    </row>
    <row r="54900" spans="25:25" x14ac:dyDescent="0.2">
      <c r="Y54900" s="97"/>
    </row>
    <row r="54901" spans="25:25" x14ac:dyDescent="0.2">
      <c r="Y54901" s="97"/>
    </row>
    <row r="54902" spans="25:25" x14ac:dyDescent="0.2">
      <c r="Y54902" s="97"/>
    </row>
    <row r="54903" spans="25:25" x14ac:dyDescent="0.2">
      <c r="Y54903" s="97"/>
    </row>
    <row r="54904" spans="25:25" x14ac:dyDescent="0.2">
      <c r="Y54904" s="97"/>
    </row>
    <row r="54905" spans="25:25" x14ac:dyDescent="0.2">
      <c r="Y54905" s="97"/>
    </row>
    <row r="54906" spans="25:25" x14ac:dyDescent="0.2">
      <c r="Y54906" s="97"/>
    </row>
    <row r="54907" spans="25:25" x14ac:dyDescent="0.2">
      <c r="Y54907" s="97"/>
    </row>
    <row r="54908" spans="25:25" x14ac:dyDescent="0.2">
      <c r="Y54908" s="97"/>
    </row>
    <row r="54909" spans="25:25" x14ac:dyDescent="0.2">
      <c r="Y54909" s="97"/>
    </row>
    <row r="54910" spans="25:25" x14ac:dyDescent="0.2">
      <c r="Y54910" s="97"/>
    </row>
    <row r="54911" spans="25:25" x14ac:dyDescent="0.2">
      <c r="Y54911" s="97"/>
    </row>
    <row r="54912" spans="25:25" x14ac:dyDescent="0.2">
      <c r="Y54912" s="97"/>
    </row>
    <row r="54913" spans="25:25" x14ac:dyDescent="0.2">
      <c r="Y54913" s="97"/>
    </row>
    <row r="54914" spans="25:25" x14ac:dyDescent="0.2">
      <c r="Y54914" s="97"/>
    </row>
    <row r="54915" spans="25:25" x14ac:dyDescent="0.2">
      <c r="Y54915" s="97"/>
    </row>
    <row r="54916" spans="25:25" x14ac:dyDescent="0.2">
      <c r="Y54916" s="97"/>
    </row>
    <row r="54917" spans="25:25" x14ac:dyDescent="0.2">
      <c r="Y54917" s="97"/>
    </row>
    <row r="54918" spans="25:25" x14ac:dyDescent="0.2">
      <c r="Y54918" s="97"/>
    </row>
    <row r="54919" spans="25:25" x14ac:dyDescent="0.2">
      <c r="Y54919" s="97"/>
    </row>
    <row r="54920" spans="25:25" x14ac:dyDescent="0.2">
      <c r="Y54920" s="97"/>
    </row>
    <row r="54921" spans="25:25" x14ac:dyDescent="0.2">
      <c r="Y54921" s="97"/>
    </row>
    <row r="54922" spans="25:25" x14ac:dyDescent="0.2">
      <c r="Y54922" s="97"/>
    </row>
    <row r="54923" spans="25:25" x14ac:dyDescent="0.2">
      <c r="Y54923" s="97"/>
    </row>
    <row r="54924" spans="25:25" x14ac:dyDescent="0.2">
      <c r="Y54924" s="97"/>
    </row>
    <row r="54925" spans="25:25" x14ac:dyDescent="0.2">
      <c r="Y54925" s="97"/>
    </row>
    <row r="54926" spans="25:25" x14ac:dyDescent="0.2">
      <c r="Y54926" s="97"/>
    </row>
    <row r="54927" spans="25:25" x14ac:dyDescent="0.2">
      <c r="Y54927" s="97"/>
    </row>
    <row r="54928" spans="25:25" x14ac:dyDescent="0.2">
      <c r="Y54928" s="97"/>
    </row>
    <row r="54929" spans="25:25" x14ac:dyDescent="0.2">
      <c r="Y54929" s="97"/>
    </row>
    <row r="54930" spans="25:25" x14ac:dyDescent="0.2">
      <c r="Y54930" s="97"/>
    </row>
    <row r="54931" spans="25:25" x14ac:dyDescent="0.2">
      <c r="Y54931" s="97"/>
    </row>
    <row r="54932" spans="25:25" x14ac:dyDescent="0.2">
      <c r="Y54932" s="97"/>
    </row>
    <row r="54933" spans="25:25" x14ac:dyDescent="0.2">
      <c r="Y54933" s="97"/>
    </row>
    <row r="54934" spans="25:25" x14ac:dyDescent="0.2">
      <c r="Y54934" s="97"/>
    </row>
    <row r="54935" spans="25:25" x14ac:dyDescent="0.2">
      <c r="Y54935" s="97"/>
    </row>
    <row r="54936" spans="25:25" x14ac:dyDescent="0.2">
      <c r="Y54936" s="97"/>
    </row>
    <row r="54937" spans="25:25" x14ac:dyDescent="0.2">
      <c r="Y54937" s="97"/>
    </row>
    <row r="54938" spans="25:25" x14ac:dyDescent="0.2">
      <c r="Y54938" s="97"/>
    </row>
    <row r="54939" spans="25:25" x14ac:dyDescent="0.2">
      <c r="Y54939" s="97"/>
    </row>
    <row r="54940" spans="25:25" x14ac:dyDescent="0.2">
      <c r="Y54940" s="97"/>
    </row>
    <row r="54941" spans="25:25" x14ac:dyDescent="0.2">
      <c r="Y54941" s="97"/>
    </row>
    <row r="54942" spans="25:25" x14ac:dyDescent="0.2">
      <c r="Y54942" s="97"/>
    </row>
    <row r="54943" spans="25:25" x14ac:dyDescent="0.2">
      <c r="Y54943" s="97"/>
    </row>
    <row r="54944" spans="25:25" x14ac:dyDescent="0.2">
      <c r="Y54944" s="97"/>
    </row>
    <row r="54945" spans="25:25" x14ac:dyDescent="0.2">
      <c r="Y54945" s="97"/>
    </row>
    <row r="54946" spans="25:25" x14ac:dyDescent="0.2">
      <c r="Y54946" s="97"/>
    </row>
    <row r="54947" spans="25:25" x14ac:dyDescent="0.2">
      <c r="Y54947" s="97"/>
    </row>
    <row r="54948" spans="25:25" x14ac:dyDescent="0.2">
      <c r="Y54948" s="97"/>
    </row>
    <row r="54949" spans="25:25" x14ac:dyDescent="0.2">
      <c r="Y54949" s="97"/>
    </row>
    <row r="54950" spans="25:25" x14ac:dyDescent="0.2">
      <c r="Y54950" s="97"/>
    </row>
    <row r="54951" spans="25:25" x14ac:dyDescent="0.2">
      <c r="Y54951" s="97"/>
    </row>
    <row r="54952" spans="25:25" x14ac:dyDescent="0.2">
      <c r="Y54952" s="97"/>
    </row>
    <row r="54953" spans="25:25" x14ac:dyDescent="0.2">
      <c r="Y54953" s="97"/>
    </row>
    <row r="54954" spans="25:25" x14ac:dyDescent="0.2">
      <c r="Y54954" s="97"/>
    </row>
    <row r="54955" spans="25:25" x14ac:dyDescent="0.2">
      <c r="Y54955" s="97"/>
    </row>
    <row r="54956" spans="25:25" x14ac:dyDescent="0.2">
      <c r="Y54956" s="97"/>
    </row>
    <row r="54957" spans="25:25" x14ac:dyDescent="0.2">
      <c r="Y54957" s="97"/>
    </row>
    <row r="54958" spans="25:25" x14ac:dyDescent="0.2">
      <c r="Y54958" s="97"/>
    </row>
    <row r="54959" spans="25:25" x14ac:dyDescent="0.2">
      <c r="Y54959" s="97"/>
    </row>
    <row r="54960" spans="25:25" x14ac:dyDescent="0.2">
      <c r="Y54960" s="97"/>
    </row>
    <row r="54961" spans="25:25" x14ac:dyDescent="0.2">
      <c r="Y54961" s="97"/>
    </row>
    <row r="54962" spans="25:25" x14ac:dyDescent="0.2">
      <c r="Y54962" s="97"/>
    </row>
    <row r="54963" spans="25:25" x14ac:dyDescent="0.2">
      <c r="Y54963" s="97"/>
    </row>
    <row r="54964" spans="25:25" x14ac:dyDescent="0.2">
      <c r="Y54964" s="97"/>
    </row>
    <row r="54965" spans="25:25" x14ac:dyDescent="0.2">
      <c r="Y54965" s="97"/>
    </row>
    <row r="54966" spans="25:25" x14ac:dyDescent="0.2">
      <c r="Y54966" s="97"/>
    </row>
    <row r="54967" spans="25:25" x14ac:dyDescent="0.2">
      <c r="Y54967" s="97"/>
    </row>
    <row r="54968" spans="25:25" x14ac:dyDescent="0.2">
      <c r="Y54968" s="97"/>
    </row>
    <row r="54969" spans="25:25" x14ac:dyDescent="0.2">
      <c r="Y54969" s="97"/>
    </row>
    <row r="54970" spans="25:25" x14ac:dyDescent="0.2">
      <c r="Y54970" s="97"/>
    </row>
    <row r="54971" spans="25:25" x14ac:dyDescent="0.2">
      <c r="Y54971" s="97"/>
    </row>
    <row r="54972" spans="25:25" x14ac:dyDescent="0.2">
      <c r="Y54972" s="97"/>
    </row>
    <row r="54973" spans="25:25" x14ac:dyDescent="0.2">
      <c r="Y54973" s="97"/>
    </row>
    <row r="54974" spans="25:25" x14ac:dyDescent="0.2">
      <c r="Y54974" s="97"/>
    </row>
    <row r="54975" spans="25:25" x14ac:dyDescent="0.2">
      <c r="Y54975" s="97"/>
    </row>
    <row r="54976" spans="25:25" x14ac:dyDescent="0.2">
      <c r="Y54976" s="97"/>
    </row>
    <row r="54977" spans="25:25" x14ac:dyDescent="0.2">
      <c r="Y54977" s="97"/>
    </row>
    <row r="54978" spans="25:25" x14ac:dyDescent="0.2">
      <c r="Y54978" s="97"/>
    </row>
    <row r="54979" spans="25:25" x14ac:dyDescent="0.2">
      <c r="Y54979" s="97"/>
    </row>
    <row r="54980" spans="25:25" x14ac:dyDescent="0.2">
      <c r="Y54980" s="97"/>
    </row>
    <row r="54981" spans="25:25" x14ac:dyDescent="0.2">
      <c r="Y54981" s="97"/>
    </row>
    <row r="54982" spans="25:25" x14ac:dyDescent="0.2">
      <c r="Y54982" s="97"/>
    </row>
    <row r="54983" spans="25:25" x14ac:dyDescent="0.2">
      <c r="Y54983" s="97"/>
    </row>
    <row r="54984" spans="25:25" x14ac:dyDescent="0.2">
      <c r="Y54984" s="97"/>
    </row>
    <row r="54985" spans="25:25" x14ac:dyDescent="0.2">
      <c r="Y54985" s="97"/>
    </row>
    <row r="54986" spans="25:25" x14ac:dyDescent="0.2">
      <c r="Y54986" s="97"/>
    </row>
    <row r="54987" spans="25:25" x14ac:dyDescent="0.2">
      <c r="Y54987" s="97"/>
    </row>
    <row r="54988" spans="25:25" x14ac:dyDescent="0.2">
      <c r="Y54988" s="97"/>
    </row>
    <row r="54989" spans="25:25" x14ac:dyDescent="0.2">
      <c r="Y54989" s="97"/>
    </row>
    <row r="54990" spans="25:25" x14ac:dyDescent="0.2">
      <c r="Y54990" s="97"/>
    </row>
    <row r="54991" spans="25:25" x14ac:dyDescent="0.2">
      <c r="Y54991" s="97"/>
    </row>
    <row r="54992" spans="25:25" x14ac:dyDescent="0.2">
      <c r="Y54992" s="97"/>
    </row>
    <row r="54993" spans="25:25" x14ac:dyDescent="0.2">
      <c r="Y54993" s="97"/>
    </row>
    <row r="54994" spans="25:25" x14ac:dyDescent="0.2">
      <c r="Y54994" s="97"/>
    </row>
    <row r="54995" spans="25:25" x14ac:dyDescent="0.2">
      <c r="Y54995" s="97"/>
    </row>
    <row r="54996" spans="25:25" x14ac:dyDescent="0.2">
      <c r="Y54996" s="97"/>
    </row>
    <row r="54997" spans="25:25" x14ac:dyDescent="0.2">
      <c r="Y54997" s="97"/>
    </row>
    <row r="54998" spans="25:25" x14ac:dyDescent="0.2">
      <c r="Y54998" s="97"/>
    </row>
    <row r="54999" spans="25:25" x14ac:dyDescent="0.2">
      <c r="Y54999" s="97"/>
    </row>
    <row r="55000" spans="25:25" x14ac:dyDescent="0.2">
      <c r="Y55000" s="97"/>
    </row>
    <row r="55001" spans="25:25" x14ac:dyDescent="0.2">
      <c r="Y55001" s="97"/>
    </row>
    <row r="55002" spans="25:25" x14ac:dyDescent="0.2">
      <c r="Y55002" s="97"/>
    </row>
    <row r="55003" spans="25:25" x14ac:dyDescent="0.2">
      <c r="Y55003" s="97"/>
    </row>
    <row r="55004" spans="25:25" x14ac:dyDescent="0.2">
      <c r="Y55004" s="97"/>
    </row>
    <row r="55005" spans="25:25" x14ac:dyDescent="0.2">
      <c r="Y55005" s="97"/>
    </row>
    <row r="55006" spans="25:25" x14ac:dyDescent="0.2">
      <c r="Y55006" s="97"/>
    </row>
    <row r="55007" spans="25:25" x14ac:dyDescent="0.2">
      <c r="Y55007" s="97"/>
    </row>
    <row r="55008" spans="25:25" x14ac:dyDescent="0.2">
      <c r="Y55008" s="97"/>
    </row>
    <row r="55009" spans="25:25" x14ac:dyDescent="0.2">
      <c r="Y55009" s="97"/>
    </row>
    <row r="55010" spans="25:25" x14ac:dyDescent="0.2">
      <c r="Y55010" s="97"/>
    </row>
    <row r="55011" spans="25:25" x14ac:dyDescent="0.2">
      <c r="Y55011" s="97"/>
    </row>
    <row r="55012" spans="25:25" x14ac:dyDescent="0.2">
      <c r="Y55012" s="97"/>
    </row>
    <row r="55013" spans="25:25" x14ac:dyDescent="0.2">
      <c r="Y55013" s="97"/>
    </row>
    <row r="55014" spans="25:25" x14ac:dyDescent="0.2">
      <c r="Y55014" s="97"/>
    </row>
    <row r="55015" spans="25:25" x14ac:dyDescent="0.2">
      <c r="Y55015" s="97"/>
    </row>
    <row r="55016" spans="25:25" x14ac:dyDescent="0.2">
      <c r="Y55016" s="97"/>
    </row>
    <row r="55017" spans="25:25" x14ac:dyDescent="0.2">
      <c r="Y55017" s="97"/>
    </row>
    <row r="55018" spans="25:25" x14ac:dyDescent="0.2">
      <c r="Y55018" s="97"/>
    </row>
    <row r="55019" spans="25:25" x14ac:dyDescent="0.2">
      <c r="Y55019" s="97"/>
    </row>
    <row r="55020" spans="25:25" x14ac:dyDescent="0.2">
      <c r="Y55020" s="97"/>
    </row>
    <row r="55021" spans="25:25" x14ac:dyDescent="0.2">
      <c r="Y55021" s="97"/>
    </row>
    <row r="55022" spans="25:25" x14ac:dyDescent="0.2">
      <c r="Y55022" s="97"/>
    </row>
    <row r="55023" spans="25:25" x14ac:dyDescent="0.2">
      <c r="Y55023" s="97"/>
    </row>
    <row r="55024" spans="25:25" x14ac:dyDescent="0.2">
      <c r="Y55024" s="97"/>
    </row>
    <row r="55025" spans="25:25" x14ac:dyDescent="0.2">
      <c r="Y55025" s="97"/>
    </row>
    <row r="55026" spans="25:25" x14ac:dyDescent="0.2">
      <c r="Y55026" s="97"/>
    </row>
    <row r="55027" spans="25:25" x14ac:dyDescent="0.2">
      <c r="Y55027" s="97"/>
    </row>
    <row r="55028" spans="25:25" x14ac:dyDescent="0.2">
      <c r="Y55028" s="97"/>
    </row>
    <row r="55029" spans="25:25" x14ac:dyDescent="0.2">
      <c r="Y55029" s="97"/>
    </row>
    <row r="55030" spans="25:25" x14ac:dyDescent="0.2">
      <c r="Y55030" s="97"/>
    </row>
    <row r="55031" spans="25:25" x14ac:dyDescent="0.2">
      <c r="Y55031" s="97"/>
    </row>
    <row r="55032" spans="25:25" x14ac:dyDescent="0.2">
      <c r="Y55032" s="97"/>
    </row>
    <row r="55033" spans="25:25" x14ac:dyDescent="0.2">
      <c r="Y55033" s="97"/>
    </row>
    <row r="55034" spans="25:25" x14ac:dyDescent="0.2">
      <c r="Y55034" s="97"/>
    </row>
    <row r="55035" spans="25:25" x14ac:dyDescent="0.2">
      <c r="Y55035" s="97"/>
    </row>
    <row r="55036" spans="25:25" x14ac:dyDescent="0.2">
      <c r="Y55036" s="97"/>
    </row>
    <row r="55037" spans="25:25" x14ac:dyDescent="0.2">
      <c r="Y55037" s="97"/>
    </row>
    <row r="55038" spans="25:25" x14ac:dyDescent="0.2">
      <c r="Y55038" s="97"/>
    </row>
    <row r="55039" spans="25:25" x14ac:dyDescent="0.2">
      <c r="Y55039" s="97"/>
    </row>
    <row r="55040" spans="25:25" x14ac:dyDescent="0.2">
      <c r="Y55040" s="97"/>
    </row>
    <row r="55041" spans="25:25" x14ac:dyDescent="0.2">
      <c r="Y55041" s="97"/>
    </row>
    <row r="55042" spans="25:25" x14ac:dyDescent="0.2">
      <c r="Y55042" s="97"/>
    </row>
    <row r="55043" spans="25:25" x14ac:dyDescent="0.2">
      <c r="Y55043" s="97"/>
    </row>
    <row r="55044" spans="25:25" x14ac:dyDescent="0.2">
      <c r="Y55044" s="97"/>
    </row>
    <row r="55045" spans="25:25" x14ac:dyDescent="0.2">
      <c r="Y55045" s="97"/>
    </row>
    <row r="55046" spans="25:25" x14ac:dyDescent="0.2">
      <c r="Y55046" s="97"/>
    </row>
    <row r="55047" spans="25:25" x14ac:dyDescent="0.2">
      <c r="Y55047" s="97"/>
    </row>
    <row r="55048" spans="25:25" x14ac:dyDescent="0.2">
      <c r="Y55048" s="97"/>
    </row>
    <row r="55049" spans="25:25" x14ac:dyDescent="0.2">
      <c r="Y55049" s="97"/>
    </row>
    <row r="55050" spans="25:25" x14ac:dyDescent="0.2">
      <c r="Y55050" s="97"/>
    </row>
    <row r="55051" spans="25:25" x14ac:dyDescent="0.2">
      <c r="Y55051" s="97"/>
    </row>
    <row r="55052" spans="25:25" x14ac:dyDescent="0.2">
      <c r="Y55052" s="97"/>
    </row>
    <row r="55053" spans="25:25" x14ac:dyDescent="0.2">
      <c r="Y55053" s="97"/>
    </row>
    <row r="55054" spans="25:25" x14ac:dyDescent="0.2">
      <c r="Y55054" s="97"/>
    </row>
    <row r="55055" spans="25:25" x14ac:dyDescent="0.2">
      <c r="Y55055" s="97"/>
    </row>
    <row r="55056" spans="25:25" x14ac:dyDescent="0.2">
      <c r="Y55056" s="97"/>
    </row>
    <row r="55057" spans="25:25" x14ac:dyDescent="0.2">
      <c r="Y55057" s="97"/>
    </row>
    <row r="55058" spans="25:25" x14ac:dyDescent="0.2">
      <c r="Y55058" s="97"/>
    </row>
    <row r="55059" spans="25:25" x14ac:dyDescent="0.2">
      <c r="Y55059" s="97"/>
    </row>
    <row r="55060" spans="25:25" x14ac:dyDescent="0.2">
      <c r="Y55060" s="97"/>
    </row>
    <row r="55061" spans="25:25" x14ac:dyDescent="0.2">
      <c r="Y55061" s="97"/>
    </row>
    <row r="55062" spans="25:25" x14ac:dyDescent="0.2">
      <c r="Y55062" s="97"/>
    </row>
    <row r="55063" spans="25:25" x14ac:dyDescent="0.2">
      <c r="Y55063" s="97"/>
    </row>
    <row r="55064" spans="25:25" x14ac:dyDescent="0.2">
      <c r="Y55064" s="97"/>
    </row>
    <row r="55065" spans="25:25" x14ac:dyDescent="0.2">
      <c r="Y55065" s="97"/>
    </row>
    <row r="55066" spans="25:25" x14ac:dyDescent="0.2">
      <c r="Y55066" s="97"/>
    </row>
    <row r="55067" spans="25:25" x14ac:dyDescent="0.2">
      <c r="Y55067" s="97"/>
    </row>
    <row r="55068" spans="25:25" x14ac:dyDescent="0.2">
      <c r="Y55068" s="97"/>
    </row>
    <row r="55069" spans="25:25" x14ac:dyDescent="0.2">
      <c r="Y55069" s="97"/>
    </row>
    <row r="55070" spans="25:25" x14ac:dyDescent="0.2">
      <c r="Y55070" s="97"/>
    </row>
    <row r="55071" spans="25:25" x14ac:dyDescent="0.2">
      <c r="Y55071" s="97"/>
    </row>
    <row r="55072" spans="25:25" x14ac:dyDescent="0.2">
      <c r="Y55072" s="97"/>
    </row>
    <row r="55073" spans="25:25" x14ac:dyDescent="0.2">
      <c r="Y55073" s="97"/>
    </row>
    <row r="55074" spans="25:25" x14ac:dyDescent="0.2">
      <c r="Y55074" s="97"/>
    </row>
    <row r="55075" spans="25:25" x14ac:dyDescent="0.2">
      <c r="Y55075" s="97"/>
    </row>
    <row r="55076" spans="25:25" x14ac:dyDescent="0.2">
      <c r="Y55076" s="97"/>
    </row>
    <row r="55077" spans="25:25" x14ac:dyDescent="0.2">
      <c r="Y55077" s="97"/>
    </row>
    <row r="55078" spans="25:25" x14ac:dyDescent="0.2">
      <c r="Y55078" s="97"/>
    </row>
    <row r="55079" spans="25:25" x14ac:dyDescent="0.2">
      <c r="Y55079" s="97"/>
    </row>
    <row r="55080" spans="25:25" x14ac:dyDescent="0.2">
      <c r="Y55080" s="97"/>
    </row>
    <row r="55081" spans="25:25" x14ac:dyDescent="0.2">
      <c r="Y55081" s="97"/>
    </row>
    <row r="55082" spans="25:25" x14ac:dyDescent="0.2">
      <c r="Y55082" s="97"/>
    </row>
    <row r="55083" spans="25:25" x14ac:dyDescent="0.2">
      <c r="Y55083" s="97"/>
    </row>
    <row r="55084" spans="25:25" x14ac:dyDescent="0.2">
      <c r="Y55084" s="97"/>
    </row>
    <row r="55085" spans="25:25" x14ac:dyDescent="0.2">
      <c r="Y55085" s="97"/>
    </row>
    <row r="55086" spans="25:25" x14ac:dyDescent="0.2">
      <c r="Y55086" s="97"/>
    </row>
    <row r="55087" spans="25:25" x14ac:dyDescent="0.2">
      <c r="Y55087" s="97"/>
    </row>
    <row r="55088" spans="25:25" x14ac:dyDescent="0.2">
      <c r="Y55088" s="97"/>
    </row>
    <row r="55089" spans="25:25" x14ac:dyDescent="0.2">
      <c r="Y55089" s="97"/>
    </row>
    <row r="55090" spans="25:25" x14ac:dyDescent="0.2">
      <c r="Y55090" s="97"/>
    </row>
    <row r="55091" spans="25:25" x14ac:dyDescent="0.2">
      <c r="Y55091" s="97"/>
    </row>
    <row r="55092" spans="25:25" x14ac:dyDescent="0.2">
      <c r="Y55092" s="97"/>
    </row>
    <row r="55093" spans="25:25" x14ac:dyDescent="0.2">
      <c r="Y55093" s="97"/>
    </row>
    <row r="55094" spans="25:25" x14ac:dyDescent="0.2">
      <c r="Y55094" s="97"/>
    </row>
    <row r="55095" spans="25:25" x14ac:dyDescent="0.2">
      <c r="Y55095" s="97"/>
    </row>
    <row r="55096" spans="25:25" x14ac:dyDescent="0.2">
      <c r="Y55096" s="97"/>
    </row>
    <row r="55097" spans="25:25" x14ac:dyDescent="0.2">
      <c r="Y55097" s="97"/>
    </row>
    <row r="55098" spans="25:25" x14ac:dyDescent="0.2">
      <c r="Y55098" s="97"/>
    </row>
    <row r="55099" spans="25:25" x14ac:dyDescent="0.2">
      <c r="Y55099" s="97"/>
    </row>
    <row r="55100" spans="25:25" x14ac:dyDescent="0.2">
      <c r="Y55100" s="97"/>
    </row>
    <row r="55101" spans="25:25" x14ac:dyDescent="0.2">
      <c r="Y55101" s="97"/>
    </row>
    <row r="55102" spans="25:25" x14ac:dyDescent="0.2">
      <c r="Y55102" s="97"/>
    </row>
    <row r="55103" spans="25:25" x14ac:dyDescent="0.2">
      <c r="Y55103" s="97"/>
    </row>
    <row r="55104" spans="25:25" x14ac:dyDescent="0.2">
      <c r="Y55104" s="97"/>
    </row>
    <row r="55105" spans="25:25" x14ac:dyDescent="0.2">
      <c r="Y55105" s="97"/>
    </row>
    <row r="55106" spans="25:25" x14ac:dyDescent="0.2">
      <c r="Y55106" s="97"/>
    </row>
    <row r="55107" spans="25:25" x14ac:dyDescent="0.2">
      <c r="Y55107" s="97"/>
    </row>
    <row r="55108" spans="25:25" x14ac:dyDescent="0.2">
      <c r="Y55108" s="97"/>
    </row>
    <row r="55109" spans="25:25" x14ac:dyDescent="0.2">
      <c r="Y55109" s="97"/>
    </row>
    <row r="55110" spans="25:25" x14ac:dyDescent="0.2">
      <c r="Y55110" s="97"/>
    </row>
    <row r="55111" spans="25:25" x14ac:dyDescent="0.2">
      <c r="Y55111" s="97"/>
    </row>
    <row r="55112" spans="25:25" x14ac:dyDescent="0.2">
      <c r="Y55112" s="97"/>
    </row>
    <row r="55113" spans="25:25" x14ac:dyDescent="0.2">
      <c r="Y55113" s="97"/>
    </row>
    <row r="55114" spans="25:25" x14ac:dyDescent="0.2">
      <c r="Y55114" s="97"/>
    </row>
    <row r="55115" spans="25:25" x14ac:dyDescent="0.2">
      <c r="Y55115" s="97"/>
    </row>
    <row r="55116" spans="25:25" x14ac:dyDescent="0.2">
      <c r="Y55116" s="97"/>
    </row>
    <row r="55117" spans="25:25" x14ac:dyDescent="0.2">
      <c r="Y55117" s="97"/>
    </row>
    <row r="55118" spans="25:25" x14ac:dyDescent="0.2">
      <c r="Y55118" s="97"/>
    </row>
    <row r="55119" spans="25:25" x14ac:dyDescent="0.2">
      <c r="Y55119" s="97"/>
    </row>
    <row r="55120" spans="25:25" x14ac:dyDescent="0.2">
      <c r="Y55120" s="97"/>
    </row>
    <row r="55121" spans="25:25" x14ac:dyDescent="0.2">
      <c r="Y55121" s="97"/>
    </row>
    <row r="55122" spans="25:25" x14ac:dyDescent="0.2">
      <c r="Y55122" s="97"/>
    </row>
    <row r="55123" spans="25:25" x14ac:dyDescent="0.2">
      <c r="Y55123" s="97"/>
    </row>
    <row r="55124" spans="25:25" x14ac:dyDescent="0.2">
      <c r="Y55124" s="97"/>
    </row>
    <row r="55125" spans="25:25" x14ac:dyDescent="0.2">
      <c r="Y55125" s="97"/>
    </row>
    <row r="55126" spans="25:25" x14ac:dyDescent="0.2">
      <c r="Y55126" s="97"/>
    </row>
    <row r="55127" spans="25:25" x14ac:dyDescent="0.2">
      <c r="Y55127" s="97"/>
    </row>
    <row r="55128" spans="25:25" x14ac:dyDescent="0.2">
      <c r="Y55128" s="97"/>
    </row>
    <row r="55129" spans="25:25" x14ac:dyDescent="0.2">
      <c r="Y55129" s="97"/>
    </row>
    <row r="55130" spans="25:25" x14ac:dyDescent="0.2">
      <c r="Y55130" s="97"/>
    </row>
    <row r="55131" spans="25:25" x14ac:dyDescent="0.2">
      <c r="Y55131" s="97"/>
    </row>
    <row r="55132" spans="25:25" x14ac:dyDescent="0.2">
      <c r="Y55132" s="97"/>
    </row>
    <row r="55133" spans="25:25" x14ac:dyDescent="0.2">
      <c r="Y55133" s="97"/>
    </row>
    <row r="55134" spans="25:25" x14ac:dyDescent="0.2">
      <c r="Y55134" s="97"/>
    </row>
    <row r="55135" spans="25:25" x14ac:dyDescent="0.2">
      <c r="Y55135" s="97"/>
    </row>
    <row r="55136" spans="25:25" x14ac:dyDescent="0.2">
      <c r="Y55136" s="97"/>
    </row>
    <row r="55137" spans="25:25" x14ac:dyDescent="0.2">
      <c r="Y55137" s="97"/>
    </row>
    <row r="55138" spans="25:25" x14ac:dyDescent="0.2">
      <c r="Y55138" s="97"/>
    </row>
    <row r="55139" spans="25:25" x14ac:dyDescent="0.2">
      <c r="Y55139" s="97"/>
    </row>
    <row r="55140" spans="25:25" x14ac:dyDescent="0.2">
      <c r="Y55140" s="97"/>
    </row>
    <row r="55141" spans="25:25" x14ac:dyDescent="0.2">
      <c r="Y55141" s="97"/>
    </row>
    <row r="55142" spans="25:25" x14ac:dyDescent="0.2">
      <c r="Y55142" s="97"/>
    </row>
    <row r="55143" spans="25:25" x14ac:dyDescent="0.2">
      <c r="Y55143" s="97"/>
    </row>
    <row r="55144" spans="25:25" x14ac:dyDescent="0.2">
      <c r="Y55144" s="97"/>
    </row>
    <row r="55145" spans="25:25" x14ac:dyDescent="0.2">
      <c r="Y55145" s="97"/>
    </row>
    <row r="55146" spans="25:25" x14ac:dyDescent="0.2">
      <c r="Y55146" s="97"/>
    </row>
    <row r="55147" spans="25:25" x14ac:dyDescent="0.2">
      <c r="Y55147" s="97"/>
    </row>
    <row r="55148" spans="25:25" x14ac:dyDescent="0.2">
      <c r="Y55148" s="97"/>
    </row>
    <row r="55149" spans="25:25" x14ac:dyDescent="0.2">
      <c r="Y55149" s="97"/>
    </row>
    <row r="55150" spans="25:25" x14ac:dyDescent="0.2">
      <c r="Y55150" s="97"/>
    </row>
    <row r="55151" spans="25:25" x14ac:dyDescent="0.2">
      <c r="Y55151" s="97"/>
    </row>
    <row r="55152" spans="25:25" x14ac:dyDescent="0.2">
      <c r="Y55152" s="97"/>
    </row>
    <row r="55153" spans="25:25" x14ac:dyDescent="0.2">
      <c r="Y55153" s="97"/>
    </row>
    <row r="55154" spans="25:25" x14ac:dyDescent="0.2">
      <c r="Y55154" s="97"/>
    </row>
    <row r="55155" spans="25:25" x14ac:dyDescent="0.2">
      <c r="Y55155" s="97"/>
    </row>
    <row r="55156" spans="25:25" x14ac:dyDescent="0.2">
      <c r="Y55156" s="97"/>
    </row>
    <row r="55157" spans="25:25" x14ac:dyDescent="0.2">
      <c r="Y55157" s="97"/>
    </row>
    <row r="55158" spans="25:25" x14ac:dyDescent="0.2">
      <c r="Y55158" s="97"/>
    </row>
    <row r="55159" spans="25:25" x14ac:dyDescent="0.2">
      <c r="Y55159" s="97"/>
    </row>
    <row r="55160" spans="25:25" x14ac:dyDescent="0.2">
      <c r="Y55160" s="97"/>
    </row>
    <row r="55161" spans="25:25" x14ac:dyDescent="0.2">
      <c r="Y55161" s="97"/>
    </row>
    <row r="55162" spans="25:25" x14ac:dyDescent="0.2">
      <c r="Y55162" s="97"/>
    </row>
    <row r="55163" spans="25:25" x14ac:dyDescent="0.2">
      <c r="Y55163" s="97"/>
    </row>
    <row r="55164" spans="25:25" x14ac:dyDescent="0.2">
      <c r="Y55164" s="97"/>
    </row>
    <row r="55165" spans="25:25" x14ac:dyDescent="0.2">
      <c r="Y55165" s="97"/>
    </row>
    <row r="55166" spans="25:25" x14ac:dyDescent="0.2">
      <c r="Y55166" s="97"/>
    </row>
    <row r="55167" spans="25:25" x14ac:dyDescent="0.2">
      <c r="Y55167" s="97"/>
    </row>
    <row r="55168" spans="25:25" x14ac:dyDescent="0.2">
      <c r="Y55168" s="97"/>
    </row>
    <row r="55169" spans="25:25" x14ac:dyDescent="0.2">
      <c r="Y55169" s="97"/>
    </row>
    <row r="55170" spans="25:25" x14ac:dyDescent="0.2">
      <c r="Y55170" s="97"/>
    </row>
    <row r="55171" spans="25:25" x14ac:dyDescent="0.2">
      <c r="Y55171" s="97"/>
    </row>
    <row r="55172" spans="25:25" x14ac:dyDescent="0.2">
      <c r="Y55172" s="97"/>
    </row>
    <row r="55173" spans="25:25" x14ac:dyDescent="0.2">
      <c r="Y55173" s="97"/>
    </row>
    <row r="55174" spans="25:25" x14ac:dyDescent="0.2">
      <c r="Y55174" s="97"/>
    </row>
    <row r="55175" spans="25:25" x14ac:dyDescent="0.2">
      <c r="Y55175" s="97"/>
    </row>
    <row r="55176" spans="25:25" x14ac:dyDescent="0.2">
      <c r="Y55176" s="97"/>
    </row>
    <row r="55177" spans="25:25" x14ac:dyDescent="0.2">
      <c r="Y55177" s="97"/>
    </row>
    <row r="55178" spans="25:25" x14ac:dyDescent="0.2">
      <c r="Y55178" s="97"/>
    </row>
    <row r="55179" spans="25:25" x14ac:dyDescent="0.2">
      <c r="Y55179" s="97"/>
    </row>
    <row r="55180" spans="25:25" x14ac:dyDescent="0.2">
      <c r="Y55180" s="97"/>
    </row>
    <row r="55181" spans="25:25" x14ac:dyDescent="0.2">
      <c r="Y55181" s="97"/>
    </row>
    <row r="55182" spans="25:25" x14ac:dyDescent="0.2">
      <c r="Y55182" s="97"/>
    </row>
    <row r="55183" spans="25:25" x14ac:dyDescent="0.2">
      <c r="Y55183" s="97"/>
    </row>
    <row r="55184" spans="25:25" x14ac:dyDescent="0.2">
      <c r="Y55184" s="97"/>
    </row>
    <row r="55185" spans="25:25" x14ac:dyDescent="0.2">
      <c r="Y55185" s="97"/>
    </row>
    <row r="55186" spans="25:25" x14ac:dyDescent="0.2">
      <c r="Y55186" s="97"/>
    </row>
    <row r="55187" spans="25:25" x14ac:dyDescent="0.2">
      <c r="Y55187" s="97"/>
    </row>
    <row r="55188" spans="25:25" x14ac:dyDescent="0.2">
      <c r="Y55188" s="97"/>
    </row>
    <row r="55189" spans="25:25" x14ac:dyDescent="0.2">
      <c r="Y55189" s="97"/>
    </row>
    <row r="55190" spans="25:25" x14ac:dyDescent="0.2">
      <c r="Y55190" s="97"/>
    </row>
    <row r="55191" spans="25:25" x14ac:dyDescent="0.2">
      <c r="Y55191" s="97"/>
    </row>
    <row r="55192" spans="25:25" x14ac:dyDescent="0.2">
      <c r="Y55192" s="97"/>
    </row>
    <row r="55193" spans="25:25" x14ac:dyDescent="0.2">
      <c r="Y55193" s="97"/>
    </row>
    <row r="55194" spans="25:25" x14ac:dyDescent="0.2">
      <c r="Y55194" s="97"/>
    </row>
    <row r="55195" spans="25:25" x14ac:dyDescent="0.2">
      <c r="Y55195" s="97"/>
    </row>
    <row r="55196" spans="25:25" x14ac:dyDescent="0.2">
      <c r="Y55196" s="97"/>
    </row>
    <row r="55197" spans="25:25" x14ac:dyDescent="0.2">
      <c r="Y55197" s="97"/>
    </row>
    <row r="55198" spans="25:25" x14ac:dyDescent="0.2">
      <c r="Y55198" s="97"/>
    </row>
    <row r="55199" spans="25:25" x14ac:dyDescent="0.2">
      <c r="Y55199" s="97"/>
    </row>
    <row r="55200" spans="25:25" x14ac:dyDescent="0.2">
      <c r="Y55200" s="97"/>
    </row>
    <row r="55201" spans="25:25" x14ac:dyDescent="0.2">
      <c r="Y55201" s="97"/>
    </row>
    <row r="55202" spans="25:25" x14ac:dyDescent="0.2">
      <c r="Y55202" s="97"/>
    </row>
    <row r="55203" spans="25:25" x14ac:dyDescent="0.2">
      <c r="Y55203" s="97"/>
    </row>
    <row r="55204" spans="25:25" x14ac:dyDescent="0.2">
      <c r="Y55204" s="97"/>
    </row>
    <row r="55205" spans="25:25" x14ac:dyDescent="0.2">
      <c r="Y55205" s="97"/>
    </row>
    <row r="55206" spans="25:25" x14ac:dyDescent="0.2">
      <c r="Y55206" s="97"/>
    </row>
    <row r="55207" spans="25:25" x14ac:dyDescent="0.2">
      <c r="Y55207" s="97"/>
    </row>
    <row r="55208" spans="25:25" x14ac:dyDescent="0.2">
      <c r="Y55208" s="97"/>
    </row>
    <row r="55209" spans="25:25" x14ac:dyDescent="0.2">
      <c r="Y55209" s="97"/>
    </row>
    <row r="55210" spans="25:25" x14ac:dyDescent="0.2">
      <c r="Y55210" s="97"/>
    </row>
    <row r="55211" spans="25:25" x14ac:dyDescent="0.2">
      <c r="Y55211" s="97"/>
    </row>
    <row r="55212" spans="25:25" x14ac:dyDescent="0.2">
      <c r="Y55212" s="97"/>
    </row>
    <row r="55213" spans="25:25" x14ac:dyDescent="0.2">
      <c r="Y55213" s="97"/>
    </row>
    <row r="55214" spans="25:25" x14ac:dyDescent="0.2">
      <c r="Y55214" s="97"/>
    </row>
    <row r="55215" spans="25:25" x14ac:dyDescent="0.2">
      <c r="Y55215" s="97"/>
    </row>
    <row r="55216" spans="25:25" x14ac:dyDescent="0.2">
      <c r="Y55216" s="97"/>
    </row>
    <row r="55217" spans="25:25" x14ac:dyDescent="0.2">
      <c r="Y55217" s="97"/>
    </row>
    <row r="55218" spans="25:25" x14ac:dyDescent="0.2">
      <c r="Y55218" s="97"/>
    </row>
    <row r="55219" spans="25:25" x14ac:dyDescent="0.2">
      <c r="Y55219" s="97"/>
    </row>
    <row r="55220" spans="25:25" x14ac:dyDescent="0.2">
      <c r="Y55220" s="97"/>
    </row>
    <row r="55221" spans="25:25" x14ac:dyDescent="0.2">
      <c r="Y55221" s="97"/>
    </row>
    <row r="55222" spans="25:25" x14ac:dyDescent="0.2">
      <c r="Y55222" s="97"/>
    </row>
    <row r="55223" spans="25:25" x14ac:dyDescent="0.2">
      <c r="Y55223" s="97"/>
    </row>
    <row r="55224" spans="25:25" x14ac:dyDescent="0.2">
      <c r="Y55224" s="97"/>
    </row>
    <row r="55225" spans="25:25" x14ac:dyDescent="0.2">
      <c r="Y55225" s="97"/>
    </row>
    <row r="55226" spans="25:25" x14ac:dyDescent="0.2">
      <c r="Y55226" s="97"/>
    </row>
    <row r="55227" spans="25:25" x14ac:dyDescent="0.2">
      <c r="Y55227" s="97"/>
    </row>
    <row r="55228" spans="25:25" x14ac:dyDescent="0.2">
      <c r="Y55228" s="97"/>
    </row>
    <row r="55229" spans="25:25" x14ac:dyDescent="0.2">
      <c r="Y55229" s="97"/>
    </row>
    <row r="55230" spans="25:25" x14ac:dyDescent="0.2">
      <c r="Y55230" s="97"/>
    </row>
    <row r="55231" spans="25:25" x14ac:dyDescent="0.2">
      <c r="Y55231" s="97"/>
    </row>
    <row r="55232" spans="25:25" x14ac:dyDescent="0.2">
      <c r="Y55232" s="97"/>
    </row>
    <row r="55233" spans="25:25" x14ac:dyDescent="0.2">
      <c r="Y55233" s="97"/>
    </row>
    <row r="55234" spans="25:25" x14ac:dyDescent="0.2">
      <c r="Y55234" s="97"/>
    </row>
    <row r="55235" spans="25:25" x14ac:dyDescent="0.2">
      <c r="Y55235" s="97"/>
    </row>
    <row r="55236" spans="25:25" x14ac:dyDescent="0.2">
      <c r="Y55236" s="97"/>
    </row>
    <row r="55237" spans="25:25" x14ac:dyDescent="0.2">
      <c r="Y55237" s="97"/>
    </row>
    <row r="55238" spans="25:25" x14ac:dyDescent="0.2">
      <c r="Y55238" s="97"/>
    </row>
    <row r="55239" spans="25:25" x14ac:dyDescent="0.2">
      <c r="Y55239" s="97"/>
    </row>
    <row r="55240" spans="25:25" x14ac:dyDescent="0.2">
      <c r="Y55240" s="97"/>
    </row>
    <row r="55241" spans="25:25" x14ac:dyDescent="0.2">
      <c r="Y55241" s="97"/>
    </row>
    <row r="55242" spans="25:25" x14ac:dyDescent="0.2">
      <c r="Y55242" s="97"/>
    </row>
    <row r="55243" spans="25:25" x14ac:dyDescent="0.2">
      <c r="Y55243" s="97"/>
    </row>
    <row r="55244" spans="25:25" x14ac:dyDescent="0.2">
      <c r="Y55244" s="97"/>
    </row>
    <row r="55245" spans="25:25" x14ac:dyDescent="0.2">
      <c r="Y55245" s="97"/>
    </row>
    <row r="55246" spans="25:25" x14ac:dyDescent="0.2">
      <c r="Y55246" s="97"/>
    </row>
    <row r="55247" spans="25:25" x14ac:dyDescent="0.2">
      <c r="Y55247" s="97"/>
    </row>
    <row r="55248" spans="25:25" x14ac:dyDescent="0.2">
      <c r="Y55248" s="97"/>
    </row>
    <row r="55249" spans="25:25" x14ac:dyDescent="0.2">
      <c r="Y55249" s="97"/>
    </row>
    <row r="55250" spans="25:25" x14ac:dyDescent="0.2">
      <c r="Y55250" s="97"/>
    </row>
    <row r="55251" spans="25:25" x14ac:dyDescent="0.2">
      <c r="Y55251" s="97"/>
    </row>
    <row r="55252" spans="25:25" x14ac:dyDescent="0.2">
      <c r="Y55252" s="97"/>
    </row>
    <row r="55253" spans="25:25" x14ac:dyDescent="0.2">
      <c r="Y55253" s="97"/>
    </row>
    <row r="55254" spans="25:25" x14ac:dyDescent="0.2">
      <c r="Y55254" s="97"/>
    </row>
    <row r="55255" spans="25:25" x14ac:dyDescent="0.2">
      <c r="Y55255" s="97"/>
    </row>
    <row r="55256" spans="25:25" x14ac:dyDescent="0.2">
      <c r="Y55256" s="97"/>
    </row>
    <row r="55257" spans="25:25" x14ac:dyDescent="0.2">
      <c r="Y55257" s="97"/>
    </row>
    <row r="55258" spans="25:25" x14ac:dyDescent="0.2">
      <c r="Y55258" s="97"/>
    </row>
    <row r="55259" spans="25:25" x14ac:dyDescent="0.2">
      <c r="Y55259" s="97"/>
    </row>
    <row r="55260" spans="25:25" x14ac:dyDescent="0.2">
      <c r="Y55260" s="97"/>
    </row>
    <row r="55261" spans="25:25" x14ac:dyDescent="0.2">
      <c r="Y55261" s="97"/>
    </row>
    <row r="55262" spans="25:25" x14ac:dyDescent="0.2">
      <c r="Y55262" s="97"/>
    </row>
    <row r="55263" spans="25:25" x14ac:dyDescent="0.2">
      <c r="Y55263" s="97"/>
    </row>
    <row r="55264" spans="25:25" x14ac:dyDescent="0.2">
      <c r="Y55264" s="97"/>
    </row>
    <row r="55265" spans="25:25" x14ac:dyDescent="0.2">
      <c r="Y55265" s="97"/>
    </row>
    <row r="55266" spans="25:25" x14ac:dyDescent="0.2">
      <c r="Y55266" s="97"/>
    </row>
    <row r="55267" spans="25:25" x14ac:dyDescent="0.2">
      <c r="Y55267" s="97"/>
    </row>
    <row r="55268" spans="25:25" x14ac:dyDescent="0.2">
      <c r="Y55268" s="97"/>
    </row>
    <row r="55269" spans="25:25" x14ac:dyDescent="0.2">
      <c r="Y55269" s="97"/>
    </row>
    <row r="55270" spans="25:25" x14ac:dyDescent="0.2">
      <c r="Y55270" s="97"/>
    </row>
    <row r="55271" spans="25:25" x14ac:dyDescent="0.2">
      <c r="Y55271" s="97"/>
    </row>
    <row r="55272" spans="25:25" x14ac:dyDescent="0.2">
      <c r="Y55272" s="97"/>
    </row>
    <row r="55273" spans="25:25" x14ac:dyDescent="0.2">
      <c r="Y55273" s="97"/>
    </row>
    <row r="55274" spans="25:25" x14ac:dyDescent="0.2">
      <c r="Y55274" s="97"/>
    </row>
    <row r="55275" spans="25:25" x14ac:dyDescent="0.2">
      <c r="Y55275" s="97"/>
    </row>
    <row r="55276" spans="25:25" x14ac:dyDescent="0.2">
      <c r="Y55276" s="97"/>
    </row>
    <row r="55277" spans="25:25" x14ac:dyDescent="0.2">
      <c r="Y55277" s="97"/>
    </row>
    <row r="55278" spans="25:25" x14ac:dyDescent="0.2">
      <c r="Y55278" s="97"/>
    </row>
    <row r="55279" spans="25:25" x14ac:dyDescent="0.2">
      <c r="Y55279" s="97"/>
    </row>
    <row r="55280" spans="25:25" x14ac:dyDescent="0.2">
      <c r="Y55280" s="97"/>
    </row>
    <row r="55281" spans="25:25" x14ac:dyDescent="0.2">
      <c r="Y55281" s="97"/>
    </row>
    <row r="55282" spans="25:25" x14ac:dyDescent="0.2">
      <c r="Y55282" s="97"/>
    </row>
    <row r="55283" spans="25:25" x14ac:dyDescent="0.2">
      <c r="Y55283" s="97"/>
    </row>
    <row r="55284" spans="25:25" x14ac:dyDescent="0.2">
      <c r="Y55284" s="97"/>
    </row>
    <row r="55285" spans="25:25" x14ac:dyDescent="0.2">
      <c r="Y55285" s="97"/>
    </row>
    <row r="55286" spans="25:25" x14ac:dyDescent="0.2">
      <c r="Y55286" s="97"/>
    </row>
    <row r="55287" spans="25:25" x14ac:dyDescent="0.2">
      <c r="Y55287" s="97"/>
    </row>
    <row r="55288" spans="25:25" x14ac:dyDescent="0.2">
      <c r="Y55288" s="97"/>
    </row>
    <row r="55289" spans="25:25" x14ac:dyDescent="0.2">
      <c r="Y55289" s="97"/>
    </row>
    <row r="55290" spans="25:25" x14ac:dyDescent="0.2">
      <c r="Y55290" s="97"/>
    </row>
    <row r="55291" spans="25:25" x14ac:dyDescent="0.2">
      <c r="Y55291" s="97"/>
    </row>
    <row r="55292" spans="25:25" x14ac:dyDescent="0.2">
      <c r="Y55292" s="97"/>
    </row>
    <row r="55293" spans="25:25" x14ac:dyDescent="0.2">
      <c r="Y55293" s="97"/>
    </row>
    <row r="55294" spans="25:25" x14ac:dyDescent="0.2">
      <c r="Y55294" s="97"/>
    </row>
    <row r="55295" spans="25:25" x14ac:dyDescent="0.2">
      <c r="Y55295" s="97"/>
    </row>
    <row r="55296" spans="25:25" x14ac:dyDescent="0.2">
      <c r="Y55296" s="97"/>
    </row>
    <row r="55297" spans="25:25" x14ac:dyDescent="0.2">
      <c r="Y55297" s="97"/>
    </row>
    <row r="55298" spans="25:25" x14ac:dyDescent="0.2">
      <c r="Y55298" s="97"/>
    </row>
    <row r="55299" spans="25:25" x14ac:dyDescent="0.2">
      <c r="Y55299" s="97"/>
    </row>
    <row r="55300" spans="25:25" x14ac:dyDescent="0.2">
      <c r="Y55300" s="97"/>
    </row>
    <row r="55301" spans="25:25" x14ac:dyDescent="0.2">
      <c r="Y55301" s="97"/>
    </row>
    <row r="55302" spans="25:25" x14ac:dyDescent="0.2">
      <c r="Y55302" s="97"/>
    </row>
    <row r="55303" spans="25:25" x14ac:dyDescent="0.2">
      <c r="Y55303" s="97"/>
    </row>
    <row r="55304" spans="25:25" x14ac:dyDescent="0.2">
      <c r="Y55304" s="97"/>
    </row>
    <row r="55305" spans="25:25" x14ac:dyDescent="0.2">
      <c r="Y55305" s="97"/>
    </row>
    <row r="55306" spans="25:25" x14ac:dyDescent="0.2">
      <c r="Y55306" s="97"/>
    </row>
    <row r="55307" spans="25:25" x14ac:dyDescent="0.2">
      <c r="Y55307" s="97"/>
    </row>
    <row r="55308" spans="25:25" x14ac:dyDescent="0.2">
      <c r="Y55308" s="97"/>
    </row>
    <row r="55309" spans="25:25" x14ac:dyDescent="0.2">
      <c r="Y55309" s="97"/>
    </row>
    <row r="55310" spans="25:25" x14ac:dyDescent="0.2">
      <c r="Y55310" s="97"/>
    </row>
    <row r="55311" spans="25:25" x14ac:dyDescent="0.2">
      <c r="Y55311" s="97"/>
    </row>
    <row r="55312" spans="25:25" x14ac:dyDescent="0.2">
      <c r="Y55312" s="97"/>
    </row>
    <row r="55313" spans="25:25" x14ac:dyDescent="0.2">
      <c r="Y55313" s="97"/>
    </row>
    <row r="55314" spans="25:25" x14ac:dyDescent="0.2">
      <c r="Y55314" s="97"/>
    </row>
    <row r="55315" spans="25:25" x14ac:dyDescent="0.2">
      <c r="Y55315" s="97"/>
    </row>
    <row r="55316" spans="25:25" x14ac:dyDescent="0.2">
      <c r="Y55316" s="97"/>
    </row>
    <row r="55317" spans="25:25" x14ac:dyDescent="0.2">
      <c r="Y55317" s="97"/>
    </row>
    <row r="55318" spans="25:25" x14ac:dyDescent="0.2">
      <c r="Y55318" s="97"/>
    </row>
    <row r="55319" spans="25:25" x14ac:dyDescent="0.2">
      <c r="Y55319" s="97"/>
    </row>
    <row r="55320" spans="25:25" x14ac:dyDescent="0.2">
      <c r="Y55320" s="97"/>
    </row>
    <row r="55321" spans="25:25" x14ac:dyDescent="0.2">
      <c r="Y55321" s="97"/>
    </row>
    <row r="55322" spans="25:25" x14ac:dyDescent="0.2">
      <c r="Y55322" s="97"/>
    </row>
    <row r="55323" spans="25:25" x14ac:dyDescent="0.2">
      <c r="Y55323" s="97"/>
    </row>
    <row r="55324" spans="25:25" x14ac:dyDescent="0.2">
      <c r="Y55324" s="97"/>
    </row>
    <row r="55325" spans="25:25" x14ac:dyDescent="0.2">
      <c r="Y55325" s="97"/>
    </row>
    <row r="55326" spans="25:25" x14ac:dyDescent="0.2">
      <c r="Y55326" s="97"/>
    </row>
    <row r="55327" spans="25:25" x14ac:dyDescent="0.2">
      <c r="Y55327" s="97"/>
    </row>
    <row r="55328" spans="25:25" x14ac:dyDescent="0.2">
      <c r="Y55328" s="97"/>
    </row>
    <row r="55329" spans="25:25" x14ac:dyDescent="0.2">
      <c r="Y55329" s="97"/>
    </row>
    <row r="55330" spans="25:25" x14ac:dyDescent="0.2">
      <c r="Y55330" s="97"/>
    </row>
    <row r="55331" spans="25:25" x14ac:dyDescent="0.2">
      <c r="Y55331" s="97"/>
    </row>
    <row r="55332" spans="25:25" x14ac:dyDescent="0.2">
      <c r="Y55332" s="97"/>
    </row>
    <row r="55333" spans="25:25" x14ac:dyDescent="0.2">
      <c r="Y55333" s="97"/>
    </row>
    <row r="55334" spans="25:25" x14ac:dyDescent="0.2">
      <c r="Y55334" s="97"/>
    </row>
    <row r="55335" spans="25:25" x14ac:dyDescent="0.2">
      <c r="Y55335" s="97"/>
    </row>
    <row r="55336" spans="25:25" x14ac:dyDescent="0.2">
      <c r="Y55336" s="97"/>
    </row>
    <row r="55337" spans="25:25" x14ac:dyDescent="0.2">
      <c r="Y55337" s="97"/>
    </row>
    <row r="55338" spans="25:25" x14ac:dyDescent="0.2">
      <c r="Y55338" s="97"/>
    </row>
    <row r="55339" spans="25:25" x14ac:dyDescent="0.2">
      <c r="Y55339" s="97"/>
    </row>
    <row r="55340" spans="25:25" x14ac:dyDescent="0.2">
      <c r="Y55340" s="97"/>
    </row>
    <row r="55341" spans="25:25" x14ac:dyDescent="0.2">
      <c r="Y55341" s="97"/>
    </row>
    <row r="55342" spans="25:25" x14ac:dyDescent="0.2">
      <c r="Y55342" s="97"/>
    </row>
    <row r="55343" spans="25:25" x14ac:dyDescent="0.2">
      <c r="Y55343" s="97"/>
    </row>
    <row r="55344" spans="25:25" x14ac:dyDescent="0.2">
      <c r="Y55344" s="97"/>
    </row>
    <row r="55345" spans="25:25" x14ac:dyDescent="0.2">
      <c r="Y55345" s="97"/>
    </row>
    <row r="55346" spans="25:25" x14ac:dyDescent="0.2">
      <c r="Y55346" s="97"/>
    </row>
    <row r="55347" spans="25:25" x14ac:dyDescent="0.2">
      <c r="Y55347" s="97"/>
    </row>
    <row r="55348" spans="25:25" x14ac:dyDescent="0.2">
      <c r="Y55348" s="97"/>
    </row>
    <row r="55349" spans="25:25" x14ac:dyDescent="0.2">
      <c r="Y55349" s="97"/>
    </row>
    <row r="55350" spans="25:25" x14ac:dyDescent="0.2">
      <c r="Y55350" s="97"/>
    </row>
    <row r="55351" spans="25:25" x14ac:dyDescent="0.2">
      <c r="Y55351" s="97"/>
    </row>
    <row r="55352" spans="25:25" x14ac:dyDescent="0.2">
      <c r="Y55352" s="97"/>
    </row>
    <row r="55353" spans="25:25" x14ac:dyDescent="0.2">
      <c r="Y55353" s="97"/>
    </row>
    <row r="55354" spans="25:25" x14ac:dyDescent="0.2">
      <c r="Y55354" s="97"/>
    </row>
    <row r="55355" spans="25:25" x14ac:dyDescent="0.2">
      <c r="Y55355" s="97"/>
    </row>
    <row r="55356" spans="25:25" x14ac:dyDescent="0.2">
      <c r="Y55356" s="97"/>
    </row>
    <row r="55357" spans="25:25" x14ac:dyDescent="0.2">
      <c r="Y55357" s="97"/>
    </row>
    <row r="55358" spans="25:25" x14ac:dyDescent="0.2">
      <c r="Y55358" s="97"/>
    </row>
    <row r="55359" spans="25:25" x14ac:dyDescent="0.2">
      <c r="Y55359" s="97"/>
    </row>
    <row r="55360" spans="25:25" x14ac:dyDescent="0.2">
      <c r="Y55360" s="97"/>
    </row>
    <row r="55361" spans="25:25" x14ac:dyDescent="0.2">
      <c r="Y55361" s="97"/>
    </row>
    <row r="55362" spans="25:25" x14ac:dyDescent="0.2">
      <c r="Y55362" s="97"/>
    </row>
    <row r="55363" spans="25:25" x14ac:dyDescent="0.2">
      <c r="Y55363" s="97"/>
    </row>
    <row r="55364" spans="25:25" x14ac:dyDescent="0.2">
      <c r="Y55364" s="97"/>
    </row>
    <row r="55365" spans="25:25" x14ac:dyDescent="0.2">
      <c r="Y55365" s="97"/>
    </row>
    <row r="55366" spans="25:25" x14ac:dyDescent="0.2">
      <c r="Y55366" s="97"/>
    </row>
    <row r="55367" spans="25:25" x14ac:dyDescent="0.2">
      <c r="Y55367" s="97"/>
    </row>
    <row r="55368" spans="25:25" x14ac:dyDescent="0.2">
      <c r="Y55368" s="97"/>
    </row>
    <row r="55369" spans="25:25" x14ac:dyDescent="0.2">
      <c r="Y55369" s="97"/>
    </row>
    <row r="55370" spans="25:25" x14ac:dyDescent="0.2">
      <c r="Y55370" s="97"/>
    </row>
    <row r="55371" spans="25:25" x14ac:dyDescent="0.2">
      <c r="Y55371" s="97"/>
    </row>
    <row r="55372" spans="25:25" x14ac:dyDescent="0.2">
      <c r="Y55372" s="97"/>
    </row>
    <row r="55373" spans="25:25" x14ac:dyDescent="0.2">
      <c r="Y55373" s="97"/>
    </row>
    <row r="55374" spans="25:25" x14ac:dyDescent="0.2">
      <c r="Y55374" s="97"/>
    </row>
    <row r="55375" spans="25:25" x14ac:dyDescent="0.2">
      <c r="Y55375" s="97"/>
    </row>
    <row r="55376" spans="25:25" x14ac:dyDescent="0.2">
      <c r="Y55376" s="97"/>
    </row>
    <row r="55377" spans="25:25" x14ac:dyDescent="0.2">
      <c r="Y55377" s="97"/>
    </row>
    <row r="55378" spans="25:25" x14ac:dyDescent="0.2">
      <c r="Y55378" s="97"/>
    </row>
    <row r="55379" spans="25:25" x14ac:dyDescent="0.2">
      <c r="Y55379" s="97"/>
    </row>
    <row r="55380" spans="25:25" x14ac:dyDescent="0.2">
      <c r="Y55380" s="97"/>
    </row>
    <row r="55381" spans="25:25" x14ac:dyDescent="0.2">
      <c r="Y55381" s="97"/>
    </row>
    <row r="55382" spans="25:25" x14ac:dyDescent="0.2">
      <c r="Y55382" s="97"/>
    </row>
    <row r="55383" spans="25:25" x14ac:dyDescent="0.2">
      <c r="Y55383" s="97"/>
    </row>
    <row r="55384" spans="25:25" x14ac:dyDescent="0.2">
      <c r="Y55384" s="97"/>
    </row>
    <row r="55385" spans="25:25" x14ac:dyDescent="0.2">
      <c r="Y55385" s="97"/>
    </row>
    <row r="55386" spans="25:25" x14ac:dyDescent="0.2">
      <c r="Y55386" s="97"/>
    </row>
    <row r="55387" spans="25:25" x14ac:dyDescent="0.2">
      <c r="Y55387" s="97"/>
    </row>
    <row r="55388" spans="25:25" x14ac:dyDescent="0.2">
      <c r="Y55388" s="97"/>
    </row>
    <row r="55389" spans="25:25" x14ac:dyDescent="0.2">
      <c r="Y55389" s="97"/>
    </row>
    <row r="55390" spans="25:25" x14ac:dyDescent="0.2">
      <c r="Y55390" s="97"/>
    </row>
    <row r="55391" spans="25:25" x14ac:dyDescent="0.2">
      <c r="Y55391" s="97"/>
    </row>
    <row r="55392" spans="25:25" x14ac:dyDescent="0.2">
      <c r="Y55392" s="97"/>
    </row>
    <row r="55393" spans="25:25" x14ac:dyDescent="0.2">
      <c r="Y55393" s="97"/>
    </row>
    <row r="55394" spans="25:25" x14ac:dyDescent="0.2">
      <c r="Y55394" s="97"/>
    </row>
    <row r="55395" spans="25:25" x14ac:dyDescent="0.2">
      <c r="Y55395" s="97"/>
    </row>
    <row r="55396" spans="25:25" x14ac:dyDescent="0.2">
      <c r="Y55396" s="97"/>
    </row>
    <row r="55397" spans="25:25" x14ac:dyDescent="0.2">
      <c r="Y55397" s="97"/>
    </row>
    <row r="55398" spans="25:25" x14ac:dyDescent="0.2">
      <c r="Y55398" s="97"/>
    </row>
    <row r="55399" spans="25:25" x14ac:dyDescent="0.2">
      <c r="Y55399" s="97"/>
    </row>
    <row r="55400" spans="25:25" x14ac:dyDescent="0.2">
      <c r="Y55400" s="97"/>
    </row>
    <row r="55401" spans="25:25" x14ac:dyDescent="0.2">
      <c r="Y55401" s="97"/>
    </row>
    <row r="55402" spans="25:25" x14ac:dyDescent="0.2">
      <c r="Y55402" s="97"/>
    </row>
    <row r="55403" spans="25:25" x14ac:dyDescent="0.2">
      <c r="Y55403" s="97"/>
    </row>
    <row r="55404" spans="25:25" x14ac:dyDescent="0.2">
      <c r="Y55404" s="97"/>
    </row>
    <row r="55405" spans="25:25" x14ac:dyDescent="0.2">
      <c r="Y55405" s="97"/>
    </row>
    <row r="55406" spans="25:25" x14ac:dyDescent="0.2">
      <c r="Y55406" s="97"/>
    </row>
    <row r="55407" spans="25:25" x14ac:dyDescent="0.2">
      <c r="Y55407" s="97"/>
    </row>
    <row r="55408" spans="25:25" x14ac:dyDescent="0.2">
      <c r="Y55408" s="97"/>
    </row>
    <row r="55409" spans="25:25" x14ac:dyDescent="0.2">
      <c r="Y55409" s="97"/>
    </row>
    <row r="55410" spans="25:25" x14ac:dyDescent="0.2">
      <c r="Y55410" s="97"/>
    </row>
    <row r="55411" spans="25:25" x14ac:dyDescent="0.2">
      <c r="Y55411" s="97"/>
    </row>
    <row r="55412" spans="25:25" x14ac:dyDescent="0.2">
      <c r="Y55412" s="97"/>
    </row>
    <row r="55413" spans="25:25" x14ac:dyDescent="0.2">
      <c r="Y55413" s="97"/>
    </row>
    <row r="55414" spans="25:25" x14ac:dyDescent="0.2">
      <c r="Y55414" s="97"/>
    </row>
    <row r="55415" spans="25:25" x14ac:dyDescent="0.2">
      <c r="Y55415" s="97"/>
    </row>
    <row r="55416" spans="25:25" x14ac:dyDescent="0.2">
      <c r="Y55416" s="97"/>
    </row>
    <row r="55417" spans="25:25" x14ac:dyDescent="0.2">
      <c r="Y55417" s="97"/>
    </row>
    <row r="55418" spans="25:25" x14ac:dyDescent="0.2">
      <c r="Y55418" s="97"/>
    </row>
    <row r="55419" spans="25:25" x14ac:dyDescent="0.2">
      <c r="Y55419" s="97"/>
    </row>
    <row r="55420" spans="25:25" x14ac:dyDescent="0.2">
      <c r="Y55420" s="97"/>
    </row>
    <row r="55421" spans="25:25" x14ac:dyDescent="0.2">
      <c r="Y55421" s="97"/>
    </row>
    <row r="55422" spans="25:25" x14ac:dyDescent="0.2">
      <c r="Y55422" s="97"/>
    </row>
    <row r="55423" spans="25:25" x14ac:dyDescent="0.2">
      <c r="Y55423" s="97"/>
    </row>
    <row r="55424" spans="25:25" x14ac:dyDescent="0.2">
      <c r="Y55424" s="97"/>
    </row>
    <row r="55425" spans="25:25" x14ac:dyDescent="0.2">
      <c r="Y55425" s="97"/>
    </row>
    <row r="55426" spans="25:25" x14ac:dyDescent="0.2">
      <c r="Y55426" s="97"/>
    </row>
    <row r="55427" spans="25:25" x14ac:dyDescent="0.2">
      <c r="Y55427" s="97"/>
    </row>
    <row r="55428" spans="25:25" x14ac:dyDescent="0.2">
      <c r="Y55428" s="97"/>
    </row>
    <row r="55429" spans="25:25" x14ac:dyDescent="0.2">
      <c r="Y55429" s="97"/>
    </row>
    <row r="55430" spans="25:25" x14ac:dyDescent="0.2">
      <c r="Y55430" s="97"/>
    </row>
    <row r="55431" spans="25:25" x14ac:dyDescent="0.2">
      <c r="Y55431" s="97"/>
    </row>
    <row r="55432" spans="25:25" x14ac:dyDescent="0.2">
      <c r="Y55432" s="97"/>
    </row>
    <row r="55433" spans="25:25" x14ac:dyDescent="0.2">
      <c r="Y55433" s="97"/>
    </row>
    <row r="55434" spans="25:25" x14ac:dyDescent="0.2">
      <c r="Y55434" s="97"/>
    </row>
    <row r="55435" spans="25:25" x14ac:dyDescent="0.2">
      <c r="Y55435" s="97"/>
    </row>
    <row r="55436" spans="25:25" x14ac:dyDescent="0.2">
      <c r="Y55436" s="97"/>
    </row>
    <row r="55437" spans="25:25" x14ac:dyDescent="0.2">
      <c r="Y55437" s="97"/>
    </row>
    <row r="55438" spans="25:25" x14ac:dyDescent="0.2">
      <c r="Y55438" s="97"/>
    </row>
    <row r="55439" spans="25:25" x14ac:dyDescent="0.2">
      <c r="Y55439" s="97"/>
    </row>
    <row r="55440" spans="25:25" x14ac:dyDescent="0.2">
      <c r="Y55440" s="97"/>
    </row>
    <row r="55441" spans="25:25" x14ac:dyDescent="0.2">
      <c r="Y55441" s="97"/>
    </row>
    <row r="55442" spans="25:25" x14ac:dyDescent="0.2">
      <c r="Y55442" s="97"/>
    </row>
    <row r="55443" spans="25:25" x14ac:dyDescent="0.2">
      <c r="Y55443" s="97"/>
    </row>
    <row r="55444" spans="25:25" x14ac:dyDescent="0.2">
      <c r="Y55444" s="97"/>
    </row>
    <row r="55445" spans="25:25" x14ac:dyDescent="0.2">
      <c r="Y55445" s="97"/>
    </row>
    <row r="55446" spans="25:25" x14ac:dyDescent="0.2">
      <c r="Y55446" s="97"/>
    </row>
    <row r="55447" spans="25:25" x14ac:dyDescent="0.2">
      <c r="Y55447" s="97"/>
    </row>
    <row r="55448" spans="25:25" x14ac:dyDescent="0.2">
      <c r="Y55448" s="97"/>
    </row>
    <row r="55449" spans="25:25" x14ac:dyDescent="0.2">
      <c r="Y55449" s="97"/>
    </row>
    <row r="55450" spans="25:25" x14ac:dyDescent="0.2">
      <c r="Y55450" s="97"/>
    </row>
    <row r="55451" spans="25:25" x14ac:dyDescent="0.2">
      <c r="Y55451" s="97"/>
    </row>
    <row r="55452" spans="25:25" x14ac:dyDescent="0.2">
      <c r="Y55452" s="97"/>
    </row>
    <row r="55453" spans="25:25" x14ac:dyDescent="0.2">
      <c r="Y55453" s="97"/>
    </row>
    <row r="55454" spans="25:25" x14ac:dyDescent="0.2">
      <c r="Y55454" s="97"/>
    </row>
    <row r="55455" spans="25:25" x14ac:dyDescent="0.2">
      <c r="Y55455" s="97"/>
    </row>
    <row r="55456" spans="25:25" x14ac:dyDescent="0.2">
      <c r="Y55456" s="97"/>
    </row>
    <row r="55457" spans="25:25" x14ac:dyDescent="0.2">
      <c r="Y55457" s="97"/>
    </row>
    <row r="55458" spans="25:25" x14ac:dyDescent="0.2">
      <c r="Y55458" s="97"/>
    </row>
    <row r="55459" spans="25:25" x14ac:dyDescent="0.2">
      <c r="Y55459" s="97"/>
    </row>
    <row r="55460" spans="25:25" x14ac:dyDescent="0.2">
      <c r="Y55460" s="97"/>
    </row>
    <row r="55461" spans="25:25" x14ac:dyDescent="0.2">
      <c r="Y55461" s="97"/>
    </row>
    <row r="55462" spans="25:25" x14ac:dyDescent="0.2">
      <c r="Y55462" s="97"/>
    </row>
    <row r="55463" spans="25:25" x14ac:dyDescent="0.2">
      <c r="Y55463" s="97"/>
    </row>
    <row r="55464" spans="25:25" x14ac:dyDescent="0.2">
      <c r="Y55464" s="97"/>
    </row>
    <row r="55465" spans="25:25" x14ac:dyDescent="0.2">
      <c r="Y55465" s="97"/>
    </row>
    <row r="55466" spans="25:25" x14ac:dyDescent="0.2">
      <c r="Y55466" s="97"/>
    </row>
    <row r="55467" spans="25:25" x14ac:dyDescent="0.2">
      <c r="Y55467" s="97"/>
    </row>
    <row r="55468" spans="25:25" x14ac:dyDescent="0.2">
      <c r="Y55468" s="97"/>
    </row>
    <row r="55469" spans="25:25" x14ac:dyDescent="0.2">
      <c r="Y55469" s="97"/>
    </row>
    <row r="55470" spans="25:25" x14ac:dyDescent="0.2">
      <c r="Y55470" s="97"/>
    </row>
    <row r="55471" spans="25:25" x14ac:dyDescent="0.2">
      <c r="Y55471" s="97"/>
    </row>
    <row r="55472" spans="25:25" x14ac:dyDescent="0.2">
      <c r="Y55472" s="97"/>
    </row>
    <row r="55473" spans="25:25" x14ac:dyDescent="0.2">
      <c r="Y55473" s="97"/>
    </row>
    <row r="55474" spans="25:25" x14ac:dyDescent="0.2">
      <c r="Y55474" s="97"/>
    </row>
    <row r="55475" spans="25:25" x14ac:dyDescent="0.2">
      <c r="Y55475" s="97"/>
    </row>
    <row r="55476" spans="25:25" x14ac:dyDescent="0.2">
      <c r="Y55476" s="97"/>
    </row>
    <row r="55477" spans="25:25" x14ac:dyDescent="0.2">
      <c r="Y55477" s="97"/>
    </row>
    <row r="55478" spans="25:25" x14ac:dyDescent="0.2">
      <c r="Y55478" s="97"/>
    </row>
    <row r="55479" spans="25:25" x14ac:dyDescent="0.2">
      <c r="Y55479" s="97"/>
    </row>
    <row r="55480" spans="25:25" x14ac:dyDescent="0.2">
      <c r="Y55480" s="97"/>
    </row>
    <row r="55481" spans="25:25" x14ac:dyDescent="0.2">
      <c r="Y55481" s="97"/>
    </row>
    <row r="55482" spans="25:25" x14ac:dyDescent="0.2">
      <c r="Y55482" s="97"/>
    </row>
    <row r="55483" spans="25:25" x14ac:dyDescent="0.2">
      <c r="Y55483" s="97"/>
    </row>
    <row r="55484" spans="25:25" x14ac:dyDescent="0.2">
      <c r="Y55484" s="97"/>
    </row>
    <row r="55485" spans="25:25" x14ac:dyDescent="0.2">
      <c r="Y55485" s="97"/>
    </row>
    <row r="55486" spans="25:25" x14ac:dyDescent="0.2">
      <c r="Y55486" s="97"/>
    </row>
    <row r="55487" spans="25:25" x14ac:dyDescent="0.2">
      <c r="Y55487" s="97"/>
    </row>
    <row r="55488" spans="25:25" x14ac:dyDescent="0.2">
      <c r="Y55488" s="97"/>
    </row>
    <row r="55489" spans="25:25" x14ac:dyDescent="0.2">
      <c r="Y55489" s="97"/>
    </row>
    <row r="55490" spans="25:25" x14ac:dyDescent="0.2">
      <c r="Y55490" s="97"/>
    </row>
    <row r="55491" spans="25:25" x14ac:dyDescent="0.2">
      <c r="Y55491" s="97"/>
    </row>
    <row r="55492" spans="25:25" x14ac:dyDescent="0.2">
      <c r="Y55492" s="97"/>
    </row>
    <row r="55493" spans="25:25" x14ac:dyDescent="0.2">
      <c r="Y55493" s="97"/>
    </row>
    <row r="55494" spans="25:25" x14ac:dyDescent="0.2">
      <c r="Y55494" s="97"/>
    </row>
    <row r="55495" spans="25:25" x14ac:dyDescent="0.2">
      <c r="Y55495" s="97"/>
    </row>
    <row r="55496" spans="25:25" x14ac:dyDescent="0.2">
      <c r="Y55496" s="97"/>
    </row>
    <row r="55497" spans="25:25" x14ac:dyDescent="0.2">
      <c r="Y55497" s="97"/>
    </row>
    <row r="55498" spans="25:25" x14ac:dyDescent="0.2">
      <c r="Y55498" s="97"/>
    </row>
    <row r="55499" spans="25:25" x14ac:dyDescent="0.2">
      <c r="Y55499" s="97"/>
    </row>
    <row r="55500" spans="25:25" x14ac:dyDescent="0.2">
      <c r="Y55500" s="97"/>
    </row>
    <row r="55501" spans="25:25" x14ac:dyDescent="0.2">
      <c r="Y55501" s="97"/>
    </row>
    <row r="55502" spans="25:25" x14ac:dyDescent="0.2">
      <c r="Y55502" s="97"/>
    </row>
    <row r="55503" spans="25:25" x14ac:dyDescent="0.2">
      <c r="Y55503" s="97"/>
    </row>
    <row r="55504" spans="25:25" x14ac:dyDescent="0.2">
      <c r="Y55504" s="97"/>
    </row>
    <row r="55505" spans="25:25" x14ac:dyDescent="0.2">
      <c r="Y55505" s="97"/>
    </row>
    <row r="55506" spans="25:25" x14ac:dyDescent="0.2">
      <c r="Y55506" s="97"/>
    </row>
    <row r="55507" spans="25:25" x14ac:dyDescent="0.2">
      <c r="Y55507" s="97"/>
    </row>
    <row r="55508" spans="25:25" x14ac:dyDescent="0.2">
      <c r="Y55508" s="97"/>
    </row>
    <row r="55509" spans="25:25" x14ac:dyDescent="0.2">
      <c r="Y55509" s="97"/>
    </row>
    <row r="55510" spans="25:25" x14ac:dyDescent="0.2">
      <c r="Y55510" s="97"/>
    </row>
    <row r="55511" spans="25:25" x14ac:dyDescent="0.2">
      <c r="Y55511" s="97"/>
    </row>
    <row r="55512" spans="25:25" x14ac:dyDescent="0.2">
      <c r="Y55512" s="97"/>
    </row>
    <row r="55513" spans="25:25" x14ac:dyDescent="0.2">
      <c r="Y55513" s="97"/>
    </row>
    <row r="55514" spans="25:25" x14ac:dyDescent="0.2">
      <c r="Y55514" s="97"/>
    </row>
    <row r="55515" spans="25:25" x14ac:dyDescent="0.2">
      <c r="Y55515" s="97"/>
    </row>
    <row r="55516" spans="25:25" x14ac:dyDescent="0.2">
      <c r="Y55516" s="97"/>
    </row>
    <row r="55517" spans="25:25" x14ac:dyDescent="0.2">
      <c r="Y55517" s="97"/>
    </row>
    <row r="55518" spans="25:25" x14ac:dyDescent="0.2">
      <c r="Y55518" s="97"/>
    </row>
    <row r="55519" spans="25:25" x14ac:dyDescent="0.2">
      <c r="Y55519" s="97"/>
    </row>
    <row r="55520" spans="25:25" x14ac:dyDescent="0.2">
      <c r="Y55520" s="97"/>
    </row>
    <row r="55521" spans="25:25" x14ac:dyDescent="0.2">
      <c r="Y55521" s="97"/>
    </row>
    <row r="55522" spans="25:25" x14ac:dyDescent="0.2">
      <c r="Y55522" s="97"/>
    </row>
    <row r="55523" spans="25:25" x14ac:dyDescent="0.2">
      <c r="Y55523" s="97"/>
    </row>
    <row r="55524" spans="25:25" x14ac:dyDescent="0.2">
      <c r="Y55524" s="97"/>
    </row>
    <row r="55525" spans="25:25" x14ac:dyDescent="0.2">
      <c r="Y55525" s="97"/>
    </row>
    <row r="55526" spans="25:25" x14ac:dyDescent="0.2">
      <c r="Y55526" s="97"/>
    </row>
    <row r="55527" spans="25:25" x14ac:dyDescent="0.2">
      <c r="Y55527" s="97"/>
    </row>
    <row r="55528" spans="25:25" x14ac:dyDescent="0.2">
      <c r="Y55528" s="97"/>
    </row>
    <row r="55529" spans="25:25" x14ac:dyDescent="0.2">
      <c r="Y55529" s="97"/>
    </row>
    <row r="55530" spans="25:25" x14ac:dyDescent="0.2">
      <c r="Y55530" s="97"/>
    </row>
    <row r="55531" spans="25:25" x14ac:dyDescent="0.2">
      <c r="Y55531" s="97"/>
    </row>
    <row r="55532" spans="25:25" x14ac:dyDescent="0.2">
      <c r="Y55532" s="97"/>
    </row>
    <row r="55533" spans="25:25" x14ac:dyDescent="0.2">
      <c r="Y55533" s="97"/>
    </row>
    <row r="55534" spans="25:25" x14ac:dyDescent="0.2">
      <c r="Y55534" s="97"/>
    </row>
    <row r="55535" spans="25:25" x14ac:dyDescent="0.2">
      <c r="Y55535" s="97"/>
    </row>
    <row r="55536" spans="25:25" x14ac:dyDescent="0.2">
      <c r="Y55536" s="97"/>
    </row>
    <row r="55537" spans="25:25" x14ac:dyDescent="0.2">
      <c r="Y55537" s="97"/>
    </row>
    <row r="55538" spans="25:25" x14ac:dyDescent="0.2">
      <c r="Y55538" s="97"/>
    </row>
    <row r="55539" spans="25:25" x14ac:dyDescent="0.2">
      <c r="Y55539" s="97"/>
    </row>
    <row r="55540" spans="25:25" x14ac:dyDescent="0.2">
      <c r="Y55540" s="97"/>
    </row>
    <row r="55541" spans="25:25" x14ac:dyDescent="0.2">
      <c r="Y55541" s="97"/>
    </row>
    <row r="55542" spans="25:25" x14ac:dyDescent="0.2">
      <c r="Y55542" s="97"/>
    </row>
    <row r="55543" spans="25:25" x14ac:dyDescent="0.2">
      <c r="Y55543" s="97"/>
    </row>
    <row r="55544" spans="25:25" x14ac:dyDescent="0.2">
      <c r="Y55544" s="97"/>
    </row>
    <row r="55545" spans="25:25" x14ac:dyDescent="0.2">
      <c r="Y55545" s="97"/>
    </row>
    <row r="55546" spans="25:25" x14ac:dyDescent="0.2">
      <c r="Y55546" s="97"/>
    </row>
    <row r="55547" spans="25:25" x14ac:dyDescent="0.2">
      <c r="Y55547" s="97"/>
    </row>
    <row r="55548" spans="25:25" x14ac:dyDescent="0.2">
      <c r="Y55548" s="97"/>
    </row>
    <row r="55549" spans="25:25" x14ac:dyDescent="0.2">
      <c r="Y55549" s="97"/>
    </row>
    <row r="55550" spans="25:25" x14ac:dyDescent="0.2">
      <c r="Y55550" s="97"/>
    </row>
    <row r="55551" spans="25:25" x14ac:dyDescent="0.2">
      <c r="Y55551" s="97"/>
    </row>
    <row r="55552" spans="25:25" x14ac:dyDescent="0.2">
      <c r="Y55552" s="97"/>
    </row>
    <row r="55553" spans="25:25" x14ac:dyDescent="0.2">
      <c r="Y55553" s="97"/>
    </row>
    <row r="55554" spans="25:25" x14ac:dyDescent="0.2">
      <c r="Y55554" s="97"/>
    </row>
    <row r="55555" spans="25:25" x14ac:dyDescent="0.2">
      <c r="Y55555" s="97"/>
    </row>
    <row r="55556" spans="25:25" x14ac:dyDescent="0.2">
      <c r="Y55556" s="97"/>
    </row>
    <row r="55557" spans="25:25" x14ac:dyDescent="0.2">
      <c r="Y55557" s="97"/>
    </row>
    <row r="55558" spans="25:25" x14ac:dyDescent="0.2">
      <c r="Y55558" s="97"/>
    </row>
    <row r="55559" spans="25:25" x14ac:dyDescent="0.2">
      <c r="Y55559" s="97"/>
    </row>
    <row r="55560" spans="25:25" x14ac:dyDescent="0.2">
      <c r="Y55560" s="97"/>
    </row>
    <row r="55561" spans="25:25" x14ac:dyDescent="0.2">
      <c r="Y55561" s="97"/>
    </row>
    <row r="55562" spans="25:25" x14ac:dyDescent="0.2">
      <c r="Y55562" s="97"/>
    </row>
    <row r="55563" spans="25:25" x14ac:dyDescent="0.2">
      <c r="Y55563" s="97"/>
    </row>
    <row r="55564" spans="25:25" x14ac:dyDescent="0.2">
      <c r="Y55564" s="97"/>
    </row>
    <row r="55565" spans="25:25" x14ac:dyDescent="0.2">
      <c r="Y55565" s="97"/>
    </row>
    <row r="55566" spans="25:25" x14ac:dyDescent="0.2">
      <c r="Y55566" s="97"/>
    </row>
    <row r="55567" spans="25:25" x14ac:dyDescent="0.2">
      <c r="Y55567" s="97"/>
    </row>
    <row r="55568" spans="25:25" x14ac:dyDescent="0.2">
      <c r="Y55568" s="97"/>
    </row>
    <row r="55569" spans="25:25" x14ac:dyDescent="0.2">
      <c r="Y55569" s="97"/>
    </row>
    <row r="55570" spans="25:25" x14ac:dyDescent="0.2">
      <c r="Y55570" s="97"/>
    </row>
    <row r="55571" spans="25:25" x14ac:dyDescent="0.2">
      <c r="Y55571" s="97"/>
    </row>
    <row r="55572" spans="25:25" x14ac:dyDescent="0.2">
      <c r="Y55572" s="97"/>
    </row>
    <row r="55573" spans="25:25" x14ac:dyDescent="0.2">
      <c r="Y55573" s="97"/>
    </row>
    <row r="55574" spans="25:25" x14ac:dyDescent="0.2">
      <c r="Y55574" s="97"/>
    </row>
    <row r="55575" spans="25:25" x14ac:dyDescent="0.2">
      <c r="Y55575" s="97"/>
    </row>
    <row r="55576" spans="25:25" x14ac:dyDescent="0.2">
      <c r="Y55576" s="97"/>
    </row>
    <row r="55577" spans="25:25" x14ac:dyDescent="0.2">
      <c r="Y55577" s="97"/>
    </row>
    <row r="55578" spans="25:25" x14ac:dyDescent="0.2">
      <c r="Y55578" s="97"/>
    </row>
    <row r="55579" spans="25:25" x14ac:dyDescent="0.2">
      <c r="Y55579" s="97"/>
    </row>
    <row r="55580" spans="25:25" x14ac:dyDescent="0.2">
      <c r="Y55580" s="97"/>
    </row>
    <row r="55581" spans="25:25" x14ac:dyDescent="0.2">
      <c r="Y55581" s="97"/>
    </row>
    <row r="55582" spans="25:25" x14ac:dyDescent="0.2">
      <c r="Y55582" s="97"/>
    </row>
    <row r="55583" spans="25:25" x14ac:dyDescent="0.2">
      <c r="Y55583" s="97"/>
    </row>
    <row r="55584" spans="25:25" x14ac:dyDescent="0.2">
      <c r="Y55584" s="97"/>
    </row>
    <row r="55585" spans="25:25" x14ac:dyDescent="0.2">
      <c r="Y55585" s="97"/>
    </row>
    <row r="55586" spans="25:25" x14ac:dyDescent="0.2">
      <c r="Y55586" s="97"/>
    </row>
    <row r="55587" spans="25:25" x14ac:dyDescent="0.2">
      <c r="Y55587" s="97"/>
    </row>
    <row r="55588" spans="25:25" x14ac:dyDescent="0.2">
      <c r="Y55588" s="97"/>
    </row>
    <row r="55589" spans="25:25" x14ac:dyDescent="0.2">
      <c r="Y55589" s="97"/>
    </row>
    <row r="55590" spans="25:25" x14ac:dyDescent="0.2">
      <c r="Y55590" s="97"/>
    </row>
    <row r="55591" spans="25:25" x14ac:dyDescent="0.2">
      <c r="Y55591" s="97"/>
    </row>
    <row r="55592" spans="25:25" x14ac:dyDescent="0.2">
      <c r="Y55592" s="97"/>
    </row>
    <row r="55593" spans="25:25" x14ac:dyDescent="0.2">
      <c r="Y55593" s="97"/>
    </row>
    <row r="55594" spans="25:25" x14ac:dyDescent="0.2">
      <c r="Y55594" s="97"/>
    </row>
    <row r="55595" spans="25:25" x14ac:dyDescent="0.2">
      <c r="Y55595" s="97"/>
    </row>
    <row r="55596" spans="25:25" x14ac:dyDescent="0.2">
      <c r="Y55596" s="97"/>
    </row>
    <row r="55597" spans="25:25" x14ac:dyDescent="0.2">
      <c r="Y55597" s="97"/>
    </row>
    <row r="55598" spans="25:25" x14ac:dyDescent="0.2">
      <c r="Y55598" s="97"/>
    </row>
    <row r="55599" spans="25:25" x14ac:dyDescent="0.2">
      <c r="Y55599" s="97"/>
    </row>
    <row r="55600" spans="25:25" x14ac:dyDescent="0.2">
      <c r="Y55600" s="97"/>
    </row>
    <row r="55601" spans="25:25" x14ac:dyDescent="0.2">
      <c r="Y55601" s="97"/>
    </row>
    <row r="55602" spans="25:25" x14ac:dyDescent="0.2">
      <c r="Y55602" s="97"/>
    </row>
    <row r="55603" spans="25:25" x14ac:dyDescent="0.2">
      <c r="Y55603" s="97"/>
    </row>
    <row r="55604" spans="25:25" x14ac:dyDescent="0.2">
      <c r="Y55604" s="97"/>
    </row>
    <row r="55605" spans="25:25" x14ac:dyDescent="0.2">
      <c r="Y55605" s="97"/>
    </row>
    <row r="55606" spans="25:25" x14ac:dyDescent="0.2">
      <c r="Y55606" s="97"/>
    </row>
    <row r="55607" spans="25:25" x14ac:dyDescent="0.2">
      <c r="Y55607" s="97"/>
    </row>
    <row r="55608" spans="25:25" x14ac:dyDescent="0.2">
      <c r="Y55608" s="97"/>
    </row>
    <row r="55609" spans="25:25" x14ac:dyDescent="0.2">
      <c r="Y55609" s="97"/>
    </row>
    <row r="55610" spans="25:25" x14ac:dyDescent="0.2">
      <c r="Y55610" s="97"/>
    </row>
    <row r="55611" spans="25:25" x14ac:dyDescent="0.2">
      <c r="Y55611" s="97"/>
    </row>
    <row r="55612" spans="25:25" x14ac:dyDescent="0.2">
      <c r="Y55612" s="97"/>
    </row>
    <row r="55613" spans="25:25" x14ac:dyDescent="0.2">
      <c r="Y55613" s="97"/>
    </row>
    <row r="55614" spans="25:25" x14ac:dyDescent="0.2">
      <c r="Y55614" s="97"/>
    </row>
    <row r="55615" spans="25:25" x14ac:dyDescent="0.2">
      <c r="Y55615" s="97"/>
    </row>
    <row r="55616" spans="25:25" x14ac:dyDescent="0.2">
      <c r="Y55616" s="97"/>
    </row>
    <row r="55617" spans="25:25" x14ac:dyDescent="0.2">
      <c r="Y55617" s="97"/>
    </row>
    <row r="55618" spans="25:25" x14ac:dyDescent="0.2">
      <c r="Y55618" s="97"/>
    </row>
    <row r="55619" spans="25:25" x14ac:dyDescent="0.2">
      <c r="Y55619" s="97"/>
    </row>
    <row r="55620" spans="25:25" x14ac:dyDescent="0.2">
      <c r="Y55620" s="97"/>
    </row>
    <row r="55621" spans="25:25" x14ac:dyDescent="0.2">
      <c r="Y55621" s="97"/>
    </row>
    <row r="55622" spans="25:25" x14ac:dyDescent="0.2">
      <c r="Y55622" s="97"/>
    </row>
    <row r="55623" spans="25:25" x14ac:dyDescent="0.2">
      <c r="Y55623" s="97"/>
    </row>
    <row r="55624" spans="25:25" x14ac:dyDescent="0.2">
      <c r="Y55624" s="97"/>
    </row>
    <row r="55625" spans="25:25" x14ac:dyDescent="0.2">
      <c r="Y55625" s="97"/>
    </row>
    <row r="55626" spans="25:25" x14ac:dyDescent="0.2">
      <c r="Y55626" s="97"/>
    </row>
    <row r="55627" spans="25:25" x14ac:dyDescent="0.2">
      <c r="Y55627" s="97"/>
    </row>
    <row r="55628" spans="25:25" x14ac:dyDescent="0.2">
      <c r="Y55628" s="97"/>
    </row>
    <row r="55629" spans="25:25" x14ac:dyDescent="0.2">
      <c r="Y55629" s="97"/>
    </row>
    <row r="55630" spans="25:25" x14ac:dyDescent="0.2">
      <c r="Y55630" s="97"/>
    </row>
    <row r="55631" spans="25:25" x14ac:dyDescent="0.2">
      <c r="Y55631" s="97"/>
    </row>
    <row r="55632" spans="25:25" x14ac:dyDescent="0.2">
      <c r="Y55632" s="97"/>
    </row>
    <row r="55633" spans="25:25" x14ac:dyDescent="0.2">
      <c r="Y55633" s="97"/>
    </row>
    <row r="55634" spans="25:25" x14ac:dyDescent="0.2">
      <c r="Y55634" s="97"/>
    </row>
    <row r="55635" spans="25:25" x14ac:dyDescent="0.2">
      <c r="Y55635" s="97"/>
    </row>
    <row r="55636" spans="25:25" x14ac:dyDescent="0.2">
      <c r="Y55636" s="97"/>
    </row>
    <row r="55637" spans="25:25" x14ac:dyDescent="0.2">
      <c r="Y55637" s="97"/>
    </row>
    <row r="55638" spans="25:25" x14ac:dyDescent="0.2">
      <c r="Y55638" s="97"/>
    </row>
    <row r="55639" spans="25:25" x14ac:dyDescent="0.2">
      <c r="Y55639" s="97"/>
    </row>
    <row r="55640" spans="25:25" x14ac:dyDescent="0.2">
      <c r="Y55640" s="97"/>
    </row>
    <row r="55641" spans="25:25" x14ac:dyDescent="0.2">
      <c r="Y55641" s="97"/>
    </row>
    <row r="55642" spans="25:25" x14ac:dyDescent="0.2">
      <c r="Y55642" s="97"/>
    </row>
    <row r="55643" spans="25:25" x14ac:dyDescent="0.2">
      <c r="Y55643" s="97"/>
    </row>
    <row r="55644" spans="25:25" x14ac:dyDescent="0.2">
      <c r="Y55644" s="97"/>
    </row>
    <row r="55645" spans="25:25" x14ac:dyDescent="0.2">
      <c r="Y55645" s="97"/>
    </row>
    <row r="55646" spans="25:25" x14ac:dyDescent="0.2">
      <c r="Y55646" s="97"/>
    </row>
    <row r="55647" spans="25:25" x14ac:dyDescent="0.2">
      <c r="Y55647" s="97"/>
    </row>
    <row r="55648" spans="25:25" x14ac:dyDescent="0.2">
      <c r="Y55648" s="97"/>
    </row>
    <row r="55649" spans="25:25" x14ac:dyDescent="0.2">
      <c r="Y55649" s="97"/>
    </row>
    <row r="55650" spans="25:25" x14ac:dyDescent="0.2">
      <c r="Y55650" s="97"/>
    </row>
    <row r="55651" spans="25:25" x14ac:dyDescent="0.2">
      <c r="Y55651" s="97"/>
    </row>
    <row r="55652" spans="25:25" x14ac:dyDescent="0.2">
      <c r="Y55652" s="97"/>
    </row>
    <row r="55653" spans="25:25" x14ac:dyDescent="0.2">
      <c r="Y55653" s="97"/>
    </row>
    <row r="55654" spans="25:25" x14ac:dyDescent="0.2">
      <c r="Y55654" s="97"/>
    </row>
    <row r="55655" spans="25:25" x14ac:dyDescent="0.2">
      <c r="Y55655" s="97"/>
    </row>
    <row r="55656" spans="25:25" x14ac:dyDescent="0.2">
      <c r="Y55656" s="97"/>
    </row>
    <row r="55657" spans="25:25" x14ac:dyDescent="0.2">
      <c r="Y55657" s="97"/>
    </row>
    <row r="55658" spans="25:25" x14ac:dyDescent="0.2">
      <c r="Y55658" s="97"/>
    </row>
    <row r="55659" spans="25:25" x14ac:dyDescent="0.2">
      <c r="Y55659" s="97"/>
    </row>
    <row r="55660" spans="25:25" x14ac:dyDescent="0.2">
      <c r="Y55660" s="97"/>
    </row>
    <row r="55661" spans="25:25" x14ac:dyDescent="0.2">
      <c r="Y55661" s="97"/>
    </row>
    <row r="55662" spans="25:25" x14ac:dyDescent="0.2">
      <c r="Y55662" s="97"/>
    </row>
    <row r="55663" spans="25:25" x14ac:dyDescent="0.2">
      <c r="Y55663" s="97"/>
    </row>
    <row r="55664" spans="25:25" x14ac:dyDescent="0.2">
      <c r="Y55664" s="97"/>
    </row>
    <row r="55665" spans="25:25" x14ac:dyDescent="0.2">
      <c r="Y55665" s="97"/>
    </row>
    <row r="55666" spans="25:25" x14ac:dyDescent="0.2">
      <c r="Y55666" s="97"/>
    </row>
    <row r="55667" spans="25:25" x14ac:dyDescent="0.2">
      <c r="Y55667" s="97"/>
    </row>
    <row r="55668" spans="25:25" x14ac:dyDescent="0.2">
      <c r="Y55668" s="97"/>
    </row>
    <row r="55669" spans="25:25" x14ac:dyDescent="0.2">
      <c r="Y55669" s="97"/>
    </row>
    <row r="55670" spans="25:25" x14ac:dyDescent="0.2">
      <c r="Y55670" s="97"/>
    </row>
    <row r="55671" spans="25:25" x14ac:dyDescent="0.2">
      <c r="Y55671" s="97"/>
    </row>
    <row r="55672" spans="25:25" x14ac:dyDescent="0.2">
      <c r="Y55672" s="97"/>
    </row>
    <row r="55673" spans="25:25" x14ac:dyDescent="0.2">
      <c r="Y55673" s="97"/>
    </row>
    <row r="55674" spans="25:25" x14ac:dyDescent="0.2">
      <c r="Y55674" s="97"/>
    </row>
    <row r="55675" spans="25:25" x14ac:dyDescent="0.2">
      <c r="Y55675" s="97"/>
    </row>
    <row r="55676" spans="25:25" x14ac:dyDescent="0.2">
      <c r="Y55676" s="97"/>
    </row>
    <row r="55677" spans="25:25" x14ac:dyDescent="0.2">
      <c r="Y55677" s="97"/>
    </row>
    <row r="55678" spans="25:25" x14ac:dyDescent="0.2">
      <c r="Y55678" s="97"/>
    </row>
    <row r="55679" spans="25:25" x14ac:dyDescent="0.2">
      <c r="Y55679" s="97"/>
    </row>
    <row r="55680" spans="25:25" x14ac:dyDescent="0.2">
      <c r="Y55680" s="97"/>
    </row>
    <row r="55681" spans="25:25" x14ac:dyDescent="0.2">
      <c r="Y55681" s="97"/>
    </row>
    <row r="55682" spans="25:25" x14ac:dyDescent="0.2">
      <c r="Y55682" s="97"/>
    </row>
    <row r="55683" spans="25:25" x14ac:dyDescent="0.2">
      <c r="Y55683" s="97"/>
    </row>
    <row r="55684" spans="25:25" x14ac:dyDescent="0.2">
      <c r="Y55684" s="97"/>
    </row>
    <row r="55685" spans="25:25" x14ac:dyDescent="0.2">
      <c r="Y55685" s="97"/>
    </row>
    <row r="55686" spans="25:25" x14ac:dyDescent="0.2">
      <c r="Y55686" s="97"/>
    </row>
    <row r="55687" spans="25:25" x14ac:dyDescent="0.2">
      <c r="Y55687" s="97"/>
    </row>
    <row r="55688" spans="25:25" x14ac:dyDescent="0.2">
      <c r="Y55688" s="97"/>
    </row>
    <row r="55689" spans="25:25" x14ac:dyDescent="0.2">
      <c r="Y55689" s="97"/>
    </row>
    <row r="55690" spans="25:25" x14ac:dyDescent="0.2">
      <c r="Y55690" s="97"/>
    </row>
    <row r="55691" spans="25:25" x14ac:dyDescent="0.2">
      <c r="Y55691" s="97"/>
    </row>
    <row r="55692" spans="25:25" x14ac:dyDescent="0.2">
      <c r="Y55692" s="97"/>
    </row>
    <row r="55693" spans="25:25" x14ac:dyDescent="0.2">
      <c r="Y55693" s="97"/>
    </row>
    <row r="55694" spans="25:25" x14ac:dyDescent="0.2">
      <c r="Y55694" s="97"/>
    </row>
    <row r="55695" spans="25:25" x14ac:dyDescent="0.2">
      <c r="Y55695" s="97"/>
    </row>
    <row r="55696" spans="25:25" x14ac:dyDescent="0.2">
      <c r="Y55696" s="97"/>
    </row>
    <row r="55697" spans="25:25" x14ac:dyDescent="0.2">
      <c r="Y55697" s="97"/>
    </row>
    <row r="55698" spans="25:25" x14ac:dyDescent="0.2">
      <c r="Y55698" s="97"/>
    </row>
    <row r="55699" spans="25:25" x14ac:dyDescent="0.2">
      <c r="Y55699" s="97"/>
    </row>
    <row r="55700" spans="25:25" x14ac:dyDescent="0.2">
      <c r="Y55700" s="97"/>
    </row>
    <row r="55701" spans="25:25" x14ac:dyDescent="0.2">
      <c r="Y55701" s="97"/>
    </row>
    <row r="55702" spans="25:25" x14ac:dyDescent="0.2">
      <c r="Y55702" s="97"/>
    </row>
    <row r="55703" spans="25:25" x14ac:dyDescent="0.2">
      <c r="Y55703" s="97"/>
    </row>
    <row r="55704" spans="25:25" x14ac:dyDescent="0.2">
      <c r="Y55704" s="97"/>
    </row>
    <row r="55705" spans="25:25" x14ac:dyDescent="0.2">
      <c r="Y55705" s="97"/>
    </row>
    <row r="55706" spans="25:25" x14ac:dyDescent="0.2">
      <c r="Y55706" s="97"/>
    </row>
    <row r="55707" spans="25:25" x14ac:dyDescent="0.2">
      <c r="Y55707" s="97"/>
    </row>
    <row r="55708" spans="25:25" x14ac:dyDescent="0.2">
      <c r="Y55708" s="97"/>
    </row>
    <row r="55709" spans="25:25" x14ac:dyDescent="0.2">
      <c r="Y55709" s="97"/>
    </row>
    <row r="55710" spans="25:25" x14ac:dyDescent="0.2">
      <c r="Y55710" s="97"/>
    </row>
    <row r="55711" spans="25:25" x14ac:dyDescent="0.2">
      <c r="Y55711" s="97"/>
    </row>
    <row r="55712" spans="25:25" x14ac:dyDescent="0.2">
      <c r="Y55712" s="97"/>
    </row>
    <row r="55713" spans="25:25" x14ac:dyDescent="0.2">
      <c r="Y55713" s="97"/>
    </row>
    <row r="55714" spans="25:25" x14ac:dyDescent="0.2">
      <c r="Y55714" s="97"/>
    </row>
    <row r="55715" spans="25:25" x14ac:dyDescent="0.2">
      <c r="Y55715" s="97"/>
    </row>
    <row r="55716" spans="25:25" x14ac:dyDescent="0.2">
      <c r="Y55716" s="97"/>
    </row>
    <row r="55717" spans="25:25" x14ac:dyDescent="0.2">
      <c r="Y55717" s="97"/>
    </row>
    <row r="55718" spans="25:25" x14ac:dyDescent="0.2">
      <c r="Y55718" s="97"/>
    </row>
    <row r="55719" spans="25:25" x14ac:dyDescent="0.2">
      <c r="Y55719" s="97"/>
    </row>
    <row r="55720" spans="25:25" x14ac:dyDescent="0.2">
      <c r="Y55720" s="97"/>
    </row>
    <row r="55721" spans="25:25" x14ac:dyDescent="0.2">
      <c r="Y55721" s="97"/>
    </row>
    <row r="55722" spans="25:25" x14ac:dyDescent="0.2">
      <c r="Y55722" s="97"/>
    </row>
    <row r="55723" spans="25:25" x14ac:dyDescent="0.2">
      <c r="Y55723" s="97"/>
    </row>
    <row r="55724" spans="25:25" x14ac:dyDescent="0.2">
      <c r="Y55724" s="97"/>
    </row>
    <row r="55725" spans="25:25" x14ac:dyDescent="0.2">
      <c r="Y55725" s="97"/>
    </row>
    <row r="55726" spans="25:25" x14ac:dyDescent="0.2">
      <c r="Y55726" s="97"/>
    </row>
    <row r="55727" spans="25:25" x14ac:dyDescent="0.2">
      <c r="Y55727" s="97"/>
    </row>
    <row r="55728" spans="25:25" x14ac:dyDescent="0.2">
      <c r="Y55728" s="97"/>
    </row>
    <row r="55729" spans="25:25" x14ac:dyDescent="0.2">
      <c r="Y55729" s="97"/>
    </row>
    <row r="55730" spans="25:25" x14ac:dyDescent="0.2">
      <c r="Y55730" s="97"/>
    </row>
    <row r="55731" spans="25:25" x14ac:dyDescent="0.2">
      <c r="Y55731" s="97"/>
    </row>
    <row r="55732" spans="25:25" x14ac:dyDescent="0.2">
      <c r="Y55732" s="97"/>
    </row>
    <row r="55733" spans="25:25" x14ac:dyDescent="0.2">
      <c r="Y55733" s="97"/>
    </row>
    <row r="55734" spans="25:25" x14ac:dyDescent="0.2">
      <c r="Y55734" s="97"/>
    </row>
    <row r="55735" spans="25:25" x14ac:dyDescent="0.2">
      <c r="Y55735" s="97"/>
    </row>
    <row r="55736" spans="25:25" x14ac:dyDescent="0.2">
      <c r="Y55736" s="97"/>
    </row>
    <row r="55737" spans="25:25" x14ac:dyDescent="0.2">
      <c r="Y55737" s="97"/>
    </row>
    <row r="55738" spans="25:25" x14ac:dyDescent="0.2">
      <c r="Y55738" s="97"/>
    </row>
    <row r="55739" spans="25:25" x14ac:dyDescent="0.2">
      <c r="Y55739" s="97"/>
    </row>
    <row r="55740" spans="25:25" x14ac:dyDescent="0.2">
      <c r="Y55740" s="97"/>
    </row>
    <row r="55741" spans="25:25" x14ac:dyDescent="0.2">
      <c r="Y55741" s="97"/>
    </row>
    <row r="55742" spans="25:25" x14ac:dyDescent="0.2">
      <c r="Y55742" s="97"/>
    </row>
    <row r="55743" spans="25:25" x14ac:dyDescent="0.2">
      <c r="Y55743" s="97"/>
    </row>
    <row r="55744" spans="25:25" x14ac:dyDescent="0.2">
      <c r="Y55744" s="97"/>
    </row>
    <row r="55745" spans="25:25" x14ac:dyDescent="0.2">
      <c r="Y55745" s="97"/>
    </row>
    <row r="55746" spans="25:25" x14ac:dyDescent="0.2">
      <c r="Y55746" s="97"/>
    </row>
    <row r="55747" spans="25:25" x14ac:dyDescent="0.2">
      <c r="Y55747" s="97"/>
    </row>
    <row r="55748" spans="25:25" x14ac:dyDescent="0.2">
      <c r="Y55748" s="97"/>
    </row>
    <row r="55749" spans="25:25" x14ac:dyDescent="0.2">
      <c r="Y55749" s="97"/>
    </row>
    <row r="55750" spans="25:25" x14ac:dyDescent="0.2">
      <c r="Y55750" s="97"/>
    </row>
    <row r="55751" spans="25:25" x14ac:dyDescent="0.2">
      <c r="Y55751" s="97"/>
    </row>
    <row r="55752" spans="25:25" x14ac:dyDescent="0.2">
      <c r="Y55752" s="97"/>
    </row>
    <row r="55753" spans="25:25" x14ac:dyDescent="0.2">
      <c r="Y55753" s="97"/>
    </row>
    <row r="55754" spans="25:25" x14ac:dyDescent="0.2">
      <c r="Y55754" s="97"/>
    </row>
    <row r="55755" spans="25:25" x14ac:dyDescent="0.2">
      <c r="Y55755" s="97"/>
    </row>
    <row r="55756" spans="25:25" x14ac:dyDescent="0.2">
      <c r="Y55756" s="97"/>
    </row>
    <row r="55757" spans="25:25" x14ac:dyDescent="0.2">
      <c r="Y55757" s="97"/>
    </row>
    <row r="55758" spans="25:25" x14ac:dyDescent="0.2">
      <c r="Y55758" s="97"/>
    </row>
    <row r="55759" spans="25:25" x14ac:dyDescent="0.2">
      <c r="Y55759" s="97"/>
    </row>
    <row r="55760" spans="25:25" x14ac:dyDescent="0.2">
      <c r="Y55760" s="97"/>
    </row>
    <row r="55761" spans="25:25" x14ac:dyDescent="0.2">
      <c r="Y55761" s="97"/>
    </row>
    <row r="55762" spans="25:25" x14ac:dyDescent="0.2">
      <c r="Y55762" s="97"/>
    </row>
    <row r="55763" spans="25:25" x14ac:dyDescent="0.2">
      <c r="Y55763" s="97"/>
    </row>
    <row r="55764" spans="25:25" x14ac:dyDescent="0.2">
      <c r="Y55764" s="97"/>
    </row>
    <row r="55765" spans="25:25" x14ac:dyDescent="0.2">
      <c r="Y55765" s="97"/>
    </row>
    <row r="55766" spans="25:25" x14ac:dyDescent="0.2">
      <c r="Y55766" s="97"/>
    </row>
    <row r="55767" spans="25:25" x14ac:dyDescent="0.2">
      <c r="Y55767" s="97"/>
    </row>
    <row r="55768" spans="25:25" x14ac:dyDescent="0.2">
      <c r="Y55768" s="97"/>
    </row>
    <row r="55769" spans="25:25" x14ac:dyDescent="0.2">
      <c r="Y55769" s="97"/>
    </row>
    <row r="55770" spans="25:25" x14ac:dyDescent="0.2">
      <c r="Y55770" s="97"/>
    </row>
    <row r="55771" spans="25:25" x14ac:dyDescent="0.2">
      <c r="Y55771" s="97"/>
    </row>
    <row r="55772" spans="25:25" x14ac:dyDescent="0.2">
      <c r="Y55772" s="97"/>
    </row>
    <row r="55773" spans="25:25" x14ac:dyDescent="0.2">
      <c r="Y55773" s="97"/>
    </row>
    <row r="55774" spans="25:25" x14ac:dyDescent="0.2">
      <c r="Y55774" s="97"/>
    </row>
    <row r="55775" spans="25:25" x14ac:dyDescent="0.2">
      <c r="Y55775" s="97"/>
    </row>
    <row r="55776" spans="25:25" x14ac:dyDescent="0.2">
      <c r="Y55776" s="97"/>
    </row>
    <row r="55777" spans="25:25" x14ac:dyDescent="0.2">
      <c r="Y55777" s="97"/>
    </row>
    <row r="55778" spans="25:25" x14ac:dyDescent="0.2">
      <c r="Y55778" s="97"/>
    </row>
    <row r="55779" spans="25:25" x14ac:dyDescent="0.2">
      <c r="Y55779" s="97"/>
    </row>
    <row r="55780" spans="25:25" x14ac:dyDescent="0.2">
      <c r="Y55780" s="97"/>
    </row>
    <row r="55781" spans="25:25" x14ac:dyDescent="0.2">
      <c r="Y55781" s="97"/>
    </row>
    <row r="55782" spans="25:25" x14ac:dyDescent="0.2">
      <c r="Y55782" s="97"/>
    </row>
    <row r="55783" spans="25:25" x14ac:dyDescent="0.2">
      <c r="Y55783" s="97"/>
    </row>
    <row r="55784" spans="25:25" x14ac:dyDescent="0.2">
      <c r="Y55784" s="97"/>
    </row>
    <row r="55785" spans="25:25" x14ac:dyDescent="0.2">
      <c r="Y55785" s="97"/>
    </row>
    <row r="55786" spans="25:25" x14ac:dyDescent="0.2">
      <c r="Y55786" s="97"/>
    </row>
    <row r="55787" spans="25:25" x14ac:dyDescent="0.2">
      <c r="Y55787" s="97"/>
    </row>
    <row r="55788" spans="25:25" x14ac:dyDescent="0.2">
      <c r="Y55788" s="97"/>
    </row>
    <row r="55789" spans="25:25" x14ac:dyDescent="0.2">
      <c r="Y55789" s="97"/>
    </row>
    <row r="55790" spans="25:25" x14ac:dyDescent="0.2">
      <c r="Y55790" s="97"/>
    </row>
    <row r="55791" spans="25:25" x14ac:dyDescent="0.2">
      <c r="Y55791" s="97"/>
    </row>
    <row r="55792" spans="25:25" x14ac:dyDescent="0.2">
      <c r="Y55792" s="97"/>
    </row>
    <row r="55793" spans="25:25" x14ac:dyDescent="0.2">
      <c r="Y55793" s="97"/>
    </row>
    <row r="55794" spans="25:25" x14ac:dyDescent="0.2">
      <c r="Y55794" s="97"/>
    </row>
    <row r="55795" spans="25:25" x14ac:dyDescent="0.2">
      <c r="Y55795" s="97"/>
    </row>
    <row r="55796" spans="25:25" x14ac:dyDescent="0.2">
      <c r="Y55796" s="97"/>
    </row>
    <row r="55797" spans="25:25" x14ac:dyDescent="0.2">
      <c r="Y55797" s="97"/>
    </row>
    <row r="55798" spans="25:25" x14ac:dyDescent="0.2">
      <c r="Y55798" s="97"/>
    </row>
    <row r="55799" spans="25:25" x14ac:dyDescent="0.2">
      <c r="Y55799" s="97"/>
    </row>
    <row r="55800" spans="25:25" x14ac:dyDescent="0.2">
      <c r="Y55800" s="97"/>
    </row>
    <row r="55801" spans="25:25" x14ac:dyDescent="0.2">
      <c r="Y55801" s="97"/>
    </row>
    <row r="55802" spans="25:25" x14ac:dyDescent="0.2">
      <c r="Y55802" s="97"/>
    </row>
    <row r="55803" spans="25:25" x14ac:dyDescent="0.2">
      <c r="Y55803" s="97"/>
    </row>
    <row r="55804" spans="25:25" x14ac:dyDescent="0.2">
      <c r="Y55804" s="97"/>
    </row>
    <row r="55805" spans="25:25" x14ac:dyDescent="0.2">
      <c r="Y55805" s="97"/>
    </row>
    <row r="55806" spans="25:25" x14ac:dyDescent="0.2">
      <c r="Y55806" s="97"/>
    </row>
    <row r="55807" spans="25:25" x14ac:dyDescent="0.2">
      <c r="Y55807" s="97"/>
    </row>
    <row r="55808" spans="25:25" x14ac:dyDescent="0.2">
      <c r="Y55808" s="97"/>
    </row>
    <row r="55809" spans="25:25" x14ac:dyDescent="0.2">
      <c r="Y55809" s="97"/>
    </row>
    <row r="55810" spans="25:25" x14ac:dyDescent="0.2">
      <c r="Y55810" s="97"/>
    </row>
    <row r="55811" spans="25:25" x14ac:dyDescent="0.2">
      <c r="Y55811" s="97"/>
    </row>
    <row r="55812" spans="25:25" x14ac:dyDescent="0.2">
      <c r="Y55812" s="97"/>
    </row>
    <row r="55813" spans="25:25" x14ac:dyDescent="0.2">
      <c r="Y55813" s="97"/>
    </row>
    <row r="55814" spans="25:25" x14ac:dyDescent="0.2">
      <c r="Y55814" s="97"/>
    </row>
    <row r="55815" spans="25:25" x14ac:dyDescent="0.2">
      <c r="Y55815" s="97"/>
    </row>
    <row r="55816" spans="25:25" x14ac:dyDescent="0.2">
      <c r="Y55816" s="97"/>
    </row>
    <row r="55817" spans="25:25" x14ac:dyDescent="0.2">
      <c r="Y55817" s="97"/>
    </row>
    <row r="55818" spans="25:25" x14ac:dyDescent="0.2">
      <c r="Y55818" s="97"/>
    </row>
    <row r="55819" spans="25:25" x14ac:dyDescent="0.2">
      <c r="Y55819" s="97"/>
    </row>
    <row r="55820" spans="25:25" x14ac:dyDescent="0.2">
      <c r="Y55820" s="97"/>
    </row>
    <row r="55821" spans="25:25" x14ac:dyDescent="0.2">
      <c r="Y55821" s="97"/>
    </row>
    <row r="55822" spans="25:25" x14ac:dyDescent="0.2">
      <c r="Y55822" s="97"/>
    </row>
    <row r="55823" spans="25:25" x14ac:dyDescent="0.2">
      <c r="Y55823" s="97"/>
    </row>
    <row r="55824" spans="25:25" x14ac:dyDescent="0.2">
      <c r="Y55824" s="97"/>
    </row>
    <row r="55825" spans="25:25" x14ac:dyDescent="0.2">
      <c r="Y55825" s="97"/>
    </row>
    <row r="55826" spans="25:25" x14ac:dyDescent="0.2">
      <c r="Y55826" s="97"/>
    </row>
    <row r="55827" spans="25:25" x14ac:dyDescent="0.2">
      <c r="Y55827" s="97"/>
    </row>
    <row r="55828" spans="25:25" x14ac:dyDescent="0.2">
      <c r="Y55828" s="97"/>
    </row>
    <row r="55829" spans="25:25" x14ac:dyDescent="0.2">
      <c r="Y55829" s="97"/>
    </row>
    <row r="55830" spans="25:25" x14ac:dyDescent="0.2">
      <c r="Y55830" s="97"/>
    </row>
    <row r="55831" spans="25:25" x14ac:dyDescent="0.2">
      <c r="Y55831" s="97"/>
    </row>
    <row r="55832" spans="25:25" x14ac:dyDescent="0.2">
      <c r="Y55832" s="97"/>
    </row>
    <row r="55833" spans="25:25" x14ac:dyDescent="0.2">
      <c r="Y55833" s="97"/>
    </row>
    <row r="55834" spans="25:25" x14ac:dyDescent="0.2">
      <c r="Y55834" s="97"/>
    </row>
    <row r="55835" spans="25:25" x14ac:dyDescent="0.2">
      <c r="Y55835" s="97"/>
    </row>
    <row r="55836" spans="25:25" x14ac:dyDescent="0.2">
      <c r="Y55836" s="97"/>
    </row>
    <row r="55837" spans="25:25" x14ac:dyDescent="0.2">
      <c r="Y55837" s="97"/>
    </row>
    <row r="55838" spans="25:25" x14ac:dyDescent="0.2">
      <c r="Y55838" s="97"/>
    </row>
    <row r="55839" spans="25:25" x14ac:dyDescent="0.2">
      <c r="Y55839" s="97"/>
    </row>
    <row r="55840" spans="25:25" x14ac:dyDescent="0.2">
      <c r="Y55840" s="97"/>
    </row>
    <row r="55841" spans="25:25" x14ac:dyDescent="0.2">
      <c r="Y55841" s="97"/>
    </row>
    <row r="55842" spans="25:25" x14ac:dyDescent="0.2">
      <c r="Y55842" s="97"/>
    </row>
    <row r="55843" spans="25:25" x14ac:dyDescent="0.2">
      <c r="Y55843" s="97"/>
    </row>
    <row r="55844" spans="25:25" x14ac:dyDescent="0.2">
      <c r="Y55844" s="97"/>
    </row>
    <row r="55845" spans="25:25" x14ac:dyDescent="0.2">
      <c r="Y55845" s="97"/>
    </row>
    <row r="55846" spans="25:25" x14ac:dyDescent="0.2">
      <c r="Y55846" s="97"/>
    </row>
    <row r="55847" spans="25:25" x14ac:dyDescent="0.2">
      <c r="Y55847" s="97"/>
    </row>
    <row r="55848" spans="25:25" x14ac:dyDescent="0.2">
      <c r="Y55848" s="97"/>
    </row>
    <row r="55849" spans="25:25" x14ac:dyDescent="0.2">
      <c r="Y55849" s="97"/>
    </row>
    <row r="55850" spans="25:25" x14ac:dyDescent="0.2">
      <c r="Y55850" s="97"/>
    </row>
    <row r="55851" spans="25:25" x14ac:dyDescent="0.2">
      <c r="Y55851" s="97"/>
    </row>
    <row r="55852" spans="25:25" x14ac:dyDescent="0.2">
      <c r="Y55852" s="97"/>
    </row>
    <row r="55853" spans="25:25" x14ac:dyDescent="0.2">
      <c r="Y55853" s="97"/>
    </row>
    <row r="55854" spans="25:25" x14ac:dyDescent="0.2">
      <c r="Y55854" s="97"/>
    </row>
    <row r="55855" spans="25:25" x14ac:dyDescent="0.2">
      <c r="Y55855" s="97"/>
    </row>
    <row r="55856" spans="25:25" x14ac:dyDescent="0.2">
      <c r="Y55856" s="97"/>
    </row>
    <row r="55857" spans="25:25" x14ac:dyDescent="0.2">
      <c r="Y55857" s="97"/>
    </row>
    <row r="55858" spans="25:25" x14ac:dyDescent="0.2">
      <c r="Y55858" s="97"/>
    </row>
    <row r="55859" spans="25:25" x14ac:dyDescent="0.2">
      <c r="Y55859" s="97"/>
    </row>
    <row r="55860" spans="25:25" x14ac:dyDescent="0.2">
      <c r="Y55860" s="97"/>
    </row>
    <row r="55861" spans="25:25" x14ac:dyDescent="0.2">
      <c r="Y55861" s="97"/>
    </row>
    <row r="55862" spans="25:25" x14ac:dyDescent="0.2">
      <c r="Y55862" s="97"/>
    </row>
    <row r="55863" spans="25:25" x14ac:dyDescent="0.2">
      <c r="Y55863" s="97"/>
    </row>
    <row r="55864" spans="25:25" x14ac:dyDescent="0.2">
      <c r="Y55864" s="97"/>
    </row>
    <row r="55865" spans="25:25" x14ac:dyDescent="0.2">
      <c r="Y55865" s="97"/>
    </row>
    <row r="55866" spans="25:25" x14ac:dyDescent="0.2">
      <c r="Y55866" s="97"/>
    </row>
    <row r="55867" spans="25:25" x14ac:dyDescent="0.2">
      <c r="Y55867" s="97"/>
    </row>
    <row r="55868" spans="25:25" x14ac:dyDescent="0.2">
      <c r="Y55868" s="97"/>
    </row>
    <row r="55869" spans="25:25" x14ac:dyDescent="0.2">
      <c r="Y55869" s="97"/>
    </row>
    <row r="55870" spans="25:25" x14ac:dyDescent="0.2">
      <c r="Y55870" s="97"/>
    </row>
    <row r="55871" spans="25:25" x14ac:dyDescent="0.2">
      <c r="Y55871" s="97"/>
    </row>
    <row r="55872" spans="25:25" x14ac:dyDescent="0.2">
      <c r="Y55872" s="97"/>
    </row>
    <row r="55873" spans="25:25" x14ac:dyDescent="0.2">
      <c r="Y55873" s="97"/>
    </row>
    <row r="55874" spans="25:25" x14ac:dyDescent="0.2">
      <c r="Y55874" s="97"/>
    </row>
    <row r="55875" spans="25:25" x14ac:dyDescent="0.2">
      <c r="Y55875" s="97"/>
    </row>
    <row r="55876" spans="25:25" x14ac:dyDescent="0.2">
      <c r="Y55876" s="97"/>
    </row>
    <row r="55877" spans="25:25" x14ac:dyDescent="0.2">
      <c r="Y55877" s="97"/>
    </row>
    <row r="55878" spans="25:25" x14ac:dyDescent="0.2">
      <c r="Y55878" s="97"/>
    </row>
    <row r="55879" spans="25:25" x14ac:dyDescent="0.2">
      <c r="Y55879" s="97"/>
    </row>
    <row r="55880" spans="25:25" x14ac:dyDescent="0.2">
      <c r="Y55880" s="97"/>
    </row>
    <row r="55881" spans="25:25" x14ac:dyDescent="0.2">
      <c r="Y55881" s="97"/>
    </row>
    <row r="55882" spans="25:25" x14ac:dyDescent="0.2">
      <c r="Y55882" s="97"/>
    </row>
    <row r="55883" spans="25:25" x14ac:dyDescent="0.2">
      <c r="Y55883" s="97"/>
    </row>
    <row r="55884" spans="25:25" x14ac:dyDescent="0.2">
      <c r="Y55884" s="97"/>
    </row>
    <row r="55885" spans="25:25" x14ac:dyDescent="0.2">
      <c r="Y55885" s="97"/>
    </row>
    <row r="55886" spans="25:25" x14ac:dyDescent="0.2">
      <c r="Y55886" s="97"/>
    </row>
    <row r="55887" spans="25:25" x14ac:dyDescent="0.2">
      <c r="Y55887" s="97"/>
    </row>
    <row r="55888" spans="25:25" x14ac:dyDescent="0.2">
      <c r="Y55888" s="97"/>
    </row>
    <row r="55889" spans="25:25" x14ac:dyDescent="0.2">
      <c r="Y55889" s="97"/>
    </row>
    <row r="55890" spans="25:25" x14ac:dyDescent="0.2">
      <c r="Y55890" s="97"/>
    </row>
    <row r="55891" spans="25:25" x14ac:dyDescent="0.2">
      <c r="Y55891" s="97"/>
    </row>
    <row r="55892" spans="25:25" x14ac:dyDescent="0.2">
      <c r="Y55892" s="97"/>
    </row>
    <row r="55893" spans="25:25" x14ac:dyDescent="0.2">
      <c r="Y55893" s="97"/>
    </row>
    <row r="55894" spans="25:25" x14ac:dyDescent="0.2">
      <c r="Y55894" s="97"/>
    </row>
    <row r="55895" spans="25:25" x14ac:dyDescent="0.2">
      <c r="Y55895" s="97"/>
    </row>
    <row r="55896" spans="25:25" x14ac:dyDescent="0.2">
      <c r="Y55896" s="97"/>
    </row>
    <row r="55897" spans="25:25" x14ac:dyDescent="0.2">
      <c r="Y55897" s="97"/>
    </row>
    <row r="55898" spans="25:25" x14ac:dyDescent="0.2">
      <c r="Y55898" s="97"/>
    </row>
    <row r="55899" spans="25:25" x14ac:dyDescent="0.2">
      <c r="Y55899" s="97"/>
    </row>
    <row r="55900" spans="25:25" x14ac:dyDescent="0.2">
      <c r="Y55900" s="97"/>
    </row>
    <row r="55901" spans="25:25" x14ac:dyDescent="0.2">
      <c r="Y55901" s="97"/>
    </row>
    <row r="55902" spans="25:25" x14ac:dyDescent="0.2">
      <c r="Y55902" s="97"/>
    </row>
    <row r="55903" spans="25:25" x14ac:dyDescent="0.2">
      <c r="Y55903" s="97"/>
    </row>
    <row r="55904" spans="25:25" x14ac:dyDescent="0.2">
      <c r="Y55904" s="97"/>
    </row>
    <row r="55905" spans="25:25" x14ac:dyDescent="0.2">
      <c r="Y55905" s="97"/>
    </row>
    <row r="55906" spans="25:25" x14ac:dyDescent="0.2">
      <c r="Y55906" s="97"/>
    </row>
    <row r="55907" spans="25:25" x14ac:dyDescent="0.2">
      <c r="Y55907" s="97"/>
    </row>
    <row r="55908" spans="25:25" x14ac:dyDescent="0.2">
      <c r="Y55908" s="97"/>
    </row>
    <row r="55909" spans="25:25" x14ac:dyDescent="0.2">
      <c r="Y55909" s="97"/>
    </row>
    <row r="55910" spans="25:25" x14ac:dyDescent="0.2">
      <c r="Y55910" s="97"/>
    </row>
    <row r="55911" spans="25:25" x14ac:dyDescent="0.2">
      <c r="Y55911" s="97"/>
    </row>
    <row r="55912" spans="25:25" x14ac:dyDescent="0.2">
      <c r="Y55912" s="97"/>
    </row>
    <row r="55913" spans="25:25" x14ac:dyDescent="0.2">
      <c r="Y55913" s="97"/>
    </row>
    <row r="55914" spans="25:25" x14ac:dyDescent="0.2">
      <c r="Y55914" s="97"/>
    </row>
    <row r="55915" spans="25:25" x14ac:dyDescent="0.2">
      <c r="Y55915" s="97"/>
    </row>
    <row r="55916" spans="25:25" x14ac:dyDescent="0.2">
      <c r="Y55916" s="97"/>
    </row>
    <row r="55917" spans="25:25" x14ac:dyDescent="0.2">
      <c r="Y55917" s="97"/>
    </row>
    <row r="55918" spans="25:25" x14ac:dyDescent="0.2">
      <c r="Y55918" s="97"/>
    </row>
    <row r="55919" spans="25:25" x14ac:dyDescent="0.2">
      <c r="Y55919" s="97"/>
    </row>
    <row r="55920" spans="25:25" x14ac:dyDescent="0.2">
      <c r="Y55920" s="97"/>
    </row>
    <row r="55921" spans="25:25" x14ac:dyDescent="0.2">
      <c r="Y55921" s="97"/>
    </row>
    <row r="55922" spans="25:25" x14ac:dyDescent="0.2">
      <c r="Y55922" s="97"/>
    </row>
    <row r="55923" spans="25:25" x14ac:dyDescent="0.2">
      <c r="Y55923" s="97"/>
    </row>
    <row r="55924" spans="25:25" x14ac:dyDescent="0.2">
      <c r="Y55924" s="97"/>
    </row>
    <row r="55925" spans="25:25" x14ac:dyDescent="0.2">
      <c r="Y55925" s="97"/>
    </row>
    <row r="55926" spans="25:25" x14ac:dyDescent="0.2">
      <c r="Y55926" s="97"/>
    </row>
    <row r="55927" spans="25:25" x14ac:dyDescent="0.2">
      <c r="Y55927" s="97"/>
    </row>
    <row r="55928" spans="25:25" x14ac:dyDescent="0.2">
      <c r="Y55928" s="97"/>
    </row>
    <row r="55929" spans="25:25" x14ac:dyDescent="0.2">
      <c r="Y55929" s="97"/>
    </row>
    <row r="55930" spans="25:25" x14ac:dyDescent="0.2">
      <c r="Y55930" s="97"/>
    </row>
    <row r="55931" spans="25:25" x14ac:dyDescent="0.2">
      <c r="Y55931" s="97"/>
    </row>
    <row r="55932" spans="25:25" x14ac:dyDescent="0.2">
      <c r="Y55932" s="97"/>
    </row>
    <row r="55933" spans="25:25" x14ac:dyDescent="0.2">
      <c r="Y55933" s="97"/>
    </row>
    <row r="55934" spans="25:25" x14ac:dyDescent="0.2">
      <c r="Y55934" s="97"/>
    </row>
    <row r="55935" spans="25:25" x14ac:dyDescent="0.2">
      <c r="Y55935" s="97"/>
    </row>
    <row r="55936" spans="25:25" x14ac:dyDescent="0.2">
      <c r="Y55936" s="97"/>
    </row>
    <row r="55937" spans="25:25" x14ac:dyDescent="0.2">
      <c r="Y55937" s="97"/>
    </row>
    <row r="55938" spans="25:25" x14ac:dyDescent="0.2">
      <c r="Y55938" s="97"/>
    </row>
    <row r="55939" spans="25:25" x14ac:dyDescent="0.2">
      <c r="Y55939" s="97"/>
    </row>
    <row r="55940" spans="25:25" x14ac:dyDescent="0.2">
      <c r="Y55940" s="97"/>
    </row>
    <row r="55941" spans="25:25" x14ac:dyDescent="0.2">
      <c r="Y55941" s="97"/>
    </row>
    <row r="55942" spans="25:25" x14ac:dyDescent="0.2">
      <c r="Y55942" s="97"/>
    </row>
    <row r="55943" spans="25:25" x14ac:dyDescent="0.2">
      <c r="Y55943" s="97"/>
    </row>
    <row r="55944" spans="25:25" x14ac:dyDescent="0.2">
      <c r="Y55944" s="97"/>
    </row>
    <row r="55945" spans="25:25" x14ac:dyDescent="0.2">
      <c r="Y55945" s="97"/>
    </row>
    <row r="55946" spans="25:25" x14ac:dyDescent="0.2">
      <c r="Y55946" s="97"/>
    </row>
    <row r="55947" spans="25:25" x14ac:dyDescent="0.2">
      <c r="Y55947" s="97"/>
    </row>
    <row r="55948" spans="25:25" x14ac:dyDescent="0.2">
      <c r="Y55948" s="97"/>
    </row>
    <row r="55949" spans="25:25" x14ac:dyDescent="0.2">
      <c r="Y55949" s="97"/>
    </row>
    <row r="55950" spans="25:25" x14ac:dyDescent="0.2">
      <c r="Y55950" s="97"/>
    </row>
    <row r="55951" spans="25:25" x14ac:dyDescent="0.2">
      <c r="Y55951" s="97"/>
    </row>
    <row r="55952" spans="25:25" x14ac:dyDescent="0.2">
      <c r="Y55952" s="97"/>
    </row>
    <row r="55953" spans="25:25" x14ac:dyDescent="0.2">
      <c r="Y55953" s="97"/>
    </row>
    <row r="55954" spans="25:25" x14ac:dyDescent="0.2">
      <c r="Y55954" s="97"/>
    </row>
    <row r="55955" spans="25:25" x14ac:dyDescent="0.2">
      <c r="Y55955" s="97"/>
    </row>
    <row r="55956" spans="25:25" x14ac:dyDescent="0.2">
      <c r="Y55956" s="97"/>
    </row>
    <row r="55957" spans="25:25" x14ac:dyDescent="0.2">
      <c r="Y55957" s="97"/>
    </row>
    <row r="55958" spans="25:25" x14ac:dyDescent="0.2">
      <c r="Y55958" s="97"/>
    </row>
    <row r="55959" spans="25:25" x14ac:dyDescent="0.2">
      <c r="Y55959" s="97"/>
    </row>
    <row r="55960" spans="25:25" x14ac:dyDescent="0.2">
      <c r="Y55960" s="97"/>
    </row>
    <row r="55961" spans="25:25" x14ac:dyDescent="0.2">
      <c r="Y55961" s="97"/>
    </row>
    <row r="55962" spans="25:25" x14ac:dyDescent="0.2">
      <c r="Y55962" s="97"/>
    </row>
    <row r="55963" spans="25:25" x14ac:dyDescent="0.2">
      <c r="Y55963" s="97"/>
    </row>
    <row r="55964" spans="25:25" x14ac:dyDescent="0.2">
      <c r="Y55964" s="97"/>
    </row>
    <row r="55965" spans="25:25" x14ac:dyDescent="0.2">
      <c r="Y55965" s="97"/>
    </row>
    <row r="55966" spans="25:25" x14ac:dyDescent="0.2">
      <c r="Y55966" s="97"/>
    </row>
    <row r="55967" spans="25:25" x14ac:dyDescent="0.2">
      <c r="Y55967" s="97"/>
    </row>
    <row r="55968" spans="25:25" x14ac:dyDescent="0.2">
      <c r="Y55968" s="97"/>
    </row>
    <row r="55969" spans="25:25" x14ac:dyDescent="0.2">
      <c r="Y55969" s="97"/>
    </row>
    <row r="55970" spans="25:25" x14ac:dyDescent="0.2">
      <c r="Y55970" s="97"/>
    </row>
    <row r="55971" spans="25:25" x14ac:dyDescent="0.2">
      <c r="Y55971" s="97"/>
    </row>
    <row r="55972" spans="25:25" x14ac:dyDescent="0.2">
      <c r="Y55972" s="97"/>
    </row>
    <row r="55973" spans="25:25" x14ac:dyDescent="0.2">
      <c r="Y55973" s="97"/>
    </row>
    <row r="55974" spans="25:25" x14ac:dyDescent="0.2">
      <c r="Y55974" s="97"/>
    </row>
    <row r="55975" spans="25:25" x14ac:dyDescent="0.2">
      <c r="Y55975" s="97"/>
    </row>
    <row r="55976" spans="25:25" x14ac:dyDescent="0.2">
      <c r="Y55976" s="97"/>
    </row>
    <row r="55977" spans="25:25" x14ac:dyDescent="0.2">
      <c r="Y55977" s="97"/>
    </row>
    <row r="55978" spans="25:25" x14ac:dyDescent="0.2">
      <c r="Y55978" s="97"/>
    </row>
    <row r="55979" spans="25:25" x14ac:dyDescent="0.2">
      <c r="Y55979" s="97"/>
    </row>
    <row r="55980" spans="25:25" x14ac:dyDescent="0.2">
      <c r="Y55980" s="97"/>
    </row>
    <row r="55981" spans="25:25" x14ac:dyDescent="0.2">
      <c r="Y55981" s="97"/>
    </row>
    <row r="55982" spans="25:25" x14ac:dyDescent="0.2">
      <c r="Y55982" s="97"/>
    </row>
    <row r="55983" spans="25:25" x14ac:dyDescent="0.2">
      <c r="Y55983" s="97"/>
    </row>
    <row r="55984" spans="25:25" x14ac:dyDescent="0.2">
      <c r="Y55984" s="97"/>
    </row>
    <row r="55985" spans="25:25" x14ac:dyDescent="0.2">
      <c r="Y55985" s="97"/>
    </row>
    <row r="55986" spans="25:25" x14ac:dyDescent="0.2">
      <c r="Y55986" s="97"/>
    </row>
    <row r="55987" spans="25:25" x14ac:dyDescent="0.2">
      <c r="Y55987" s="97"/>
    </row>
    <row r="55988" spans="25:25" x14ac:dyDescent="0.2">
      <c r="Y55988" s="97"/>
    </row>
    <row r="55989" spans="25:25" x14ac:dyDescent="0.2">
      <c r="Y55989" s="97"/>
    </row>
    <row r="55990" spans="25:25" x14ac:dyDescent="0.2">
      <c r="Y55990" s="97"/>
    </row>
    <row r="55991" spans="25:25" x14ac:dyDescent="0.2">
      <c r="Y55991" s="97"/>
    </row>
    <row r="55992" spans="25:25" x14ac:dyDescent="0.2">
      <c r="Y55992" s="97"/>
    </row>
    <row r="55993" spans="25:25" x14ac:dyDescent="0.2">
      <c r="Y55993" s="97"/>
    </row>
    <row r="55994" spans="25:25" x14ac:dyDescent="0.2">
      <c r="Y55994" s="97"/>
    </row>
    <row r="55995" spans="25:25" x14ac:dyDescent="0.2">
      <c r="Y55995" s="97"/>
    </row>
    <row r="55996" spans="25:25" x14ac:dyDescent="0.2">
      <c r="Y55996" s="97"/>
    </row>
    <row r="55997" spans="25:25" x14ac:dyDescent="0.2">
      <c r="Y55997" s="97"/>
    </row>
    <row r="55998" spans="25:25" x14ac:dyDescent="0.2">
      <c r="Y55998" s="97"/>
    </row>
    <row r="55999" spans="25:25" x14ac:dyDescent="0.2">
      <c r="Y55999" s="97"/>
    </row>
    <row r="56000" spans="25:25" x14ac:dyDescent="0.2">
      <c r="Y56000" s="97"/>
    </row>
    <row r="56001" spans="25:25" x14ac:dyDescent="0.2">
      <c r="Y56001" s="97"/>
    </row>
    <row r="56002" spans="25:25" x14ac:dyDescent="0.2">
      <c r="Y56002" s="97"/>
    </row>
    <row r="56003" spans="25:25" x14ac:dyDescent="0.2">
      <c r="Y56003" s="97"/>
    </row>
    <row r="56004" spans="25:25" x14ac:dyDescent="0.2">
      <c r="Y56004" s="97"/>
    </row>
    <row r="56005" spans="25:25" x14ac:dyDescent="0.2">
      <c r="Y56005" s="97"/>
    </row>
    <row r="56006" spans="25:25" x14ac:dyDescent="0.2">
      <c r="Y56006" s="97"/>
    </row>
    <row r="56007" spans="25:25" x14ac:dyDescent="0.2">
      <c r="Y56007" s="97"/>
    </row>
    <row r="56008" spans="25:25" x14ac:dyDescent="0.2">
      <c r="Y56008" s="97"/>
    </row>
    <row r="56009" spans="25:25" x14ac:dyDescent="0.2">
      <c r="Y56009" s="97"/>
    </row>
    <row r="56010" spans="25:25" x14ac:dyDescent="0.2">
      <c r="Y56010" s="97"/>
    </row>
    <row r="56011" spans="25:25" x14ac:dyDescent="0.2">
      <c r="Y56011" s="97"/>
    </row>
    <row r="56012" spans="25:25" x14ac:dyDescent="0.2">
      <c r="Y56012" s="97"/>
    </row>
    <row r="56013" spans="25:25" x14ac:dyDescent="0.2">
      <c r="Y56013" s="97"/>
    </row>
    <row r="56014" spans="25:25" x14ac:dyDescent="0.2">
      <c r="Y56014" s="97"/>
    </row>
    <row r="56015" spans="25:25" x14ac:dyDescent="0.2">
      <c r="Y56015" s="97"/>
    </row>
    <row r="56016" spans="25:25" x14ac:dyDescent="0.2">
      <c r="Y56016" s="97"/>
    </row>
    <row r="56017" spans="25:25" x14ac:dyDescent="0.2">
      <c r="Y56017" s="97"/>
    </row>
    <row r="56018" spans="25:25" x14ac:dyDescent="0.2">
      <c r="Y56018" s="97"/>
    </row>
    <row r="56019" spans="25:25" x14ac:dyDescent="0.2">
      <c r="Y56019" s="97"/>
    </row>
    <row r="56020" spans="25:25" x14ac:dyDescent="0.2">
      <c r="Y56020" s="97"/>
    </row>
    <row r="56021" spans="25:25" x14ac:dyDescent="0.2">
      <c r="Y56021" s="97"/>
    </row>
    <row r="56022" spans="25:25" x14ac:dyDescent="0.2">
      <c r="Y56022" s="97"/>
    </row>
    <row r="56023" spans="25:25" x14ac:dyDescent="0.2">
      <c r="Y56023" s="97"/>
    </row>
    <row r="56024" spans="25:25" x14ac:dyDescent="0.2">
      <c r="Y56024" s="97"/>
    </row>
    <row r="56025" spans="25:25" x14ac:dyDescent="0.2">
      <c r="Y56025" s="97"/>
    </row>
    <row r="56026" spans="25:25" x14ac:dyDescent="0.2">
      <c r="Y56026" s="97"/>
    </row>
    <row r="56027" spans="25:25" x14ac:dyDescent="0.2">
      <c r="Y56027" s="97"/>
    </row>
    <row r="56028" spans="25:25" x14ac:dyDescent="0.2">
      <c r="Y56028" s="97"/>
    </row>
    <row r="56029" spans="25:25" x14ac:dyDescent="0.2">
      <c r="Y56029" s="97"/>
    </row>
    <row r="56030" spans="25:25" x14ac:dyDescent="0.2">
      <c r="Y56030" s="97"/>
    </row>
    <row r="56031" spans="25:25" x14ac:dyDescent="0.2">
      <c r="Y56031" s="97"/>
    </row>
    <row r="56032" spans="25:25" x14ac:dyDescent="0.2">
      <c r="Y56032" s="97"/>
    </row>
    <row r="56033" spans="25:25" x14ac:dyDescent="0.2">
      <c r="Y56033" s="97"/>
    </row>
    <row r="56034" spans="25:25" x14ac:dyDescent="0.2">
      <c r="Y56034" s="97"/>
    </row>
    <row r="56035" spans="25:25" x14ac:dyDescent="0.2">
      <c r="Y56035" s="97"/>
    </row>
    <row r="56036" spans="25:25" x14ac:dyDescent="0.2">
      <c r="Y56036" s="97"/>
    </row>
    <row r="56037" spans="25:25" x14ac:dyDescent="0.2">
      <c r="Y56037" s="97"/>
    </row>
    <row r="56038" spans="25:25" x14ac:dyDescent="0.2">
      <c r="Y56038" s="97"/>
    </row>
    <row r="56039" spans="25:25" x14ac:dyDescent="0.2">
      <c r="Y56039" s="97"/>
    </row>
    <row r="56040" spans="25:25" x14ac:dyDescent="0.2">
      <c r="Y56040" s="97"/>
    </row>
    <row r="56041" spans="25:25" x14ac:dyDescent="0.2">
      <c r="Y56041" s="97"/>
    </row>
    <row r="56042" spans="25:25" x14ac:dyDescent="0.2">
      <c r="Y56042" s="97"/>
    </row>
    <row r="56043" spans="25:25" x14ac:dyDescent="0.2">
      <c r="Y56043" s="97"/>
    </row>
    <row r="56044" spans="25:25" x14ac:dyDescent="0.2">
      <c r="Y56044" s="97"/>
    </row>
    <row r="56045" spans="25:25" x14ac:dyDescent="0.2">
      <c r="Y56045" s="97"/>
    </row>
    <row r="56046" spans="25:25" x14ac:dyDescent="0.2">
      <c r="Y56046" s="97"/>
    </row>
    <row r="56047" spans="25:25" x14ac:dyDescent="0.2">
      <c r="Y56047" s="97"/>
    </row>
    <row r="56048" spans="25:25" x14ac:dyDescent="0.2">
      <c r="Y56048" s="97"/>
    </row>
    <row r="56049" spans="25:25" x14ac:dyDescent="0.2">
      <c r="Y56049" s="97"/>
    </row>
    <row r="56050" spans="25:25" x14ac:dyDescent="0.2">
      <c r="Y56050" s="97"/>
    </row>
    <row r="56051" spans="25:25" x14ac:dyDescent="0.2">
      <c r="Y56051" s="97"/>
    </row>
    <row r="56052" spans="25:25" x14ac:dyDescent="0.2">
      <c r="Y56052" s="97"/>
    </row>
    <row r="56053" spans="25:25" x14ac:dyDescent="0.2">
      <c r="Y56053" s="97"/>
    </row>
    <row r="56054" spans="25:25" x14ac:dyDescent="0.2">
      <c r="Y56054" s="97"/>
    </row>
    <row r="56055" spans="25:25" x14ac:dyDescent="0.2">
      <c r="Y56055" s="97"/>
    </row>
    <row r="56056" spans="25:25" x14ac:dyDescent="0.2">
      <c r="Y56056" s="97"/>
    </row>
    <row r="56057" spans="25:25" x14ac:dyDescent="0.2">
      <c r="Y56057" s="97"/>
    </row>
    <row r="56058" spans="25:25" x14ac:dyDescent="0.2">
      <c r="Y56058" s="97"/>
    </row>
    <row r="56059" spans="25:25" x14ac:dyDescent="0.2">
      <c r="Y56059" s="97"/>
    </row>
    <row r="56060" spans="25:25" x14ac:dyDescent="0.2">
      <c r="Y56060" s="97"/>
    </row>
    <row r="56061" spans="25:25" x14ac:dyDescent="0.2">
      <c r="Y56061" s="97"/>
    </row>
    <row r="56062" spans="25:25" x14ac:dyDescent="0.2">
      <c r="Y56062" s="97"/>
    </row>
    <row r="56063" spans="25:25" x14ac:dyDescent="0.2">
      <c r="Y56063" s="97"/>
    </row>
    <row r="56064" spans="25:25" x14ac:dyDescent="0.2">
      <c r="Y56064" s="97"/>
    </row>
    <row r="56065" spans="25:25" x14ac:dyDescent="0.2">
      <c r="Y56065" s="97"/>
    </row>
    <row r="56066" spans="25:25" x14ac:dyDescent="0.2">
      <c r="Y56066" s="97"/>
    </row>
    <row r="56067" spans="25:25" x14ac:dyDescent="0.2">
      <c r="Y56067" s="97"/>
    </row>
    <row r="56068" spans="25:25" x14ac:dyDescent="0.2">
      <c r="Y56068" s="97"/>
    </row>
    <row r="56069" spans="25:25" x14ac:dyDescent="0.2">
      <c r="Y56069" s="97"/>
    </row>
    <row r="56070" spans="25:25" x14ac:dyDescent="0.2">
      <c r="Y56070" s="97"/>
    </row>
    <row r="56071" spans="25:25" x14ac:dyDescent="0.2">
      <c r="Y56071" s="97"/>
    </row>
    <row r="56072" spans="25:25" x14ac:dyDescent="0.2">
      <c r="Y56072" s="97"/>
    </row>
    <row r="56073" spans="25:25" x14ac:dyDescent="0.2">
      <c r="Y56073" s="97"/>
    </row>
    <row r="56074" spans="25:25" x14ac:dyDescent="0.2">
      <c r="Y56074" s="97"/>
    </row>
    <row r="56075" spans="25:25" x14ac:dyDescent="0.2">
      <c r="Y56075" s="97"/>
    </row>
    <row r="56076" spans="25:25" x14ac:dyDescent="0.2">
      <c r="Y56076" s="97"/>
    </row>
    <row r="56077" spans="25:25" x14ac:dyDescent="0.2">
      <c r="Y56077" s="97"/>
    </row>
    <row r="56078" spans="25:25" x14ac:dyDescent="0.2">
      <c r="Y56078" s="97"/>
    </row>
    <row r="56079" spans="25:25" x14ac:dyDescent="0.2">
      <c r="Y56079" s="97"/>
    </row>
    <row r="56080" spans="25:25" x14ac:dyDescent="0.2">
      <c r="Y56080" s="97"/>
    </row>
    <row r="56081" spans="25:25" x14ac:dyDescent="0.2">
      <c r="Y56081" s="97"/>
    </row>
    <row r="56082" spans="25:25" x14ac:dyDescent="0.2">
      <c r="Y56082" s="97"/>
    </row>
    <row r="56083" spans="25:25" x14ac:dyDescent="0.2">
      <c r="Y56083" s="97"/>
    </row>
    <row r="56084" spans="25:25" x14ac:dyDescent="0.2">
      <c r="Y56084" s="97"/>
    </row>
    <row r="56085" spans="25:25" x14ac:dyDescent="0.2">
      <c r="Y56085" s="97"/>
    </row>
    <row r="56086" spans="25:25" x14ac:dyDescent="0.2">
      <c r="Y56086" s="97"/>
    </row>
    <row r="56087" spans="25:25" x14ac:dyDescent="0.2">
      <c r="Y56087" s="97"/>
    </row>
    <row r="56088" spans="25:25" x14ac:dyDescent="0.2">
      <c r="Y56088" s="97"/>
    </row>
    <row r="56089" spans="25:25" x14ac:dyDescent="0.2">
      <c r="Y56089" s="97"/>
    </row>
    <row r="56090" spans="25:25" x14ac:dyDescent="0.2">
      <c r="Y56090" s="97"/>
    </row>
    <row r="56091" spans="25:25" x14ac:dyDescent="0.2">
      <c r="Y56091" s="97"/>
    </row>
    <row r="56092" spans="25:25" x14ac:dyDescent="0.2">
      <c r="Y56092" s="97"/>
    </row>
    <row r="56093" spans="25:25" x14ac:dyDescent="0.2">
      <c r="Y56093" s="97"/>
    </row>
    <row r="56094" spans="25:25" x14ac:dyDescent="0.2">
      <c r="Y56094" s="97"/>
    </row>
    <row r="56095" spans="25:25" x14ac:dyDescent="0.2">
      <c r="Y56095" s="97"/>
    </row>
    <row r="56096" spans="25:25" x14ac:dyDescent="0.2">
      <c r="Y56096" s="97"/>
    </row>
    <row r="56097" spans="25:25" x14ac:dyDescent="0.2">
      <c r="Y56097" s="97"/>
    </row>
    <row r="56098" spans="25:25" x14ac:dyDescent="0.2">
      <c r="Y56098" s="97"/>
    </row>
    <row r="56099" spans="25:25" x14ac:dyDescent="0.2">
      <c r="Y56099" s="97"/>
    </row>
    <row r="56100" spans="25:25" x14ac:dyDescent="0.2">
      <c r="Y56100" s="97"/>
    </row>
    <row r="56101" spans="25:25" x14ac:dyDescent="0.2">
      <c r="Y56101" s="97"/>
    </row>
    <row r="56102" spans="25:25" x14ac:dyDescent="0.2">
      <c r="Y56102" s="97"/>
    </row>
    <row r="56103" spans="25:25" x14ac:dyDescent="0.2">
      <c r="Y56103" s="97"/>
    </row>
    <row r="56104" spans="25:25" x14ac:dyDescent="0.2">
      <c r="Y56104" s="97"/>
    </row>
    <row r="56105" spans="25:25" x14ac:dyDescent="0.2">
      <c r="Y56105" s="97"/>
    </row>
    <row r="56106" spans="25:25" x14ac:dyDescent="0.2">
      <c r="Y56106" s="97"/>
    </row>
    <row r="56107" spans="25:25" x14ac:dyDescent="0.2">
      <c r="Y56107" s="97"/>
    </row>
    <row r="56108" spans="25:25" x14ac:dyDescent="0.2">
      <c r="Y56108" s="97"/>
    </row>
    <row r="56109" spans="25:25" x14ac:dyDescent="0.2">
      <c r="Y56109" s="97"/>
    </row>
    <row r="56110" spans="25:25" x14ac:dyDescent="0.2">
      <c r="Y56110" s="97"/>
    </row>
    <row r="56111" spans="25:25" x14ac:dyDescent="0.2">
      <c r="Y56111" s="97"/>
    </row>
    <row r="56112" spans="25:25" x14ac:dyDescent="0.2">
      <c r="Y56112" s="97"/>
    </row>
    <row r="56113" spans="25:25" x14ac:dyDescent="0.2">
      <c r="Y56113" s="97"/>
    </row>
    <row r="56114" spans="25:25" x14ac:dyDescent="0.2">
      <c r="Y56114" s="97"/>
    </row>
    <row r="56115" spans="25:25" x14ac:dyDescent="0.2">
      <c r="Y56115" s="97"/>
    </row>
    <row r="56116" spans="25:25" x14ac:dyDescent="0.2">
      <c r="Y56116" s="97"/>
    </row>
    <row r="56117" spans="25:25" x14ac:dyDescent="0.2">
      <c r="Y56117" s="97"/>
    </row>
    <row r="56118" spans="25:25" x14ac:dyDescent="0.2">
      <c r="Y56118" s="97"/>
    </row>
    <row r="56119" spans="25:25" x14ac:dyDescent="0.2">
      <c r="Y56119" s="97"/>
    </row>
    <row r="56120" spans="25:25" x14ac:dyDescent="0.2">
      <c r="Y56120" s="97"/>
    </row>
    <row r="56121" spans="25:25" x14ac:dyDescent="0.2">
      <c r="Y56121" s="97"/>
    </row>
    <row r="56122" spans="25:25" x14ac:dyDescent="0.2">
      <c r="Y56122" s="97"/>
    </row>
    <row r="56123" spans="25:25" x14ac:dyDescent="0.2">
      <c r="Y56123" s="97"/>
    </row>
    <row r="56124" spans="25:25" x14ac:dyDescent="0.2">
      <c r="Y56124" s="97"/>
    </row>
    <row r="56125" spans="25:25" x14ac:dyDescent="0.2">
      <c r="Y56125" s="97"/>
    </row>
    <row r="56126" spans="25:25" x14ac:dyDescent="0.2">
      <c r="Y56126" s="97"/>
    </row>
    <row r="56127" spans="25:25" x14ac:dyDescent="0.2">
      <c r="Y56127" s="97"/>
    </row>
    <row r="56128" spans="25:25" x14ac:dyDescent="0.2">
      <c r="Y56128" s="97"/>
    </row>
    <row r="56129" spans="25:25" x14ac:dyDescent="0.2">
      <c r="Y56129" s="97"/>
    </row>
    <row r="56130" spans="25:25" x14ac:dyDescent="0.2">
      <c r="Y56130" s="97"/>
    </row>
    <row r="56131" spans="25:25" x14ac:dyDescent="0.2">
      <c r="Y56131" s="97"/>
    </row>
    <row r="56132" spans="25:25" x14ac:dyDescent="0.2">
      <c r="Y56132" s="97"/>
    </row>
    <row r="56133" spans="25:25" x14ac:dyDescent="0.2">
      <c r="Y56133" s="97"/>
    </row>
    <row r="56134" spans="25:25" x14ac:dyDescent="0.2">
      <c r="Y56134" s="97"/>
    </row>
    <row r="56135" spans="25:25" x14ac:dyDescent="0.2">
      <c r="Y56135" s="97"/>
    </row>
    <row r="56136" spans="25:25" x14ac:dyDescent="0.2">
      <c r="Y56136" s="97"/>
    </row>
    <row r="56137" spans="25:25" x14ac:dyDescent="0.2">
      <c r="Y56137" s="97"/>
    </row>
    <row r="56138" spans="25:25" x14ac:dyDescent="0.2">
      <c r="Y56138" s="97"/>
    </row>
    <row r="56139" spans="25:25" x14ac:dyDescent="0.2">
      <c r="Y56139" s="97"/>
    </row>
    <row r="56140" spans="25:25" x14ac:dyDescent="0.2">
      <c r="Y56140" s="97"/>
    </row>
    <row r="56141" spans="25:25" x14ac:dyDescent="0.2">
      <c r="Y56141" s="97"/>
    </row>
    <row r="56142" spans="25:25" x14ac:dyDescent="0.2">
      <c r="Y56142" s="97"/>
    </row>
    <row r="56143" spans="25:25" x14ac:dyDescent="0.2">
      <c r="Y56143" s="97"/>
    </row>
    <row r="56144" spans="25:25" x14ac:dyDescent="0.2">
      <c r="Y56144" s="97"/>
    </row>
    <row r="56145" spans="25:25" x14ac:dyDescent="0.2">
      <c r="Y56145" s="97"/>
    </row>
    <row r="56146" spans="25:25" x14ac:dyDescent="0.2">
      <c r="Y56146" s="97"/>
    </row>
    <row r="56147" spans="25:25" x14ac:dyDescent="0.2">
      <c r="Y56147" s="97"/>
    </row>
    <row r="56148" spans="25:25" x14ac:dyDescent="0.2">
      <c r="Y56148" s="97"/>
    </row>
    <row r="56149" spans="25:25" x14ac:dyDescent="0.2">
      <c r="Y56149" s="97"/>
    </row>
    <row r="56150" spans="25:25" x14ac:dyDescent="0.2">
      <c r="Y56150" s="97"/>
    </row>
    <row r="56151" spans="25:25" x14ac:dyDescent="0.2">
      <c r="Y56151" s="97"/>
    </row>
    <row r="56152" spans="25:25" x14ac:dyDescent="0.2">
      <c r="Y56152" s="97"/>
    </row>
    <row r="56153" spans="25:25" x14ac:dyDescent="0.2">
      <c r="Y56153" s="97"/>
    </row>
    <row r="56154" spans="25:25" x14ac:dyDescent="0.2">
      <c r="Y56154" s="97"/>
    </row>
    <row r="56155" spans="25:25" x14ac:dyDescent="0.2">
      <c r="Y56155" s="97"/>
    </row>
    <row r="56156" spans="25:25" x14ac:dyDescent="0.2">
      <c r="Y56156" s="97"/>
    </row>
    <row r="56157" spans="25:25" x14ac:dyDescent="0.2">
      <c r="Y56157" s="97"/>
    </row>
    <row r="56158" spans="25:25" x14ac:dyDescent="0.2">
      <c r="Y56158" s="97"/>
    </row>
    <row r="56159" spans="25:25" x14ac:dyDescent="0.2">
      <c r="Y56159" s="97"/>
    </row>
    <row r="56160" spans="25:25" x14ac:dyDescent="0.2">
      <c r="Y56160" s="97"/>
    </row>
    <row r="56161" spans="25:25" x14ac:dyDescent="0.2">
      <c r="Y56161" s="97"/>
    </row>
    <row r="56162" spans="25:25" x14ac:dyDescent="0.2">
      <c r="Y56162" s="97"/>
    </row>
    <row r="56163" spans="25:25" x14ac:dyDescent="0.2">
      <c r="Y56163" s="97"/>
    </row>
    <row r="56164" spans="25:25" x14ac:dyDescent="0.2">
      <c r="Y56164" s="97"/>
    </row>
    <row r="56165" spans="25:25" x14ac:dyDescent="0.2">
      <c r="Y56165" s="97"/>
    </row>
    <row r="56166" spans="25:25" x14ac:dyDescent="0.2">
      <c r="Y56166" s="97"/>
    </row>
    <row r="56167" spans="25:25" x14ac:dyDescent="0.2">
      <c r="Y56167" s="97"/>
    </row>
    <row r="56168" spans="25:25" x14ac:dyDescent="0.2">
      <c r="Y56168" s="97"/>
    </row>
    <row r="56169" spans="25:25" x14ac:dyDescent="0.2">
      <c r="Y56169" s="97"/>
    </row>
    <row r="56170" spans="25:25" x14ac:dyDescent="0.2">
      <c r="Y56170" s="97"/>
    </row>
    <row r="56171" spans="25:25" x14ac:dyDescent="0.2">
      <c r="Y56171" s="97"/>
    </row>
    <row r="56172" spans="25:25" x14ac:dyDescent="0.2">
      <c r="Y56172" s="97"/>
    </row>
    <row r="56173" spans="25:25" x14ac:dyDescent="0.2">
      <c r="Y56173" s="97"/>
    </row>
    <row r="56174" spans="25:25" x14ac:dyDescent="0.2">
      <c r="Y56174" s="97"/>
    </row>
    <row r="56175" spans="25:25" x14ac:dyDescent="0.2">
      <c r="Y56175" s="97"/>
    </row>
    <row r="56176" spans="25:25" x14ac:dyDescent="0.2">
      <c r="Y56176" s="97"/>
    </row>
    <row r="56177" spans="25:25" x14ac:dyDescent="0.2">
      <c r="Y56177" s="97"/>
    </row>
    <row r="56178" spans="25:25" x14ac:dyDescent="0.2">
      <c r="Y56178" s="97"/>
    </row>
    <row r="56179" spans="25:25" x14ac:dyDescent="0.2">
      <c r="Y56179" s="97"/>
    </row>
    <row r="56180" spans="25:25" x14ac:dyDescent="0.2">
      <c r="Y56180" s="97"/>
    </row>
    <row r="56181" spans="25:25" x14ac:dyDescent="0.2">
      <c r="Y56181" s="97"/>
    </row>
    <row r="56182" spans="25:25" x14ac:dyDescent="0.2">
      <c r="Y56182" s="97"/>
    </row>
    <row r="56183" spans="25:25" x14ac:dyDescent="0.2">
      <c r="Y56183" s="97"/>
    </row>
    <row r="56184" spans="25:25" x14ac:dyDescent="0.2">
      <c r="Y56184" s="97"/>
    </row>
    <row r="56185" spans="25:25" x14ac:dyDescent="0.2">
      <c r="Y56185" s="97"/>
    </row>
    <row r="56186" spans="25:25" x14ac:dyDescent="0.2">
      <c r="Y56186" s="97"/>
    </row>
    <row r="56187" spans="25:25" x14ac:dyDescent="0.2">
      <c r="Y56187" s="97"/>
    </row>
    <row r="56188" spans="25:25" x14ac:dyDescent="0.2">
      <c r="Y56188" s="97"/>
    </row>
    <row r="56189" spans="25:25" x14ac:dyDescent="0.2">
      <c r="Y56189" s="97"/>
    </row>
    <row r="56190" spans="25:25" x14ac:dyDescent="0.2">
      <c r="Y56190" s="97"/>
    </row>
    <row r="56191" spans="25:25" x14ac:dyDescent="0.2">
      <c r="Y56191" s="97"/>
    </row>
    <row r="56192" spans="25:25" x14ac:dyDescent="0.2">
      <c r="Y56192" s="97"/>
    </row>
    <row r="56193" spans="25:25" x14ac:dyDescent="0.2">
      <c r="Y56193" s="97"/>
    </row>
    <row r="56194" spans="25:25" x14ac:dyDescent="0.2">
      <c r="Y56194" s="97"/>
    </row>
    <row r="56195" spans="25:25" x14ac:dyDescent="0.2">
      <c r="Y56195" s="97"/>
    </row>
    <row r="56196" spans="25:25" x14ac:dyDescent="0.2">
      <c r="Y56196" s="97"/>
    </row>
    <row r="56197" spans="25:25" x14ac:dyDescent="0.2">
      <c r="Y56197" s="97"/>
    </row>
    <row r="56198" spans="25:25" x14ac:dyDescent="0.2">
      <c r="Y56198" s="97"/>
    </row>
    <row r="56199" spans="25:25" x14ac:dyDescent="0.2">
      <c r="Y56199" s="97"/>
    </row>
    <row r="56200" spans="25:25" x14ac:dyDescent="0.2">
      <c r="Y56200" s="97"/>
    </row>
    <row r="56201" spans="25:25" x14ac:dyDescent="0.2">
      <c r="Y56201" s="97"/>
    </row>
    <row r="56202" spans="25:25" x14ac:dyDescent="0.2">
      <c r="Y56202" s="97"/>
    </row>
    <row r="56203" spans="25:25" x14ac:dyDescent="0.2">
      <c r="Y56203" s="97"/>
    </row>
    <row r="56204" spans="25:25" x14ac:dyDescent="0.2">
      <c r="Y56204" s="97"/>
    </row>
    <row r="56205" spans="25:25" x14ac:dyDescent="0.2">
      <c r="Y56205" s="97"/>
    </row>
    <row r="56206" spans="25:25" x14ac:dyDescent="0.2">
      <c r="Y56206" s="97"/>
    </row>
    <row r="56207" spans="25:25" x14ac:dyDescent="0.2">
      <c r="Y56207" s="97"/>
    </row>
    <row r="56208" spans="25:25" x14ac:dyDescent="0.2">
      <c r="Y56208" s="97"/>
    </row>
    <row r="56209" spans="25:25" x14ac:dyDescent="0.2">
      <c r="Y56209" s="97"/>
    </row>
    <row r="56210" spans="25:25" x14ac:dyDescent="0.2">
      <c r="Y56210" s="97"/>
    </row>
    <row r="56211" spans="25:25" x14ac:dyDescent="0.2">
      <c r="Y56211" s="97"/>
    </row>
    <row r="56212" spans="25:25" x14ac:dyDescent="0.2">
      <c r="Y56212" s="97"/>
    </row>
    <row r="56213" spans="25:25" x14ac:dyDescent="0.2">
      <c r="Y56213" s="97"/>
    </row>
    <row r="56214" spans="25:25" x14ac:dyDescent="0.2">
      <c r="Y56214" s="97"/>
    </row>
    <row r="56215" spans="25:25" x14ac:dyDescent="0.2">
      <c r="Y56215" s="97"/>
    </row>
    <row r="56216" spans="25:25" x14ac:dyDescent="0.2">
      <c r="Y56216" s="97"/>
    </row>
    <row r="56217" spans="25:25" x14ac:dyDescent="0.2">
      <c r="Y56217" s="97"/>
    </row>
    <row r="56218" spans="25:25" x14ac:dyDescent="0.2">
      <c r="Y56218" s="97"/>
    </row>
    <row r="56219" spans="25:25" x14ac:dyDescent="0.2">
      <c r="Y56219" s="97"/>
    </row>
    <row r="56220" spans="25:25" x14ac:dyDescent="0.2">
      <c r="Y56220" s="97"/>
    </row>
    <row r="56221" spans="25:25" x14ac:dyDescent="0.2">
      <c r="Y56221" s="97"/>
    </row>
    <row r="56222" spans="25:25" x14ac:dyDescent="0.2">
      <c r="Y56222" s="97"/>
    </row>
    <row r="56223" spans="25:25" x14ac:dyDescent="0.2">
      <c r="Y56223" s="97"/>
    </row>
    <row r="56224" spans="25:25" x14ac:dyDescent="0.2">
      <c r="Y56224" s="97"/>
    </row>
    <row r="56225" spans="25:25" x14ac:dyDescent="0.2">
      <c r="Y56225" s="97"/>
    </row>
    <row r="56226" spans="25:25" x14ac:dyDescent="0.2">
      <c r="Y56226" s="97"/>
    </row>
    <row r="56227" spans="25:25" x14ac:dyDescent="0.2">
      <c r="Y56227" s="97"/>
    </row>
    <row r="56228" spans="25:25" x14ac:dyDescent="0.2">
      <c r="Y56228" s="97"/>
    </row>
    <row r="56229" spans="25:25" x14ac:dyDescent="0.2">
      <c r="Y56229" s="97"/>
    </row>
    <row r="56230" spans="25:25" x14ac:dyDescent="0.2">
      <c r="Y56230" s="97"/>
    </row>
    <row r="56231" spans="25:25" x14ac:dyDescent="0.2">
      <c r="Y56231" s="97"/>
    </row>
    <row r="56232" spans="25:25" x14ac:dyDescent="0.2">
      <c r="Y56232" s="97"/>
    </row>
    <row r="56233" spans="25:25" x14ac:dyDescent="0.2">
      <c r="Y56233" s="97"/>
    </row>
    <row r="56234" spans="25:25" x14ac:dyDescent="0.2">
      <c r="Y56234" s="97"/>
    </row>
    <row r="56235" spans="25:25" x14ac:dyDescent="0.2">
      <c r="Y56235" s="97"/>
    </row>
    <row r="56236" spans="25:25" x14ac:dyDescent="0.2">
      <c r="Y56236" s="97"/>
    </row>
    <row r="56237" spans="25:25" x14ac:dyDescent="0.2">
      <c r="Y56237" s="97"/>
    </row>
    <row r="56238" spans="25:25" x14ac:dyDescent="0.2">
      <c r="Y56238" s="97"/>
    </row>
    <row r="56239" spans="25:25" x14ac:dyDescent="0.2">
      <c r="Y56239" s="97"/>
    </row>
    <row r="56240" spans="25:25" x14ac:dyDescent="0.2">
      <c r="Y56240" s="97"/>
    </row>
    <row r="56241" spans="25:25" x14ac:dyDescent="0.2">
      <c r="Y56241" s="97"/>
    </row>
    <row r="56242" spans="25:25" x14ac:dyDescent="0.2">
      <c r="Y56242" s="97"/>
    </row>
    <row r="56243" spans="25:25" x14ac:dyDescent="0.2">
      <c r="Y56243" s="97"/>
    </row>
    <row r="56244" spans="25:25" x14ac:dyDescent="0.2">
      <c r="Y56244" s="97"/>
    </row>
    <row r="56245" spans="25:25" x14ac:dyDescent="0.2">
      <c r="Y56245" s="97"/>
    </row>
    <row r="56246" spans="25:25" x14ac:dyDescent="0.2">
      <c r="Y56246" s="97"/>
    </row>
    <row r="56247" spans="25:25" x14ac:dyDescent="0.2">
      <c r="Y56247" s="97"/>
    </row>
    <row r="56248" spans="25:25" x14ac:dyDescent="0.2">
      <c r="Y56248" s="97"/>
    </row>
    <row r="56249" spans="25:25" x14ac:dyDescent="0.2">
      <c r="Y56249" s="97"/>
    </row>
    <row r="56250" spans="25:25" x14ac:dyDescent="0.2">
      <c r="Y56250" s="97"/>
    </row>
    <row r="56251" spans="25:25" x14ac:dyDescent="0.2">
      <c r="Y56251" s="97"/>
    </row>
    <row r="56252" spans="25:25" x14ac:dyDescent="0.2">
      <c r="Y56252" s="97"/>
    </row>
    <row r="56253" spans="25:25" x14ac:dyDescent="0.2">
      <c r="Y56253" s="97"/>
    </row>
    <row r="56254" spans="25:25" x14ac:dyDescent="0.2">
      <c r="Y56254" s="97"/>
    </row>
    <row r="56255" spans="25:25" x14ac:dyDescent="0.2">
      <c r="Y56255" s="97"/>
    </row>
    <row r="56256" spans="25:25" x14ac:dyDescent="0.2">
      <c r="Y56256" s="97"/>
    </row>
    <row r="56257" spans="25:25" x14ac:dyDescent="0.2">
      <c r="Y56257" s="97"/>
    </row>
    <row r="56258" spans="25:25" x14ac:dyDescent="0.2">
      <c r="Y56258" s="97"/>
    </row>
    <row r="56259" spans="25:25" x14ac:dyDescent="0.2">
      <c r="Y56259" s="97"/>
    </row>
    <row r="56260" spans="25:25" x14ac:dyDescent="0.2">
      <c r="Y56260" s="97"/>
    </row>
    <row r="56261" spans="25:25" x14ac:dyDescent="0.2">
      <c r="Y56261" s="97"/>
    </row>
    <row r="56262" spans="25:25" x14ac:dyDescent="0.2">
      <c r="Y56262" s="97"/>
    </row>
    <row r="56263" spans="25:25" x14ac:dyDescent="0.2">
      <c r="Y56263" s="97"/>
    </row>
    <row r="56264" spans="25:25" x14ac:dyDescent="0.2">
      <c r="Y56264" s="97"/>
    </row>
    <row r="56265" spans="25:25" x14ac:dyDescent="0.2">
      <c r="Y56265" s="97"/>
    </row>
    <row r="56266" spans="25:25" x14ac:dyDescent="0.2">
      <c r="Y56266" s="97"/>
    </row>
    <row r="56267" spans="25:25" x14ac:dyDescent="0.2">
      <c r="Y56267" s="97"/>
    </row>
    <row r="56268" spans="25:25" x14ac:dyDescent="0.2">
      <c r="Y56268" s="97"/>
    </row>
    <row r="56269" spans="25:25" x14ac:dyDescent="0.2">
      <c r="Y56269" s="97"/>
    </row>
    <row r="56270" spans="25:25" x14ac:dyDescent="0.2">
      <c r="Y56270" s="97"/>
    </row>
    <row r="56271" spans="25:25" x14ac:dyDescent="0.2">
      <c r="Y56271" s="97"/>
    </row>
    <row r="56272" spans="25:25" x14ac:dyDescent="0.2">
      <c r="Y56272" s="97"/>
    </row>
    <row r="56273" spans="25:25" x14ac:dyDescent="0.2">
      <c r="Y56273" s="97"/>
    </row>
    <row r="56274" spans="25:25" x14ac:dyDescent="0.2">
      <c r="Y56274" s="97"/>
    </row>
    <row r="56275" spans="25:25" x14ac:dyDescent="0.2">
      <c r="Y56275" s="97"/>
    </row>
    <row r="56276" spans="25:25" x14ac:dyDescent="0.2">
      <c r="Y56276" s="97"/>
    </row>
    <row r="56277" spans="25:25" x14ac:dyDescent="0.2">
      <c r="Y56277" s="97"/>
    </row>
    <row r="56278" spans="25:25" x14ac:dyDescent="0.2">
      <c r="Y56278" s="97"/>
    </row>
    <row r="56279" spans="25:25" x14ac:dyDescent="0.2">
      <c r="Y56279" s="97"/>
    </row>
    <row r="56280" spans="25:25" x14ac:dyDescent="0.2">
      <c r="Y56280" s="97"/>
    </row>
    <row r="56281" spans="25:25" x14ac:dyDescent="0.2">
      <c r="Y56281" s="97"/>
    </row>
    <row r="56282" spans="25:25" x14ac:dyDescent="0.2">
      <c r="Y56282" s="97"/>
    </row>
    <row r="56283" spans="25:25" x14ac:dyDescent="0.2">
      <c r="Y56283" s="97"/>
    </row>
    <row r="56284" spans="25:25" x14ac:dyDescent="0.2">
      <c r="Y56284" s="97"/>
    </row>
    <row r="56285" spans="25:25" x14ac:dyDescent="0.2">
      <c r="Y56285" s="97"/>
    </row>
    <row r="56286" spans="25:25" x14ac:dyDescent="0.2">
      <c r="Y56286" s="97"/>
    </row>
    <row r="56287" spans="25:25" x14ac:dyDescent="0.2">
      <c r="Y56287" s="97"/>
    </row>
    <row r="56288" spans="25:25" x14ac:dyDescent="0.2">
      <c r="Y56288" s="97"/>
    </row>
    <row r="56289" spans="25:25" x14ac:dyDescent="0.2">
      <c r="Y56289" s="97"/>
    </row>
    <row r="56290" spans="25:25" x14ac:dyDescent="0.2">
      <c r="Y56290" s="97"/>
    </row>
    <row r="56291" spans="25:25" x14ac:dyDescent="0.2">
      <c r="Y56291" s="97"/>
    </row>
    <row r="56292" spans="25:25" x14ac:dyDescent="0.2">
      <c r="Y56292" s="97"/>
    </row>
    <row r="56293" spans="25:25" x14ac:dyDescent="0.2">
      <c r="Y56293" s="97"/>
    </row>
    <row r="56294" spans="25:25" x14ac:dyDescent="0.2">
      <c r="Y56294" s="97"/>
    </row>
    <row r="56295" spans="25:25" x14ac:dyDescent="0.2">
      <c r="Y56295" s="97"/>
    </row>
    <row r="56296" spans="25:25" x14ac:dyDescent="0.2">
      <c r="Y56296" s="97"/>
    </row>
    <row r="56297" spans="25:25" x14ac:dyDescent="0.2">
      <c r="Y56297" s="97"/>
    </row>
    <row r="56298" spans="25:25" x14ac:dyDescent="0.2">
      <c r="Y56298" s="97"/>
    </row>
    <row r="56299" spans="25:25" x14ac:dyDescent="0.2">
      <c r="Y56299" s="97"/>
    </row>
    <row r="56300" spans="25:25" x14ac:dyDescent="0.2">
      <c r="Y56300" s="97"/>
    </row>
    <row r="56301" spans="25:25" x14ac:dyDescent="0.2">
      <c r="Y56301" s="97"/>
    </row>
    <row r="56302" spans="25:25" x14ac:dyDescent="0.2">
      <c r="Y56302" s="97"/>
    </row>
    <row r="56303" spans="25:25" x14ac:dyDescent="0.2">
      <c r="Y56303" s="97"/>
    </row>
    <row r="56304" spans="25:25" x14ac:dyDescent="0.2">
      <c r="Y56304" s="97"/>
    </row>
    <row r="56305" spans="25:25" x14ac:dyDescent="0.2">
      <c r="Y56305" s="97"/>
    </row>
    <row r="56306" spans="25:25" x14ac:dyDescent="0.2">
      <c r="Y56306" s="97"/>
    </row>
    <row r="56307" spans="25:25" x14ac:dyDescent="0.2">
      <c r="Y56307" s="97"/>
    </row>
    <row r="56308" spans="25:25" x14ac:dyDescent="0.2">
      <c r="Y56308" s="97"/>
    </row>
    <row r="56309" spans="25:25" x14ac:dyDescent="0.2">
      <c r="Y56309" s="97"/>
    </row>
    <row r="56310" spans="25:25" x14ac:dyDescent="0.2">
      <c r="Y56310" s="97"/>
    </row>
    <row r="56311" spans="25:25" x14ac:dyDescent="0.2">
      <c r="Y56311" s="97"/>
    </row>
    <row r="56312" spans="25:25" x14ac:dyDescent="0.2">
      <c r="Y56312" s="97"/>
    </row>
    <row r="56313" spans="25:25" x14ac:dyDescent="0.2">
      <c r="Y56313" s="97"/>
    </row>
    <row r="56314" spans="25:25" x14ac:dyDescent="0.2">
      <c r="Y56314" s="97"/>
    </row>
    <row r="56315" spans="25:25" x14ac:dyDescent="0.2">
      <c r="Y56315" s="97"/>
    </row>
    <row r="56316" spans="25:25" x14ac:dyDescent="0.2">
      <c r="Y56316" s="97"/>
    </row>
    <row r="56317" spans="25:25" x14ac:dyDescent="0.2">
      <c r="Y56317" s="97"/>
    </row>
    <row r="56318" spans="25:25" x14ac:dyDescent="0.2">
      <c r="Y56318" s="97"/>
    </row>
    <row r="56319" spans="25:25" x14ac:dyDescent="0.2">
      <c r="Y56319" s="97"/>
    </row>
    <row r="56320" spans="25:25" x14ac:dyDescent="0.2">
      <c r="Y56320" s="97"/>
    </row>
    <row r="56321" spans="25:25" x14ac:dyDescent="0.2">
      <c r="Y56321" s="97"/>
    </row>
    <row r="56322" spans="25:25" x14ac:dyDescent="0.2">
      <c r="Y56322" s="97"/>
    </row>
    <row r="56323" spans="25:25" x14ac:dyDescent="0.2">
      <c r="Y56323" s="97"/>
    </row>
    <row r="56324" spans="25:25" x14ac:dyDescent="0.2">
      <c r="Y56324" s="97"/>
    </row>
    <row r="56325" spans="25:25" x14ac:dyDescent="0.2">
      <c r="Y56325" s="97"/>
    </row>
    <row r="56326" spans="25:25" x14ac:dyDescent="0.2">
      <c r="Y56326" s="97"/>
    </row>
    <row r="56327" spans="25:25" x14ac:dyDescent="0.2">
      <c r="Y56327" s="97"/>
    </row>
    <row r="56328" spans="25:25" x14ac:dyDescent="0.2">
      <c r="Y56328" s="97"/>
    </row>
    <row r="56329" spans="25:25" x14ac:dyDescent="0.2">
      <c r="Y56329" s="97"/>
    </row>
    <row r="56330" spans="25:25" x14ac:dyDescent="0.2">
      <c r="Y56330" s="97"/>
    </row>
    <row r="56331" spans="25:25" x14ac:dyDescent="0.2">
      <c r="Y56331" s="97"/>
    </row>
    <row r="56332" spans="25:25" x14ac:dyDescent="0.2">
      <c r="Y56332" s="97"/>
    </row>
    <row r="56333" spans="25:25" x14ac:dyDescent="0.2">
      <c r="Y56333" s="97"/>
    </row>
    <row r="56334" spans="25:25" x14ac:dyDescent="0.2">
      <c r="Y56334" s="97"/>
    </row>
    <row r="56335" spans="25:25" x14ac:dyDescent="0.2">
      <c r="Y56335" s="97"/>
    </row>
    <row r="56336" spans="25:25" x14ac:dyDescent="0.2">
      <c r="Y56336" s="97"/>
    </row>
    <row r="56337" spans="25:25" x14ac:dyDescent="0.2">
      <c r="Y56337" s="97"/>
    </row>
    <row r="56338" spans="25:25" x14ac:dyDescent="0.2">
      <c r="Y56338" s="97"/>
    </row>
    <row r="56339" spans="25:25" x14ac:dyDescent="0.2">
      <c r="Y56339" s="97"/>
    </row>
    <row r="56340" spans="25:25" x14ac:dyDescent="0.2">
      <c r="Y56340" s="97"/>
    </row>
    <row r="56341" spans="25:25" x14ac:dyDescent="0.2">
      <c r="Y56341" s="97"/>
    </row>
    <row r="56342" spans="25:25" x14ac:dyDescent="0.2">
      <c r="Y56342" s="97"/>
    </row>
    <row r="56343" spans="25:25" x14ac:dyDescent="0.2">
      <c r="Y56343" s="97"/>
    </row>
    <row r="56344" spans="25:25" x14ac:dyDescent="0.2">
      <c r="Y56344" s="97"/>
    </row>
    <row r="56345" spans="25:25" x14ac:dyDescent="0.2">
      <c r="Y56345" s="97"/>
    </row>
    <row r="56346" spans="25:25" x14ac:dyDescent="0.2">
      <c r="Y56346" s="97"/>
    </row>
    <row r="56347" spans="25:25" x14ac:dyDescent="0.2">
      <c r="Y56347" s="97"/>
    </row>
    <row r="56348" spans="25:25" x14ac:dyDescent="0.2">
      <c r="Y56348" s="97"/>
    </row>
    <row r="56349" spans="25:25" x14ac:dyDescent="0.2">
      <c r="Y56349" s="97"/>
    </row>
    <row r="56350" spans="25:25" x14ac:dyDescent="0.2">
      <c r="Y56350" s="97"/>
    </row>
    <row r="56351" spans="25:25" x14ac:dyDescent="0.2">
      <c r="Y56351" s="97"/>
    </row>
    <row r="56352" spans="25:25" x14ac:dyDescent="0.2">
      <c r="Y56352" s="97"/>
    </row>
    <row r="56353" spans="25:25" x14ac:dyDescent="0.2">
      <c r="Y56353" s="97"/>
    </row>
    <row r="56354" spans="25:25" x14ac:dyDescent="0.2">
      <c r="Y56354" s="97"/>
    </row>
    <row r="56355" spans="25:25" x14ac:dyDescent="0.2">
      <c r="Y56355" s="97"/>
    </row>
    <row r="56356" spans="25:25" x14ac:dyDescent="0.2">
      <c r="Y56356" s="97"/>
    </row>
    <row r="56357" spans="25:25" x14ac:dyDescent="0.2">
      <c r="Y56357" s="97"/>
    </row>
    <row r="56358" spans="25:25" x14ac:dyDescent="0.2">
      <c r="Y56358" s="97"/>
    </row>
    <row r="56359" spans="25:25" x14ac:dyDescent="0.2">
      <c r="Y56359" s="97"/>
    </row>
    <row r="56360" spans="25:25" x14ac:dyDescent="0.2">
      <c r="Y56360" s="97"/>
    </row>
    <row r="56361" spans="25:25" x14ac:dyDescent="0.2">
      <c r="Y56361" s="97"/>
    </row>
    <row r="56362" spans="25:25" x14ac:dyDescent="0.2">
      <c r="Y56362" s="97"/>
    </row>
    <row r="56363" spans="25:25" x14ac:dyDescent="0.2">
      <c r="Y56363" s="97"/>
    </row>
    <row r="56364" spans="25:25" x14ac:dyDescent="0.2">
      <c r="Y56364" s="97"/>
    </row>
    <row r="56365" spans="25:25" x14ac:dyDescent="0.2">
      <c r="Y56365" s="97"/>
    </row>
    <row r="56366" spans="25:25" x14ac:dyDescent="0.2">
      <c r="Y56366" s="97"/>
    </row>
    <row r="56367" spans="25:25" x14ac:dyDescent="0.2">
      <c r="Y56367" s="97"/>
    </row>
    <row r="56368" spans="25:25" x14ac:dyDescent="0.2">
      <c r="Y56368" s="97"/>
    </row>
    <row r="56369" spans="25:25" x14ac:dyDescent="0.2">
      <c r="Y56369" s="97"/>
    </row>
    <row r="56370" spans="25:25" x14ac:dyDescent="0.2">
      <c r="Y56370" s="97"/>
    </row>
    <row r="56371" spans="25:25" x14ac:dyDescent="0.2">
      <c r="Y56371" s="97"/>
    </row>
    <row r="56372" spans="25:25" x14ac:dyDescent="0.2">
      <c r="Y56372" s="97"/>
    </row>
    <row r="56373" spans="25:25" x14ac:dyDescent="0.2">
      <c r="Y56373" s="97"/>
    </row>
    <row r="56374" spans="25:25" x14ac:dyDescent="0.2">
      <c r="Y56374" s="97"/>
    </row>
    <row r="56375" spans="25:25" x14ac:dyDescent="0.2">
      <c r="Y56375" s="97"/>
    </row>
    <row r="56376" spans="25:25" x14ac:dyDescent="0.2">
      <c r="Y56376" s="97"/>
    </row>
    <row r="56377" spans="25:25" x14ac:dyDescent="0.2">
      <c r="Y56377" s="97"/>
    </row>
    <row r="56378" spans="25:25" x14ac:dyDescent="0.2">
      <c r="Y56378" s="97"/>
    </row>
    <row r="56379" spans="25:25" x14ac:dyDescent="0.2">
      <c r="Y56379" s="97"/>
    </row>
    <row r="56380" spans="25:25" x14ac:dyDescent="0.2">
      <c r="Y56380" s="97"/>
    </row>
    <row r="56381" spans="25:25" x14ac:dyDescent="0.2">
      <c r="Y56381" s="97"/>
    </row>
    <row r="56382" spans="25:25" x14ac:dyDescent="0.2">
      <c r="Y56382" s="97"/>
    </row>
    <row r="56383" spans="25:25" x14ac:dyDescent="0.2">
      <c r="Y56383" s="97"/>
    </row>
    <row r="56384" spans="25:25" x14ac:dyDescent="0.2">
      <c r="Y56384" s="97"/>
    </row>
    <row r="56385" spans="25:25" x14ac:dyDescent="0.2">
      <c r="Y56385" s="97"/>
    </row>
    <row r="56386" spans="25:25" x14ac:dyDescent="0.2">
      <c r="Y56386" s="97"/>
    </row>
    <row r="56387" spans="25:25" x14ac:dyDescent="0.2">
      <c r="Y56387" s="97"/>
    </row>
    <row r="56388" spans="25:25" x14ac:dyDescent="0.2">
      <c r="Y56388" s="97"/>
    </row>
    <row r="56389" spans="25:25" x14ac:dyDescent="0.2">
      <c r="Y56389" s="97"/>
    </row>
    <row r="56390" spans="25:25" x14ac:dyDescent="0.2">
      <c r="Y56390" s="97"/>
    </row>
    <row r="56391" spans="25:25" x14ac:dyDescent="0.2">
      <c r="Y56391" s="97"/>
    </row>
    <row r="56392" spans="25:25" x14ac:dyDescent="0.2">
      <c r="Y56392" s="97"/>
    </row>
    <row r="56393" spans="25:25" x14ac:dyDescent="0.2">
      <c r="Y56393" s="97"/>
    </row>
    <row r="56394" spans="25:25" x14ac:dyDescent="0.2">
      <c r="Y56394" s="97"/>
    </row>
    <row r="56395" spans="25:25" x14ac:dyDescent="0.2">
      <c r="Y56395" s="97"/>
    </row>
    <row r="56396" spans="25:25" x14ac:dyDescent="0.2">
      <c r="Y56396" s="97"/>
    </row>
    <row r="56397" spans="25:25" x14ac:dyDescent="0.2">
      <c r="Y56397" s="97"/>
    </row>
    <row r="56398" spans="25:25" x14ac:dyDescent="0.2">
      <c r="Y56398" s="97"/>
    </row>
    <row r="56399" spans="25:25" x14ac:dyDescent="0.2">
      <c r="Y56399" s="97"/>
    </row>
    <row r="56400" spans="25:25" x14ac:dyDescent="0.2">
      <c r="Y56400" s="97"/>
    </row>
    <row r="56401" spans="25:25" x14ac:dyDescent="0.2">
      <c r="Y56401" s="97"/>
    </row>
    <row r="56402" spans="25:25" x14ac:dyDescent="0.2">
      <c r="Y56402" s="97"/>
    </row>
    <row r="56403" spans="25:25" x14ac:dyDescent="0.2">
      <c r="Y56403" s="97"/>
    </row>
    <row r="56404" spans="25:25" x14ac:dyDescent="0.2">
      <c r="Y56404" s="97"/>
    </row>
    <row r="56405" spans="25:25" x14ac:dyDescent="0.2">
      <c r="Y56405" s="97"/>
    </row>
    <row r="56406" spans="25:25" x14ac:dyDescent="0.2">
      <c r="Y56406" s="97"/>
    </row>
    <row r="56407" spans="25:25" x14ac:dyDescent="0.2">
      <c r="Y56407" s="97"/>
    </row>
    <row r="56408" spans="25:25" x14ac:dyDescent="0.2">
      <c r="Y56408" s="97"/>
    </row>
    <row r="56409" spans="25:25" x14ac:dyDescent="0.2">
      <c r="Y56409" s="97"/>
    </row>
    <row r="56410" spans="25:25" x14ac:dyDescent="0.2">
      <c r="Y56410" s="97"/>
    </row>
    <row r="56411" spans="25:25" x14ac:dyDescent="0.2">
      <c r="Y56411" s="97"/>
    </row>
    <row r="56412" spans="25:25" x14ac:dyDescent="0.2">
      <c r="Y56412" s="97"/>
    </row>
    <row r="56413" spans="25:25" x14ac:dyDescent="0.2">
      <c r="Y56413" s="97"/>
    </row>
    <row r="56414" spans="25:25" x14ac:dyDescent="0.2">
      <c r="Y56414" s="97"/>
    </row>
    <row r="56415" spans="25:25" x14ac:dyDescent="0.2">
      <c r="Y56415" s="97"/>
    </row>
    <row r="56416" spans="25:25" x14ac:dyDescent="0.2">
      <c r="Y56416" s="97"/>
    </row>
    <row r="56417" spans="25:25" x14ac:dyDescent="0.2">
      <c r="Y56417" s="97"/>
    </row>
    <row r="56418" spans="25:25" x14ac:dyDescent="0.2">
      <c r="Y56418" s="97"/>
    </row>
    <row r="56419" spans="25:25" x14ac:dyDescent="0.2">
      <c r="Y56419" s="97"/>
    </row>
    <row r="56420" spans="25:25" x14ac:dyDescent="0.2">
      <c r="Y56420" s="97"/>
    </row>
    <row r="56421" spans="25:25" x14ac:dyDescent="0.2">
      <c r="Y56421" s="97"/>
    </row>
    <row r="56422" spans="25:25" x14ac:dyDescent="0.2">
      <c r="Y56422" s="97"/>
    </row>
    <row r="56423" spans="25:25" x14ac:dyDescent="0.2">
      <c r="Y56423" s="97"/>
    </row>
    <row r="56424" spans="25:25" x14ac:dyDescent="0.2">
      <c r="Y56424" s="97"/>
    </row>
    <row r="56425" spans="25:25" x14ac:dyDescent="0.2">
      <c r="Y56425" s="97"/>
    </row>
    <row r="56426" spans="25:25" x14ac:dyDescent="0.2">
      <c r="Y56426" s="97"/>
    </row>
    <row r="56427" spans="25:25" x14ac:dyDescent="0.2">
      <c r="Y56427" s="97"/>
    </row>
    <row r="56428" spans="25:25" x14ac:dyDescent="0.2">
      <c r="Y56428" s="97"/>
    </row>
    <row r="56429" spans="25:25" x14ac:dyDescent="0.2">
      <c r="Y56429" s="97"/>
    </row>
    <row r="56430" spans="25:25" x14ac:dyDescent="0.2">
      <c r="Y56430" s="97"/>
    </row>
    <row r="56431" spans="25:25" x14ac:dyDescent="0.2">
      <c r="Y56431" s="97"/>
    </row>
    <row r="56432" spans="25:25" x14ac:dyDescent="0.2">
      <c r="Y56432" s="97"/>
    </row>
    <row r="56433" spans="25:25" x14ac:dyDescent="0.2">
      <c r="Y56433" s="97"/>
    </row>
    <row r="56434" spans="25:25" x14ac:dyDescent="0.2">
      <c r="Y56434" s="97"/>
    </row>
    <row r="56435" spans="25:25" x14ac:dyDescent="0.2">
      <c r="Y56435" s="97"/>
    </row>
    <row r="56436" spans="25:25" x14ac:dyDescent="0.2">
      <c r="Y56436" s="97"/>
    </row>
    <row r="56437" spans="25:25" x14ac:dyDescent="0.2">
      <c r="Y56437" s="97"/>
    </row>
    <row r="56438" spans="25:25" x14ac:dyDescent="0.2">
      <c r="Y56438" s="97"/>
    </row>
    <row r="56439" spans="25:25" x14ac:dyDescent="0.2">
      <c r="Y56439" s="97"/>
    </row>
    <row r="56440" spans="25:25" x14ac:dyDescent="0.2">
      <c r="Y56440" s="97"/>
    </row>
    <row r="56441" spans="25:25" x14ac:dyDescent="0.2">
      <c r="Y56441" s="97"/>
    </row>
    <row r="56442" spans="25:25" x14ac:dyDescent="0.2">
      <c r="Y56442" s="97"/>
    </row>
    <row r="56443" spans="25:25" x14ac:dyDescent="0.2">
      <c r="Y56443" s="97"/>
    </row>
    <row r="56444" spans="25:25" x14ac:dyDescent="0.2">
      <c r="Y56444" s="97"/>
    </row>
    <row r="56445" spans="25:25" x14ac:dyDescent="0.2">
      <c r="Y56445" s="97"/>
    </row>
    <row r="56446" spans="25:25" x14ac:dyDescent="0.2">
      <c r="Y56446" s="97"/>
    </row>
    <row r="56447" spans="25:25" x14ac:dyDescent="0.2">
      <c r="Y56447" s="97"/>
    </row>
    <row r="56448" spans="25:25" x14ac:dyDescent="0.2">
      <c r="Y56448" s="97"/>
    </row>
    <row r="56449" spans="25:25" x14ac:dyDescent="0.2">
      <c r="Y56449" s="97"/>
    </row>
    <row r="56450" spans="25:25" x14ac:dyDescent="0.2">
      <c r="Y56450" s="97"/>
    </row>
    <row r="56451" spans="25:25" x14ac:dyDescent="0.2">
      <c r="Y56451" s="97"/>
    </row>
    <row r="56452" spans="25:25" x14ac:dyDescent="0.2">
      <c r="Y56452" s="97"/>
    </row>
    <row r="56453" spans="25:25" x14ac:dyDescent="0.2">
      <c r="Y56453" s="97"/>
    </row>
    <row r="56454" spans="25:25" x14ac:dyDescent="0.2">
      <c r="Y56454" s="97"/>
    </row>
    <row r="56455" spans="25:25" x14ac:dyDescent="0.2">
      <c r="Y56455" s="97"/>
    </row>
    <row r="56456" spans="25:25" x14ac:dyDescent="0.2">
      <c r="Y56456" s="97"/>
    </row>
    <row r="56457" spans="25:25" x14ac:dyDescent="0.2">
      <c r="Y56457" s="97"/>
    </row>
    <row r="56458" spans="25:25" x14ac:dyDescent="0.2">
      <c r="Y56458" s="97"/>
    </row>
    <row r="56459" spans="25:25" x14ac:dyDescent="0.2">
      <c r="Y56459" s="97"/>
    </row>
    <row r="56460" spans="25:25" x14ac:dyDescent="0.2">
      <c r="Y56460" s="97"/>
    </row>
    <row r="56461" spans="25:25" x14ac:dyDescent="0.2">
      <c r="Y56461" s="97"/>
    </row>
    <row r="56462" spans="25:25" x14ac:dyDescent="0.2">
      <c r="Y56462" s="97"/>
    </row>
    <row r="56463" spans="25:25" x14ac:dyDescent="0.2">
      <c r="Y56463" s="97"/>
    </row>
    <row r="56464" spans="25:25" x14ac:dyDescent="0.2">
      <c r="Y56464" s="97"/>
    </row>
    <row r="56465" spans="25:25" x14ac:dyDescent="0.2">
      <c r="Y56465" s="97"/>
    </row>
    <row r="56466" spans="25:25" x14ac:dyDescent="0.2">
      <c r="Y56466" s="97"/>
    </row>
    <row r="56467" spans="25:25" x14ac:dyDescent="0.2">
      <c r="Y56467" s="97"/>
    </row>
    <row r="56468" spans="25:25" x14ac:dyDescent="0.2">
      <c r="Y56468" s="97"/>
    </row>
    <row r="56469" spans="25:25" x14ac:dyDescent="0.2">
      <c r="Y56469" s="97"/>
    </row>
    <row r="56470" spans="25:25" x14ac:dyDescent="0.2">
      <c r="Y56470" s="97"/>
    </row>
    <row r="56471" spans="25:25" x14ac:dyDescent="0.2">
      <c r="Y56471" s="97"/>
    </row>
    <row r="56472" spans="25:25" x14ac:dyDescent="0.2">
      <c r="Y56472" s="97"/>
    </row>
    <row r="56473" spans="25:25" x14ac:dyDescent="0.2">
      <c r="Y56473" s="97"/>
    </row>
    <row r="56474" spans="25:25" x14ac:dyDescent="0.2">
      <c r="Y56474" s="97"/>
    </row>
    <row r="56475" spans="25:25" x14ac:dyDescent="0.2">
      <c r="Y56475" s="97"/>
    </row>
    <row r="56476" spans="25:25" x14ac:dyDescent="0.2">
      <c r="Y56476" s="97"/>
    </row>
    <row r="56477" spans="25:25" x14ac:dyDescent="0.2">
      <c r="Y56477" s="97"/>
    </row>
    <row r="56478" spans="25:25" x14ac:dyDescent="0.2">
      <c r="Y56478" s="97"/>
    </row>
    <row r="56479" spans="25:25" x14ac:dyDescent="0.2">
      <c r="Y56479" s="97"/>
    </row>
    <row r="56480" spans="25:25" x14ac:dyDescent="0.2">
      <c r="Y56480" s="97"/>
    </row>
    <row r="56481" spans="25:25" x14ac:dyDescent="0.2">
      <c r="Y56481" s="97"/>
    </row>
    <row r="56482" spans="25:25" x14ac:dyDescent="0.2">
      <c r="Y56482" s="97"/>
    </row>
    <row r="56483" spans="25:25" x14ac:dyDescent="0.2">
      <c r="Y56483" s="97"/>
    </row>
    <row r="56484" spans="25:25" x14ac:dyDescent="0.2">
      <c r="Y56484" s="97"/>
    </row>
    <row r="56485" spans="25:25" x14ac:dyDescent="0.2">
      <c r="Y56485" s="97"/>
    </row>
    <row r="56486" spans="25:25" x14ac:dyDescent="0.2">
      <c r="Y56486" s="97"/>
    </row>
    <row r="56487" spans="25:25" x14ac:dyDescent="0.2">
      <c r="Y56487" s="97"/>
    </row>
    <row r="56488" spans="25:25" x14ac:dyDescent="0.2">
      <c r="Y56488" s="97"/>
    </row>
    <row r="56489" spans="25:25" x14ac:dyDescent="0.2">
      <c r="Y56489" s="97"/>
    </row>
    <row r="56490" spans="25:25" x14ac:dyDescent="0.2">
      <c r="Y56490" s="97"/>
    </row>
    <row r="56491" spans="25:25" x14ac:dyDescent="0.2">
      <c r="Y56491" s="97"/>
    </row>
    <row r="56492" spans="25:25" x14ac:dyDescent="0.2">
      <c r="Y56492" s="97"/>
    </row>
    <row r="56493" spans="25:25" x14ac:dyDescent="0.2">
      <c r="Y56493" s="97"/>
    </row>
    <row r="56494" spans="25:25" x14ac:dyDescent="0.2">
      <c r="Y56494" s="97"/>
    </row>
    <row r="56495" spans="25:25" x14ac:dyDescent="0.2">
      <c r="Y56495" s="97"/>
    </row>
    <row r="56496" spans="25:25" x14ac:dyDescent="0.2">
      <c r="Y56496" s="97"/>
    </row>
    <row r="56497" spans="25:25" x14ac:dyDescent="0.2">
      <c r="Y56497" s="97"/>
    </row>
    <row r="56498" spans="25:25" x14ac:dyDescent="0.2">
      <c r="Y56498" s="97"/>
    </row>
    <row r="56499" spans="25:25" x14ac:dyDescent="0.2">
      <c r="Y56499" s="97"/>
    </row>
    <row r="56500" spans="25:25" x14ac:dyDescent="0.2">
      <c r="Y56500" s="97"/>
    </row>
    <row r="56501" spans="25:25" x14ac:dyDescent="0.2">
      <c r="Y56501" s="97"/>
    </row>
    <row r="56502" spans="25:25" x14ac:dyDescent="0.2">
      <c r="Y56502" s="97"/>
    </row>
    <row r="56503" spans="25:25" x14ac:dyDescent="0.2">
      <c r="Y56503" s="97"/>
    </row>
    <row r="56504" spans="25:25" x14ac:dyDescent="0.2">
      <c r="Y56504" s="97"/>
    </row>
    <row r="56505" spans="25:25" x14ac:dyDescent="0.2">
      <c r="Y56505" s="97"/>
    </row>
    <row r="56506" spans="25:25" x14ac:dyDescent="0.2">
      <c r="Y56506" s="97"/>
    </row>
    <row r="56507" spans="25:25" x14ac:dyDescent="0.2">
      <c r="Y56507" s="97"/>
    </row>
    <row r="56508" spans="25:25" x14ac:dyDescent="0.2">
      <c r="Y56508" s="97"/>
    </row>
    <row r="56509" spans="25:25" x14ac:dyDescent="0.2">
      <c r="Y56509" s="97"/>
    </row>
    <row r="56510" spans="25:25" x14ac:dyDescent="0.2">
      <c r="Y56510" s="97"/>
    </row>
    <row r="56511" spans="25:25" x14ac:dyDescent="0.2">
      <c r="Y56511" s="97"/>
    </row>
    <row r="56512" spans="25:25" x14ac:dyDescent="0.2">
      <c r="Y56512" s="97"/>
    </row>
    <row r="56513" spans="25:25" x14ac:dyDescent="0.2">
      <c r="Y56513" s="97"/>
    </row>
    <row r="56514" spans="25:25" x14ac:dyDescent="0.2">
      <c r="Y56514" s="97"/>
    </row>
    <row r="56515" spans="25:25" x14ac:dyDescent="0.2">
      <c r="Y56515" s="97"/>
    </row>
    <row r="56516" spans="25:25" x14ac:dyDescent="0.2">
      <c r="Y56516" s="97"/>
    </row>
    <row r="56517" spans="25:25" x14ac:dyDescent="0.2">
      <c r="Y56517" s="97"/>
    </row>
    <row r="56518" spans="25:25" x14ac:dyDescent="0.2">
      <c r="Y56518" s="97"/>
    </row>
    <row r="56519" spans="25:25" x14ac:dyDescent="0.2">
      <c r="Y56519" s="97"/>
    </row>
    <row r="56520" spans="25:25" x14ac:dyDescent="0.2">
      <c r="Y56520" s="97"/>
    </row>
    <row r="56521" spans="25:25" x14ac:dyDescent="0.2">
      <c r="Y56521" s="97"/>
    </row>
    <row r="56522" spans="25:25" x14ac:dyDescent="0.2">
      <c r="Y56522" s="97"/>
    </row>
    <row r="56523" spans="25:25" x14ac:dyDescent="0.2">
      <c r="Y56523" s="97"/>
    </row>
    <row r="56524" spans="25:25" x14ac:dyDescent="0.2">
      <c r="Y56524" s="97"/>
    </row>
    <row r="56525" spans="25:25" x14ac:dyDescent="0.2">
      <c r="Y56525" s="97"/>
    </row>
    <row r="56526" spans="25:25" x14ac:dyDescent="0.2">
      <c r="Y56526" s="97"/>
    </row>
    <row r="56527" spans="25:25" x14ac:dyDescent="0.2">
      <c r="Y56527" s="97"/>
    </row>
    <row r="56528" spans="25:25" x14ac:dyDescent="0.2">
      <c r="Y56528" s="97"/>
    </row>
    <row r="56529" spans="25:25" x14ac:dyDescent="0.2">
      <c r="Y56529" s="97"/>
    </row>
    <row r="56530" spans="25:25" x14ac:dyDescent="0.2">
      <c r="Y56530" s="97"/>
    </row>
    <row r="56531" spans="25:25" x14ac:dyDescent="0.2">
      <c r="Y56531" s="97"/>
    </row>
    <row r="56532" spans="25:25" x14ac:dyDescent="0.2">
      <c r="Y56532" s="97"/>
    </row>
    <row r="56533" spans="25:25" x14ac:dyDescent="0.2">
      <c r="Y56533" s="97"/>
    </row>
    <row r="56534" spans="25:25" x14ac:dyDescent="0.2">
      <c r="Y56534" s="97"/>
    </row>
    <row r="56535" spans="25:25" x14ac:dyDescent="0.2">
      <c r="Y56535" s="97"/>
    </row>
    <row r="56536" spans="25:25" x14ac:dyDescent="0.2">
      <c r="Y56536" s="97"/>
    </row>
    <row r="56537" spans="25:25" x14ac:dyDescent="0.2">
      <c r="Y56537" s="97"/>
    </row>
    <row r="56538" spans="25:25" x14ac:dyDescent="0.2">
      <c r="Y56538" s="97"/>
    </row>
    <row r="56539" spans="25:25" x14ac:dyDescent="0.2">
      <c r="Y56539" s="97"/>
    </row>
    <row r="56540" spans="25:25" x14ac:dyDescent="0.2">
      <c r="Y56540" s="97"/>
    </row>
    <row r="56541" spans="25:25" x14ac:dyDescent="0.2">
      <c r="Y56541" s="97"/>
    </row>
    <row r="56542" spans="25:25" x14ac:dyDescent="0.2">
      <c r="Y56542" s="97"/>
    </row>
    <row r="56543" spans="25:25" x14ac:dyDescent="0.2">
      <c r="Y56543" s="97"/>
    </row>
    <row r="56544" spans="25:25" x14ac:dyDescent="0.2">
      <c r="Y56544" s="97"/>
    </row>
    <row r="56545" spans="25:25" x14ac:dyDescent="0.2">
      <c r="Y56545" s="97"/>
    </row>
    <row r="56546" spans="25:25" x14ac:dyDescent="0.2">
      <c r="Y56546" s="97"/>
    </row>
    <row r="56547" spans="25:25" x14ac:dyDescent="0.2">
      <c r="Y56547" s="97"/>
    </row>
    <row r="56548" spans="25:25" x14ac:dyDescent="0.2">
      <c r="Y56548" s="97"/>
    </row>
    <row r="56549" spans="25:25" x14ac:dyDescent="0.2">
      <c r="Y56549" s="97"/>
    </row>
    <row r="56550" spans="25:25" x14ac:dyDescent="0.2">
      <c r="Y56550" s="97"/>
    </row>
    <row r="56551" spans="25:25" x14ac:dyDescent="0.2">
      <c r="Y56551" s="97"/>
    </row>
    <row r="56552" spans="25:25" x14ac:dyDescent="0.2">
      <c r="Y56552" s="97"/>
    </row>
    <row r="56553" spans="25:25" x14ac:dyDescent="0.2">
      <c r="Y56553" s="97"/>
    </row>
    <row r="56554" spans="25:25" x14ac:dyDescent="0.2">
      <c r="Y56554" s="97"/>
    </row>
    <row r="56555" spans="25:25" x14ac:dyDescent="0.2">
      <c r="Y56555" s="97"/>
    </row>
    <row r="56556" spans="25:25" x14ac:dyDescent="0.2">
      <c r="Y56556" s="97"/>
    </row>
    <row r="56557" spans="25:25" x14ac:dyDescent="0.2">
      <c r="Y56557" s="97"/>
    </row>
    <row r="56558" spans="25:25" x14ac:dyDescent="0.2">
      <c r="Y56558" s="97"/>
    </row>
    <row r="56559" spans="25:25" x14ac:dyDescent="0.2">
      <c r="Y56559" s="97"/>
    </row>
    <row r="56560" spans="25:25" x14ac:dyDescent="0.2">
      <c r="Y56560" s="97"/>
    </row>
    <row r="56561" spans="25:25" x14ac:dyDescent="0.2">
      <c r="Y56561" s="97"/>
    </row>
    <row r="56562" spans="25:25" x14ac:dyDescent="0.2">
      <c r="Y56562" s="97"/>
    </row>
    <row r="56563" spans="25:25" x14ac:dyDescent="0.2">
      <c r="Y56563" s="97"/>
    </row>
    <row r="56564" spans="25:25" x14ac:dyDescent="0.2">
      <c r="Y56564" s="97"/>
    </row>
    <row r="56565" spans="25:25" x14ac:dyDescent="0.2">
      <c r="Y56565" s="97"/>
    </row>
    <row r="56566" spans="25:25" x14ac:dyDescent="0.2">
      <c r="Y56566" s="97"/>
    </row>
    <row r="56567" spans="25:25" x14ac:dyDescent="0.2">
      <c r="Y56567" s="97"/>
    </row>
    <row r="56568" spans="25:25" x14ac:dyDescent="0.2">
      <c r="Y56568" s="97"/>
    </row>
    <row r="56569" spans="25:25" x14ac:dyDescent="0.2">
      <c r="Y56569" s="97"/>
    </row>
    <row r="56570" spans="25:25" x14ac:dyDescent="0.2">
      <c r="Y56570" s="97"/>
    </row>
    <row r="56571" spans="25:25" x14ac:dyDescent="0.2">
      <c r="Y56571" s="97"/>
    </row>
    <row r="56572" spans="25:25" x14ac:dyDescent="0.2">
      <c r="Y56572" s="97"/>
    </row>
    <row r="56573" spans="25:25" x14ac:dyDescent="0.2">
      <c r="Y56573" s="97"/>
    </row>
    <row r="56574" spans="25:25" x14ac:dyDescent="0.2">
      <c r="Y56574" s="97"/>
    </row>
    <row r="56575" spans="25:25" x14ac:dyDescent="0.2">
      <c r="Y56575" s="97"/>
    </row>
    <row r="56576" spans="25:25" x14ac:dyDescent="0.2">
      <c r="Y56576" s="97"/>
    </row>
    <row r="56577" spans="25:25" x14ac:dyDescent="0.2">
      <c r="Y56577" s="97"/>
    </row>
    <row r="56578" spans="25:25" x14ac:dyDescent="0.2">
      <c r="Y56578" s="97"/>
    </row>
    <row r="56579" spans="25:25" x14ac:dyDescent="0.2">
      <c r="Y56579" s="97"/>
    </row>
    <row r="56580" spans="25:25" x14ac:dyDescent="0.2">
      <c r="Y56580" s="97"/>
    </row>
    <row r="56581" spans="25:25" x14ac:dyDescent="0.2">
      <c r="Y56581" s="97"/>
    </row>
    <row r="56582" spans="25:25" x14ac:dyDescent="0.2">
      <c r="Y56582" s="97"/>
    </row>
    <row r="56583" spans="25:25" x14ac:dyDescent="0.2">
      <c r="Y56583" s="97"/>
    </row>
    <row r="56584" spans="25:25" x14ac:dyDescent="0.2">
      <c r="Y56584" s="97"/>
    </row>
    <row r="56585" spans="25:25" x14ac:dyDescent="0.2">
      <c r="Y56585" s="97"/>
    </row>
    <row r="56586" spans="25:25" x14ac:dyDescent="0.2">
      <c r="Y56586" s="97"/>
    </row>
    <row r="56587" spans="25:25" x14ac:dyDescent="0.2">
      <c r="Y56587" s="97"/>
    </row>
    <row r="56588" spans="25:25" x14ac:dyDescent="0.2">
      <c r="Y56588" s="97"/>
    </row>
    <row r="56589" spans="25:25" x14ac:dyDescent="0.2">
      <c r="Y56589" s="97"/>
    </row>
    <row r="56590" spans="25:25" x14ac:dyDescent="0.2">
      <c r="Y56590" s="97"/>
    </row>
    <row r="56591" spans="25:25" x14ac:dyDescent="0.2">
      <c r="Y56591" s="97"/>
    </row>
    <row r="56592" spans="25:25" x14ac:dyDescent="0.2">
      <c r="Y56592" s="97"/>
    </row>
    <row r="56593" spans="25:25" x14ac:dyDescent="0.2">
      <c r="Y56593" s="97"/>
    </row>
    <row r="56594" spans="25:25" x14ac:dyDescent="0.2">
      <c r="Y56594" s="97"/>
    </row>
    <row r="56595" spans="25:25" x14ac:dyDescent="0.2">
      <c r="Y56595" s="97"/>
    </row>
    <row r="56596" spans="25:25" x14ac:dyDescent="0.2">
      <c r="Y56596" s="97"/>
    </row>
    <row r="56597" spans="25:25" x14ac:dyDescent="0.2">
      <c r="Y56597" s="97"/>
    </row>
    <row r="56598" spans="25:25" x14ac:dyDescent="0.2">
      <c r="Y56598" s="97"/>
    </row>
    <row r="56599" spans="25:25" x14ac:dyDescent="0.2">
      <c r="Y56599" s="97"/>
    </row>
    <row r="56600" spans="25:25" x14ac:dyDescent="0.2">
      <c r="Y56600" s="97"/>
    </row>
    <row r="56601" spans="25:25" x14ac:dyDescent="0.2">
      <c r="Y56601" s="97"/>
    </row>
    <row r="56602" spans="25:25" x14ac:dyDescent="0.2">
      <c r="Y56602" s="97"/>
    </row>
    <row r="56603" spans="25:25" x14ac:dyDescent="0.2">
      <c r="Y56603" s="97"/>
    </row>
    <row r="56604" spans="25:25" x14ac:dyDescent="0.2">
      <c r="Y56604" s="97"/>
    </row>
    <row r="56605" spans="25:25" x14ac:dyDescent="0.2">
      <c r="Y56605" s="97"/>
    </row>
    <row r="56606" spans="25:25" x14ac:dyDescent="0.2">
      <c r="Y56606" s="97"/>
    </row>
    <row r="56607" spans="25:25" x14ac:dyDescent="0.2">
      <c r="Y56607" s="97"/>
    </row>
    <row r="56608" spans="25:25" x14ac:dyDescent="0.2">
      <c r="Y56608" s="97"/>
    </row>
    <row r="56609" spans="25:25" x14ac:dyDescent="0.2">
      <c r="Y56609" s="97"/>
    </row>
    <row r="56610" spans="25:25" x14ac:dyDescent="0.2">
      <c r="Y56610" s="97"/>
    </row>
    <row r="56611" spans="25:25" x14ac:dyDescent="0.2">
      <c r="Y56611" s="97"/>
    </row>
    <row r="56612" spans="25:25" x14ac:dyDescent="0.2">
      <c r="Y56612" s="97"/>
    </row>
    <row r="56613" spans="25:25" x14ac:dyDescent="0.2">
      <c r="Y56613" s="97"/>
    </row>
    <row r="56614" spans="25:25" x14ac:dyDescent="0.2">
      <c r="Y56614" s="97"/>
    </row>
    <row r="56615" spans="25:25" x14ac:dyDescent="0.2">
      <c r="Y56615" s="97"/>
    </row>
    <row r="56616" spans="25:25" x14ac:dyDescent="0.2">
      <c r="Y56616" s="97"/>
    </row>
    <row r="56617" spans="25:25" x14ac:dyDescent="0.2">
      <c r="Y56617" s="97"/>
    </row>
    <row r="56618" spans="25:25" x14ac:dyDescent="0.2">
      <c r="Y56618" s="97"/>
    </row>
    <row r="56619" spans="25:25" x14ac:dyDescent="0.2">
      <c r="Y56619" s="97"/>
    </row>
    <row r="56620" spans="25:25" x14ac:dyDescent="0.2">
      <c r="Y56620" s="97"/>
    </row>
    <row r="56621" spans="25:25" x14ac:dyDescent="0.2">
      <c r="Y56621" s="97"/>
    </row>
    <row r="56622" spans="25:25" x14ac:dyDescent="0.2">
      <c r="Y56622" s="97"/>
    </row>
    <row r="56623" spans="25:25" x14ac:dyDescent="0.2">
      <c r="Y56623" s="97"/>
    </row>
    <row r="56624" spans="25:25" x14ac:dyDescent="0.2">
      <c r="Y56624" s="97"/>
    </row>
    <row r="56625" spans="25:25" x14ac:dyDescent="0.2">
      <c r="Y56625" s="97"/>
    </row>
    <row r="56626" spans="25:25" x14ac:dyDescent="0.2">
      <c r="Y56626" s="97"/>
    </row>
    <row r="56627" spans="25:25" x14ac:dyDescent="0.2">
      <c r="Y56627" s="97"/>
    </row>
    <row r="56628" spans="25:25" x14ac:dyDescent="0.2">
      <c r="Y56628" s="97"/>
    </row>
    <row r="56629" spans="25:25" x14ac:dyDescent="0.2">
      <c r="Y56629" s="97"/>
    </row>
    <row r="56630" spans="25:25" x14ac:dyDescent="0.2">
      <c r="Y56630" s="97"/>
    </row>
    <row r="56631" spans="25:25" x14ac:dyDescent="0.2">
      <c r="Y56631" s="97"/>
    </row>
    <row r="56632" spans="25:25" x14ac:dyDescent="0.2">
      <c r="Y56632" s="97"/>
    </row>
    <row r="56633" spans="25:25" x14ac:dyDescent="0.2">
      <c r="Y56633" s="97"/>
    </row>
    <row r="56634" spans="25:25" x14ac:dyDescent="0.2">
      <c r="Y56634" s="97"/>
    </row>
    <row r="56635" spans="25:25" x14ac:dyDescent="0.2">
      <c r="Y56635" s="97"/>
    </row>
    <row r="56636" spans="25:25" x14ac:dyDescent="0.2">
      <c r="Y56636" s="97"/>
    </row>
    <row r="56637" spans="25:25" x14ac:dyDescent="0.2">
      <c r="Y56637" s="97"/>
    </row>
    <row r="56638" spans="25:25" x14ac:dyDescent="0.2">
      <c r="Y56638" s="97"/>
    </row>
    <row r="56639" spans="25:25" x14ac:dyDescent="0.2">
      <c r="Y56639" s="97"/>
    </row>
    <row r="56640" spans="25:25" x14ac:dyDescent="0.2">
      <c r="Y56640" s="97"/>
    </row>
    <row r="56641" spans="25:25" x14ac:dyDescent="0.2">
      <c r="Y56641" s="97"/>
    </row>
    <row r="56642" spans="25:25" x14ac:dyDescent="0.2">
      <c r="Y56642" s="97"/>
    </row>
    <row r="56643" spans="25:25" x14ac:dyDescent="0.2">
      <c r="Y56643" s="97"/>
    </row>
    <row r="56644" spans="25:25" x14ac:dyDescent="0.2">
      <c r="Y56644" s="97"/>
    </row>
    <row r="56645" spans="25:25" x14ac:dyDescent="0.2">
      <c r="Y56645" s="97"/>
    </row>
    <row r="56646" spans="25:25" x14ac:dyDescent="0.2">
      <c r="Y56646" s="97"/>
    </row>
    <row r="56647" spans="25:25" x14ac:dyDescent="0.2">
      <c r="Y56647" s="97"/>
    </row>
    <row r="56648" spans="25:25" x14ac:dyDescent="0.2">
      <c r="Y56648" s="97"/>
    </row>
    <row r="56649" spans="25:25" x14ac:dyDescent="0.2">
      <c r="Y56649" s="97"/>
    </row>
    <row r="56650" spans="25:25" x14ac:dyDescent="0.2">
      <c r="Y56650" s="97"/>
    </row>
    <row r="56651" spans="25:25" x14ac:dyDescent="0.2">
      <c r="Y56651" s="97"/>
    </row>
    <row r="56652" spans="25:25" x14ac:dyDescent="0.2">
      <c r="Y56652" s="97"/>
    </row>
    <row r="56653" spans="25:25" x14ac:dyDescent="0.2">
      <c r="Y56653" s="97"/>
    </row>
    <row r="56654" spans="25:25" x14ac:dyDescent="0.2">
      <c r="Y56654" s="97"/>
    </row>
    <row r="56655" spans="25:25" x14ac:dyDescent="0.2">
      <c r="Y56655" s="97"/>
    </row>
    <row r="56656" spans="25:25" x14ac:dyDescent="0.2">
      <c r="Y56656" s="97"/>
    </row>
    <row r="56657" spans="25:25" x14ac:dyDescent="0.2">
      <c r="Y56657" s="97"/>
    </row>
    <row r="56658" spans="25:25" x14ac:dyDescent="0.2">
      <c r="Y56658" s="97"/>
    </row>
    <row r="56659" spans="25:25" x14ac:dyDescent="0.2">
      <c r="Y56659" s="97"/>
    </row>
    <row r="56660" spans="25:25" x14ac:dyDescent="0.2">
      <c r="Y56660" s="97"/>
    </row>
    <row r="56661" spans="25:25" x14ac:dyDescent="0.2">
      <c r="Y56661" s="97"/>
    </row>
    <row r="56662" spans="25:25" x14ac:dyDescent="0.2">
      <c r="Y56662" s="97"/>
    </row>
    <row r="56663" spans="25:25" x14ac:dyDescent="0.2">
      <c r="Y56663" s="97"/>
    </row>
    <row r="56664" spans="25:25" x14ac:dyDescent="0.2">
      <c r="Y56664" s="97"/>
    </row>
    <row r="56665" spans="25:25" x14ac:dyDescent="0.2">
      <c r="Y56665" s="97"/>
    </row>
    <row r="56666" spans="25:25" x14ac:dyDescent="0.2">
      <c r="Y56666" s="97"/>
    </row>
    <row r="56667" spans="25:25" x14ac:dyDescent="0.2">
      <c r="Y56667" s="97"/>
    </row>
    <row r="56668" spans="25:25" x14ac:dyDescent="0.2">
      <c r="Y56668" s="97"/>
    </row>
    <row r="56669" spans="25:25" x14ac:dyDescent="0.2">
      <c r="Y56669" s="97"/>
    </row>
    <row r="56670" spans="25:25" x14ac:dyDescent="0.2">
      <c r="Y56670" s="97"/>
    </row>
    <row r="56671" spans="25:25" x14ac:dyDescent="0.2">
      <c r="Y56671" s="97"/>
    </row>
    <row r="56672" spans="25:25" x14ac:dyDescent="0.2">
      <c r="Y56672" s="97"/>
    </row>
    <row r="56673" spans="25:25" x14ac:dyDescent="0.2">
      <c r="Y56673" s="97"/>
    </row>
    <row r="56674" spans="25:25" x14ac:dyDescent="0.2">
      <c r="Y56674" s="97"/>
    </row>
    <row r="56675" spans="25:25" x14ac:dyDescent="0.2">
      <c r="Y56675" s="97"/>
    </row>
    <row r="56676" spans="25:25" x14ac:dyDescent="0.2">
      <c r="Y56676" s="97"/>
    </row>
    <row r="56677" spans="25:25" x14ac:dyDescent="0.2">
      <c r="Y56677" s="97"/>
    </row>
    <row r="56678" spans="25:25" x14ac:dyDescent="0.2">
      <c r="Y56678" s="97"/>
    </row>
    <row r="56679" spans="25:25" x14ac:dyDescent="0.2">
      <c r="Y56679" s="97"/>
    </row>
    <row r="56680" spans="25:25" x14ac:dyDescent="0.2">
      <c r="Y56680" s="97"/>
    </row>
    <row r="56681" spans="25:25" x14ac:dyDescent="0.2">
      <c r="Y56681" s="97"/>
    </row>
    <row r="56682" spans="25:25" x14ac:dyDescent="0.2">
      <c r="Y56682" s="97"/>
    </row>
    <row r="56683" spans="25:25" x14ac:dyDescent="0.2">
      <c r="Y56683" s="97"/>
    </row>
    <row r="56684" spans="25:25" x14ac:dyDescent="0.2">
      <c r="Y56684" s="97"/>
    </row>
    <row r="56685" spans="25:25" x14ac:dyDescent="0.2">
      <c r="Y56685" s="97"/>
    </row>
    <row r="56686" spans="25:25" x14ac:dyDescent="0.2">
      <c r="Y56686" s="97"/>
    </row>
    <row r="56687" spans="25:25" x14ac:dyDescent="0.2">
      <c r="Y56687" s="97"/>
    </row>
    <row r="56688" spans="25:25" x14ac:dyDescent="0.2">
      <c r="Y56688" s="97"/>
    </row>
    <row r="56689" spans="25:25" x14ac:dyDescent="0.2">
      <c r="Y56689" s="97"/>
    </row>
    <row r="56690" spans="25:25" x14ac:dyDescent="0.2">
      <c r="Y56690" s="97"/>
    </row>
    <row r="56691" spans="25:25" x14ac:dyDescent="0.2">
      <c r="Y56691" s="97"/>
    </row>
    <row r="56692" spans="25:25" x14ac:dyDescent="0.2">
      <c r="Y56692" s="97"/>
    </row>
    <row r="56693" spans="25:25" x14ac:dyDescent="0.2">
      <c r="Y56693" s="97"/>
    </row>
    <row r="56694" spans="25:25" x14ac:dyDescent="0.2">
      <c r="Y56694" s="97"/>
    </row>
    <row r="56695" spans="25:25" x14ac:dyDescent="0.2">
      <c r="Y56695" s="97"/>
    </row>
    <row r="56696" spans="25:25" x14ac:dyDescent="0.2">
      <c r="Y56696" s="97"/>
    </row>
    <row r="56697" spans="25:25" x14ac:dyDescent="0.2">
      <c r="Y56697" s="97"/>
    </row>
    <row r="56698" spans="25:25" x14ac:dyDescent="0.2">
      <c r="Y56698" s="97"/>
    </row>
    <row r="56699" spans="25:25" x14ac:dyDescent="0.2">
      <c r="Y56699" s="97"/>
    </row>
    <row r="56700" spans="25:25" x14ac:dyDescent="0.2">
      <c r="Y56700" s="97"/>
    </row>
    <row r="56701" spans="25:25" x14ac:dyDescent="0.2">
      <c r="Y56701" s="97"/>
    </row>
    <row r="56702" spans="25:25" x14ac:dyDescent="0.2">
      <c r="Y56702" s="97"/>
    </row>
    <row r="56703" spans="25:25" x14ac:dyDescent="0.2">
      <c r="Y56703" s="97"/>
    </row>
    <row r="56704" spans="25:25" x14ac:dyDescent="0.2">
      <c r="Y56704" s="97"/>
    </row>
    <row r="56705" spans="25:25" x14ac:dyDescent="0.2">
      <c r="Y56705" s="97"/>
    </row>
    <row r="56706" spans="25:25" x14ac:dyDescent="0.2">
      <c r="Y56706" s="97"/>
    </row>
    <row r="56707" spans="25:25" x14ac:dyDescent="0.2">
      <c r="Y56707" s="97"/>
    </row>
    <row r="56708" spans="25:25" x14ac:dyDescent="0.2">
      <c r="Y56708" s="97"/>
    </row>
    <row r="56709" spans="25:25" x14ac:dyDescent="0.2">
      <c r="Y56709" s="97"/>
    </row>
    <row r="56710" spans="25:25" x14ac:dyDescent="0.2">
      <c r="Y56710" s="97"/>
    </row>
    <row r="56711" spans="25:25" x14ac:dyDescent="0.2">
      <c r="Y56711" s="97"/>
    </row>
    <row r="56712" spans="25:25" x14ac:dyDescent="0.2">
      <c r="Y56712" s="97"/>
    </row>
    <row r="56713" spans="25:25" x14ac:dyDescent="0.2">
      <c r="Y56713" s="97"/>
    </row>
    <row r="56714" spans="25:25" x14ac:dyDescent="0.2">
      <c r="Y56714" s="97"/>
    </row>
    <row r="56715" spans="25:25" x14ac:dyDescent="0.2">
      <c r="Y56715" s="97"/>
    </row>
    <row r="56716" spans="25:25" x14ac:dyDescent="0.2">
      <c r="Y56716" s="97"/>
    </row>
    <row r="56717" spans="25:25" x14ac:dyDescent="0.2">
      <c r="Y56717" s="97"/>
    </row>
    <row r="56718" spans="25:25" x14ac:dyDescent="0.2">
      <c r="Y56718" s="97"/>
    </row>
    <row r="56719" spans="25:25" x14ac:dyDescent="0.2">
      <c r="Y56719" s="97"/>
    </row>
    <row r="56720" spans="25:25" x14ac:dyDescent="0.2">
      <c r="Y56720" s="97"/>
    </row>
    <row r="56721" spans="25:25" x14ac:dyDescent="0.2">
      <c r="Y56721" s="97"/>
    </row>
    <row r="56722" spans="25:25" x14ac:dyDescent="0.2">
      <c r="Y56722" s="97"/>
    </row>
    <row r="56723" spans="25:25" x14ac:dyDescent="0.2">
      <c r="Y56723" s="97"/>
    </row>
    <row r="56724" spans="25:25" x14ac:dyDescent="0.2">
      <c r="Y56724" s="97"/>
    </row>
    <row r="56725" spans="25:25" x14ac:dyDescent="0.2">
      <c r="Y56725" s="97"/>
    </row>
    <row r="56726" spans="25:25" x14ac:dyDescent="0.2">
      <c r="Y56726" s="97"/>
    </row>
    <row r="56727" spans="25:25" x14ac:dyDescent="0.2">
      <c r="Y56727" s="97"/>
    </row>
    <row r="56728" spans="25:25" x14ac:dyDescent="0.2">
      <c r="Y56728" s="97"/>
    </row>
    <row r="56729" spans="25:25" x14ac:dyDescent="0.2">
      <c r="Y56729" s="97"/>
    </row>
    <row r="56730" spans="25:25" x14ac:dyDescent="0.2">
      <c r="Y56730" s="97"/>
    </row>
    <row r="56731" spans="25:25" x14ac:dyDescent="0.2">
      <c r="Y56731" s="97"/>
    </row>
    <row r="56732" spans="25:25" x14ac:dyDescent="0.2">
      <c r="Y56732" s="97"/>
    </row>
    <row r="56733" spans="25:25" x14ac:dyDescent="0.2">
      <c r="Y56733" s="97"/>
    </row>
    <row r="56734" spans="25:25" x14ac:dyDescent="0.2">
      <c r="Y56734" s="97"/>
    </row>
    <row r="56735" spans="25:25" x14ac:dyDescent="0.2">
      <c r="Y56735" s="97"/>
    </row>
    <row r="56736" spans="25:25" x14ac:dyDescent="0.2">
      <c r="Y56736" s="97"/>
    </row>
    <row r="56737" spans="25:25" x14ac:dyDescent="0.2">
      <c r="Y56737" s="97"/>
    </row>
    <row r="56738" spans="25:25" x14ac:dyDescent="0.2">
      <c r="Y56738" s="97"/>
    </row>
    <row r="56739" spans="25:25" x14ac:dyDescent="0.2">
      <c r="Y56739" s="97"/>
    </row>
    <row r="56740" spans="25:25" x14ac:dyDescent="0.2">
      <c r="Y56740" s="97"/>
    </row>
    <row r="56741" spans="25:25" x14ac:dyDescent="0.2">
      <c r="Y56741" s="97"/>
    </row>
    <row r="56742" spans="25:25" x14ac:dyDescent="0.2">
      <c r="Y56742" s="97"/>
    </row>
    <row r="56743" spans="25:25" x14ac:dyDescent="0.2">
      <c r="Y56743" s="97"/>
    </row>
    <row r="56744" spans="25:25" x14ac:dyDescent="0.2">
      <c r="Y56744" s="97"/>
    </row>
    <row r="56745" spans="25:25" x14ac:dyDescent="0.2">
      <c r="Y56745" s="97"/>
    </row>
    <row r="56746" spans="25:25" x14ac:dyDescent="0.2">
      <c r="Y56746" s="97"/>
    </row>
    <row r="56747" spans="25:25" x14ac:dyDescent="0.2">
      <c r="Y56747" s="97"/>
    </row>
    <row r="56748" spans="25:25" x14ac:dyDescent="0.2">
      <c r="Y56748" s="97"/>
    </row>
    <row r="56749" spans="25:25" x14ac:dyDescent="0.2">
      <c r="Y56749" s="97"/>
    </row>
    <row r="56750" spans="25:25" x14ac:dyDescent="0.2">
      <c r="Y56750" s="97"/>
    </row>
    <row r="56751" spans="25:25" x14ac:dyDescent="0.2">
      <c r="Y56751" s="97"/>
    </row>
    <row r="56752" spans="25:25" x14ac:dyDescent="0.2">
      <c r="Y56752" s="97"/>
    </row>
    <row r="56753" spans="25:25" x14ac:dyDescent="0.2">
      <c r="Y56753" s="97"/>
    </row>
    <row r="56754" spans="25:25" x14ac:dyDescent="0.2">
      <c r="Y56754" s="97"/>
    </row>
    <row r="56755" spans="25:25" x14ac:dyDescent="0.2">
      <c r="Y56755" s="97"/>
    </row>
    <row r="56756" spans="25:25" x14ac:dyDescent="0.2">
      <c r="Y56756" s="97"/>
    </row>
    <row r="56757" spans="25:25" x14ac:dyDescent="0.2">
      <c r="Y56757" s="97"/>
    </row>
    <row r="56758" spans="25:25" x14ac:dyDescent="0.2">
      <c r="Y56758" s="97"/>
    </row>
    <row r="56759" spans="25:25" x14ac:dyDescent="0.2">
      <c r="Y56759" s="97"/>
    </row>
    <row r="56760" spans="25:25" x14ac:dyDescent="0.2">
      <c r="Y56760" s="97"/>
    </row>
    <row r="56761" spans="25:25" x14ac:dyDescent="0.2">
      <c r="Y56761" s="97"/>
    </row>
    <row r="56762" spans="25:25" x14ac:dyDescent="0.2">
      <c r="Y56762" s="97"/>
    </row>
    <row r="56763" spans="25:25" x14ac:dyDescent="0.2">
      <c r="Y56763" s="97"/>
    </row>
    <row r="56764" spans="25:25" x14ac:dyDescent="0.2">
      <c r="Y56764" s="97"/>
    </row>
    <row r="56765" spans="25:25" x14ac:dyDescent="0.2">
      <c r="Y56765" s="97"/>
    </row>
    <row r="56766" spans="25:25" x14ac:dyDescent="0.2">
      <c r="Y56766" s="97"/>
    </row>
    <row r="56767" spans="25:25" x14ac:dyDescent="0.2">
      <c r="Y56767" s="97"/>
    </row>
    <row r="56768" spans="25:25" x14ac:dyDescent="0.2">
      <c r="Y56768" s="97"/>
    </row>
    <row r="56769" spans="25:25" x14ac:dyDescent="0.2">
      <c r="Y56769" s="97"/>
    </row>
    <row r="56770" spans="25:25" x14ac:dyDescent="0.2">
      <c r="Y56770" s="97"/>
    </row>
    <row r="56771" spans="25:25" x14ac:dyDescent="0.2">
      <c r="Y56771" s="97"/>
    </row>
    <row r="56772" spans="25:25" x14ac:dyDescent="0.2">
      <c r="Y56772" s="97"/>
    </row>
    <row r="56773" spans="25:25" x14ac:dyDescent="0.2">
      <c r="Y56773" s="97"/>
    </row>
    <row r="56774" spans="25:25" x14ac:dyDescent="0.2">
      <c r="Y56774" s="97"/>
    </row>
    <row r="56775" spans="25:25" x14ac:dyDescent="0.2">
      <c r="Y56775" s="97"/>
    </row>
    <row r="56776" spans="25:25" x14ac:dyDescent="0.2">
      <c r="Y56776" s="97"/>
    </row>
    <row r="56777" spans="25:25" x14ac:dyDescent="0.2">
      <c r="Y56777" s="97"/>
    </row>
    <row r="56778" spans="25:25" x14ac:dyDescent="0.2">
      <c r="Y56778" s="97"/>
    </row>
    <row r="56779" spans="25:25" x14ac:dyDescent="0.2">
      <c r="Y56779" s="97"/>
    </row>
    <row r="56780" spans="25:25" x14ac:dyDescent="0.2">
      <c r="Y56780" s="97"/>
    </row>
    <row r="56781" spans="25:25" x14ac:dyDescent="0.2">
      <c r="Y56781" s="97"/>
    </row>
    <row r="56782" spans="25:25" x14ac:dyDescent="0.2">
      <c r="Y56782" s="97"/>
    </row>
    <row r="56783" spans="25:25" x14ac:dyDescent="0.2">
      <c r="Y56783" s="97"/>
    </row>
    <row r="56784" spans="25:25" x14ac:dyDescent="0.2">
      <c r="Y56784" s="97"/>
    </row>
    <row r="56785" spans="25:25" x14ac:dyDescent="0.2">
      <c r="Y56785" s="97"/>
    </row>
    <row r="56786" spans="25:25" x14ac:dyDescent="0.2">
      <c r="Y56786" s="97"/>
    </row>
    <row r="56787" spans="25:25" x14ac:dyDescent="0.2">
      <c r="Y56787" s="97"/>
    </row>
    <row r="56788" spans="25:25" x14ac:dyDescent="0.2">
      <c r="Y56788" s="97"/>
    </row>
    <row r="56789" spans="25:25" x14ac:dyDescent="0.2">
      <c r="Y56789" s="97"/>
    </row>
    <row r="56790" spans="25:25" x14ac:dyDescent="0.2">
      <c r="Y56790" s="97"/>
    </row>
    <row r="56791" spans="25:25" x14ac:dyDescent="0.2">
      <c r="Y56791" s="97"/>
    </row>
    <row r="56792" spans="25:25" x14ac:dyDescent="0.2">
      <c r="Y56792" s="97"/>
    </row>
    <row r="56793" spans="25:25" x14ac:dyDescent="0.2">
      <c r="Y56793" s="97"/>
    </row>
    <row r="56794" spans="25:25" x14ac:dyDescent="0.2">
      <c r="Y56794" s="97"/>
    </row>
    <row r="56795" spans="25:25" x14ac:dyDescent="0.2">
      <c r="Y56795" s="97"/>
    </row>
    <row r="56796" spans="25:25" x14ac:dyDescent="0.2">
      <c r="Y56796" s="97"/>
    </row>
    <row r="56797" spans="25:25" x14ac:dyDescent="0.2">
      <c r="Y56797" s="97"/>
    </row>
    <row r="56798" spans="25:25" x14ac:dyDescent="0.2">
      <c r="Y56798" s="97"/>
    </row>
    <row r="56799" spans="25:25" x14ac:dyDescent="0.2">
      <c r="Y56799" s="97"/>
    </row>
    <row r="56800" spans="25:25" x14ac:dyDescent="0.2">
      <c r="Y56800" s="97"/>
    </row>
    <row r="56801" spans="25:25" x14ac:dyDescent="0.2">
      <c r="Y56801" s="97"/>
    </row>
    <row r="56802" spans="25:25" x14ac:dyDescent="0.2">
      <c r="Y56802" s="97"/>
    </row>
    <row r="56803" spans="25:25" x14ac:dyDescent="0.2">
      <c r="Y56803" s="97"/>
    </row>
    <row r="56804" spans="25:25" x14ac:dyDescent="0.2">
      <c r="Y56804" s="97"/>
    </row>
    <row r="56805" spans="25:25" x14ac:dyDescent="0.2">
      <c r="Y56805" s="97"/>
    </row>
    <row r="56806" spans="25:25" x14ac:dyDescent="0.2">
      <c r="Y56806" s="97"/>
    </row>
    <row r="56807" spans="25:25" x14ac:dyDescent="0.2">
      <c r="Y56807" s="97"/>
    </row>
    <row r="56808" spans="25:25" x14ac:dyDescent="0.2">
      <c r="Y56808" s="97"/>
    </row>
    <row r="56809" spans="25:25" x14ac:dyDescent="0.2">
      <c r="Y56809" s="97"/>
    </row>
    <row r="56810" spans="25:25" x14ac:dyDescent="0.2">
      <c r="Y56810" s="97"/>
    </row>
    <row r="56811" spans="25:25" x14ac:dyDescent="0.2">
      <c r="Y56811" s="97"/>
    </row>
    <row r="56812" spans="25:25" x14ac:dyDescent="0.2">
      <c r="Y56812" s="97"/>
    </row>
    <row r="56813" spans="25:25" x14ac:dyDescent="0.2">
      <c r="Y56813" s="97"/>
    </row>
    <row r="56814" spans="25:25" x14ac:dyDescent="0.2">
      <c r="Y56814" s="97"/>
    </row>
    <row r="56815" spans="25:25" x14ac:dyDescent="0.2">
      <c r="Y56815" s="97"/>
    </row>
    <row r="56816" spans="25:25" x14ac:dyDescent="0.2">
      <c r="Y56816" s="97"/>
    </row>
    <row r="56817" spans="25:25" x14ac:dyDescent="0.2">
      <c r="Y56817" s="97"/>
    </row>
    <row r="56818" spans="25:25" x14ac:dyDescent="0.2">
      <c r="Y56818" s="97"/>
    </row>
    <row r="56819" spans="25:25" x14ac:dyDescent="0.2">
      <c r="Y56819" s="97"/>
    </row>
    <row r="56820" spans="25:25" x14ac:dyDescent="0.2">
      <c r="Y56820" s="97"/>
    </row>
    <row r="56821" spans="25:25" x14ac:dyDescent="0.2">
      <c r="Y56821" s="97"/>
    </row>
    <row r="56822" spans="25:25" x14ac:dyDescent="0.2">
      <c r="Y56822" s="97"/>
    </row>
    <row r="56823" spans="25:25" x14ac:dyDescent="0.2">
      <c r="Y56823" s="97"/>
    </row>
    <row r="56824" spans="25:25" x14ac:dyDescent="0.2">
      <c r="Y56824" s="97"/>
    </row>
    <row r="56825" spans="25:25" x14ac:dyDescent="0.2">
      <c r="Y56825" s="97"/>
    </row>
    <row r="56826" spans="25:25" x14ac:dyDescent="0.2">
      <c r="Y56826" s="97"/>
    </row>
    <row r="56827" spans="25:25" x14ac:dyDescent="0.2">
      <c r="Y56827" s="97"/>
    </row>
    <row r="56828" spans="25:25" x14ac:dyDescent="0.2">
      <c r="Y56828" s="97"/>
    </row>
    <row r="56829" spans="25:25" x14ac:dyDescent="0.2">
      <c r="Y56829" s="97"/>
    </row>
    <row r="56830" spans="25:25" x14ac:dyDescent="0.2">
      <c r="Y56830" s="97"/>
    </row>
    <row r="56831" spans="25:25" x14ac:dyDescent="0.2">
      <c r="Y56831" s="97"/>
    </row>
    <row r="56832" spans="25:25" x14ac:dyDescent="0.2">
      <c r="Y56832" s="97"/>
    </row>
    <row r="56833" spans="25:25" x14ac:dyDescent="0.2">
      <c r="Y56833" s="97"/>
    </row>
    <row r="56834" spans="25:25" x14ac:dyDescent="0.2">
      <c r="Y56834" s="97"/>
    </row>
    <row r="56835" spans="25:25" x14ac:dyDescent="0.2">
      <c r="Y56835" s="97"/>
    </row>
    <row r="56836" spans="25:25" x14ac:dyDescent="0.2">
      <c r="Y56836" s="97"/>
    </row>
    <row r="56837" spans="25:25" x14ac:dyDescent="0.2">
      <c r="Y56837" s="97"/>
    </row>
    <row r="56838" spans="25:25" x14ac:dyDescent="0.2">
      <c r="Y56838" s="97"/>
    </row>
    <row r="56839" spans="25:25" x14ac:dyDescent="0.2">
      <c r="Y56839" s="97"/>
    </row>
    <row r="56840" spans="25:25" x14ac:dyDescent="0.2">
      <c r="Y56840" s="97"/>
    </row>
    <row r="56841" spans="25:25" x14ac:dyDescent="0.2">
      <c r="Y56841" s="97"/>
    </row>
    <row r="56842" spans="25:25" x14ac:dyDescent="0.2">
      <c r="Y56842" s="97"/>
    </row>
    <row r="56843" spans="25:25" x14ac:dyDescent="0.2">
      <c r="Y56843" s="97"/>
    </row>
    <row r="56844" spans="25:25" x14ac:dyDescent="0.2">
      <c r="Y56844" s="97"/>
    </row>
    <row r="56845" spans="25:25" x14ac:dyDescent="0.2">
      <c r="Y56845" s="97"/>
    </row>
    <row r="56846" spans="25:25" x14ac:dyDescent="0.2">
      <c r="Y56846" s="97"/>
    </row>
    <row r="56847" spans="25:25" x14ac:dyDescent="0.2">
      <c r="Y56847" s="97"/>
    </row>
    <row r="56848" spans="25:25" x14ac:dyDescent="0.2">
      <c r="Y56848" s="97"/>
    </row>
    <row r="56849" spans="25:25" x14ac:dyDescent="0.2">
      <c r="Y56849" s="97"/>
    </row>
    <row r="56850" spans="25:25" x14ac:dyDescent="0.2">
      <c r="Y56850" s="97"/>
    </row>
    <row r="56851" spans="25:25" x14ac:dyDescent="0.2">
      <c r="Y56851" s="97"/>
    </row>
    <row r="56852" spans="25:25" x14ac:dyDescent="0.2">
      <c r="Y56852" s="97"/>
    </row>
    <row r="56853" spans="25:25" x14ac:dyDescent="0.2">
      <c r="Y56853" s="97"/>
    </row>
    <row r="56854" spans="25:25" x14ac:dyDescent="0.2">
      <c r="Y56854" s="97"/>
    </row>
    <row r="56855" spans="25:25" x14ac:dyDescent="0.2">
      <c r="Y56855" s="97"/>
    </row>
    <row r="56856" spans="25:25" x14ac:dyDescent="0.2">
      <c r="Y56856" s="97"/>
    </row>
    <row r="56857" spans="25:25" x14ac:dyDescent="0.2">
      <c r="Y56857" s="97"/>
    </row>
    <row r="56858" spans="25:25" x14ac:dyDescent="0.2">
      <c r="Y56858" s="97"/>
    </row>
    <row r="56859" spans="25:25" x14ac:dyDescent="0.2">
      <c r="Y56859" s="97"/>
    </row>
    <row r="56860" spans="25:25" x14ac:dyDescent="0.2">
      <c r="Y56860" s="97"/>
    </row>
    <row r="56861" spans="25:25" x14ac:dyDescent="0.2">
      <c r="Y56861" s="97"/>
    </row>
    <row r="56862" spans="25:25" x14ac:dyDescent="0.2">
      <c r="Y56862" s="97"/>
    </row>
    <row r="56863" spans="25:25" x14ac:dyDescent="0.2">
      <c r="Y56863" s="97"/>
    </row>
    <row r="56864" spans="25:25" x14ac:dyDescent="0.2">
      <c r="Y56864" s="97"/>
    </row>
    <row r="56865" spans="25:25" x14ac:dyDescent="0.2">
      <c r="Y56865" s="97"/>
    </row>
    <row r="56866" spans="25:25" x14ac:dyDescent="0.2">
      <c r="Y56866" s="97"/>
    </row>
    <row r="56867" spans="25:25" x14ac:dyDescent="0.2">
      <c r="Y56867" s="97"/>
    </row>
    <row r="56868" spans="25:25" x14ac:dyDescent="0.2">
      <c r="Y56868" s="97"/>
    </row>
    <row r="56869" spans="25:25" x14ac:dyDescent="0.2">
      <c r="Y56869" s="97"/>
    </row>
    <row r="56870" spans="25:25" x14ac:dyDescent="0.2">
      <c r="Y56870" s="97"/>
    </row>
    <row r="56871" spans="25:25" x14ac:dyDescent="0.2">
      <c r="Y56871" s="97"/>
    </row>
    <row r="56872" spans="25:25" x14ac:dyDescent="0.2">
      <c r="Y56872" s="97"/>
    </row>
    <row r="56873" spans="25:25" x14ac:dyDescent="0.2">
      <c r="Y56873" s="97"/>
    </row>
    <row r="56874" spans="25:25" x14ac:dyDescent="0.2">
      <c r="Y56874" s="97"/>
    </row>
    <row r="56875" spans="25:25" x14ac:dyDescent="0.2">
      <c r="Y56875" s="97"/>
    </row>
    <row r="56876" spans="25:25" x14ac:dyDescent="0.2">
      <c r="Y56876" s="97"/>
    </row>
    <row r="56877" spans="25:25" x14ac:dyDescent="0.2">
      <c r="Y56877" s="97"/>
    </row>
    <row r="56878" spans="25:25" x14ac:dyDescent="0.2">
      <c r="Y56878" s="97"/>
    </row>
    <row r="56879" spans="25:25" x14ac:dyDescent="0.2">
      <c r="Y56879" s="97"/>
    </row>
    <row r="56880" spans="25:25" x14ac:dyDescent="0.2">
      <c r="Y56880" s="97"/>
    </row>
    <row r="56881" spans="25:25" x14ac:dyDescent="0.2">
      <c r="Y56881" s="97"/>
    </row>
    <row r="56882" spans="25:25" x14ac:dyDescent="0.2">
      <c r="Y56882" s="97"/>
    </row>
    <row r="56883" spans="25:25" x14ac:dyDescent="0.2">
      <c r="Y56883" s="97"/>
    </row>
    <row r="56884" spans="25:25" x14ac:dyDescent="0.2">
      <c r="Y56884" s="97"/>
    </row>
    <row r="56885" spans="25:25" x14ac:dyDescent="0.2">
      <c r="Y56885" s="97"/>
    </row>
    <row r="56886" spans="25:25" x14ac:dyDescent="0.2">
      <c r="Y56886" s="97"/>
    </row>
    <row r="56887" spans="25:25" x14ac:dyDescent="0.2">
      <c r="Y56887" s="97"/>
    </row>
    <row r="56888" spans="25:25" x14ac:dyDescent="0.2">
      <c r="Y56888" s="97"/>
    </row>
    <row r="56889" spans="25:25" x14ac:dyDescent="0.2">
      <c r="Y56889" s="97"/>
    </row>
    <row r="56890" spans="25:25" x14ac:dyDescent="0.2">
      <c r="Y56890" s="97"/>
    </row>
    <row r="56891" spans="25:25" x14ac:dyDescent="0.2">
      <c r="Y56891" s="97"/>
    </row>
    <row r="56892" spans="25:25" x14ac:dyDescent="0.2">
      <c r="Y56892" s="97"/>
    </row>
    <row r="56893" spans="25:25" x14ac:dyDescent="0.2">
      <c r="Y56893" s="97"/>
    </row>
    <row r="56894" spans="25:25" x14ac:dyDescent="0.2">
      <c r="Y56894" s="97"/>
    </row>
    <row r="56895" spans="25:25" x14ac:dyDescent="0.2">
      <c r="Y56895" s="97"/>
    </row>
    <row r="56896" spans="25:25" x14ac:dyDescent="0.2">
      <c r="Y56896" s="97"/>
    </row>
    <row r="56897" spans="25:25" x14ac:dyDescent="0.2">
      <c r="Y56897" s="97"/>
    </row>
    <row r="56898" spans="25:25" x14ac:dyDescent="0.2">
      <c r="Y56898" s="97"/>
    </row>
    <row r="56899" spans="25:25" x14ac:dyDescent="0.2">
      <c r="Y56899" s="97"/>
    </row>
    <row r="56900" spans="25:25" x14ac:dyDescent="0.2">
      <c r="Y56900" s="97"/>
    </row>
    <row r="56901" spans="25:25" x14ac:dyDescent="0.2">
      <c r="Y56901" s="97"/>
    </row>
    <row r="56902" spans="25:25" x14ac:dyDescent="0.2">
      <c r="Y56902" s="97"/>
    </row>
    <row r="56903" spans="25:25" x14ac:dyDescent="0.2">
      <c r="Y56903" s="97"/>
    </row>
    <row r="56904" spans="25:25" x14ac:dyDescent="0.2">
      <c r="Y56904" s="97"/>
    </row>
    <row r="56905" spans="25:25" x14ac:dyDescent="0.2">
      <c r="Y56905" s="97"/>
    </row>
    <row r="56906" spans="25:25" x14ac:dyDescent="0.2">
      <c r="Y56906" s="97"/>
    </row>
    <row r="56907" spans="25:25" x14ac:dyDescent="0.2">
      <c r="Y56907" s="97"/>
    </row>
    <row r="56908" spans="25:25" x14ac:dyDescent="0.2">
      <c r="Y56908" s="97"/>
    </row>
    <row r="56909" spans="25:25" x14ac:dyDescent="0.2">
      <c r="Y56909" s="97"/>
    </row>
    <row r="56910" spans="25:25" x14ac:dyDescent="0.2">
      <c r="Y56910" s="97"/>
    </row>
    <row r="56911" spans="25:25" x14ac:dyDescent="0.2">
      <c r="Y56911" s="97"/>
    </row>
    <row r="56912" spans="25:25" x14ac:dyDescent="0.2">
      <c r="Y56912" s="97"/>
    </row>
    <row r="56913" spans="25:25" x14ac:dyDescent="0.2">
      <c r="Y56913" s="97"/>
    </row>
    <row r="56914" spans="25:25" x14ac:dyDescent="0.2">
      <c r="Y56914" s="97"/>
    </row>
    <row r="56915" spans="25:25" x14ac:dyDescent="0.2">
      <c r="Y56915" s="97"/>
    </row>
    <row r="56916" spans="25:25" x14ac:dyDescent="0.2">
      <c r="Y56916" s="97"/>
    </row>
    <row r="56917" spans="25:25" x14ac:dyDescent="0.2">
      <c r="Y56917" s="97"/>
    </row>
    <row r="56918" spans="25:25" x14ac:dyDescent="0.2">
      <c r="Y56918" s="97"/>
    </row>
    <row r="56919" spans="25:25" x14ac:dyDescent="0.2">
      <c r="Y56919" s="97"/>
    </row>
    <row r="56920" spans="25:25" x14ac:dyDescent="0.2">
      <c r="Y56920" s="97"/>
    </row>
    <row r="56921" spans="25:25" x14ac:dyDescent="0.2">
      <c r="Y56921" s="97"/>
    </row>
    <row r="56922" spans="25:25" x14ac:dyDescent="0.2">
      <c r="Y56922" s="97"/>
    </row>
    <row r="56923" spans="25:25" x14ac:dyDescent="0.2">
      <c r="Y56923" s="97"/>
    </row>
    <row r="56924" spans="25:25" x14ac:dyDescent="0.2">
      <c r="Y56924" s="97"/>
    </row>
    <row r="56925" spans="25:25" x14ac:dyDescent="0.2">
      <c r="Y56925" s="97"/>
    </row>
    <row r="56926" spans="25:25" x14ac:dyDescent="0.2">
      <c r="Y56926" s="97"/>
    </row>
    <row r="56927" spans="25:25" x14ac:dyDescent="0.2">
      <c r="Y56927" s="97"/>
    </row>
    <row r="56928" spans="25:25" x14ac:dyDescent="0.2">
      <c r="Y56928" s="97"/>
    </row>
    <row r="56929" spans="25:25" x14ac:dyDescent="0.2">
      <c r="Y56929" s="97"/>
    </row>
    <row r="56930" spans="25:25" x14ac:dyDescent="0.2">
      <c r="Y56930" s="97"/>
    </row>
    <row r="56931" spans="25:25" x14ac:dyDescent="0.2">
      <c r="Y56931" s="97"/>
    </row>
    <row r="56932" spans="25:25" x14ac:dyDescent="0.2">
      <c r="Y56932" s="97"/>
    </row>
    <row r="56933" spans="25:25" x14ac:dyDescent="0.2">
      <c r="Y56933" s="97"/>
    </row>
    <row r="56934" spans="25:25" x14ac:dyDescent="0.2">
      <c r="Y56934" s="97"/>
    </row>
    <row r="56935" spans="25:25" x14ac:dyDescent="0.2">
      <c r="Y56935" s="97"/>
    </row>
    <row r="56936" spans="25:25" x14ac:dyDescent="0.2">
      <c r="Y56936" s="97"/>
    </row>
    <row r="56937" spans="25:25" x14ac:dyDescent="0.2">
      <c r="Y56937" s="97"/>
    </row>
    <row r="56938" spans="25:25" x14ac:dyDescent="0.2">
      <c r="Y56938" s="97"/>
    </row>
    <row r="56939" spans="25:25" x14ac:dyDescent="0.2">
      <c r="Y56939" s="97"/>
    </row>
    <row r="56940" spans="25:25" x14ac:dyDescent="0.2">
      <c r="Y56940" s="97"/>
    </row>
    <row r="56941" spans="25:25" x14ac:dyDescent="0.2">
      <c r="Y56941" s="97"/>
    </row>
    <row r="56942" spans="25:25" x14ac:dyDescent="0.2">
      <c r="Y56942" s="97"/>
    </row>
    <row r="56943" spans="25:25" x14ac:dyDescent="0.2">
      <c r="Y56943" s="97"/>
    </row>
    <row r="56944" spans="25:25" x14ac:dyDescent="0.2">
      <c r="Y56944" s="97"/>
    </row>
    <row r="56945" spans="25:25" x14ac:dyDescent="0.2">
      <c r="Y56945" s="97"/>
    </row>
    <row r="56946" spans="25:25" x14ac:dyDescent="0.2">
      <c r="Y56946" s="97"/>
    </row>
    <row r="56947" spans="25:25" x14ac:dyDescent="0.2">
      <c r="Y56947" s="97"/>
    </row>
    <row r="56948" spans="25:25" x14ac:dyDescent="0.2">
      <c r="Y56948" s="97"/>
    </row>
    <row r="56949" spans="25:25" x14ac:dyDescent="0.2">
      <c r="Y56949" s="97"/>
    </row>
    <row r="56950" spans="25:25" x14ac:dyDescent="0.2">
      <c r="Y56950" s="97"/>
    </row>
    <row r="56951" spans="25:25" x14ac:dyDescent="0.2">
      <c r="Y56951" s="97"/>
    </row>
    <row r="56952" spans="25:25" x14ac:dyDescent="0.2">
      <c r="Y56952" s="97"/>
    </row>
    <row r="56953" spans="25:25" x14ac:dyDescent="0.2">
      <c r="Y56953" s="97"/>
    </row>
    <row r="56954" spans="25:25" x14ac:dyDescent="0.2">
      <c r="Y56954" s="97"/>
    </row>
    <row r="56955" spans="25:25" x14ac:dyDescent="0.2">
      <c r="Y56955" s="97"/>
    </row>
    <row r="56956" spans="25:25" x14ac:dyDescent="0.2">
      <c r="Y56956" s="97"/>
    </row>
    <row r="56957" spans="25:25" x14ac:dyDescent="0.2">
      <c r="Y56957" s="97"/>
    </row>
    <row r="56958" spans="25:25" x14ac:dyDescent="0.2">
      <c r="Y56958" s="97"/>
    </row>
    <row r="56959" spans="25:25" x14ac:dyDescent="0.2">
      <c r="Y56959" s="97"/>
    </row>
    <row r="56960" spans="25:25" x14ac:dyDescent="0.2">
      <c r="Y56960" s="97"/>
    </row>
    <row r="56961" spans="25:25" x14ac:dyDescent="0.2">
      <c r="Y56961" s="97"/>
    </row>
    <row r="56962" spans="25:25" x14ac:dyDescent="0.2">
      <c r="Y56962" s="97"/>
    </row>
    <row r="56963" spans="25:25" x14ac:dyDescent="0.2">
      <c r="Y56963" s="97"/>
    </row>
    <row r="56964" spans="25:25" x14ac:dyDescent="0.2">
      <c r="Y56964" s="97"/>
    </row>
    <row r="56965" spans="25:25" x14ac:dyDescent="0.2">
      <c r="Y56965" s="97"/>
    </row>
    <row r="56966" spans="25:25" x14ac:dyDescent="0.2">
      <c r="Y56966" s="97"/>
    </row>
    <row r="56967" spans="25:25" x14ac:dyDescent="0.2">
      <c r="Y56967" s="97"/>
    </row>
    <row r="56968" spans="25:25" x14ac:dyDescent="0.2">
      <c r="Y56968" s="97"/>
    </row>
    <row r="56969" spans="25:25" x14ac:dyDescent="0.2">
      <c r="Y56969" s="97"/>
    </row>
    <row r="56970" spans="25:25" x14ac:dyDescent="0.2">
      <c r="Y56970" s="97"/>
    </row>
    <row r="56971" spans="25:25" x14ac:dyDescent="0.2">
      <c r="Y56971" s="97"/>
    </row>
    <row r="56972" spans="25:25" x14ac:dyDescent="0.2">
      <c r="Y56972" s="97"/>
    </row>
    <row r="56973" spans="25:25" x14ac:dyDescent="0.2">
      <c r="Y56973" s="97"/>
    </row>
    <row r="56974" spans="25:25" x14ac:dyDescent="0.2">
      <c r="Y56974" s="97"/>
    </row>
    <row r="56975" spans="25:25" x14ac:dyDescent="0.2">
      <c r="Y56975" s="97"/>
    </row>
    <row r="56976" spans="25:25" x14ac:dyDescent="0.2">
      <c r="Y56976" s="97"/>
    </row>
    <row r="56977" spans="25:25" x14ac:dyDescent="0.2">
      <c r="Y56977" s="97"/>
    </row>
    <row r="56978" spans="25:25" x14ac:dyDescent="0.2">
      <c r="Y56978" s="97"/>
    </row>
    <row r="56979" spans="25:25" x14ac:dyDescent="0.2">
      <c r="Y56979" s="97"/>
    </row>
    <row r="56980" spans="25:25" x14ac:dyDescent="0.2">
      <c r="Y56980" s="97"/>
    </row>
    <row r="56981" spans="25:25" x14ac:dyDescent="0.2">
      <c r="Y56981" s="97"/>
    </row>
    <row r="56982" spans="25:25" x14ac:dyDescent="0.2">
      <c r="Y56982" s="97"/>
    </row>
    <row r="56983" spans="25:25" x14ac:dyDescent="0.2">
      <c r="Y56983" s="97"/>
    </row>
    <row r="56984" spans="25:25" x14ac:dyDescent="0.2">
      <c r="Y56984" s="97"/>
    </row>
    <row r="56985" spans="25:25" x14ac:dyDescent="0.2">
      <c r="Y56985" s="97"/>
    </row>
    <row r="56986" spans="25:25" x14ac:dyDescent="0.2">
      <c r="Y56986" s="97"/>
    </row>
    <row r="56987" spans="25:25" x14ac:dyDescent="0.2">
      <c r="Y56987" s="97"/>
    </row>
    <row r="56988" spans="25:25" x14ac:dyDescent="0.2">
      <c r="Y56988" s="97"/>
    </row>
    <row r="56989" spans="25:25" x14ac:dyDescent="0.2">
      <c r="Y56989" s="97"/>
    </row>
    <row r="56990" spans="25:25" x14ac:dyDescent="0.2">
      <c r="Y56990" s="97"/>
    </row>
    <row r="56991" spans="25:25" x14ac:dyDescent="0.2">
      <c r="Y56991" s="97"/>
    </row>
    <row r="56992" spans="25:25" x14ac:dyDescent="0.2">
      <c r="Y56992" s="97"/>
    </row>
    <row r="56993" spans="25:25" x14ac:dyDescent="0.2">
      <c r="Y56993" s="97"/>
    </row>
    <row r="56994" spans="25:25" x14ac:dyDescent="0.2">
      <c r="Y56994" s="97"/>
    </row>
    <row r="56995" spans="25:25" x14ac:dyDescent="0.2">
      <c r="Y56995" s="97"/>
    </row>
    <row r="56996" spans="25:25" x14ac:dyDescent="0.2">
      <c r="Y56996" s="97"/>
    </row>
    <row r="56997" spans="25:25" x14ac:dyDescent="0.2">
      <c r="Y56997" s="97"/>
    </row>
    <row r="56998" spans="25:25" x14ac:dyDescent="0.2">
      <c r="Y56998" s="97"/>
    </row>
    <row r="56999" spans="25:25" x14ac:dyDescent="0.2">
      <c r="Y56999" s="97"/>
    </row>
    <row r="57000" spans="25:25" x14ac:dyDescent="0.2">
      <c r="Y57000" s="97"/>
    </row>
    <row r="57001" spans="25:25" x14ac:dyDescent="0.2">
      <c r="Y57001" s="97"/>
    </row>
    <row r="57002" spans="25:25" x14ac:dyDescent="0.2">
      <c r="Y57002" s="97"/>
    </row>
    <row r="57003" spans="25:25" x14ac:dyDescent="0.2">
      <c r="Y57003" s="97"/>
    </row>
    <row r="57004" spans="25:25" x14ac:dyDescent="0.2">
      <c r="Y57004" s="97"/>
    </row>
    <row r="57005" spans="25:25" x14ac:dyDescent="0.2">
      <c r="Y57005" s="97"/>
    </row>
    <row r="57006" spans="25:25" x14ac:dyDescent="0.2">
      <c r="Y57006" s="97"/>
    </row>
    <row r="57007" spans="25:25" x14ac:dyDescent="0.2">
      <c r="Y57007" s="97"/>
    </row>
    <row r="57008" spans="25:25" x14ac:dyDescent="0.2">
      <c r="Y57008" s="97"/>
    </row>
    <row r="57009" spans="25:25" x14ac:dyDescent="0.2">
      <c r="Y57009" s="97"/>
    </row>
    <row r="57010" spans="25:25" x14ac:dyDescent="0.2">
      <c r="Y57010" s="97"/>
    </row>
    <row r="57011" spans="25:25" x14ac:dyDescent="0.2">
      <c r="Y57011" s="97"/>
    </row>
    <row r="57012" spans="25:25" x14ac:dyDescent="0.2">
      <c r="Y57012" s="97"/>
    </row>
    <row r="57013" spans="25:25" x14ac:dyDescent="0.2">
      <c r="Y57013" s="97"/>
    </row>
    <row r="57014" spans="25:25" x14ac:dyDescent="0.2">
      <c r="Y57014" s="97"/>
    </row>
    <row r="57015" spans="25:25" x14ac:dyDescent="0.2">
      <c r="Y57015" s="97"/>
    </row>
    <row r="57016" spans="25:25" x14ac:dyDescent="0.2">
      <c r="Y57016" s="97"/>
    </row>
    <row r="57017" spans="25:25" x14ac:dyDescent="0.2">
      <c r="Y57017" s="97"/>
    </row>
    <row r="57018" spans="25:25" x14ac:dyDescent="0.2">
      <c r="Y57018" s="97"/>
    </row>
    <row r="57019" spans="25:25" x14ac:dyDescent="0.2">
      <c r="Y57019" s="97"/>
    </row>
    <row r="57020" spans="25:25" x14ac:dyDescent="0.2">
      <c r="Y57020" s="97"/>
    </row>
    <row r="57021" spans="25:25" x14ac:dyDescent="0.2">
      <c r="Y57021" s="97"/>
    </row>
    <row r="57022" spans="25:25" x14ac:dyDescent="0.2">
      <c r="Y57022" s="97"/>
    </row>
    <row r="57023" spans="25:25" x14ac:dyDescent="0.2">
      <c r="Y57023" s="97"/>
    </row>
    <row r="57024" spans="25:25" x14ac:dyDescent="0.2">
      <c r="Y57024" s="97"/>
    </row>
    <row r="57025" spans="25:25" x14ac:dyDescent="0.2">
      <c r="Y57025" s="97"/>
    </row>
    <row r="57026" spans="25:25" x14ac:dyDescent="0.2">
      <c r="Y57026" s="97"/>
    </row>
    <row r="57027" spans="25:25" x14ac:dyDescent="0.2">
      <c r="Y57027" s="97"/>
    </row>
    <row r="57028" spans="25:25" x14ac:dyDescent="0.2">
      <c r="Y57028" s="97"/>
    </row>
    <row r="57029" spans="25:25" x14ac:dyDescent="0.2">
      <c r="Y57029" s="97"/>
    </row>
    <row r="57030" spans="25:25" x14ac:dyDescent="0.2">
      <c r="Y57030" s="97"/>
    </row>
    <row r="57031" spans="25:25" x14ac:dyDescent="0.2">
      <c r="Y57031" s="97"/>
    </row>
    <row r="57032" spans="25:25" x14ac:dyDescent="0.2">
      <c r="Y57032" s="97"/>
    </row>
    <row r="57033" spans="25:25" x14ac:dyDescent="0.2">
      <c r="Y57033" s="97"/>
    </row>
    <row r="57034" spans="25:25" x14ac:dyDescent="0.2">
      <c r="Y57034" s="97"/>
    </row>
    <row r="57035" spans="25:25" x14ac:dyDescent="0.2">
      <c r="Y57035" s="97"/>
    </row>
    <row r="57036" spans="25:25" x14ac:dyDescent="0.2">
      <c r="Y57036" s="97"/>
    </row>
    <row r="57037" spans="25:25" x14ac:dyDescent="0.2">
      <c r="Y57037" s="97"/>
    </row>
    <row r="57038" spans="25:25" x14ac:dyDescent="0.2">
      <c r="Y57038" s="97"/>
    </row>
    <row r="57039" spans="25:25" x14ac:dyDescent="0.2">
      <c r="Y57039" s="97"/>
    </row>
    <row r="57040" spans="25:25" x14ac:dyDescent="0.2">
      <c r="Y57040" s="97"/>
    </row>
    <row r="57041" spans="25:25" x14ac:dyDescent="0.2">
      <c r="Y57041" s="97"/>
    </row>
    <row r="57042" spans="25:25" x14ac:dyDescent="0.2">
      <c r="Y57042" s="97"/>
    </row>
    <row r="57043" spans="25:25" x14ac:dyDescent="0.2">
      <c r="Y57043" s="97"/>
    </row>
    <row r="57044" spans="25:25" x14ac:dyDescent="0.2">
      <c r="Y57044" s="97"/>
    </row>
    <row r="57045" spans="25:25" x14ac:dyDescent="0.2">
      <c r="Y57045" s="97"/>
    </row>
    <row r="57046" spans="25:25" x14ac:dyDescent="0.2">
      <c r="Y57046" s="97"/>
    </row>
    <row r="57047" spans="25:25" x14ac:dyDescent="0.2">
      <c r="Y57047" s="97"/>
    </row>
    <row r="57048" spans="25:25" x14ac:dyDescent="0.2">
      <c r="Y57048" s="97"/>
    </row>
    <row r="57049" spans="25:25" x14ac:dyDescent="0.2">
      <c r="Y57049" s="97"/>
    </row>
    <row r="57050" spans="25:25" x14ac:dyDescent="0.2">
      <c r="Y57050" s="97"/>
    </row>
    <row r="57051" spans="25:25" x14ac:dyDescent="0.2">
      <c r="Y57051" s="97"/>
    </row>
    <row r="57052" spans="25:25" x14ac:dyDescent="0.2">
      <c r="Y57052" s="97"/>
    </row>
    <row r="57053" spans="25:25" x14ac:dyDescent="0.2">
      <c r="Y57053" s="97"/>
    </row>
    <row r="57054" spans="25:25" x14ac:dyDescent="0.2">
      <c r="Y57054" s="97"/>
    </row>
    <row r="57055" spans="25:25" x14ac:dyDescent="0.2">
      <c r="Y57055" s="97"/>
    </row>
    <row r="57056" spans="25:25" x14ac:dyDescent="0.2">
      <c r="Y57056" s="97"/>
    </row>
    <row r="57057" spans="25:25" x14ac:dyDescent="0.2">
      <c r="Y57057" s="97"/>
    </row>
    <row r="57058" spans="25:25" x14ac:dyDescent="0.2">
      <c r="Y57058" s="97"/>
    </row>
    <row r="57059" spans="25:25" x14ac:dyDescent="0.2">
      <c r="Y57059" s="97"/>
    </row>
    <row r="57060" spans="25:25" x14ac:dyDescent="0.2">
      <c r="Y57060" s="97"/>
    </row>
    <row r="57061" spans="25:25" x14ac:dyDescent="0.2">
      <c r="Y57061" s="97"/>
    </row>
    <row r="57062" spans="25:25" x14ac:dyDescent="0.2">
      <c r="Y57062" s="97"/>
    </row>
    <row r="57063" spans="25:25" x14ac:dyDescent="0.2">
      <c r="Y57063" s="97"/>
    </row>
    <row r="57064" spans="25:25" x14ac:dyDescent="0.2">
      <c r="Y57064" s="97"/>
    </row>
    <row r="57065" spans="25:25" x14ac:dyDescent="0.2">
      <c r="Y57065" s="97"/>
    </row>
    <row r="57066" spans="25:25" x14ac:dyDescent="0.2">
      <c r="Y57066" s="97"/>
    </row>
    <row r="57067" spans="25:25" x14ac:dyDescent="0.2">
      <c r="Y57067" s="97"/>
    </row>
    <row r="57068" spans="25:25" x14ac:dyDescent="0.2">
      <c r="Y57068" s="97"/>
    </row>
    <row r="57069" spans="25:25" x14ac:dyDescent="0.2">
      <c r="Y57069" s="97"/>
    </row>
    <row r="57070" spans="25:25" x14ac:dyDescent="0.2">
      <c r="Y57070" s="97"/>
    </row>
    <row r="57071" spans="25:25" x14ac:dyDescent="0.2">
      <c r="Y57071" s="97"/>
    </row>
    <row r="57072" spans="25:25" x14ac:dyDescent="0.2">
      <c r="Y57072" s="97"/>
    </row>
    <row r="57073" spans="25:25" x14ac:dyDescent="0.2">
      <c r="Y57073" s="97"/>
    </row>
    <row r="57074" spans="25:25" x14ac:dyDescent="0.2">
      <c r="Y57074" s="97"/>
    </row>
    <row r="57075" spans="25:25" x14ac:dyDescent="0.2">
      <c r="Y57075" s="97"/>
    </row>
    <row r="57076" spans="25:25" x14ac:dyDescent="0.2">
      <c r="Y57076" s="97"/>
    </row>
    <row r="57077" spans="25:25" x14ac:dyDescent="0.2">
      <c r="Y57077" s="97"/>
    </row>
    <row r="57078" spans="25:25" x14ac:dyDescent="0.2">
      <c r="Y57078" s="97"/>
    </row>
    <row r="57079" spans="25:25" x14ac:dyDescent="0.2">
      <c r="Y57079" s="97"/>
    </row>
    <row r="57080" spans="25:25" x14ac:dyDescent="0.2">
      <c r="Y57080" s="97"/>
    </row>
    <row r="57081" spans="25:25" x14ac:dyDescent="0.2">
      <c r="Y57081" s="97"/>
    </row>
    <row r="57082" spans="25:25" x14ac:dyDescent="0.2">
      <c r="Y57082" s="97"/>
    </row>
    <row r="57083" spans="25:25" x14ac:dyDescent="0.2">
      <c r="Y57083" s="97"/>
    </row>
    <row r="57084" spans="25:25" x14ac:dyDescent="0.2">
      <c r="Y57084" s="97"/>
    </row>
    <row r="57085" spans="25:25" x14ac:dyDescent="0.2">
      <c r="Y57085" s="97"/>
    </row>
    <row r="57086" spans="25:25" x14ac:dyDescent="0.2">
      <c r="Y57086" s="97"/>
    </row>
    <row r="57087" spans="25:25" x14ac:dyDescent="0.2">
      <c r="Y57087" s="97"/>
    </row>
    <row r="57088" spans="25:25" x14ac:dyDescent="0.2">
      <c r="Y57088" s="97"/>
    </row>
    <row r="57089" spans="25:25" x14ac:dyDescent="0.2">
      <c r="Y57089" s="97"/>
    </row>
    <row r="57090" spans="25:25" x14ac:dyDescent="0.2">
      <c r="Y57090" s="97"/>
    </row>
    <row r="57091" spans="25:25" x14ac:dyDescent="0.2">
      <c r="Y57091" s="97"/>
    </row>
    <row r="57092" spans="25:25" x14ac:dyDescent="0.2">
      <c r="Y57092" s="97"/>
    </row>
    <row r="57093" spans="25:25" x14ac:dyDescent="0.2">
      <c r="Y57093" s="97"/>
    </row>
    <row r="57094" spans="25:25" x14ac:dyDescent="0.2">
      <c r="Y57094" s="97"/>
    </row>
    <row r="57095" spans="25:25" x14ac:dyDescent="0.2">
      <c r="Y57095" s="97"/>
    </row>
    <row r="57096" spans="25:25" x14ac:dyDescent="0.2">
      <c r="Y57096" s="97"/>
    </row>
    <row r="57097" spans="25:25" x14ac:dyDescent="0.2">
      <c r="Y57097" s="97"/>
    </row>
    <row r="57098" spans="25:25" x14ac:dyDescent="0.2">
      <c r="Y57098" s="97"/>
    </row>
    <row r="57099" spans="25:25" x14ac:dyDescent="0.2">
      <c r="Y57099" s="97"/>
    </row>
    <row r="57100" spans="25:25" x14ac:dyDescent="0.2">
      <c r="Y57100" s="97"/>
    </row>
    <row r="57101" spans="25:25" x14ac:dyDescent="0.2">
      <c r="Y57101" s="97"/>
    </row>
    <row r="57102" spans="25:25" x14ac:dyDescent="0.2">
      <c r="Y57102" s="97"/>
    </row>
    <row r="57103" spans="25:25" x14ac:dyDescent="0.2">
      <c r="Y57103" s="97"/>
    </row>
    <row r="57104" spans="25:25" x14ac:dyDescent="0.2">
      <c r="Y57104" s="97"/>
    </row>
    <row r="57105" spans="25:25" x14ac:dyDescent="0.2">
      <c r="Y57105" s="97"/>
    </row>
    <row r="57106" spans="25:25" x14ac:dyDescent="0.2">
      <c r="Y57106" s="97"/>
    </row>
    <row r="57107" spans="25:25" x14ac:dyDescent="0.2">
      <c r="Y57107" s="97"/>
    </row>
    <row r="57108" spans="25:25" x14ac:dyDescent="0.2">
      <c r="Y57108" s="97"/>
    </row>
    <row r="57109" spans="25:25" x14ac:dyDescent="0.2">
      <c r="Y57109" s="97"/>
    </row>
    <row r="57110" spans="25:25" x14ac:dyDescent="0.2">
      <c r="Y57110" s="97"/>
    </row>
    <row r="57111" spans="25:25" x14ac:dyDescent="0.2">
      <c r="Y57111" s="97"/>
    </row>
    <row r="57112" spans="25:25" x14ac:dyDescent="0.2">
      <c r="Y57112" s="97"/>
    </row>
    <row r="57113" spans="25:25" x14ac:dyDescent="0.2">
      <c r="Y57113" s="97"/>
    </row>
    <row r="57114" spans="25:25" x14ac:dyDescent="0.2">
      <c r="Y57114" s="97"/>
    </row>
    <row r="57115" spans="25:25" x14ac:dyDescent="0.2">
      <c r="Y57115" s="97"/>
    </row>
    <row r="57116" spans="25:25" x14ac:dyDescent="0.2">
      <c r="Y57116" s="97"/>
    </row>
    <row r="57117" spans="25:25" x14ac:dyDescent="0.2">
      <c r="Y57117" s="97"/>
    </row>
    <row r="57118" spans="25:25" x14ac:dyDescent="0.2">
      <c r="Y57118" s="97"/>
    </row>
    <row r="57119" spans="25:25" x14ac:dyDescent="0.2">
      <c r="Y57119" s="97"/>
    </row>
    <row r="57120" spans="25:25" x14ac:dyDescent="0.2">
      <c r="Y57120" s="97"/>
    </row>
    <row r="57121" spans="25:25" x14ac:dyDescent="0.2">
      <c r="Y57121" s="97"/>
    </row>
    <row r="57122" spans="25:25" x14ac:dyDescent="0.2">
      <c r="Y57122" s="97"/>
    </row>
    <row r="57123" spans="25:25" x14ac:dyDescent="0.2">
      <c r="Y57123" s="97"/>
    </row>
    <row r="57124" spans="25:25" x14ac:dyDescent="0.2">
      <c r="Y57124" s="97"/>
    </row>
    <row r="57125" spans="25:25" x14ac:dyDescent="0.2">
      <c r="Y57125" s="97"/>
    </row>
    <row r="57126" spans="25:25" x14ac:dyDescent="0.2">
      <c r="Y57126" s="97"/>
    </row>
    <row r="57127" spans="25:25" x14ac:dyDescent="0.2">
      <c r="Y57127" s="97"/>
    </row>
    <row r="57128" spans="25:25" x14ac:dyDescent="0.2">
      <c r="Y57128" s="97"/>
    </row>
    <row r="57129" spans="25:25" x14ac:dyDescent="0.2">
      <c r="Y57129" s="97"/>
    </row>
    <row r="57130" spans="25:25" x14ac:dyDescent="0.2">
      <c r="Y57130" s="97"/>
    </row>
    <row r="57131" spans="25:25" x14ac:dyDescent="0.2">
      <c r="Y57131" s="97"/>
    </row>
    <row r="57132" spans="25:25" x14ac:dyDescent="0.2">
      <c r="Y57132" s="97"/>
    </row>
    <row r="57133" spans="25:25" x14ac:dyDescent="0.2">
      <c r="Y57133" s="97"/>
    </row>
    <row r="57134" spans="25:25" x14ac:dyDescent="0.2">
      <c r="Y57134" s="97"/>
    </row>
    <row r="57135" spans="25:25" x14ac:dyDescent="0.2">
      <c r="Y57135" s="97"/>
    </row>
    <row r="57136" spans="25:25" x14ac:dyDescent="0.2">
      <c r="Y57136" s="97"/>
    </row>
    <row r="57137" spans="25:25" x14ac:dyDescent="0.2">
      <c r="Y57137" s="97"/>
    </row>
    <row r="57138" spans="25:25" x14ac:dyDescent="0.2">
      <c r="Y57138" s="97"/>
    </row>
    <row r="57139" spans="25:25" x14ac:dyDescent="0.2">
      <c r="Y57139" s="97"/>
    </row>
    <row r="57140" spans="25:25" x14ac:dyDescent="0.2">
      <c r="Y57140" s="97"/>
    </row>
    <row r="57141" spans="25:25" x14ac:dyDescent="0.2">
      <c r="Y57141" s="97"/>
    </row>
    <row r="57142" spans="25:25" x14ac:dyDescent="0.2">
      <c r="Y57142" s="97"/>
    </row>
    <row r="57143" spans="25:25" x14ac:dyDescent="0.2">
      <c r="Y57143" s="97"/>
    </row>
    <row r="57144" spans="25:25" x14ac:dyDescent="0.2">
      <c r="Y57144" s="97"/>
    </row>
    <row r="57145" spans="25:25" x14ac:dyDescent="0.2">
      <c r="Y57145" s="97"/>
    </row>
    <row r="57146" spans="25:25" x14ac:dyDescent="0.2">
      <c r="Y57146" s="97"/>
    </row>
    <row r="57147" spans="25:25" x14ac:dyDescent="0.2">
      <c r="Y57147" s="97"/>
    </row>
    <row r="57148" spans="25:25" x14ac:dyDescent="0.2">
      <c r="Y57148" s="97"/>
    </row>
    <row r="57149" spans="25:25" x14ac:dyDescent="0.2">
      <c r="Y57149" s="97"/>
    </row>
    <row r="57150" spans="25:25" x14ac:dyDescent="0.2">
      <c r="Y57150" s="97"/>
    </row>
    <row r="57151" spans="25:25" x14ac:dyDescent="0.2">
      <c r="Y57151" s="97"/>
    </row>
    <row r="57152" spans="25:25" x14ac:dyDescent="0.2">
      <c r="Y57152" s="97"/>
    </row>
    <row r="57153" spans="25:25" x14ac:dyDescent="0.2">
      <c r="Y57153" s="97"/>
    </row>
    <row r="57154" spans="25:25" x14ac:dyDescent="0.2">
      <c r="Y57154" s="97"/>
    </row>
    <row r="57155" spans="25:25" x14ac:dyDescent="0.2">
      <c r="Y57155" s="97"/>
    </row>
    <row r="57156" spans="25:25" x14ac:dyDescent="0.2">
      <c r="Y57156" s="97"/>
    </row>
    <row r="57157" spans="25:25" x14ac:dyDescent="0.2">
      <c r="Y57157" s="97"/>
    </row>
    <row r="57158" spans="25:25" x14ac:dyDescent="0.2">
      <c r="Y57158" s="97"/>
    </row>
    <row r="57159" spans="25:25" x14ac:dyDescent="0.2">
      <c r="Y57159" s="97"/>
    </row>
    <row r="57160" spans="25:25" x14ac:dyDescent="0.2">
      <c r="Y57160" s="97"/>
    </row>
    <row r="57161" spans="25:25" x14ac:dyDescent="0.2">
      <c r="Y57161" s="97"/>
    </row>
    <row r="57162" spans="25:25" x14ac:dyDescent="0.2">
      <c r="Y57162" s="97"/>
    </row>
    <row r="57163" spans="25:25" x14ac:dyDescent="0.2">
      <c r="Y57163" s="97"/>
    </row>
    <row r="57164" spans="25:25" x14ac:dyDescent="0.2">
      <c r="Y57164" s="97"/>
    </row>
    <row r="57165" spans="25:25" x14ac:dyDescent="0.2">
      <c r="Y57165" s="97"/>
    </row>
    <row r="57166" spans="25:25" x14ac:dyDescent="0.2">
      <c r="Y57166" s="97"/>
    </row>
    <row r="57167" spans="25:25" x14ac:dyDescent="0.2">
      <c r="Y57167" s="97"/>
    </row>
    <row r="57168" spans="25:25" x14ac:dyDescent="0.2">
      <c r="Y57168" s="97"/>
    </row>
    <row r="57169" spans="25:25" x14ac:dyDescent="0.2">
      <c r="Y57169" s="97"/>
    </row>
    <row r="57170" spans="25:25" x14ac:dyDescent="0.2">
      <c r="Y57170" s="97"/>
    </row>
    <row r="57171" spans="25:25" x14ac:dyDescent="0.2">
      <c r="Y57171" s="97"/>
    </row>
    <row r="57172" spans="25:25" x14ac:dyDescent="0.2">
      <c r="Y57172" s="97"/>
    </row>
    <row r="57173" spans="25:25" x14ac:dyDescent="0.2">
      <c r="Y57173" s="97"/>
    </row>
    <row r="57174" spans="25:25" x14ac:dyDescent="0.2">
      <c r="Y57174" s="97"/>
    </row>
    <row r="57175" spans="25:25" x14ac:dyDescent="0.2">
      <c r="Y57175" s="97"/>
    </row>
    <row r="57176" spans="25:25" x14ac:dyDescent="0.2">
      <c r="Y57176" s="97"/>
    </row>
    <row r="57177" spans="25:25" x14ac:dyDescent="0.2">
      <c r="Y57177" s="97"/>
    </row>
    <row r="57178" spans="25:25" x14ac:dyDescent="0.2">
      <c r="Y57178" s="97"/>
    </row>
    <row r="57179" spans="25:25" x14ac:dyDescent="0.2">
      <c r="Y57179" s="97"/>
    </row>
    <row r="57180" spans="25:25" x14ac:dyDescent="0.2">
      <c r="Y57180" s="97"/>
    </row>
    <row r="57181" spans="25:25" x14ac:dyDescent="0.2">
      <c r="Y57181" s="97"/>
    </row>
    <row r="57182" spans="25:25" x14ac:dyDescent="0.2">
      <c r="Y57182" s="97"/>
    </row>
    <row r="57183" spans="25:25" x14ac:dyDescent="0.2">
      <c r="Y57183" s="97"/>
    </row>
    <row r="57184" spans="25:25" x14ac:dyDescent="0.2">
      <c r="Y57184" s="97"/>
    </row>
    <row r="57185" spans="25:25" x14ac:dyDescent="0.2">
      <c r="Y57185" s="97"/>
    </row>
    <row r="57186" spans="25:25" x14ac:dyDescent="0.2">
      <c r="Y57186" s="97"/>
    </row>
    <row r="57187" spans="25:25" x14ac:dyDescent="0.2">
      <c r="Y57187" s="97"/>
    </row>
    <row r="57188" spans="25:25" x14ac:dyDescent="0.2">
      <c r="Y57188" s="97"/>
    </row>
    <row r="57189" spans="25:25" x14ac:dyDescent="0.2">
      <c r="Y57189" s="97"/>
    </row>
    <row r="57190" spans="25:25" x14ac:dyDescent="0.2">
      <c r="Y57190" s="97"/>
    </row>
    <row r="57191" spans="25:25" x14ac:dyDescent="0.2">
      <c r="Y57191" s="97"/>
    </row>
    <row r="57192" spans="25:25" x14ac:dyDescent="0.2">
      <c r="Y57192" s="97"/>
    </row>
    <row r="57193" spans="25:25" x14ac:dyDescent="0.2">
      <c r="Y57193" s="97"/>
    </row>
    <row r="57194" spans="25:25" x14ac:dyDescent="0.2">
      <c r="Y57194" s="97"/>
    </row>
    <row r="57195" spans="25:25" x14ac:dyDescent="0.2">
      <c r="Y57195" s="97"/>
    </row>
    <row r="57196" spans="25:25" x14ac:dyDescent="0.2">
      <c r="Y57196" s="97"/>
    </row>
    <row r="57197" spans="25:25" x14ac:dyDescent="0.2">
      <c r="Y57197" s="97"/>
    </row>
    <row r="57198" spans="25:25" x14ac:dyDescent="0.2">
      <c r="Y57198" s="97"/>
    </row>
    <row r="57199" spans="25:25" x14ac:dyDescent="0.2">
      <c r="Y57199" s="97"/>
    </row>
    <row r="57200" spans="25:25" x14ac:dyDescent="0.2">
      <c r="Y57200" s="97"/>
    </row>
    <row r="57201" spans="25:25" x14ac:dyDescent="0.2">
      <c r="Y57201" s="97"/>
    </row>
    <row r="57202" spans="25:25" x14ac:dyDescent="0.2">
      <c r="Y57202" s="97"/>
    </row>
    <row r="57203" spans="25:25" x14ac:dyDescent="0.2">
      <c r="Y57203" s="97"/>
    </row>
    <row r="57204" spans="25:25" x14ac:dyDescent="0.2">
      <c r="Y57204" s="97"/>
    </row>
    <row r="57205" spans="25:25" x14ac:dyDescent="0.2">
      <c r="Y57205" s="97"/>
    </row>
    <row r="57206" spans="25:25" x14ac:dyDescent="0.2">
      <c r="Y57206" s="97"/>
    </row>
    <row r="57207" spans="25:25" x14ac:dyDescent="0.2">
      <c r="Y57207" s="97"/>
    </row>
    <row r="57208" spans="25:25" x14ac:dyDescent="0.2">
      <c r="Y57208" s="97"/>
    </row>
    <row r="57209" spans="25:25" x14ac:dyDescent="0.2">
      <c r="Y57209" s="97"/>
    </row>
    <row r="57210" spans="25:25" x14ac:dyDescent="0.2">
      <c r="Y57210" s="97"/>
    </row>
    <row r="57211" spans="25:25" x14ac:dyDescent="0.2">
      <c r="Y57211" s="97"/>
    </row>
    <row r="57212" spans="25:25" x14ac:dyDescent="0.2">
      <c r="Y57212" s="97"/>
    </row>
    <row r="57213" spans="25:25" x14ac:dyDescent="0.2">
      <c r="Y57213" s="97"/>
    </row>
    <row r="57214" spans="25:25" x14ac:dyDescent="0.2">
      <c r="Y57214" s="97"/>
    </row>
    <row r="57215" spans="25:25" x14ac:dyDescent="0.2">
      <c r="Y57215" s="97"/>
    </row>
    <row r="57216" spans="25:25" x14ac:dyDescent="0.2">
      <c r="Y57216" s="97"/>
    </row>
    <row r="57217" spans="25:25" x14ac:dyDescent="0.2">
      <c r="Y57217" s="97"/>
    </row>
    <row r="57218" spans="25:25" x14ac:dyDescent="0.2">
      <c r="Y57218" s="97"/>
    </row>
    <row r="57219" spans="25:25" x14ac:dyDescent="0.2">
      <c r="Y57219" s="97"/>
    </row>
    <row r="57220" spans="25:25" x14ac:dyDescent="0.2">
      <c r="Y57220" s="97"/>
    </row>
    <row r="57221" spans="25:25" x14ac:dyDescent="0.2">
      <c r="Y57221" s="97"/>
    </row>
    <row r="57222" spans="25:25" x14ac:dyDescent="0.2">
      <c r="Y57222" s="97"/>
    </row>
    <row r="57223" spans="25:25" x14ac:dyDescent="0.2">
      <c r="Y57223" s="97"/>
    </row>
    <row r="57224" spans="25:25" x14ac:dyDescent="0.2">
      <c r="Y57224" s="97"/>
    </row>
    <row r="57225" spans="25:25" x14ac:dyDescent="0.2">
      <c r="Y57225" s="97"/>
    </row>
    <row r="57226" spans="25:25" x14ac:dyDescent="0.2">
      <c r="Y57226" s="97"/>
    </row>
    <row r="57227" spans="25:25" x14ac:dyDescent="0.2">
      <c r="Y57227" s="97"/>
    </row>
    <row r="57228" spans="25:25" x14ac:dyDescent="0.2">
      <c r="Y57228" s="97"/>
    </row>
    <row r="57229" spans="25:25" x14ac:dyDescent="0.2">
      <c r="Y57229" s="97"/>
    </row>
    <row r="57230" spans="25:25" x14ac:dyDescent="0.2">
      <c r="Y57230" s="97"/>
    </row>
    <row r="57231" spans="25:25" x14ac:dyDescent="0.2">
      <c r="Y57231" s="97"/>
    </row>
    <row r="57232" spans="25:25" x14ac:dyDescent="0.2">
      <c r="Y57232" s="97"/>
    </row>
    <row r="57233" spans="25:25" x14ac:dyDescent="0.2">
      <c r="Y57233" s="97"/>
    </row>
    <row r="57234" spans="25:25" x14ac:dyDescent="0.2">
      <c r="Y57234" s="97"/>
    </row>
    <row r="57235" spans="25:25" x14ac:dyDescent="0.2">
      <c r="Y57235" s="97"/>
    </row>
    <row r="57236" spans="25:25" x14ac:dyDescent="0.2">
      <c r="Y57236" s="97"/>
    </row>
    <row r="57237" spans="25:25" x14ac:dyDescent="0.2">
      <c r="Y57237" s="97"/>
    </row>
    <row r="57238" spans="25:25" x14ac:dyDescent="0.2">
      <c r="Y57238" s="97"/>
    </row>
    <row r="57239" spans="25:25" x14ac:dyDescent="0.2">
      <c r="Y57239" s="97"/>
    </row>
    <row r="57240" spans="25:25" x14ac:dyDescent="0.2">
      <c r="Y57240" s="97"/>
    </row>
    <row r="57241" spans="25:25" x14ac:dyDescent="0.2">
      <c r="Y57241" s="97"/>
    </row>
    <row r="57242" spans="25:25" x14ac:dyDescent="0.2">
      <c r="Y57242" s="97"/>
    </row>
    <row r="57243" spans="25:25" x14ac:dyDescent="0.2">
      <c r="Y57243" s="97"/>
    </row>
    <row r="57244" spans="25:25" x14ac:dyDescent="0.2">
      <c r="Y57244" s="97"/>
    </row>
    <row r="57245" spans="25:25" x14ac:dyDescent="0.2">
      <c r="Y57245" s="97"/>
    </row>
    <row r="57246" spans="25:25" x14ac:dyDescent="0.2">
      <c r="Y57246" s="97"/>
    </row>
    <row r="57247" spans="25:25" x14ac:dyDescent="0.2">
      <c r="Y57247" s="97"/>
    </row>
    <row r="57248" spans="25:25" x14ac:dyDescent="0.2">
      <c r="Y57248" s="97"/>
    </row>
    <row r="57249" spans="25:25" x14ac:dyDescent="0.2">
      <c r="Y57249" s="97"/>
    </row>
    <row r="57250" spans="25:25" x14ac:dyDescent="0.2">
      <c r="Y57250" s="97"/>
    </row>
    <row r="57251" spans="25:25" x14ac:dyDescent="0.2">
      <c r="Y57251" s="97"/>
    </row>
    <row r="57252" spans="25:25" x14ac:dyDescent="0.2">
      <c r="Y57252" s="97"/>
    </row>
    <row r="57253" spans="25:25" x14ac:dyDescent="0.2">
      <c r="Y57253" s="97"/>
    </row>
    <row r="57254" spans="25:25" x14ac:dyDescent="0.2">
      <c r="Y57254" s="97"/>
    </row>
    <row r="57255" spans="25:25" x14ac:dyDescent="0.2">
      <c r="Y57255" s="97"/>
    </row>
    <row r="57256" spans="25:25" x14ac:dyDescent="0.2">
      <c r="Y57256" s="97"/>
    </row>
    <row r="57257" spans="25:25" x14ac:dyDescent="0.2">
      <c r="Y57257" s="97"/>
    </row>
    <row r="57258" spans="25:25" x14ac:dyDescent="0.2">
      <c r="Y57258" s="97"/>
    </row>
    <row r="57259" spans="25:25" x14ac:dyDescent="0.2">
      <c r="Y57259" s="97"/>
    </row>
    <row r="57260" spans="25:25" x14ac:dyDescent="0.2">
      <c r="Y57260" s="97"/>
    </row>
    <row r="57261" spans="25:25" x14ac:dyDescent="0.2">
      <c r="Y57261" s="97"/>
    </row>
    <row r="57262" spans="25:25" x14ac:dyDescent="0.2">
      <c r="Y57262" s="97"/>
    </row>
    <row r="57263" spans="25:25" x14ac:dyDescent="0.2">
      <c r="Y57263" s="97"/>
    </row>
    <row r="57264" spans="25:25" x14ac:dyDescent="0.2">
      <c r="Y57264" s="97"/>
    </row>
    <row r="57265" spans="25:25" x14ac:dyDescent="0.2">
      <c r="Y57265" s="97"/>
    </row>
    <row r="57266" spans="25:25" x14ac:dyDescent="0.2">
      <c r="Y57266" s="97"/>
    </row>
    <row r="57267" spans="25:25" x14ac:dyDescent="0.2">
      <c r="Y57267" s="97"/>
    </row>
    <row r="57268" spans="25:25" x14ac:dyDescent="0.2">
      <c r="Y57268" s="97"/>
    </row>
    <row r="57269" spans="25:25" x14ac:dyDescent="0.2">
      <c r="Y57269" s="97"/>
    </row>
    <row r="57270" spans="25:25" x14ac:dyDescent="0.2">
      <c r="Y57270" s="97"/>
    </row>
    <row r="57271" spans="25:25" x14ac:dyDescent="0.2">
      <c r="Y57271" s="97"/>
    </row>
    <row r="57272" spans="25:25" x14ac:dyDescent="0.2">
      <c r="Y57272" s="97"/>
    </row>
    <row r="57273" spans="25:25" x14ac:dyDescent="0.2">
      <c r="Y57273" s="97"/>
    </row>
    <row r="57274" spans="25:25" x14ac:dyDescent="0.2">
      <c r="Y57274" s="97"/>
    </row>
    <row r="57275" spans="25:25" x14ac:dyDescent="0.2">
      <c r="Y57275" s="97"/>
    </row>
    <row r="57276" spans="25:25" x14ac:dyDescent="0.2">
      <c r="Y57276" s="97"/>
    </row>
    <row r="57277" spans="25:25" x14ac:dyDescent="0.2">
      <c r="Y57277" s="97"/>
    </row>
    <row r="57278" spans="25:25" x14ac:dyDescent="0.2">
      <c r="Y57278" s="97"/>
    </row>
    <row r="57279" spans="25:25" x14ac:dyDescent="0.2">
      <c r="Y57279" s="97"/>
    </row>
    <row r="57280" spans="25:25" x14ac:dyDescent="0.2">
      <c r="Y57280" s="97"/>
    </row>
    <row r="57281" spans="25:25" x14ac:dyDescent="0.2">
      <c r="Y57281" s="97"/>
    </row>
    <row r="57282" spans="25:25" x14ac:dyDescent="0.2">
      <c r="Y57282" s="97"/>
    </row>
    <row r="57283" spans="25:25" x14ac:dyDescent="0.2">
      <c r="Y57283" s="97"/>
    </row>
    <row r="57284" spans="25:25" x14ac:dyDescent="0.2">
      <c r="Y57284" s="97"/>
    </row>
    <row r="57285" spans="25:25" x14ac:dyDescent="0.2">
      <c r="Y57285" s="97"/>
    </row>
    <row r="57286" spans="25:25" x14ac:dyDescent="0.2">
      <c r="Y57286" s="97"/>
    </row>
    <row r="57287" spans="25:25" x14ac:dyDescent="0.2">
      <c r="Y57287" s="97"/>
    </row>
    <row r="57288" spans="25:25" x14ac:dyDescent="0.2">
      <c r="Y57288" s="97"/>
    </row>
    <row r="57289" spans="25:25" x14ac:dyDescent="0.2">
      <c r="Y57289" s="97"/>
    </row>
    <row r="57290" spans="25:25" x14ac:dyDescent="0.2">
      <c r="Y57290" s="97"/>
    </row>
    <row r="57291" spans="25:25" x14ac:dyDescent="0.2">
      <c r="Y57291" s="97"/>
    </row>
    <row r="57292" spans="25:25" x14ac:dyDescent="0.2">
      <c r="Y57292" s="97"/>
    </row>
    <row r="57293" spans="25:25" x14ac:dyDescent="0.2">
      <c r="Y57293" s="97"/>
    </row>
    <row r="57294" spans="25:25" x14ac:dyDescent="0.2">
      <c r="Y57294" s="97"/>
    </row>
    <row r="57295" spans="25:25" x14ac:dyDescent="0.2">
      <c r="Y57295" s="97"/>
    </row>
    <row r="57296" spans="25:25" x14ac:dyDescent="0.2">
      <c r="Y57296" s="97"/>
    </row>
    <row r="57297" spans="25:25" x14ac:dyDescent="0.2">
      <c r="Y57297" s="97"/>
    </row>
    <row r="57298" spans="25:25" x14ac:dyDescent="0.2">
      <c r="Y57298" s="97"/>
    </row>
    <row r="57299" spans="25:25" x14ac:dyDescent="0.2">
      <c r="Y57299" s="97"/>
    </row>
    <row r="57300" spans="25:25" x14ac:dyDescent="0.2">
      <c r="Y57300" s="97"/>
    </row>
    <row r="57301" spans="25:25" x14ac:dyDescent="0.2">
      <c r="Y57301" s="97"/>
    </row>
    <row r="57302" spans="25:25" x14ac:dyDescent="0.2">
      <c r="Y57302" s="97"/>
    </row>
    <row r="57303" spans="25:25" x14ac:dyDescent="0.2">
      <c r="Y57303" s="97"/>
    </row>
    <row r="57304" spans="25:25" x14ac:dyDescent="0.2">
      <c r="Y57304" s="97"/>
    </row>
    <row r="57305" spans="25:25" x14ac:dyDescent="0.2">
      <c r="Y57305" s="97"/>
    </row>
    <row r="57306" spans="25:25" x14ac:dyDescent="0.2">
      <c r="Y57306" s="97"/>
    </row>
    <row r="57307" spans="25:25" x14ac:dyDescent="0.2">
      <c r="Y57307" s="97"/>
    </row>
    <row r="57308" spans="25:25" x14ac:dyDescent="0.2">
      <c r="Y57308" s="97"/>
    </row>
    <row r="57309" spans="25:25" x14ac:dyDescent="0.2">
      <c r="Y57309" s="97"/>
    </row>
    <row r="57310" spans="25:25" x14ac:dyDescent="0.2">
      <c r="Y57310" s="97"/>
    </row>
    <row r="57311" spans="25:25" x14ac:dyDescent="0.2">
      <c r="Y57311" s="97"/>
    </row>
    <row r="57312" spans="25:25" x14ac:dyDescent="0.2">
      <c r="Y57312" s="97"/>
    </row>
    <row r="57313" spans="25:25" x14ac:dyDescent="0.2">
      <c r="Y57313" s="97"/>
    </row>
    <row r="57314" spans="25:25" x14ac:dyDescent="0.2">
      <c r="Y57314" s="97"/>
    </row>
    <row r="57315" spans="25:25" x14ac:dyDescent="0.2">
      <c r="Y57315" s="97"/>
    </row>
    <row r="57316" spans="25:25" x14ac:dyDescent="0.2">
      <c r="Y57316" s="97"/>
    </row>
    <row r="57317" spans="25:25" x14ac:dyDescent="0.2">
      <c r="Y57317" s="97"/>
    </row>
    <row r="57318" spans="25:25" x14ac:dyDescent="0.2">
      <c r="Y57318" s="97"/>
    </row>
    <row r="57319" spans="25:25" x14ac:dyDescent="0.2">
      <c r="Y57319" s="97"/>
    </row>
    <row r="57320" spans="25:25" x14ac:dyDescent="0.2">
      <c r="Y57320" s="97"/>
    </row>
    <row r="57321" spans="25:25" x14ac:dyDescent="0.2">
      <c r="Y57321" s="97"/>
    </row>
    <row r="57322" spans="25:25" x14ac:dyDescent="0.2">
      <c r="Y57322" s="97"/>
    </row>
    <row r="57323" spans="25:25" x14ac:dyDescent="0.2">
      <c r="Y57323" s="97"/>
    </row>
    <row r="57324" spans="25:25" x14ac:dyDescent="0.2">
      <c r="Y57324" s="97"/>
    </row>
    <row r="57325" spans="25:25" x14ac:dyDescent="0.2">
      <c r="Y57325" s="97"/>
    </row>
    <row r="57326" spans="25:25" x14ac:dyDescent="0.2">
      <c r="Y57326" s="97"/>
    </row>
    <row r="57327" spans="25:25" x14ac:dyDescent="0.2">
      <c r="Y57327" s="97"/>
    </row>
    <row r="57328" spans="25:25" x14ac:dyDescent="0.2">
      <c r="Y57328" s="97"/>
    </row>
    <row r="57329" spans="25:25" x14ac:dyDescent="0.2">
      <c r="Y57329" s="97"/>
    </row>
    <row r="57330" spans="25:25" x14ac:dyDescent="0.2">
      <c r="Y57330" s="97"/>
    </row>
    <row r="57331" spans="25:25" x14ac:dyDescent="0.2">
      <c r="Y57331" s="97"/>
    </row>
    <row r="57332" spans="25:25" x14ac:dyDescent="0.2">
      <c r="Y57332" s="97"/>
    </row>
    <row r="57333" spans="25:25" x14ac:dyDescent="0.2">
      <c r="Y57333" s="97"/>
    </row>
    <row r="57334" spans="25:25" x14ac:dyDescent="0.2">
      <c r="Y57334" s="97"/>
    </row>
    <row r="57335" spans="25:25" x14ac:dyDescent="0.2">
      <c r="Y57335" s="97"/>
    </row>
    <row r="57336" spans="25:25" x14ac:dyDescent="0.2">
      <c r="Y57336" s="97"/>
    </row>
    <row r="57337" spans="25:25" x14ac:dyDescent="0.2">
      <c r="Y57337" s="97"/>
    </row>
    <row r="57338" spans="25:25" x14ac:dyDescent="0.2">
      <c r="Y57338" s="97"/>
    </row>
    <row r="57339" spans="25:25" x14ac:dyDescent="0.2">
      <c r="Y57339" s="97"/>
    </row>
    <row r="57340" spans="25:25" x14ac:dyDescent="0.2">
      <c r="Y57340" s="97"/>
    </row>
    <row r="57341" spans="25:25" x14ac:dyDescent="0.2">
      <c r="Y57341" s="97"/>
    </row>
    <row r="57342" spans="25:25" x14ac:dyDescent="0.2">
      <c r="Y57342" s="97"/>
    </row>
    <row r="57343" spans="25:25" x14ac:dyDescent="0.2">
      <c r="Y57343" s="97"/>
    </row>
    <row r="57344" spans="25:25" x14ac:dyDescent="0.2">
      <c r="Y57344" s="97"/>
    </row>
    <row r="57345" spans="25:25" x14ac:dyDescent="0.2">
      <c r="Y57345" s="97"/>
    </row>
    <row r="57346" spans="25:25" x14ac:dyDescent="0.2">
      <c r="Y57346" s="97"/>
    </row>
    <row r="57347" spans="25:25" x14ac:dyDescent="0.2">
      <c r="Y57347" s="97"/>
    </row>
    <row r="57348" spans="25:25" x14ac:dyDescent="0.2">
      <c r="Y57348" s="97"/>
    </row>
    <row r="57349" spans="25:25" x14ac:dyDescent="0.2">
      <c r="Y57349" s="97"/>
    </row>
    <row r="57350" spans="25:25" x14ac:dyDescent="0.2">
      <c r="Y57350" s="97"/>
    </row>
    <row r="57351" spans="25:25" x14ac:dyDescent="0.2">
      <c r="Y57351" s="97"/>
    </row>
    <row r="57352" spans="25:25" x14ac:dyDescent="0.2">
      <c r="Y57352" s="97"/>
    </row>
    <row r="57353" spans="25:25" x14ac:dyDescent="0.2">
      <c r="Y57353" s="97"/>
    </row>
    <row r="57354" spans="25:25" x14ac:dyDescent="0.2">
      <c r="Y57354" s="97"/>
    </row>
    <row r="57355" spans="25:25" x14ac:dyDescent="0.2">
      <c r="Y57355" s="97"/>
    </row>
    <row r="57356" spans="25:25" x14ac:dyDescent="0.2">
      <c r="Y57356" s="97"/>
    </row>
    <row r="57357" spans="25:25" x14ac:dyDescent="0.2">
      <c r="Y57357" s="97"/>
    </row>
    <row r="57358" spans="25:25" x14ac:dyDescent="0.2">
      <c r="Y57358" s="97"/>
    </row>
    <row r="57359" spans="25:25" x14ac:dyDescent="0.2">
      <c r="Y57359" s="97"/>
    </row>
    <row r="57360" spans="25:25" x14ac:dyDescent="0.2">
      <c r="Y57360" s="97"/>
    </row>
    <row r="57361" spans="25:25" x14ac:dyDescent="0.2">
      <c r="Y57361" s="97"/>
    </row>
    <row r="57362" spans="25:25" x14ac:dyDescent="0.2">
      <c r="Y57362" s="97"/>
    </row>
    <row r="57363" spans="25:25" x14ac:dyDescent="0.2">
      <c r="Y57363" s="97"/>
    </row>
    <row r="57364" spans="25:25" x14ac:dyDescent="0.2">
      <c r="Y57364" s="97"/>
    </row>
    <row r="57365" spans="25:25" x14ac:dyDescent="0.2">
      <c r="Y57365" s="97"/>
    </row>
    <row r="57366" spans="25:25" x14ac:dyDescent="0.2">
      <c r="Y57366" s="97"/>
    </row>
    <row r="57367" spans="25:25" x14ac:dyDescent="0.2">
      <c r="Y57367" s="97"/>
    </row>
    <row r="57368" spans="25:25" x14ac:dyDescent="0.2">
      <c r="Y57368" s="97"/>
    </row>
    <row r="57369" spans="25:25" x14ac:dyDescent="0.2">
      <c r="Y57369" s="97"/>
    </row>
    <row r="57370" spans="25:25" x14ac:dyDescent="0.2">
      <c r="Y57370" s="97"/>
    </row>
    <row r="57371" spans="25:25" x14ac:dyDescent="0.2">
      <c r="Y57371" s="97"/>
    </row>
    <row r="57372" spans="25:25" x14ac:dyDescent="0.2">
      <c r="Y57372" s="97"/>
    </row>
    <row r="57373" spans="25:25" x14ac:dyDescent="0.2">
      <c r="Y57373" s="97"/>
    </row>
    <row r="57374" spans="25:25" x14ac:dyDescent="0.2">
      <c r="Y57374" s="97"/>
    </row>
    <row r="57375" spans="25:25" x14ac:dyDescent="0.2">
      <c r="Y57375" s="97"/>
    </row>
    <row r="57376" spans="25:25" x14ac:dyDescent="0.2">
      <c r="Y57376" s="97"/>
    </row>
    <row r="57377" spans="25:25" x14ac:dyDescent="0.2">
      <c r="Y57377" s="97"/>
    </row>
    <row r="57378" spans="25:25" x14ac:dyDescent="0.2">
      <c r="Y57378" s="97"/>
    </row>
    <row r="57379" spans="25:25" x14ac:dyDescent="0.2">
      <c r="Y57379" s="97"/>
    </row>
    <row r="57380" spans="25:25" x14ac:dyDescent="0.2">
      <c r="Y57380" s="97"/>
    </row>
    <row r="57381" spans="25:25" x14ac:dyDescent="0.2">
      <c r="Y57381" s="97"/>
    </row>
    <row r="57382" spans="25:25" x14ac:dyDescent="0.2">
      <c r="Y57382" s="97"/>
    </row>
    <row r="57383" spans="25:25" x14ac:dyDescent="0.2">
      <c r="Y57383" s="97"/>
    </row>
    <row r="57384" spans="25:25" x14ac:dyDescent="0.2">
      <c r="Y57384" s="97"/>
    </row>
    <row r="57385" spans="25:25" x14ac:dyDescent="0.2">
      <c r="Y57385" s="97"/>
    </row>
    <row r="57386" spans="25:25" x14ac:dyDescent="0.2">
      <c r="Y57386" s="97"/>
    </row>
    <row r="57387" spans="25:25" x14ac:dyDescent="0.2">
      <c r="Y57387" s="97"/>
    </row>
    <row r="57388" spans="25:25" x14ac:dyDescent="0.2">
      <c r="Y57388" s="97"/>
    </row>
    <row r="57389" spans="25:25" x14ac:dyDescent="0.2">
      <c r="Y57389" s="97"/>
    </row>
    <row r="57390" spans="25:25" x14ac:dyDescent="0.2">
      <c r="Y57390" s="97"/>
    </row>
    <row r="57391" spans="25:25" x14ac:dyDescent="0.2">
      <c r="Y57391" s="97"/>
    </row>
    <row r="57392" spans="25:25" x14ac:dyDescent="0.2">
      <c r="Y57392" s="97"/>
    </row>
    <row r="57393" spans="25:25" x14ac:dyDescent="0.2">
      <c r="Y57393" s="97"/>
    </row>
    <row r="57394" spans="25:25" x14ac:dyDescent="0.2">
      <c r="Y57394" s="97"/>
    </row>
    <row r="57395" spans="25:25" x14ac:dyDescent="0.2">
      <c r="Y57395" s="97"/>
    </row>
    <row r="57396" spans="25:25" x14ac:dyDescent="0.2">
      <c r="Y57396" s="97"/>
    </row>
    <row r="57397" spans="25:25" x14ac:dyDescent="0.2">
      <c r="Y57397" s="97"/>
    </row>
    <row r="57398" spans="25:25" x14ac:dyDescent="0.2">
      <c r="Y57398" s="97"/>
    </row>
    <row r="57399" spans="25:25" x14ac:dyDescent="0.2">
      <c r="Y57399" s="97"/>
    </row>
    <row r="57400" spans="25:25" x14ac:dyDescent="0.2">
      <c r="Y57400" s="97"/>
    </row>
    <row r="57401" spans="25:25" x14ac:dyDescent="0.2">
      <c r="Y57401" s="97"/>
    </row>
    <row r="57402" spans="25:25" x14ac:dyDescent="0.2">
      <c r="Y57402" s="97"/>
    </row>
    <row r="57403" spans="25:25" x14ac:dyDescent="0.2">
      <c r="Y57403" s="97"/>
    </row>
    <row r="57404" spans="25:25" x14ac:dyDescent="0.2">
      <c r="Y57404" s="97"/>
    </row>
    <row r="57405" spans="25:25" x14ac:dyDescent="0.2">
      <c r="Y57405" s="97"/>
    </row>
    <row r="57406" spans="25:25" x14ac:dyDescent="0.2">
      <c r="Y57406" s="97"/>
    </row>
    <row r="57407" spans="25:25" x14ac:dyDescent="0.2">
      <c r="Y57407" s="97"/>
    </row>
    <row r="57408" spans="25:25" x14ac:dyDescent="0.2">
      <c r="Y57408" s="97"/>
    </row>
    <row r="57409" spans="25:25" x14ac:dyDescent="0.2">
      <c r="Y57409" s="97"/>
    </row>
    <row r="57410" spans="25:25" x14ac:dyDescent="0.2">
      <c r="Y57410" s="97"/>
    </row>
    <row r="57411" spans="25:25" x14ac:dyDescent="0.2">
      <c r="Y57411" s="97"/>
    </row>
    <row r="57412" spans="25:25" x14ac:dyDescent="0.2">
      <c r="Y57412" s="97"/>
    </row>
    <row r="57413" spans="25:25" x14ac:dyDescent="0.2">
      <c r="Y57413" s="97"/>
    </row>
    <row r="57414" spans="25:25" x14ac:dyDescent="0.2">
      <c r="Y57414" s="97"/>
    </row>
    <row r="57415" spans="25:25" x14ac:dyDescent="0.2">
      <c r="Y57415" s="97"/>
    </row>
    <row r="57416" spans="25:25" x14ac:dyDescent="0.2">
      <c r="Y57416" s="97"/>
    </row>
    <row r="57417" spans="25:25" x14ac:dyDescent="0.2">
      <c r="Y57417" s="97"/>
    </row>
    <row r="57418" spans="25:25" x14ac:dyDescent="0.2">
      <c r="Y57418" s="97"/>
    </row>
    <row r="57419" spans="25:25" x14ac:dyDescent="0.2">
      <c r="Y57419" s="97"/>
    </row>
    <row r="57420" spans="25:25" x14ac:dyDescent="0.2">
      <c r="Y57420" s="97"/>
    </row>
    <row r="57421" spans="25:25" x14ac:dyDescent="0.2">
      <c r="Y57421" s="97"/>
    </row>
    <row r="57422" spans="25:25" x14ac:dyDescent="0.2">
      <c r="Y57422" s="97"/>
    </row>
    <row r="57423" spans="25:25" x14ac:dyDescent="0.2">
      <c r="Y57423" s="97"/>
    </row>
    <row r="57424" spans="25:25" x14ac:dyDescent="0.2">
      <c r="Y57424" s="97"/>
    </row>
    <row r="57425" spans="25:25" x14ac:dyDescent="0.2">
      <c r="Y57425" s="97"/>
    </row>
    <row r="57426" spans="25:25" x14ac:dyDescent="0.2">
      <c r="Y57426" s="97"/>
    </row>
    <row r="57427" spans="25:25" x14ac:dyDescent="0.2">
      <c r="Y57427" s="97"/>
    </row>
    <row r="57428" spans="25:25" x14ac:dyDescent="0.2">
      <c r="Y57428" s="97"/>
    </row>
    <row r="57429" spans="25:25" x14ac:dyDescent="0.2">
      <c r="Y57429" s="97"/>
    </row>
    <row r="57430" spans="25:25" x14ac:dyDescent="0.2">
      <c r="Y57430" s="97"/>
    </row>
    <row r="57431" spans="25:25" x14ac:dyDescent="0.2">
      <c r="Y57431" s="97"/>
    </row>
    <row r="57432" spans="25:25" x14ac:dyDescent="0.2">
      <c r="Y57432" s="97"/>
    </row>
    <row r="57433" spans="25:25" x14ac:dyDescent="0.2">
      <c r="Y57433" s="97"/>
    </row>
    <row r="57434" spans="25:25" x14ac:dyDescent="0.2">
      <c r="Y57434" s="97"/>
    </row>
    <row r="57435" spans="25:25" x14ac:dyDescent="0.2">
      <c r="Y57435" s="97"/>
    </row>
    <row r="57436" spans="25:25" x14ac:dyDescent="0.2">
      <c r="Y57436" s="97"/>
    </row>
    <row r="57437" spans="25:25" x14ac:dyDescent="0.2">
      <c r="Y57437" s="97"/>
    </row>
    <row r="57438" spans="25:25" x14ac:dyDescent="0.2">
      <c r="Y57438" s="97"/>
    </row>
    <row r="57439" spans="25:25" x14ac:dyDescent="0.2">
      <c r="Y57439" s="97"/>
    </row>
    <row r="57440" spans="25:25" x14ac:dyDescent="0.2">
      <c r="Y57440" s="97"/>
    </row>
    <row r="57441" spans="25:25" x14ac:dyDescent="0.2">
      <c r="Y57441" s="97"/>
    </row>
    <row r="57442" spans="25:25" x14ac:dyDescent="0.2">
      <c r="Y57442" s="97"/>
    </row>
    <row r="57443" spans="25:25" x14ac:dyDescent="0.2">
      <c r="Y57443" s="97"/>
    </row>
    <row r="57444" spans="25:25" x14ac:dyDescent="0.2">
      <c r="Y57444" s="97"/>
    </row>
    <row r="57445" spans="25:25" x14ac:dyDescent="0.2">
      <c r="Y57445" s="97"/>
    </row>
    <row r="57446" spans="25:25" x14ac:dyDescent="0.2">
      <c r="Y57446" s="97"/>
    </row>
    <row r="57447" spans="25:25" x14ac:dyDescent="0.2">
      <c r="Y57447" s="97"/>
    </row>
    <row r="57448" spans="25:25" x14ac:dyDescent="0.2">
      <c r="Y57448" s="97"/>
    </row>
    <row r="57449" spans="25:25" x14ac:dyDescent="0.2">
      <c r="Y57449" s="97"/>
    </row>
    <row r="57450" spans="25:25" x14ac:dyDescent="0.2">
      <c r="Y57450" s="97"/>
    </row>
    <row r="57451" spans="25:25" x14ac:dyDescent="0.2">
      <c r="Y57451" s="97"/>
    </row>
    <row r="57452" spans="25:25" x14ac:dyDescent="0.2">
      <c r="Y57452" s="97"/>
    </row>
    <row r="57453" spans="25:25" x14ac:dyDescent="0.2">
      <c r="Y57453" s="97"/>
    </row>
    <row r="57454" spans="25:25" x14ac:dyDescent="0.2">
      <c r="Y57454" s="97"/>
    </row>
    <row r="57455" spans="25:25" x14ac:dyDescent="0.2">
      <c r="Y57455" s="97"/>
    </row>
    <row r="57456" spans="25:25" x14ac:dyDescent="0.2">
      <c r="Y57456" s="97"/>
    </row>
    <row r="57457" spans="25:25" x14ac:dyDescent="0.2">
      <c r="Y57457" s="97"/>
    </row>
    <row r="57458" spans="25:25" x14ac:dyDescent="0.2">
      <c r="Y57458" s="97"/>
    </row>
    <row r="57459" spans="25:25" x14ac:dyDescent="0.2">
      <c r="Y57459" s="97"/>
    </row>
    <row r="57460" spans="25:25" x14ac:dyDescent="0.2">
      <c r="Y57460" s="97"/>
    </row>
    <row r="57461" spans="25:25" x14ac:dyDescent="0.2">
      <c r="Y57461" s="97"/>
    </row>
    <row r="57462" spans="25:25" x14ac:dyDescent="0.2">
      <c r="Y57462" s="97"/>
    </row>
    <row r="57463" spans="25:25" x14ac:dyDescent="0.2">
      <c r="Y57463" s="97"/>
    </row>
    <row r="57464" spans="25:25" x14ac:dyDescent="0.2">
      <c r="Y57464" s="97"/>
    </row>
    <row r="57465" spans="25:25" x14ac:dyDescent="0.2">
      <c r="Y57465" s="97"/>
    </row>
    <row r="57466" spans="25:25" x14ac:dyDescent="0.2">
      <c r="Y57466" s="97"/>
    </row>
    <row r="57467" spans="25:25" x14ac:dyDescent="0.2">
      <c r="Y57467" s="97"/>
    </row>
    <row r="57468" spans="25:25" x14ac:dyDescent="0.2">
      <c r="Y57468" s="97"/>
    </row>
    <row r="57469" spans="25:25" x14ac:dyDescent="0.2">
      <c r="Y57469" s="97"/>
    </row>
    <row r="57470" spans="25:25" x14ac:dyDescent="0.2">
      <c r="Y57470" s="97"/>
    </row>
    <row r="57471" spans="25:25" x14ac:dyDescent="0.2">
      <c r="Y57471" s="97"/>
    </row>
    <row r="57472" spans="25:25" x14ac:dyDescent="0.2">
      <c r="Y57472" s="97"/>
    </row>
    <row r="57473" spans="25:25" x14ac:dyDescent="0.2">
      <c r="Y57473" s="97"/>
    </row>
    <row r="57474" spans="25:25" x14ac:dyDescent="0.2">
      <c r="Y57474" s="97"/>
    </row>
    <row r="57475" spans="25:25" x14ac:dyDescent="0.2">
      <c r="Y57475" s="97"/>
    </row>
    <row r="57476" spans="25:25" x14ac:dyDescent="0.2">
      <c r="Y57476" s="97"/>
    </row>
    <row r="57477" spans="25:25" x14ac:dyDescent="0.2">
      <c r="Y57477" s="97"/>
    </row>
    <row r="57478" spans="25:25" x14ac:dyDescent="0.2">
      <c r="Y57478" s="97"/>
    </row>
    <row r="57479" spans="25:25" x14ac:dyDescent="0.2">
      <c r="Y57479" s="97"/>
    </row>
    <row r="57480" spans="25:25" x14ac:dyDescent="0.2">
      <c r="Y57480" s="97"/>
    </row>
    <row r="57481" spans="25:25" x14ac:dyDescent="0.2">
      <c r="Y57481" s="97"/>
    </row>
    <row r="57482" spans="25:25" x14ac:dyDescent="0.2">
      <c r="Y57482" s="97"/>
    </row>
    <row r="57483" spans="25:25" x14ac:dyDescent="0.2">
      <c r="Y57483" s="97"/>
    </row>
    <row r="57484" spans="25:25" x14ac:dyDescent="0.2">
      <c r="Y57484" s="97"/>
    </row>
    <row r="57485" spans="25:25" x14ac:dyDescent="0.2">
      <c r="Y57485" s="97"/>
    </row>
    <row r="57486" spans="25:25" x14ac:dyDescent="0.2">
      <c r="Y57486" s="97"/>
    </row>
    <row r="57487" spans="25:25" x14ac:dyDescent="0.2">
      <c r="Y57487" s="97"/>
    </row>
    <row r="57488" spans="25:25" x14ac:dyDescent="0.2">
      <c r="Y57488" s="97"/>
    </row>
    <row r="57489" spans="25:25" x14ac:dyDescent="0.2">
      <c r="Y57489" s="97"/>
    </row>
    <row r="57490" spans="25:25" x14ac:dyDescent="0.2">
      <c r="Y57490" s="97"/>
    </row>
    <row r="57491" spans="25:25" x14ac:dyDescent="0.2">
      <c r="Y57491" s="97"/>
    </row>
    <row r="57492" spans="25:25" x14ac:dyDescent="0.2">
      <c r="Y57492" s="97"/>
    </row>
    <row r="57493" spans="25:25" x14ac:dyDescent="0.2">
      <c r="Y57493" s="97"/>
    </row>
    <row r="57494" spans="25:25" x14ac:dyDescent="0.2">
      <c r="Y57494" s="97"/>
    </row>
    <row r="57495" spans="25:25" x14ac:dyDescent="0.2">
      <c r="Y57495" s="97"/>
    </row>
    <row r="57496" spans="25:25" x14ac:dyDescent="0.2">
      <c r="Y57496" s="97"/>
    </row>
    <row r="57497" spans="25:25" x14ac:dyDescent="0.2">
      <c r="Y57497" s="97"/>
    </row>
    <row r="57498" spans="25:25" x14ac:dyDescent="0.2">
      <c r="Y57498" s="97"/>
    </row>
    <row r="57499" spans="25:25" x14ac:dyDescent="0.2">
      <c r="Y57499" s="97"/>
    </row>
    <row r="57500" spans="25:25" x14ac:dyDescent="0.2">
      <c r="Y57500" s="97"/>
    </row>
    <row r="57501" spans="25:25" x14ac:dyDescent="0.2">
      <c r="Y57501" s="97"/>
    </row>
    <row r="57502" spans="25:25" x14ac:dyDescent="0.2">
      <c r="Y57502" s="97"/>
    </row>
    <row r="57503" spans="25:25" x14ac:dyDescent="0.2">
      <c r="Y57503" s="97"/>
    </row>
    <row r="57504" spans="25:25" x14ac:dyDescent="0.2">
      <c r="Y57504" s="97"/>
    </row>
    <row r="57505" spans="25:25" x14ac:dyDescent="0.2">
      <c r="Y57505" s="97"/>
    </row>
    <row r="57506" spans="25:25" x14ac:dyDescent="0.2">
      <c r="Y57506" s="97"/>
    </row>
    <row r="57507" spans="25:25" x14ac:dyDescent="0.2">
      <c r="Y57507" s="97"/>
    </row>
    <row r="57508" spans="25:25" x14ac:dyDescent="0.2">
      <c r="Y57508" s="97"/>
    </row>
    <row r="57509" spans="25:25" x14ac:dyDescent="0.2">
      <c r="Y57509" s="97"/>
    </row>
    <row r="57510" spans="25:25" x14ac:dyDescent="0.2">
      <c r="Y57510" s="97"/>
    </row>
    <row r="57511" spans="25:25" x14ac:dyDescent="0.2">
      <c r="Y57511" s="97"/>
    </row>
    <row r="57512" spans="25:25" x14ac:dyDescent="0.2">
      <c r="Y57512" s="97"/>
    </row>
    <row r="57513" spans="25:25" x14ac:dyDescent="0.2">
      <c r="Y57513" s="97"/>
    </row>
    <row r="57514" spans="25:25" x14ac:dyDescent="0.2">
      <c r="Y57514" s="97"/>
    </row>
    <row r="57515" spans="25:25" x14ac:dyDescent="0.2">
      <c r="Y57515" s="97"/>
    </row>
    <row r="57516" spans="25:25" x14ac:dyDescent="0.2">
      <c r="Y57516" s="97"/>
    </row>
    <row r="57517" spans="25:25" x14ac:dyDescent="0.2">
      <c r="Y57517" s="97"/>
    </row>
    <row r="57518" spans="25:25" x14ac:dyDescent="0.2">
      <c r="Y57518" s="97"/>
    </row>
    <row r="57519" spans="25:25" x14ac:dyDescent="0.2">
      <c r="Y57519" s="97"/>
    </row>
    <row r="57520" spans="25:25" x14ac:dyDescent="0.2">
      <c r="Y57520" s="97"/>
    </row>
    <row r="57521" spans="25:25" x14ac:dyDescent="0.2">
      <c r="Y57521" s="97"/>
    </row>
    <row r="57522" spans="25:25" x14ac:dyDescent="0.2">
      <c r="Y57522" s="97"/>
    </row>
    <row r="57523" spans="25:25" x14ac:dyDescent="0.2">
      <c r="Y57523" s="97"/>
    </row>
    <row r="57524" spans="25:25" x14ac:dyDescent="0.2">
      <c r="Y57524" s="97"/>
    </row>
    <row r="57525" spans="25:25" x14ac:dyDescent="0.2">
      <c r="Y57525" s="97"/>
    </row>
    <row r="57526" spans="25:25" x14ac:dyDescent="0.2">
      <c r="Y57526" s="97"/>
    </row>
    <row r="57527" spans="25:25" x14ac:dyDescent="0.2">
      <c r="Y57527" s="97"/>
    </row>
    <row r="57528" spans="25:25" x14ac:dyDescent="0.2">
      <c r="Y57528" s="97"/>
    </row>
    <row r="57529" spans="25:25" x14ac:dyDescent="0.2">
      <c r="Y57529" s="97"/>
    </row>
    <row r="57530" spans="25:25" x14ac:dyDescent="0.2">
      <c r="Y57530" s="97"/>
    </row>
    <row r="57531" spans="25:25" x14ac:dyDescent="0.2">
      <c r="Y57531" s="97"/>
    </row>
    <row r="57532" spans="25:25" x14ac:dyDescent="0.2">
      <c r="Y57532" s="97"/>
    </row>
    <row r="57533" spans="25:25" x14ac:dyDescent="0.2">
      <c r="Y57533" s="97"/>
    </row>
    <row r="57534" spans="25:25" x14ac:dyDescent="0.2">
      <c r="Y57534" s="97"/>
    </row>
    <row r="57535" spans="25:25" x14ac:dyDescent="0.2">
      <c r="Y57535" s="97"/>
    </row>
    <row r="57536" spans="25:25" x14ac:dyDescent="0.2">
      <c r="Y57536" s="97"/>
    </row>
    <row r="57537" spans="25:25" x14ac:dyDescent="0.2">
      <c r="Y57537" s="97"/>
    </row>
    <row r="57538" spans="25:25" x14ac:dyDescent="0.2">
      <c r="Y57538" s="97"/>
    </row>
    <row r="57539" spans="25:25" x14ac:dyDescent="0.2">
      <c r="Y57539" s="97"/>
    </row>
    <row r="57540" spans="25:25" x14ac:dyDescent="0.2">
      <c r="Y57540" s="97"/>
    </row>
    <row r="57541" spans="25:25" x14ac:dyDescent="0.2">
      <c r="Y57541" s="97"/>
    </row>
    <row r="57542" spans="25:25" x14ac:dyDescent="0.2">
      <c r="Y57542" s="97"/>
    </row>
    <row r="57543" spans="25:25" x14ac:dyDescent="0.2">
      <c r="Y57543" s="97"/>
    </row>
    <row r="57544" spans="25:25" x14ac:dyDescent="0.2">
      <c r="Y57544" s="97"/>
    </row>
    <row r="57545" spans="25:25" x14ac:dyDescent="0.2">
      <c r="Y57545" s="97"/>
    </row>
    <row r="57546" spans="25:25" x14ac:dyDescent="0.2">
      <c r="Y57546" s="97"/>
    </row>
    <row r="57547" spans="25:25" x14ac:dyDescent="0.2">
      <c r="Y57547" s="97"/>
    </row>
    <row r="57548" spans="25:25" x14ac:dyDescent="0.2">
      <c r="Y57548" s="97"/>
    </row>
    <row r="57549" spans="25:25" x14ac:dyDescent="0.2">
      <c r="Y57549" s="97"/>
    </row>
    <row r="57550" spans="25:25" x14ac:dyDescent="0.2">
      <c r="Y57550" s="97"/>
    </row>
    <row r="57551" spans="25:25" x14ac:dyDescent="0.2">
      <c r="Y57551" s="97"/>
    </row>
    <row r="57552" spans="25:25" x14ac:dyDescent="0.2">
      <c r="Y57552" s="97"/>
    </row>
    <row r="57553" spans="25:25" x14ac:dyDescent="0.2">
      <c r="Y57553" s="97"/>
    </row>
    <row r="57554" spans="25:25" x14ac:dyDescent="0.2">
      <c r="Y57554" s="97"/>
    </row>
    <row r="57555" spans="25:25" x14ac:dyDescent="0.2">
      <c r="Y57555" s="97"/>
    </row>
    <row r="57556" spans="25:25" x14ac:dyDescent="0.2">
      <c r="Y57556" s="97"/>
    </row>
    <row r="57557" spans="25:25" x14ac:dyDescent="0.2">
      <c r="Y57557" s="97"/>
    </row>
    <row r="57558" spans="25:25" x14ac:dyDescent="0.2">
      <c r="Y57558" s="97"/>
    </row>
    <row r="57559" spans="25:25" x14ac:dyDescent="0.2">
      <c r="Y57559" s="97"/>
    </row>
    <row r="57560" spans="25:25" x14ac:dyDescent="0.2">
      <c r="Y57560" s="97"/>
    </row>
    <row r="57561" spans="25:25" x14ac:dyDescent="0.2">
      <c r="Y57561" s="97"/>
    </row>
    <row r="57562" spans="25:25" x14ac:dyDescent="0.2">
      <c r="Y57562" s="97"/>
    </row>
    <row r="57563" spans="25:25" x14ac:dyDescent="0.2">
      <c r="Y57563" s="97"/>
    </row>
    <row r="57564" spans="25:25" x14ac:dyDescent="0.2">
      <c r="Y57564" s="97"/>
    </row>
    <row r="57565" spans="25:25" x14ac:dyDescent="0.2">
      <c r="Y57565" s="97"/>
    </row>
    <row r="57566" spans="25:25" x14ac:dyDescent="0.2">
      <c r="Y57566" s="97"/>
    </row>
    <row r="57567" spans="25:25" x14ac:dyDescent="0.2">
      <c r="Y57567" s="97"/>
    </row>
    <row r="57568" spans="25:25" x14ac:dyDescent="0.2">
      <c r="Y57568" s="97"/>
    </row>
    <row r="57569" spans="25:25" x14ac:dyDescent="0.2">
      <c r="Y57569" s="97"/>
    </row>
    <row r="57570" spans="25:25" x14ac:dyDescent="0.2">
      <c r="Y57570" s="97"/>
    </row>
    <row r="57571" spans="25:25" x14ac:dyDescent="0.2">
      <c r="Y57571" s="97"/>
    </row>
    <row r="57572" spans="25:25" x14ac:dyDescent="0.2">
      <c r="Y57572" s="97"/>
    </row>
    <row r="57573" spans="25:25" x14ac:dyDescent="0.2">
      <c r="Y57573" s="97"/>
    </row>
    <row r="57574" spans="25:25" x14ac:dyDescent="0.2">
      <c r="Y57574" s="97"/>
    </row>
    <row r="57575" spans="25:25" x14ac:dyDescent="0.2">
      <c r="Y57575" s="97"/>
    </row>
    <row r="57576" spans="25:25" x14ac:dyDescent="0.2">
      <c r="Y57576" s="97"/>
    </row>
    <row r="57577" spans="25:25" x14ac:dyDescent="0.2">
      <c r="Y57577" s="97"/>
    </row>
    <row r="57578" spans="25:25" x14ac:dyDescent="0.2">
      <c r="Y57578" s="97"/>
    </row>
    <row r="57579" spans="25:25" x14ac:dyDescent="0.2">
      <c r="Y57579" s="97"/>
    </row>
    <row r="57580" spans="25:25" x14ac:dyDescent="0.2">
      <c r="Y57580" s="97"/>
    </row>
    <row r="57581" spans="25:25" x14ac:dyDescent="0.2">
      <c r="Y57581" s="97"/>
    </row>
    <row r="57582" spans="25:25" x14ac:dyDescent="0.2">
      <c r="Y57582" s="97"/>
    </row>
    <row r="57583" spans="25:25" x14ac:dyDescent="0.2">
      <c r="Y57583" s="97"/>
    </row>
    <row r="57584" spans="25:25" x14ac:dyDescent="0.2">
      <c r="Y57584" s="97"/>
    </row>
    <row r="57585" spans="25:25" x14ac:dyDescent="0.2">
      <c r="Y57585" s="97"/>
    </row>
    <row r="57586" spans="25:25" x14ac:dyDescent="0.2">
      <c r="Y57586" s="97"/>
    </row>
    <row r="57587" spans="25:25" x14ac:dyDescent="0.2">
      <c r="Y57587" s="97"/>
    </row>
    <row r="57588" spans="25:25" x14ac:dyDescent="0.2">
      <c r="Y57588" s="97"/>
    </row>
    <row r="57589" spans="25:25" x14ac:dyDescent="0.2">
      <c r="Y57589" s="97"/>
    </row>
    <row r="57590" spans="25:25" x14ac:dyDescent="0.2">
      <c r="Y57590" s="97"/>
    </row>
    <row r="57591" spans="25:25" x14ac:dyDescent="0.2">
      <c r="Y57591" s="97"/>
    </row>
    <row r="57592" spans="25:25" x14ac:dyDescent="0.2">
      <c r="Y57592" s="97"/>
    </row>
    <row r="57593" spans="25:25" x14ac:dyDescent="0.2">
      <c r="Y57593" s="97"/>
    </row>
    <row r="57594" spans="25:25" x14ac:dyDescent="0.2">
      <c r="Y57594" s="97"/>
    </row>
    <row r="57595" spans="25:25" x14ac:dyDescent="0.2">
      <c r="Y57595" s="97"/>
    </row>
    <row r="57596" spans="25:25" x14ac:dyDescent="0.2">
      <c r="Y57596" s="97"/>
    </row>
    <row r="57597" spans="25:25" x14ac:dyDescent="0.2">
      <c r="Y57597" s="97"/>
    </row>
    <row r="57598" spans="25:25" x14ac:dyDescent="0.2">
      <c r="Y57598" s="97"/>
    </row>
    <row r="57599" spans="25:25" x14ac:dyDescent="0.2">
      <c r="Y57599" s="97"/>
    </row>
    <row r="57600" spans="25:25" x14ac:dyDescent="0.2">
      <c r="Y57600" s="97"/>
    </row>
    <row r="57601" spans="25:25" x14ac:dyDescent="0.2">
      <c r="Y57601" s="97"/>
    </row>
    <row r="57602" spans="25:25" x14ac:dyDescent="0.2">
      <c r="Y57602" s="97"/>
    </row>
    <row r="57603" spans="25:25" x14ac:dyDescent="0.2">
      <c r="Y57603" s="97"/>
    </row>
    <row r="57604" spans="25:25" x14ac:dyDescent="0.2">
      <c r="Y57604" s="97"/>
    </row>
    <row r="57605" spans="25:25" x14ac:dyDescent="0.2">
      <c r="Y57605" s="97"/>
    </row>
    <row r="57606" spans="25:25" x14ac:dyDescent="0.2">
      <c r="Y57606" s="97"/>
    </row>
    <row r="57607" spans="25:25" x14ac:dyDescent="0.2">
      <c r="Y57607" s="97"/>
    </row>
    <row r="57608" spans="25:25" x14ac:dyDescent="0.2">
      <c r="Y57608" s="97"/>
    </row>
    <row r="57609" spans="25:25" x14ac:dyDescent="0.2">
      <c r="Y57609" s="97"/>
    </row>
    <row r="57610" spans="25:25" x14ac:dyDescent="0.2">
      <c r="Y57610" s="97"/>
    </row>
    <row r="57611" spans="25:25" x14ac:dyDescent="0.2">
      <c r="Y57611" s="97"/>
    </row>
    <row r="57612" spans="25:25" x14ac:dyDescent="0.2">
      <c r="Y57612" s="97"/>
    </row>
    <row r="57613" spans="25:25" x14ac:dyDescent="0.2">
      <c r="Y57613" s="97"/>
    </row>
    <row r="57614" spans="25:25" x14ac:dyDescent="0.2">
      <c r="Y57614" s="97"/>
    </row>
    <row r="57615" spans="25:25" x14ac:dyDescent="0.2">
      <c r="Y57615" s="97"/>
    </row>
    <row r="57616" spans="25:25" x14ac:dyDescent="0.2">
      <c r="Y57616" s="97"/>
    </row>
    <row r="57617" spans="25:25" x14ac:dyDescent="0.2">
      <c r="Y57617" s="97"/>
    </row>
    <row r="57618" spans="25:25" x14ac:dyDescent="0.2">
      <c r="Y57618" s="97"/>
    </row>
    <row r="57619" spans="25:25" x14ac:dyDescent="0.2">
      <c r="Y57619" s="97"/>
    </row>
    <row r="57620" spans="25:25" x14ac:dyDescent="0.2">
      <c r="Y57620" s="97"/>
    </row>
    <row r="57621" spans="25:25" x14ac:dyDescent="0.2">
      <c r="Y57621" s="97"/>
    </row>
    <row r="57622" spans="25:25" x14ac:dyDescent="0.2">
      <c r="Y57622" s="97"/>
    </row>
    <row r="57623" spans="25:25" x14ac:dyDescent="0.2">
      <c r="Y57623" s="97"/>
    </row>
    <row r="57624" spans="25:25" x14ac:dyDescent="0.2">
      <c r="Y57624" s="97"/>
    </row>
    <row r="57625" spans="25:25" x14ac:dyDescent="0.2">
      <c r="Y57625" s="97"/>
    </row>
    <row r="57626" spans="25:25" x14ac:dyDescent="0.2">
      <c r="Y57626" s="97"/>
    </row>
    <row r="57627" spans="25:25" x14ac:dyDescent="0.2">
      <c r="Y57627" s="97"/>
    </row>
    <row r="57628" spans="25:25" x14ac:dyDescent="0.2">
      <c r="Y57628" s="97"/>
    </row>
    <row r="57629" spans="25:25" x14ac:dyDescent="0.2">
      <c r="Y57629" s="97"/>
    </row>
    <row r="57630" spans="25:25" x14ac:dyDescent="0.2">
      <c r="Y57630" s="97"/>
    </row>
    <row r="57631" spans="25:25" x14ac:dyDescent="0.2">
      <c r="Y57631" s="97"/>
    </row>
    <row r="57632" spans="25:25" x14ac:dyDescent="0.2">
      <c r="Y57632" s="97"/>
    </row>
    <row r="57633" spans="25:25" x14ac:dyDescent="0.2">
      <c r="Y57633" s="97"/>
    </row>
    <row r="57634" spans="25:25" x14ac:dyDescent="0.2">
      <c r="Y57634" s="97"/>
    </row>
    <row r="57635" spans="25:25" x14ac:dyDescent="0.2">
      <c r="Y57635" s="97"/>
    </row>
    <row r="57636" spans="25:25" x14ac:dyDescent="0.2">
      <c r="Y57636" s="97"/>
    </row>
    <row r="57637" spans="25:25" x14ac:dyDescent="0.2">
      <c r="Y57637" s="97"/>
    </row>
    <row r="57638" spans="25:25" x14ac:dyDescent="0.2">
      <c r="Y57638" s="97"/>
    </row>
    <row r="57639" spans="25:25" x14ac:dyDescent="0.2">
      <c r="Y57639" s="97"/>
    </row>
    <row r="57640" spans="25:25" x14ac:dyDescent="0.2">
      <c r="Y57640" s="97"/>
    </row>
    <row r="57641" spans="25:25" x14ac:dyDescent="0.2">
      <c r="Y57641" s="97"/>
    </row>
    <row r="57642" spans="25:25" x14ac:dyDescent="0.2">
      <c r="Y57642" s="97"/>
    </row>
    <row r="57643" spans="25:25" x14ac:dyDescent="0.2">
      <c r="Y57643" s="97"/>
    </row>
    <row r="57644" spans="25:25" x14ac:dyDescent="0.2">
      <c r="Y57644" s="97"/>
    </row>
    <row r="57645" spans="25:25" x14ac:dyDescent="0.2">
      <c r="Y57645" s="97"/>
    </row>
    <row r="57646" spans="25:25" x14ac:dyDescent="0.2">
      <c r="Y57646" s="97"/>
    </row>
    <row r="57647" spans="25:25" x14ac:dyDescent="0.2">
      <c r="Y57647" s="97"/>
    </row>
    <row r="57648" spans="25:25" x14ac:dyDescent="0.2">
      <c r="Y57648" s="97"/>
    </row>
    <row r="57649" spans="25:25" x14ac:dyDescent="0.2">
      <c r="Y57649" s="97"/>
    </row>
    <row r="57650" spans="25:25" x14ac:dyDescent="0.2">
      <c r="Y57650" s="97"/>
    </row>
    <row r="57651" spans="25:25" x14ac:dyDescent="0.2">
      <c r="Y57651" s="97"/>
    </row>
    <row r="57652" spans="25:25" x14ac:dyDescent="0.2">
      <c r="Y57652" s="97"/>
    </row>
    <row r="57653" spans="25:25" x14ac:dyDescent="0.2">
      <c r="Y57653" s="97"/>
    </row>
    <row r="57654" spans="25:25" x14ac:dyDescent="0.2">
      <c r="Y57654" s="97"/>
    </row>
    <row r="57655" spans="25:25" x14ac:dyDescent="0.2">
      <c r="Y57655" s="97"/>
    </row>
    <row r="57656" spans="25:25" x14ac:dyDescent="0.2">
      <c r="Y57656" s="97"/>
    </row>
    <row r="57657" spans="25:25" x14ac:dyDescent="0.2">
      <c r="Y57657" s="97"/>
    </row>
    <row r="57658" spans="25:25" x14ac:dyDescent="0.2">
      <c r="Y57658" s="97"/>
    </row>
    <row r="57659" spans="25:25" x14ac:dyDescent="0.2">
      <c r="Y57659" s="97"/>
    </row>
    <row r="57660" spans="25:25" x14ac:dyDescent="0.2">
      <c r="Y57660" s="97"/>
    </row>
    <row r="57661" spans="25:25" x14ac:dyDescent="0.2">
      <c r="Y57661" s="97"/>
    </row>
    <row r="57662" spans="25:25" x14ac:dyDescent="0.2">
      <c r="Y57662" s="97"/>
    </row>
    <row r="57663" spans="25:25" x14ac:dyDescent="0.2">
      <c r="Y57663" s="97"/>
    </row>
    <row r="57664" spans="25:25" x14ac:dyDescent="0.2">
      <c r="Y57664" s="97"/>
    </row>
    <row r="57665" spans="25:25" x14ac:dyDescent="0.2">
      <c r="Y57665" s="97"/>
    </row>
    <row r="57666" spans="25:25" x14ac:dyDescent="0.2">
      <c r="Y57666" s="97"/>
    </row>
    <row r="57667" spans="25:25" x14ac:dyDescent="0.2">
      <c r="Y57667" s="97"/>
    </row>
    <row r="57668" spans="25:25" x14ac:dyDescent="0.2">
      <c r="Y57668" s="97"/>
    </row>
    <row r="57669" spans="25:25" x14ac:dyDescent="0.2">
      <c r="Y57669" s="97"/>
    </row>
    <row r="57670" spans="25:25" x14ac:dyDescent="0.2">
      <c r="Y57670" s="97"/>
    </row>
    <row r="57671" spans="25:25" x14ac:dyDescent="0.2">
      <c r="Y57671" s="97"/>
    </row>
    <row r="57672" spans="25:25" x14ac:dyDescent="0.2">
      <c r="Y57672" s="97"/>
    </row>
    <row r="57673" spans="25:25" x14ac:dyDescent="0.2">
      <c r="Y57673" s="97"/>
    </row>
    <row r="57674" spans="25:25" x14ac:dyDescent="0.2">
      <c r="Y57674" s="97"/>
    </row>
    <row r="57675" spans="25:25" x14ac:dyDescent="0.2">
      <c r="Y57675" s="97"/>
    </row>
    <row r="57676" spans="25:25" x14ac:dyDescent="0.2">
      <c r="Y57676" s="97"/>
    </row>
    <row r="57677" spans="25:25" x14ac:dyDescent="0.2">
      <c r="Y57677" s="97"/>
    </row>
    <row r="57678" spans="25:25" x14ac:dyDescent="0.2">
      <c r="Y57678" s="97"/>
    </row>
    <row r="57679" spans="25:25" x14ac:dyDescent="0.2">
      <c r="Y57679" s="97"/>
    </row>
    <row r="57680" spans="25:25" x14ac:dyDescent="0.2">
      <c r="Y57680" s="97"/>
    </row>
    <row r="57681" spans="25:25" x14ac:dyDescent="0.2">
      <c r="Y57681" s="97"/>
    </row>
    <row r="57682" spans="25:25" x14ac:dyDescent="0.2">
      <c r="Y57682" s="97"/>
    </row>
    <row r="57683" spans="25:25" x14ac:dyDescent="0.2">
      <c r="Y57683" s="97"/>
    </row>
    <row r="57684" spans="25:25" x14ac:dyDescent="0.2">
      <c r="Y57684" s="97"/>
    </row>
    <row r="57685" spans="25:25" x14ac:dyDescent="0.2">
      <c r="Y57685" s="97"/>
    </row>
    <row r="57686" spans="25:25" x14ac:dyDescent="0.2">
      <c r="Y57686" s="97"/>
    </row>
    <row r="57687" spans="25:25" x14ac:dyDescent="0.2">
      <c r="Y57687" s="97"/>
    </row>
    <row r="57688" spans="25:25" x14ac:dyDescent="0.2">
      <c r="Y57688" s="97"/>
    </row>
    <row r="57689" spans="25:25" x14ac:dyDescent="0.2">
      <c r="Y57689" s="97"/>
    </row>
    <row r="57690" spans="25:25" x14ac:dyDescent="0.2">
      <c r="Y57690" s="97"/>
    </row>
    <row r="57691" spans="25:25" x14ac:dyDescent="0.2">
      <c r="Y57691" s="97"/>
    </row>
    <row r="57692" spans="25:25" x14ac:dyDescent="0.2">
      <c r="Y57692" s="97"/>
    </row>
    <row r="57693" spans="25:25" x14ac:dyDescent="0.2">
      <c r="Y57693" s="97"/>
    </row>
    <row r="57694" spans="25:25" x14ac:dyDescent="0.2">
      <c r="Y57694" s="97"/>
    </row>
    <row r="57695" spans="25:25" x14ac:dyDescent="0.2">
      <c r="Y57695" s="97"/>
    </row>
    <row r="57696" spans="25:25" x14ac:dyDescent="0.2">
      <c r="Y57696" s="97"/>
    </row>
    <row r="57697" spans="25:25" x14ac:dyDescent="0.2">
      <c r="Y57697" s="97"/>
    </row>
    <row r="57698" spans="25:25" x14ac:dyDescent="0.2">
      <c r="Y57698" s="97"/>
    </row>
    <row r="57699" spans="25:25" x14ac:dyDescent="0.2">
      <c r="Y57699" s="97"/>
    </row>
    <row r="57700" spans="25:25" x14ac:dyDescent="0.2">
      <c r="Y57700" s="97"/>
    </row>
    <row r="57701" spans="25:25" x14ac:dyDescent="0.2">
      <c r="Y57701" s="97"/>
    </row>
    <row r="57702" spans="25:25" x14ac:dyDescent="0.2">
      <c r="Y57702" s="97"/>
    </row>
    <row r="57703" spans="25:25" x14ac:dyDescent="0.2">
      <c r="Y57703" s="97"/>
    </row>
    <row r="57704" spans="25:25" x14ac:dyDescent="0.2">
      <c r="Y57704" s="97"/>
    </row>
    <row r="57705" spans="25:25" x14ac:dyDescent="0.2">
      <c r="Y57705" s="97"/>
    </row>
    <row r="57706" spans="25:25" x14ac:dyDescent="0.2">
      <c r="Y57706" s="97"/>
    </row>
    <row r="57707" spans="25:25" x14ac:dyDescent="0.2">
      <c r="Y57707" s="97"/>
    </row>
    <row r="57708" spans="25:25" x14ac:dyDescent="0.2">
      <c r="Y57708" s="97"/>
    </row>
    <row r="57709" spans="25:25" x14ac:dyDescent="0.2">
      <c r="Y57709" s="97"/>
    </row>
    <row r="57710" spans="25:25" x14ac:dyDescent="0.2">
      <c r="Y57710" s="97"/>
    </row>
    <row r="57711" spans="25:25" x14ac:dyDescent="0.2">
      <c r="Y57711" s="97"/>
    </row>
    <row r="57712" spans="25:25" x14ac:dyDescent="0.2">
      <c r="Y57712" s="97"/>
    </row>
    <row r="57713" spans="25:25" x14ac:dyDescent="0.2">
      <c r="Y57713" s="97"/>
    </row>
    <row r="57714" spans="25:25" x14ac:dyDescent="0.2">
      <c r="Y57714" s="97"/>
    </row>
    <row r="57715" spans="25:25" x14ac:dyDescent="0.2">
      <c r="Y57715" s="97"/>
    </row>
    <row r="57716" spans="25:25" x14ac:dyDescent="0.2">
      <c r="Y57716" s="97"/>
    </row>
    <row r="57717" spans="25:25" x14ac:dyDescent="0.2">
      <c r="Y57717" s="97"/>
    </row>
    <row r="57718" spans="25:25" x14ac:dyDescent="0.2">
      <c r="Y57718" s="97"/>
    </row>
    <row r="57719" spans="25:25" x14ac:dyDescent="0.2">
      <c r="Y57719" s="97"/>
    </row>
    <row r="57720" spans="25:25" x14ac:dyDescent="0.2">
      <c r="Y57720" s="97"/>
    </row>
    <row r="57721" spans="25:25" x14ac:dyDescent="0.2">
      <c r="Y57721" s="97"/>
    </row>
    <row r="57722" spans="25:25" x14ac:dyDescent="0.2">
      <c r="Y57722" s="97"/>
    </row>
    <row r="57723" spans="25:25" x14ac:dyDescent="0.2">
      <c r="Y57723" s="97"/>
    </row>
    <row r="57724" spans="25:25" x14ac:dyDescent="0.2">
      <c r="Y57724" s="97"/>
    </row>
    <row r="57725" spans="25:25" x14ac:dyDescent="0.2">
      <c r="Y57725" s="97"/>
    </row>
    <row r="57726" spans="25:25" x14ac:dyDescent="0.2">
      <c r="Y57726" s="97"/>
    </row>
    <row r="57727" spans="25:25" x14ac:dyDescent="0.2">
      <c r="Y57727" s="97"/>
    </row>
    <row r="57728" spans="25:25" x14ac:dyDescent="0.2">
      <c r="Y57728" s="97"/>
    </row>
    <row r="57729" spans="25:25" x14ac:dyDescent="0.2">
      <c r="Y57729" s="97"/>
    </row>
    <row r="57730" spans="25:25" x14ac:dyDescent="0.2">
      <c r="Y57730" s="97"/>
    </row>
    <row r="57731" spans="25:25" x14ac:dyDescent="0.2">
      <c r="Y57731" s="97"/>
    </row>
    <row r="57732" spans="25:25" x14ac:dyDescent="0.2">
      <c r="Y57732" s="97"/>
    </row>
    <row r="57733" spans="25:25" x14ac:dyDescent="0.2">
      <c r="Y57733" s="97"/>
    </row>
    <row r="57734" spans="25:25" x14ac:dyDescent="0.2">
      <c r="Y57734" s="97"/>
    </row>
    <row r="57735" spans="25:25" x14ac:dyDescent="0.2">
      <c r="Y57735" s="97"/>
    </row>
    <row r="57736" spans="25:25" x14ac:dyDescent="0.2">
      <c r="Y57736" s="97"/>
    </row>
    <row r="57737" spans="25:25" x14ac:dyDescent="0.2">
      <c r="Y57737" s="97"/>
    </row>
    <row r="57738" spans="25:25" x14ac:dyDescent="0.2">
      <c r="Y57738" s="97"/>
    </row>
    <row r="57739" spans="25:25" x14ac:dyDescent="0.2">
      <c r="Y57739" s="97"/>
    </row>
    <row r="57740" spans="25:25" x14ac:dyDescent="0.2">
      <c r="Y57740" s="97"/>
    </row>
    <row r="57741" spans="25:25" x14ac:dyDescent="0.2">
      <c r="Y57741" s="97"/>
    </row>
    <row r="57742" spans="25:25" x14ac:dyDescent="0.2">
      <c r="Y57742" s="97"/>
    </row>
    <row r="57743" spans="25:25" x14ac:dyDescent="0.2">
      <c r="Y57743" s="97"/>
    </row>
    <row r="57744" spans="25:25" x14ac:dyDescent="0.2">
      <c r="Y57744" s="97"/>
    </row>
    <row r="57745" spans="25:25" x14ac:dyDescent="0.2">
      <c r="Y57745" s="97"/>
    </row>
    <row r="57746" spans="25:25" x14ac:dyDescent="0.2">
      <c r="Y57746" s="97"/>
    </row>
    <row r="57747" spans="25:25" x14ac:dyDescent="0.2">
      <c r="Y57747" s="97"/>
    </row>
    <row r="57748" spans="25:25" x14ac:dyDescent="0.2">
      <c r="Y57748" s="97"/>
    </row>
    <row r="57749" spans="25:25" x14ac:dyDescent="0.2">
      <c r="Y57749" s="97"/>
    </row>
    <row r="57750" spans="25:25" x14ac:dyDescent="0.2">
      <c r="Y57750" s="97"/>
    </row>
    <row r="57751" spans="25:25" x14ac:dyDescent="0.2">
      <c r="Y57751" s="97"/>
    </row>
    <row r="57752" spans="25:25" x14ac:dyDescent="0.2">
      <c r="Y57752" s="97"/>
    </row>
    <row r="57753" spans="25:25" x14ac:dyDescent="0.2">
      <c r="Y57753" s="97"/>
    </row>
    <row r="57754" spans="25:25" x14ac:dyDescent="0.2">
      <c r="Y57754" s="97"/>
    </row>
    <row r="57755" spans="25:25" x14ac:dyDescent="0.2">
      <c r="Y57755" s="97"/>
    </row>
    <row r="57756" spans="25:25" x14ac:dyDescent="0.2">
      <c r="Y57756" s="97"/>
    </row>
    <row r="57757" spans="25:25" x14ac:dyDescent="0.2">
      <c r="Y57757" s="97"/>
    </row>
    <row r="57758" spans="25:25" x14ac:dyDescent="0.2">
      <c r="Y57758" s="97"/>
    </row>
    <row r="57759" spans="25:25" x14ac:dyDescent="0.2">
      <c r="Y57759" s="97"/>
    </row>
    <row r="57760" spans="25:25" x14ac:dyDescent="0.2">
      <c r="Y57760" s="97"/>
    </row>
    <row r="57761" spans="25:25" x14ac:dyDescent="0.2">
      <c r="Y57761" s="97"/>
    </row>
    <row r="57762" spans="25:25" x14ac:dyDescent="0.2">
      <c r="Y57762" s="97"/>
    </row>
    <row r="57763" spans="25:25" x14ac:dyDescent="0.2">
      <c r="Y57763" s="97"/>
    </row>
    <row r="57764" spans="25:25" x14ac:dyDescent="0.2">
      <c r="Y57764" s="97"/>
    </row>
    <row r="57765" spans="25:25" x14ac:dyDescent="0.2">
      <c r="Y57765" s="97"/>
    </row>
    <row r="57766" spans="25:25" x14ac:dyDescent="0.2">
      <c r="Y57766" s="97"/>
    </row>
    <row r="57767" spans="25:25" x14ac:dyDescent="0.2">
      <c r="Y57767" s="97"/>
    </row>
    <row r="57768" spans="25:25" x14ac:dyDescent="0.2">
      <c r="Y57768" s="97"/>
    </row>
    <row r="57769" spans="25:25" x14ac:dyDescent="0.2">
      <c r="Y57769" s="97"/>
    </row>
    <row r="57770" spans="25:25" x14ac:dyDescent="0.2">
      <c r="Y57770" s="97"/>
    </row>
    <row r="57771" spans="25:25" x14ac:dyDescent="0.2">
      <c r="Y57771" s="97"/>
    </row>
    <row r="57772" spans="25:25" x14ac:dyDescent="0.2">
      <c r="Y57772" s="97"/>
    </row>
    <row r="57773" spans="25:25" x14ac:dyDescent="0.2">
      <c r="Y57773" s="97"/>
    </row>
    <row r="57774" spans="25:25" x14ac:dyDescent="0.2">
      <c r="Y57774" s="97"/>
    </row>
    <row r="57775" spans="25:25" x14ac:dyDescent="0.2">
      <c r="Y57775" s="97"/>
    </row>
    <row r="57776" spans="25:25" x14ac:dyDescent="0.2">
      <c r="Y57776" s="97"/>
    </row>
    <row r="57777" spans="25:25" x14ac:dyDescent="0.2">
      <c r="Y57777" s="97"/>
    </row>
    <row r="57778" spans="25:25" x14ac:dyDescent="0.2">
      <c r="Y57778" s="97"/>
    </row>
    <row r="57779" spans="25:25" x14ac:dyDescent="0.2">
      <c r="Y57779" s="97"/>
    </row>
    <row r="57780" spans="25:25" x14ac:dyDescent="0.2">
      <c r="Y57780" s="97"/>
    </row>
    <row r="57781" spans="25:25" x14ac:dyDescent="0.2">
      <c r="Y57781" s="97"/>
    </row>
    <row r="57782" spans="25:25" x14ac:dyDescent="0.2">
      <c r="Y57782" s="97"/>
    </row>
    <row r="57783" spans="25:25" x14ac:dyDescent="0.2">
      <c r="Y57783" s="97"/>
    </row>
    <row r="57784" spans="25:25" x14ac:dyDescent="0.2">
      <c r="Y57784" s="97"/>
    </row>
    <row r="57785" spans="25:25" x14ac:dyDescent="0.2">
      <c r="Y57785" s="97"/>
    </row>
    <row r="57786" spans="25:25" x14ac:dyDescent="0.2">
      <c r="Y57786" s="97"/>
    </row>
    <row r="57787" spans="25:25" x14ac:dyDescent="0.2">
      <c r="Y57787" s="97"/>
    </row>
    <row r="57788" spans="25:25" x14ac:dyDescent="0.2">
      <c r="Y57788" s="97"/>
    </row>
    <row r="57789" spans="25:25" x14ac:dyDescent="0.2">
      <c r="Y57789" s="97"/>
    </row>
    <row r="57790" spans="25:25" x14ac:dyDescent="0.2">
      <c r="Y57790" s="97"/>
    </row>
    <row r="57791" spans="25:25" x14ac:dyDescent="0.2">
      <c r="Y57791" s="97"/>
    </row>
    <row r="57792" spans="25:25" x14ac:dyDescent="0.2">
      <c r="Y57792" s="97"/>
    </row>
    <row r="57793" spans="25:25" x14ac:dyDescent="0.2">
      <c r="Y57793" s="97"/>
    </row>
    <row r="57794" spans="25:25" x14ac:dyDescent="0.2">
      <c r="Y57794" s="97"/>
    </row>
    <row r="57795" spans="25:25" x14ac:dyDescent="0.2">
      <c r="Y57795" s="97"/>
    </row>
    <row r="57796" spans="25:25" x14ac:dyDescent="0.2">
      <c r="Y57796" s="97"/>
    </row>
    <row r="57797" spans="25:25" x14ac:dyDescent="0.2">
      <c r="Y57797" s="97"/>
    </row>
    <row r="57798" spans="25:25" x14ac:dyDescent="0.2">
      <c r="Y57798" s="97"/>
    </row>
    <row r="57799" spans="25:25" x14ac:dyDescent="0.2">
      <c r="Y57799" s="97"/>
    </row>
    <row r="57800" spans="25:25" x14ac:dyDescent="0.2">
      <c r="Y57800" s="97"/>
    </row>
    <row r="57801" spans="25:25" x14ac:dyDescent="0.2">
      <c r="Y57801" s="97"/>
    </row>
    <row r="57802" spans="25:25" x14ac:dyDescent="0.2">
      <c r="Y57802" s="97"/>
    </row>
    <row r="57803" spans="25:25" x14ac:dyDescent="0.2">
      <c r="Y57803" s="97"/>
    </row>
    <row r="57804" spans="25:25" x14ac:dyDescent="0.2">
      <c r="Y57804" s="97"/>
    </row>
    <row r="57805" spans="25:25" x14ac:dyDescent="0.2">
      <c r="Y57805" s="97"/>
    </row>
    <row r="57806" spans="25:25" x14ac:dyDescent="0.2">
      <c r="Y57806" s="97"/>
    </row>
    <row r="57807" spans="25:25" x14ac:dyDescent="0.2">
      <c r="Y57807" s="97"/>
    </row>
    <row r="57808" spans="25:25" x14ac:dyDescent="0.2">
      <c r="Y57808" s="97"/>
    </row>
    <row r="57809" spans="25:25" x14ac:dyDescent="0.2">
      <c r="Y57809" s="97"/>
    </row>
    <row r="57810" spans="25:25" x14ac:dyDescent="0.2">
      <c r="Y57810" s="97"/>
    </row>
    <row r="57811" spans="25:25" x14ac:dyDescent="0.2">
      <c r="Y57811" s="97"/>
    </row>
    <row r="57812" spans="25:25" x14ac:dyDescent="0.2">
      <c r="Y57812" s="97"/>
    </row>
    <row r="57813" spans="25:25" x14ac:dyDescent="0.2">
      <c r="Y57813" s="97"/>
    </row>
    <row r="57814" spans="25:25" x14ac:dyDescent="0.2">
      <c r="Y57814" s="97"/>
    </row>
    <row r="57815" spans="25:25" x14ac:dyDescent="0.2">
      <c r="Y57815" s="97"/>
    </row>
    <row r="57816" spans="25:25" x14ac:dyDescent="0.2">
      <c r="Y57816" s="97"/>
    </row>
    <row r="57817" spans="25:25" x14ac:dyDescent="0.2">
      <c r="Y57817" s="97"/>
    </row>
    <row r="57818" spans="25:25" x14ac:dyDescent="0.2">
      <c r="Y57818" s="97"/>
    </row>
    <row r="57819" spans="25:25" x14ac:dyDescent="0.2">
      <c r="Y57819" s="97"/>
    </row>
    <row r="57820" spans="25:25" x14ac:dyDescent="0.2">
      <c r="Y57820" s="97"/>
    </row>
    <row r="57821" spans="25:25" x14ac:dyDescent="0.2">
      <c r="Y57821" s="97"/>
    </row>
    <row r="57822" spans="25:25" x14ac:dyDescent="0.2">
      <c r="Y57822" s="97"/>
    </row>
    <row r="57823" spans="25:25" x14ac:dyDescent="0.2">
      <c r="Y57823" s="97"/>
    </row>
    <row r="57824" spans="25:25" x14ac:dyDescent="0.2">
      <c r="Y57824" s="97"/>
    </row>
    <row r="57825" spans="25:25" x14ac:dyDescent="0.2">
      <c r="Y57825" s="97"/>
    </row>
    <row r="57826" spans="25:25" x14ac:dyDescent="0.2">
      <c r="Y57826" s="97"/>
    </row>
    <row r="57827" spans="25:25" x14ac:dyDescent="0.2">
      <c r="Y57827" s="97"/>
    </row>
    <row r="57828" spans="25:25" x14ac:dyDescent="0.2">
      <c r="Y57828" s="97"/>
    </row>
    <row r="57829" spans="25:25" x14ac:dyDescent="0.2">
      <c r="Y57829" s="97"/>
    </row>
    <row r="57830" spans="25:25" x14ac:dyDescent="0.2">
      <c r="Y57830" s="97"/>
    </row>
    <row r="57831" spans="25:25" x14ac:dyDescent="0.2">
      <c r="Y57831" s="97"/>
    </row>
    <row r="57832" spans="25:25" x14ac:dyDescent="0.2">
      <c r="Y57832" s="97"/>
    </row>
    <row r="57833" spans="25:25" x14ac:dyDescent="0.2">
      <c r="Y57833" s="97"/>
    </row>
    <row r="57834" spans="25:25" x14ac:dyDescent="0.2">
      <c r="Y57834" s="97"/>
    </row>
    <row r="57835" spans="25:25" x14ac:dyDescent="0.2">
      <c r="Y57835" s="97"/>
    </row>
    <row r="57836" spans="25:25" x14ac:dyDescent="0.2">
      <c r="Y57836" s="97"/>
    </row>
    <row r="57837" spans="25:25" x14ac:dyDescent="0.2">
      <c r="Y57837" s="97"/>
    </row>
    <row r="57838" spans="25:25" x14ac:dyDescent="0.2">
      <c r="Y57838" s="97"/>
    </row>
    <row r="57839" spans="25:25" x14ac:dyDescent="0.2">
      <c r="Y57839" s="97"/>
    </row>
    <row r="57840" spans="25:25" x14ac:dyDescent="0.2">
      <c r="Y57840" s="97"/>
    </row>
    <row r="57841" spans="25:25" x14ac:dyDescent="0.2">
      <c r="Y57841" s="97"/>
    </row>
    <row r="57842" spans="25:25" x14ac:dyDescent="0.2">
      <c r="Y57842" s="97"/>
    </row>
    <row r="57843" spans="25:25" x14ac:dyDescent="0.2">
      <c r="Y57843" s="97"/>
    </row>
    <row r="57844" spans="25:25" x14ac:dyDescent="0.2">
      <c r="Y57844" s="97"/>
    </row>
    <row r="57845" spans="25:25" x14ac:dyDescent="0.2">
      <c r="Y57845" s="97"/>
    </row>
    <row r="57846" spans="25:25" x14ac:dyDescent="0.2">
      <c r="Y57846" s="97"/>
    </row>
    <row r="57847" spans="25:25" x14ac:dyDescent="0.2">
      <c r="Y57847" s="97"/>
    </row>
    <row r="57848" spans="25:25" x14ac:dyDescent="0.2">
      <c r="Y57848" s="97"/>
    </row>
    <row r="57849" spans="25:25" x14ac:dyDescent="0.2">
      <c r="Y57849" s="97"/>
    </row>
    <row r="57850" spans="25:25" x14ac:dyDescent="0.2">
      <c r="Y57850" s="97"/>
    </row>
    <row r="57851" spans="25:25" x14ac:dyDescent="0.2">
      <c r="Y57851" s="97"/>
    </row>
    <row r="57852" spans="25:25" x14ac:dyDescent="0.2">
      <c r="Y57852" s="97"/>
    </row>
    <row r="57853" spans="25:25" x14ac:dyDescent="0.2">
      <c r="Y57853" s="97"/>
    </row>
    <row r="57854" spans="25:25" x14ac:dyDescent="0.2">
      <c r="Y57854" s="97"/>
    </row>
    <row r="57855" spans="25:25" x14ac:dyDescent="0.2">
      <c r="Y57855" s="97"/>
    </row>
    <row r="57856" spans="25:25" x14ac:dyDescent="0.2">
      <c r="Y57856" s="97"/>
    </row>
    <row r="57857" spans="25:25" x14ac:dyDescent="0.2">
      <c r="Y57857" s="97"/>
    </row>
    <row r="57858" spans="25:25" x14ac:dyDescent="0.2">
      <c r="Y57858" s="97"/>
    </row>
    <row r="57859" spans="25:25" x14ac:dyDescent="0.2">
      <c r="Y57859" s="97"/>
    </row>
    <row r="57860" spans="25:25" x14ac:dyDescent="0.2">
      <c r="Y57860" s="97"/>
    </row>
    <row r="57861" spans="25:25" x14ac:dyDescent="0.2">
      <c r="Y57861" s="97"/>
    </row>
    <row r="57862" spans="25:25" x14ac:dyDescent="0.2">
      <c r="Y57862" s="97"/>
    </row>
    <row r="57863" spans="25:25" x14ac:dyDescent="0.2">
      <c r="Y57863" s="97"/>
    </row>
    <row r="57864" spans="25:25" x14ac:dyDescent="0.2">
      <c r="Y57864" s="97"/>
    </row>
    <row r="57865" spans="25:25" x14ac:dyDescent="0.2">
      <c r="Y57865" s="97"/>
    </row>
    <row r="57866" spans="25:25" x14ac:dyDescent="0.2">
      <c r="Y57866" s="97"/>
    </row>
    <row r="57867" spans="25:25" x14ac:dyDescent="0.2">
      <c r="Y57867" s="97"/>
    </row>
    <row r="57868" spans="25:25" x14ac:dyDescent="0.2">
      <c r="Y57868" s="97"/>
    </row>
    <row r="57869" spans="25:25" x14ac:dyDescent="0.2">
      <c r="Y57869" s="97"/>
    </row>
    <row r="57870" spans="25:25" x14ac:dyDescent="0.2">
      <c r="Y57870" s="97"/>
    </row>
    <row r="57871" spans="25:25" x14ac:dyDescent="0.2">
      <c r="Y57871" s="97"/>
    </row>
    <row r="57872" spans="25:25" x14ac:dyDescent="0.2">
      <c r="Y57872" s="97"/>
    </row>
    <row r="57873" spans="25:25" x14ac:dyDescent="0.2">
      <c r="Y57873" s="97"/>
    </row>
    <row r="57874" spans="25:25" x14ac:dyDescent="0.2">
      <c r="Y57874" s="97"/>
    </row>
    <row r="57875" spans="25:25" x14ac:dyDescent="0.2">
      <c r="Y57875" s="97"/>
    </row>
    <row r="57876" spans="25:25" x14ac:dyDescent="0.2">
      <c r="Y57876" s="97"/>
    </row>
    <row r="57877" spans="25:25" x14ac:dyDescent="0.2">
      <c r="Y57877" s="97"/>
    </row>
    <row r="57878" spans="25:25" x14ac:dyDescent="0.2">
      <c r="Y57878" s="97"/>
    </row>
    <row r="57879" spans="25:25" x14ac:dyDescent="0.2">
      <c r="Y57879" s="97"/>
    </row>
    <row r="57880" spans="25:25" x14ac:dyDescent="0.2">
      <c r="Y57880" s="97"/>
    </row>
    <row r="57881" spans="25:25" x14ac:dyDescent="0.2">
      <c r="Y57881" s="97"/>
    </row>
    <row r="57882" spans="25:25" x14ac:dyDescent="0.2">
      <c r="Y57882" s="97"/>
    </row>
    <row r="57883" spans="25:25" x14ac:dyDescent="0.2">
      <c r="Y57883" s="97"/>
    </row>
    <row r="57884" spans="25:25" x14ac:dyDescent="0.2">
      <c r="Y57884" s="97"/>
    </row>
    <row r="57885" spans="25:25" x14ac:dyDescent="0.2">
      <c r="Y57885" s="97"/>
    </row>
    <row r="57886" spans="25:25" x14ac:dyDescent="0.2">
      <c r="Y57886" s="97"/>
    </row>
    <row r="57887" spans="25:25" x14ac:dyDescent="0.2">
      <c r="Y57887" s="97"/>
    </row>
    <row r="57888" spans="25:25" x14ac:dyDescent="0.2">
      <c r="Y57888" s="97"/>
    </row>
    <row r="57889" spans="25:25" x14ac:dyDescent="0.2">
      <c r="Y57889" s="97"/>
    </row>
    <row r="57890" spans="25:25" x14ac:dyDescent="0.2">
      <c r="Y57890" s="97"/>
    </row>
    <row r="57891" spans="25:25" x14ac:dyDescent="0.2">
      <c r="Y57891" s="97"/>
    </row>
    <row r="57892" spans="25:25" x14ac:dyDescent="0.2">
      <c r="Y57892" s="97"/>
    </row>
    <row r="57893" spans="25:25" x14ac:dyDescent="0.2">
      <c r="Y57893" s="97"/>
    </row>
    <row r="57894" spans="25:25" x14ac:dyDescent="0.2">
      <c r="Y57894" s="97"/>
    </row>
    <row r="57895" spans="25:25" x14ac:dyDescent="0.2">
      <c r="Y57895" s="97"/>
    </row>
    <row r="57896" spans="25:25" x14ac:dyDescent="0.2">
      <c r="Y57896" s="97"/>
    </row>
    <row r="57897" spans="25:25" x14ac:dyDescent="0.2">
      <c r="Y57897" s="97"/>
    </row>
    <row r="57898" spans="25:25" x14ac:dyDescent="0.2">
      <c r="Y57898" s="97"/>
    </row>
    <row r="57899" spans="25:25" x14ac:dyDescent="0.2">
      <c r="Y57899" s="97"/>
    </row>
    <row r="57900" spans="25:25" x14ac:dyDescent="0.2">
      <c r="Y57900" s="97"/>
    </row>
    <row r="57901" spans="25:25" x14ac:dyDescent="0.2">
      <c r="Y57901" s="97"/>
    </row>
    <row r="57902" spans="25:25" x14ac:dyDescent="0.2">
      <c r="Y57902" s="97"/>
    </row>
    <row r="57903" spans="25:25" x14ac:dyDescent="0.2">
      <c r="Y57903" s="97"/>
    </row>
    <row r="57904" spans="25:25" x14ac:dyDescent="0.2">
      <c r="Y57904" s="97"/>
    </row>
    <row r="57905" spans="25:25" x14ac:dyDescent="0.2">
      <c r="Y57905" s="97"/>
    </row>
    <row r="57906" spans="25:25" x14ac:dyDescent="0.2">
      <c r="Y57906" s="97"/>
    </row>
    <row r="57907" spans="25:25" x14ac:dyDescent="0.2">
      <c r="Y57907" s="97"/>
    </row>
    <row r="57908" spans="25:25" x14ac:dyDescent="0.2">
      <c r="Y57908" s="97"/>
    </row>
    <row r="57909" spans="25:25" x14ac:dyDescent="0.2">
      <c r="Y57909" s="97"/>
    </row>
    <row r="57910" spans="25:25" x14ac:dyDescent="0.2">
      <c r="Y57910" s="97"/>
    </row>
    <row r="57911" spans="25:25" x14ac:dyDescent="0.2">
      <c r="Y57911" s="97"/>
    </row>
    <row r="57912" spans="25:25" x14ac:dyDescent="0.2">
      <c r="Y57912" s="97"/>
    </row>
    <row r="57913" spans="25:25" x14ac:dyDescent="0.2">
      <c r="Y57913" s="97"/>
    </row>
    <row r="57914" spans="25:25" x14ac:dyDescent="0.2">
      <c r="Y57914" s="97"/>
    </row>
    <row r="57915" spans="25:25" x14ac:dyDescent="0.2">
      <c r="Y57915" s="97"/>
    </row>
    <row r="57916" spans="25:25" x14ac:dyDescent="0.2">
      <c r="Y57916" s="97"/>
    </row>
    <row r="57917" spans="25:25" x14ac:dyDescent="0.2">
      <c r="Y57917" s="97"/>
    </row>
    <row r="57918" spans="25:25" x14ac:dyDescent="0.2">
      <c r="Y57918" s="97"/>
    </row>
    <row r="57919" spans="25:25" x14ac:dyDescent="0.2">
      <c r="Y57919" s="97"/>
    </row>
    <row r="57920" spans="25:25" x14ac:dyDescent="0.2">
      <c r="Y57920" s="97"/>
    </row>
    <row r="57921" spans="25:25" x14ac:dyDescent="0.2">
      <c r="Y57921" s="97"/>
    </row>
    <row r="57922" spans="25:25" x14ac:dyDescent="0.2">
      <c r="Y57922" s="97"/>
    </row>
    <row r="57923" spans="25:25" x14ac:dyDescent="0.2">
      <c r="Y57923" s="97"/>
    </row>
    <row r="57924" spans="25:25" x14ac:dyDescent="0.2">
      <c r="Y57924" s="97"/>
    </row>
    <row r="57925" spans="25:25" x14ac:dyDescent="0.2">
      <c r="Y57925" s="97"/>
    </row>
    <row r="57926" spans="25:25" x14ac:dyDescent="0.2">
      <c r="Y57926" s="97"/>
    </row>
    <row r="57927" spans="25:25" x14ac:dyDescent="0.2">
      <c r="Y57927" s="97"/>
    </row>
    <row r="57928" spans="25:25" x14ac:dyDescent="0.2">
      <c r="Y57928" s="97"/>
    </row>
    <row r="57929" spans="25:25" x14ac:dyDescent="0.2">
      <c r="Y57929" s="97"/>
    </row>
    <row r="57930" spans="25:25" x14ac:dyDescent="0.2">
      <c r="Y57930" s="97"/>
    </row>
    <row r="57931" spans="25:25" x14ac:dyDescent="0.2">
      <c r="Y57931" s="97"/>
    </row>
    <row r="57932" spans="25:25" x14ac:dyDescent="0.2">
      <c r="Y57932" s="97"/>
    </row>
    <row r="57933" spans="25:25" x14ac:dyDescent="0.2">
      <c r="Y57933" s="97"/>
    </row>
    <row r="57934" spans="25:25" x14ac:dyDescent="0.2">
      <c r="Y57934" s="97"/>
    </row>
    <row r="57935" spans="25:25" x14ac:dyDescent="0.2">
      <c r="Y57935" s="97"/>
    </row>
    <row r="57936" spans="25:25" x14ac:dyDescent="0.2">
      <c r="Y57936" s="97"/>
    </row>
    <row r="57937" spans="25:25" x14ac:dyDescent="0.2">
      <c r="Y57937" s="97"/>
    </row>
    <row r="57938" spans="25:25" x14ac:dyDescent="0.2">
      <c r="Y57938" s="97"/>
    </row>
    <row r="57939" spans="25:25" x14ac:dyDescent="0.2">
      <c r="Y57939" s="97"/>
    </row>
    <row r="57940" spans="25:25" x14ac:dyDescent="0.2">
      <c r="Y57940" s="97"/>
    </row>
    <row r="57941" spans="25:25" x14ac:dyDescent="0.2">
      <c r="Y57941" s="97"/>
    </row>
    <row r="57942" spans="25:25" x14ac:dyDescent="0.2">
      <c r="Y57942" s="97"/>
    </row>
    <row r="57943" spans="25:25" x14ac:dyDescent="0.2">
      <c r="Y57943" s="97"/>
    </row>
    <row r="57944" spans="25:25" x14ac:dyDescent="0.2">
      <c r="Y57944" s="97"/>
    </row>
    <row r="57945" spans="25:25" x14ac:dyDescent="0.2">
      <c r="Y57945" s="97"/>
    </row>
    <row r="57946" spans="25:25" x14ac:dyDescent="0.2">
      <c r="Y57946" s="97"/>
    </row>
    <row r="57947" spans="25:25" x14ac:dyDescent="0.2">
      <c r="Y57947" s="97"/>
    </row>
    <row r="57948" spans="25:25" x14ac:dyDescent="0.2">
      <c r="Y57948" s="97"/>
    </row>
    <row r="57949" spans="25:25" x14ac:dyDescent="0.2">
      <c r="Y57949" s="97"/>
    </row>
    <row r="57950" spans="25:25" x14ac:dyDescent="0.2">
      <c r="Y57950" s="97"/>
    </row>
    <row r="57951" spans="25:25" x14ac:dyDescent="0.2">
      <c r="Y57951" s="97"/>
    </row>
    <row r="57952" spans="25:25" x14ac:dyDescent="0.2">
      <c r="Y57952" s="97"/>
    </row>
    <row r="57953" spans="25:25" x14ac:dyDescent="0.2">
      <c r="Y57953" s="97"/>
    </row>
    <row r="57954" spans="25:25" x14ac:dyDescent="0.2">
      <c r="Y57954" s="97"/>
    </row>
    <row r="57955" spans="25:25" x14ac:dyDescent="0.2">
      <c r="Y57955" s="97"/>
    </row>
    <row r="57956" spans="25:25" x14ac:dyDescent="0.2">
      <c r="Y57956" s="97"/>
    </row>
    <row r="57957" spans="25:25" x14ac:dyDescent="0.2">
      <c r="Y57957" s="97"/>
    </row>
    <row r="57958" spans="25:25" x14ac:dyDescent="0.2">
      <c r="Y57958" s="97"/>
    </row>
    <row r="57959" spans="25:25" x14ac:dyDescent="0.2">
      <c r="Y57959" s="97"/>
    </row>
    <row r="57960" spans="25:25" x14ac:dyDescent="0.2">
      <c r="Y57960" s="97"/>
    </row>
    <row r="57961" spans="25:25" x14ac:dyDescent="0.2">
      <c r="Y57961" s="97"/>
    </row>
    <row r="57962" spans="25:25" x14ac:dyDescent="0.2">
      <c r="Y57962" s="97"/>
    </row>
    <row r="57963" spans="25:25" x14ac:dyDescent="0.2">
      <c r="Y57963" s="97"/>
    </row>
    <row r="57964" spans="25:25" x14ac:dyDescent="0.2">
      <c r="Y57964" s="97"/>
    </row>
    <row r="57965" spans="25:25" x14ac:dyDescent="0.2">
      <c r="Y57965" s="97"/>
    </row>
    <row r="57966" spans="25:25" x14ac:dyDescent="0.2">
      <c r="Y57966" s="97"/>
    </row>
    <row r="57967" spans="25:25" x14ac:dyDescent="0.2">
      <c r="Y57967" s="97"/>
    </row>
    <row r="57968" spans="25:25" x14ac:dyDescent="0.2">
      <c r="Y57968" s="97"/>
    </row>
    <row r="57969" spans="25:25" x14ac:dyDescent="0.2">
      <c r="Y57969" s="97"/>
    </row>
    <row r="57970" spans="25:25" x14ac:dyDescent="0.2">
      <c r="Y57970" s="97"/>
    </row>
    <row r="57971" spans="25:25" x14ac:dyDescent="0.2">
      <c r="Y57971" s="97"/>
    </row>
    <row r="57972" spans="25:25" x14ac:dyDescent="0.2">
      <c r="Y57972" s="97"/>
    </row>
    <row r="57973" spans="25:25" x14ac:dyDescent="0.2">
      <c r="Y57973" s="97"/>
    </row>
    <row r="57974" spans="25:25" x14ac:dyDescent="0.2">
      <c r="Y57974" s="97"/>
    </row>
    <row r="57975" spans="25:25" x14ac:dyDescent="0.2">
      <c r="Y57975" s="97"/>
    </row>
    <row r="57976" spans="25:25" x14ac:dyDescent="0.2">
      <c r="Y57976" s="97"/>
    </row>
    <row r="57977" spans="25:25" x14ac:dyDescent="0.2">
      <c r="Y57977" s="97"/>
    </row>
    <row r="57978" spans="25:25" x14ac:dyDescent="0.2">
      <c r="Y57978" s="97"/>
    </row>
    <row r="57979" spans="25:25" x14ac:dyDescent="0.2">
      <c r="Y57979" s="97"/>
    </row>
    <row r="57980" spans="25:25" x14ac:dyDescent="0.2">
      <c r="Y57980" s="97"/>
    </row>
    <row r="57981" spans="25:25" x14ac:dyDescent="0.2">
      <c r="Y57981" s="97"/>
    </row>
    <row r="57982" spans="25:25" x14ac:dyDescent="0.2">
      <c r="Y57982" s="97"/>
    </row>
    <row r="57983" spans="25:25" x14ac:dyDescent="0.2">
      <c r="Y57983" s="97"/>
    </row>
    <row r="57984" spans="25:25" x14ac:dyDescent="0.2">
      <c r="Y57984" s="97"/>
    </row>
    <row r="57985" spans="25:25" x14ac:dyDescent="0.2">
      <c r="Y57985" s="97"/>
    </row>
    <row r="57986" spans="25:25" x14ac:dyDescent="0.2">
      <c r="Y57986" s="97"/>
    </row>
    <row r="57987" spans="25:25" x14ac:dyDescent="0.2">
      <c r="Y57987" s="97"/>
    </row>
    <row r="57988" spans="25:25" x14ac:dyDescent="0.2">
      <c r="Y57988" s="97"/>
    </row>
    <row r="57989" spans="25:25" x14ac:dyDescent="0.2">
      <c r="Y57989" s="97"/>
    </row>
    <row r="57990" spans="25:25" x14ac:dyDescent="0.2">
      <c r="Y57990" s="97"/>
    </row>
    <row r="57991" spans="25:25" x14ac:dyDescent="0.2">
      <c r="Y57991" s="97"/>
    </row>
    <row r="57992" spans="25:25" x14ac:dyDescent="0.2">
      <c r="Y57992" s="97"/>
    </row>
    <row r="57993" spans="25:25" x14ac:dyDescent="0.2">
      <c r="Y57993" s="97"/>
    </row>
    <row r="57994" spans="25:25" x14ac:dyDescent="0.2">
      <c r="Y57994" s="97"/>
    </row>
    <row r="57995" spans="25:25" x14ac:dyDescent="0.2">
      <c r="Y57995" s="97"/>
    </row>
    <row r="57996" spans="25:25" x14ac:dyDescent="0.2">
      <c r="Y57996" s="97"/>
    </row>
    <row r="57997" spans="25:25" x14ac:dyDescent="0.2">
      <c r="Y57997" s="97"/>
    </row>
    <row r="57998" spans="25:25" x14ac:dyDescent="0.2">
      <c r="Y57998" s="97"/>
    </row>
    <row r="57999" spans="25:25" x14ac:dyDescent="0.2">
      <c r="Y57999" s="97"/>
    </row>
    <row r="58000" spans="25:25" x14ac:dyDescent="0.2">
      <c r="Y58000" s="97"/>
    </row>
    <row r="58001" spans="25:25" x14ac:dyDescent="0.2">
      <c r="Y58001" s="97"/>
    </row>
    <row r="58002" spans="25:25" x14ac:dyDescent="0.2">
      <c r="Y58002" s="97"/>
    </row>
    <row r="58003" spans="25:25" x14ac:dyDescent="0.2">
      <c r="Y58003" s="97"/>
    </row>
    <row r="58004" spans="25:25" x14ac:dyDescent="0.2">
      <c r="Y58004" s="97"/>
    </row>
    <row r="58005" spans="25:25" x14ac:dyDescent="0.2">
      <c r="Y58005" s="97"/>
    </row>
    <row r="58006" spans="25:25" x14ac:dyDescent="0.2">
      <c r="Y58006" s="97"/>
    </row>
    <row r="58007" spans="25:25" x14ac:dyDescent="0.2">
      <c r="Y58007" s="97"/>
    </row>
    <row r="58008" spans="25:25" x14ac:dyDescent="0.2">
      <c r="Y58008" s="97"/>
    </row>
    <row r="58009" spans="25:25" x14ac:dyDescent="0.2">
      <c r="Y58009" s="97"/>
    </row>
    <row r="58010" spans="25:25" x14ac:dyDescent="0.2">
      <c r="Y58010" s="97"/>
    </row>
    <row r="58011" spans="25:25" x14ac:dyDescent="0.2">
      <c r="Y58011" s="97"/>
    </row>
    <row r="58012" spans="25:25" x14ac:dyDescent="0.2">
      <c r="Y58012" s="97"/>
    </row>
    <row r="58013" spans="25:25" x14ac:dyDescent="0.2">
      <c r="Y58013" s="97"/>
    </row>
    <row r="58014" spans="25:25" x14ac:dyDescent="0.2">
      <c r="Y58014" s="97"/>
    </row>
    <row r="58015" spans="25:25" x14ac:dyDescent="0.2">
      <c r="Y58015" s="97"/>
    </row>
    <row r="58016" spans="25:25" x14ac:dyDescent="0.2">
      <c r="Y58016" s="97"/>
    </row>
    <row r="58017" spans="25:25" x14ac:dyDescent="0.2">
      <c r="Y58017" s="97"/>
    </row>
    <row r="58018" spans="25:25" x14ac:dyDescent="0.2">
      <c r="Y58018" s="97"/>
    </row>
    <row r="58019" spans="25:25" x14ac:dyDescent="0.2">
      <c r="Y58019" s="97"/>
    </row>
    <row r="58020" spans="25:25" x14ac:dyDescent="0.2">
      <c r="Y58020" s="97"/>
    </row>
    <row r="58021" spans="25:25" x14ac:dyDescent="0.2">
      <c r="Y58021" s="97"/>
    </row>
    <row r="58022" spans="25:25" x14ac:dyDescent="0.2">
      <c r="Y58022" s="97"/>
    </row>
    <row r="58023" spans="25:25" x14ac:dyDescent="0.2">
      <c r="Y58023" s="97"/>
    </row>
    <row r="58024" spans="25:25" x14ac:dyDescent="0.2">
      <c r="Y58024" s="97"/>
    </row>
    <row r="58025" spans="25:25" x14ac:dyDescent="0.2">
      <c r="Y58025" s="97"/>
    </row>
    <row r="58026" spans="25:25" x14ac:dyDescent="0.2">
      <c r="Y58026" s="97"/>
    </row>
    <row r="58027" spans="25:25" x14ac:dyDescent="0.2">
      <c r="Y58027" s="97"/>
    </row>
    <row r="58028" spans="25:25" x14ac:dyDescent="0.2">
      <c r="Y58028" s="97"/>
    </row>
    <row r="58029" spans="25:25" x14ac:dyDescent="0.2">
      <c r="Y58029" s="97"/>
    </row>
    <row r="58030" spans="25:25" x14ac:dyDescent="0.2">
      <c r="Y58030" s="97"/>
    </row>
    <row r="58031" spans="25:25" x14ac:dyDescent="0.2">
      <c r="Y58031" s="97"/>
    </row>
    <row r="58032" spans="25:25" x14ac:dyDescent="0.2">
      <c r="Y58032" s="97"/>
    </row>
    <row r="58033" spans="25:25" x14ac:dyDescent="0.2">
      <c r="Y58033" s="97"/>
    </row>
    <row r="58034" spans="25:25" x14ac:dyDescent="0.2">
      <c r="Y58034" s="97"/>
    </row>
    <row r="58035" spans="25:25" x14ac:dyDescent="0.2">
      <c r="Y58035" s="97"/>
    </row>
    <row r="58036" spans="25:25" x14ac:dyDescent="0.2">
      <c r="Y58036" s="97"/>
    </row>
    <row r="58037" spans="25:25" x14ac:dyDescent="0.2">
      <c r="Y58037" s="97"/>
    </row>
    <row r="58038" spans="25:25" x14ac:dyDescent="0.2">
      <c r="Y58038" s="97"/>
    </row>
    <row r="58039" spans="25:25" x14ac:dyDescent="0.2">
      <c r="Y58039" s="97"/>
    </row>
    <row r="58040" spans="25:25" x14ac:dyDescent="0.2">
      <c r="Y58040" s="97"/>
    </row>
    <row r="58041" spans="25:25" x14ac:dyDescent="0.2">
      <c r="Y58041" s="97"/>
    </row>
    <row r="58042" spans="25:25" x14ac:dyDescent="0.2">
      <c r="Y58042" s="97"/>
    </row>
    <row r="58043" spans="25:25" x14ac:dyDescent="0.2">
      <c r="Y58043" s="97"/>
    </row>
    <row r="58044" spans="25:25" x14ac:dyDescent="0.2">
      <c r="Y58044" s="97"/>
    </row>
    <row r="58045" spans="25:25" x14ac:dyDescent="0.2">
      <c r="Y58045" s="97"/>
    </row>
    <row r="58046" spans="25:25" x14ac:dyDescent="0.2">
      <c r="Y58046" s="97"/>
    </row>
    <row r="58047" spans="25:25" x14ac:dyDescent="0.2">
      <c r="Y58047" s="97"/>
    </row>
    <row r="58048" spans="25:25" x14ac:dyDescent="0.2">
      <c r="Y58048" s="97"/>
    </row>
    <row r="58049" spans="25:25" x14ac:dyDescent="0.2">
      <c r="Y58049" s="97"/>
    </row>
    <row r="58050" spans="25:25" x14ac:dyDescent="0.2">
      <c r="Y58050" s="97"/>
    </row>
    <row r="58051" spans="25:25" x14ac:dyDescent="0.2">
      <c r="Y58051" s="97"/>
    </row>
    <row r="58052" spans="25:25" x14ac:dyDescent="0.2">
      <c r="Y58052" s="97"/>
    </row>
    <row r="58053" spans="25:25" x14ac:dyDescent="0.2">
      <c r="Y58053" s="97"/>
    </row>
    <row r="58054" spans="25:25" x14ac:dyDescent="0.2">
      <c r="Y58054" s="97"/>
    </row>
    <row r="58055" spans="25:25" x14ac:dyDescent="0.2">
      <c r="Y58055" s="97"/>
    </row>
    <row r="58056" spans="25:25" x14ac:dyDescent="0.2">
      <c r="Y58056" s="97"/>
    </row>
    <row r="58057" spans="25:25" x14ac:dyDescent="0.2">
      <c r="Y58057" s="97"/>
    </row>
    <row r="58058" spans="25:25" x14ac:dyDescent="0.2">
      <c r="Y58058" s="97"/>
    </row>
    <row r="58059" spans="25:25" x14ac:dyDescent="0.2">
      <c r="Y58059" s="97"/>
    </row>
    <row r="58060" spans="25:25" x14ac:dyDescent="0.2">
      <c r="Y58060" s="97"/>
    </row>
    <row r="58061" spans="25:25" x14ac:dyDescent="0.2">
      <c r="Y58061" s="97"/>
    </row>
    <row r="58062" spans="25:25" x14ac:dyDescent="0.2">
      <c r="Y58062" s="97"/>
    </row>
    <row r="58063" spans="25:25" x14ac:dyDescent="0.2">
      <c r="Y58063" s="97"/>
    </row>
    <row r="58064" spans="25:25" x14ac:dyDescent="0.2">
      <c r="Y58064" s="97"/>
    </row>
    <row r="58065" spans="25:25" x14ac:dyDescent="0.2">
      <c r="Y58065" s="97"/>
    </row>
    <row r="58066" spans="25:25" x14ac:dyDescent="0.2">
      <c r="Y58066" s="97"/>
    </row>
    <row r="58067" spans="25:25" x14ac:dyDescent="0.2">
      <c r="Y58067" s="97"/>
    </row>
    <row r="58068" spans="25:25" x14ac:dyDescent="0.2">
      <c r="Y58068" s="97"/>
    </row>
    <row r="58069" spans="25:25" x14ac:dyDescent="0.2">
      <c r="Y58069" s="97"/>
    </row>
    <row r="58070" spans="25:25" x14ac:dyDescent="0.2">
      <c r="Y58070" s="97"/>
    </row>
    <row r="58071" spans="25:25" x14ac:dyDescent="0.2">
      <c r="Y58071" s="97"/>
    </row>
    <row r="58072" spans="25:25" x14ac:dyDescent="0.2">
      <c r="Y58072" s="97"/>
    </row>
    <row r="58073" spans="25:25" x14ac:dyDescent="0.2">
      <c r="Y58073" s="97"/>
    </row>
    <row r="58074" spans="25:25" x14ac:dyDescent="0.2">
      <c r="Y58074" s="97"/>
    </row>
    <row r="58075" spans="25:25" x14ac:dyDescent="0.2">
      <c r="Y58075" s="97"/>
    </row>
    <row r="58076" spans="25:25" x14ac:dyDescent="0.2">
      <c r="Y58076" s="97"/>
    </row>
    <row r="58077" spans="25:25" x14ac:dyDescent="0.2">
      <c r="Y58077" s="97"/>
    </row>
    <row r="58078" spans="25:25" x14ac:dyDescent="0.2">
      <c r="Y58078" s="97"/>
    </row>
    <row r="58079" spans="25:25" x14ac:dyDescent="0.2">
      <c r="Y58079" s="97"/>
    </row>
    <row r="58080" spans="25:25" x14ac:dyDescent="0.2">
      <c r="Y58080" s="97"/>
    </row>
    <row r="58081" spans="25:25" x14ac:dyDescent="0.2">
      <c r="Y58081" s="97"/>
    </row>
    <row r="58082" spans="25:25" x14ac:dyDescent="0.2">
      <c r="Y58082" s="97"/>
    </row>
    <row r="58083" spans="25:25" x14ac:dyDescent="0.2">
      <c r="Y58083" s="97"/>
    </row>
    <row r="58084" spans="25:25" x14ac:dyDescent="0.2">
      <c r="Y58084" s="97"/>
    </row>
    <row r="58085" spans="25:25" x14ac:dyDescent="0.2">
      <c r="Y58085" s="97"/>
    </row>
    <row r="58086" spans="25:25" x14ac:dyDescent="0.2">
      <c r="Y58086" s="97"/>
    </row>
    <row r="58087" spans="25:25" x14ac:dyDescent="0.2">
      <c r="Y58087" s="97"/>
    </row>
    <row r="58088" spans="25:25" x14ac:dyDescent="0.2">
      <c r="Y58088" s="97"/>
    </row>
    <row r="58089" spans="25:25" x14ac:dyDescent="0.2">
      <c r="Y58089" s="97"/>
    </row>
    <row r="58090" spans="25:25" x14ac:dyDescent="0.2">
      <c r="Y58090" s="97"/>
    </row>
    <row r="58091" spans="25:25" x14ac:dyDescent="0.2">
      <c r="Y58091" s="97"/>
    </row>
    <row r="58092" spans="25:25" x14ac:dyDescent="0.2">
      <c r="Y58092" s="97"/>
    </row>
    <row r="58093" spans="25:25" x14ac:dyDescent="0.2">
      <c r="Y58093" s="97"/>
    </row>
    <row r="58094" spans="25:25" x14ac:dyDescent="0.2">
      <c r="Y58094" s="97"/>
    </row>
    <row r="58095" spans="25:25" x14ac:dyDescent="0.2">
      <c r="Y58095" s="97"/>
    </row>
    <row r="58096" spans="25:25" x14ac:dyDescent="0.2">
      <c r="Y58096" s="97"/>
    </row>
    <row r="58097" spans="25:25" x14ac:dyDescent="0.2">
      <c r="Y58097" s="97"/>
    </row>
    <row r="58098" spans="25:25" x14ac:dyDescent="0.2">
      <c r="Y58098" s="97"/>
    </row>
    <row r="58099" spans="25:25" x14ac:dyDescent="0.2">
      <c r="Y58099" s="97"/>
    </row>
    <row r="58100" spans="25:25" x14ac:dyDescent="0.2">
      <c r="Y58100" s="97"/>
    </row>
    <row r="58101" spans="25:25" x14ac:dyDescent="0.2">
      <c r="Y58101" s="97"/>
    </row>
    <row r="58102" spans="25:25" x14ac:dyDescent="0.2">
      <c r="Y58102" s="97"/>
    </row>
    <row r="58103" spans="25:25" x14ac:dyDescent="0.2">
      <c r="Y58103" s="97"/>
    </row>
    <row r="58104" spans="25:25" x14ac:dyDescent="0.2">
      <c r="Y58104" s="97"/>
    </row>
    <row r="58105" spans="25:25" x14ac:dyDescent="0.2">
      <c r="Y58105" s="97"/>
    </row>
    <row r="58106" spans="25:25" x14ac:dyDescent="0.2">
      <c r="Y58106" s="97"/>
    </row>
    <row r="58107" spans="25:25" x14ac:dyDescent="0.2">
      <c r="Y58107" s="97"/>
    </row>
    <row r="58108" spans="25:25" x14ac:dyDescent="0.2">
      <c r="Y58108" s="97"/>
    </row>
    <row r="58109" spans="25:25" x14ac:dyDescent="0.2">
      <c r="Y58109" s="97"/>
    </row>
    <row r="58110" spans="25:25" x14ac:dyDescent="0.2">
      <c r="Y58110" s="97"/>
    </row>
    <row r="58111" spans="25:25" x14ac:dyDescent="0.2">
      <c r="Y58111" s="97"/>
    </row>
    <row r="58112" spans="25:25" x14ac:dyDescent="0.2">
      <c r="Y58112" s="97"/>
    </row>
    <row r="58113" spans="25:25" x14ac:dyDescent="0.2">
      <c r="Y58113" s="97"/>
    </row>
    <row r="58114" spans="25:25" x14ac:dyDescent="0.2">
      <c r="Y58114" s="97"/>
    </row>
    <row r="58115" spans="25:25" x14ac:dyDescent="0.2">
      <c r="Y58115" s="97"/>
    </row>
    <row r="58116" spans="25:25" x14ac:dyDescent="0.2">
      <c r="Y58116" s="97"/>
    </row>
    <row r="58117" spans="25:25" x14ac:dyDescent="0.2">
      <c r="Y58117" s="97"/>
    </row>
    <row r="58118" spans="25:25" x14ac:dyDescent="0.2">
      <c r="Y58118" s="97"/>
    </row>
    <row r="58119" spans="25:25" x14ac:dyDescent="0.2">
      <c r="Y58119" s="97"/>
    </row>
    <row r="58120" spans="25:25" x14ac:dyDescent="0.2">
      <c r="Y58120" s="97"/>
    </row>
    <row r="58121" spans="25:25" x14ac:dyDescent="0.2">
      <c r="Y58121" s="97"/>
    </row>
    <row r="58122" spans="25:25" x14ac:dyDescent="0.2">
      <c r="Y58122" s="97"/>
    </row>
    <row r="58123" spans="25:25" x14ac:dyDescent="0.2">
      <c r="Y58123" s="97"/>
    </row>
    <row r="58124" spans="25:25" x14ac:dyDescent="0.2">
      <c r="Y58124" s="97"/>
    </row>
    <row r="58125" spans="25:25" x14ac:dyDescent="0.2">
      <c r="Y58125" s="97"/>
    </row>
    <row r="58126" spans="25:25" x14ac:dyDescent="0.2">
      <c r="Y58126" s="97"/>
    </row>
    <row r="58127" spans="25:25" x14ac:dyDescent="0.2">
      <c r="Y58127" s="97"/>
    </row>
    <row r="58128" spans="25:25" x14ac:dyDescent="0.2">
      <c r="Y58128" s="97"/>
    </row>
    <row r="58129" spans="25:25" x14ac:dyDescent="0.2">
      <c r="Y58129" s="97"/>
    </row>
    <row r="58130" spans="25:25" x14ac:dyDescent="0.2">
      <c r="Y58130" s="97"/>
    </row>
    <row r="58131" spans="25:25" x14ac:dyDescent="0.2">
      <c r="Y58131" s="97"/>
    </row>
    <row r="58132" spans="25:25" x14ac:dyDescent="0.2">
      <c r="Y58132" s="97"/>
    </row>
    <row r="58133" spans="25:25" x14ac:dyDescent="0.2">
      <c r="Y58133" s="97"/>
    </row>
    <row r="58134" spans="25:25" x14ac:dyDescent="0.2">
      <c r="Y58134" s="97"/>
    </row>
    <row r="58135" spans="25:25" x14ac:dyDescent="0.2">
      <c r="Y58135" s="97"/>
    </row>
    <row r="58136" spans="25:25" x14ac:dyDescent="0.2">
      <c r="Y58136" s="97"/>
    </row>
    <row r="58137" spans="25:25" x14ac:dyDescent="0.2">
      <c r="Y58137" s="97"/>
    </row>
    <row r="58138" spans="25:25" x14ac:dyDescent="0.2">
      <c r="Y58138" s="97"/>
    </row>
    <row r="58139" spans="25:25" x14ac:dyDescent="0.2">
      <c r="Y58139" s="97"/>
    </row>
    <row r="58140" spans="25:25" x14ac:dyDescent="0.2">
      <c r="Y58140" s="97"/>
    </row>
    <row r="58141" spans="25:25" x14ac:dyDescent="0.2">
      <c r="Y58141" s="97"/>
    </row>
    <row r="58142" spans="25:25" x14ac:dyDescent="0.2">
      <c r="Y58142" s="97"/>
    </row>
    <row r="58143" spans="25:25" x14ac:dyDescent="0.2">
      <c r="Y58143" s="97"/>
    </row>
    <row r="58144" spans="25:25" x14ac:dyDescent="0.2">
      <c r="Y58144" s="97"/>
    </row>
    <row r="58145" spans="25:25" x14ac:dyDescent="0.2">
      <c r="Y58145" s="97"/>
    </row>
    <row r="58146" spans="25:25" x14ac:dyDescent="0.2">
      <c r="Y58146" s="97"/>
    </row>
    <row r="58147" spans="25:25" x14ac:dyDescent="0.2">
      <c r="Y58147" s="97"/>
    </row>
    <row r="58148" spans="25:25" x14ac:dyDescent="0.2">
      <c r="Y58148" s="97"/>
    </row>
    <row r="58149" spans="25:25" x14ac:dyDescent="0.2">
      <c r="Y58149" s="97"/>
    </row>
    <row r="58150" spans="25:25" x14ac:dyDescent="0.2">
      <c r="Y58150" s="97"/>
    </row>
    <row r="58151" spans="25:25" x14ac:dyDescent="0.2">
      <c r="Y58151" s="97"/>
    </row>
    <row r="58152" spans="25:25" x14ac:dyDescent="0.2">
      <c r="Y58152" s="97"/>
    </row>
    <row r="58153" spans="25:25" x14ac:dyDescent="0.2">
      <c r="Y58153" s="97"/>
    </row>
    <row r="58154" spans="25:25" x14ac:dyDescent="0.2">
      <c r="Y58154" s="97"/>
    </row>
    <row r="58155" spans="25:25" x14ac:dyDescent="0.2">
      <c r="Y58155" s="97"/>
    </row>
    <row r="58156" spans="25:25" x14ac:dyDescent="0.2">
      <c r="Y58156" s="97"/>
    </row>
    <row r="58157" spans="25:25" x14ac:dyDescent="0.2">
      <c r="Y58157" s="97"/>
    </row>
    <row r="58158" spans="25:25" x14ac:dyDescent="0.2">
      <c r="Y58158" s="97"/>
    </row>
    <row r="58159" spans="25:25" x14ac:dyDescent="0.2">
      <c r="Y58159" s="97"/>
    </row>
    <row r="58160" spans="25:25" x14ac:dyDescent="0.2">
      <c r="Y58160" s="97"/>
    </row>
    <row r="58161" spans="25:25" x14ac:dyDescent="0.2">
      <c r="Y58161" s="97"/>
    </row>
    <row r="58162" spans="25:25" x14ac:dyDescent="0.2">
      <c r="Y58162" s="97"/>
    </row>
    <row r="58163" spans="25:25" x14ac:dyDescent="0.2">
      <c r="Y58163" s="97"/>
    </row>
    <row r="58164" spans="25:25" x14ac:dyDescent="0.2">
      <c r="Y58164" s="97"/>
    </row>
    <row r="58165" spans="25:25" x14ac:dyDescent="0.2">
      <c r="Y58165" s="97"/>
    </row>
    <row r="58166" spans="25:25" x14ac:dyDescent="0.2">
      <c r="Y58166" s="97"/>
    </row>
    <row r="58167" spans="25:25" x14ac:dyDescent="0.2">
      <c r="Y58167" s="97"/>
    </row>
    <row r="58168" spans="25:25" x14ac:dyDescent="0.2">
      <c r="Y58168" s="97"/>
    </row>
    <row r="58169" spans="25:25" x14ac:dyDescent="0.2">
      <c r="Y58169" s="97"/>
    </row>
    <row r="58170" spans="25:25" x14ac:dyDescent="0.2">
      <c r="Y58170" s="97"/>
    </row>
    <row r="58171" spans="25:25" x14ac:dyDescent="0.2">
      <c r="Y58171" s="97"/>
    </row>
    <row r="58172" spans="25:25" x14ac:dyDescent="0.2">
      <c r="Y58172" s="97"/>
    </row>
    <row r="58173" spans="25:25" x14ac:dyDescent="0.2">
      <c r="Y58173" s="97"/>
    </row>
    <row r="58174" spans="25:25" x14ac:dyDescent="0.2">
      <c r="Y58174" s="97"/>
    </row>
    <row r="58175" spans="25:25" x14ac:dyDescent="0.2">
      <c r="Y58175" s="97"/>
    </row>
    <row r="58176" spans="25:25" x14ac:dyDescent="0.2">
      <c r="Y58176" s="97"/>
    </row>
    <row r="58177" spans="25:25" x14ac:dyDescent="0.2">
      <c r="Y58177" s="97"/>
    </row>
    <row r="58178" spans="25:25" x14ac:dyDescent="0.2">
      <c r="Y58178" s="97"/>
    </row>
    <row r="58179" spans="25:25" x14ac:dyDescent="0.2">
      <c r="Y58179" s="97"/>
    </row>
    <row r="58180" spans="25:25" x14ac:dyDescent="0.2">
      <c r="Y58180" s="97"/>
    </row>
    <row r="58181" spans="25:25" x14ac:dyDescent="0.2">
      <c r="Y58181" s="97"/>
    </row>
    <row r="58182" spans="25:25" x14ac:dyDescent="0.2">
      <c r="Y58182" s="97"/>
    </row>
    <row r="58183" spans="25:25" x14ac:dyDescent="0.2">
      <c r="Y58183" s="97"/>
    </row>
    <row r="58184" spans="25:25" x14ac:dyDescent="0.2">
      <c r="Y58184" s="97"/>
    </row>
    <row r="58185" spans="25:25" x14ac:dyDescent="0.2">
      <c r="Y58185" s="97"/>
    </row>
    <row r="58186" spans="25:25" x14ac:dyDescent="0.2">
      <c r="Y58186" s="97"/>
    </row>
    <row r="58187" spans="25:25" x14ac:dyDescent="0.2">
      <c r="Y58187" s="97"/>
    </row>
    <row r="58188" spans="25:25" x14ac:dyDescent="0.2">
      <c r="Y58188" s="97"/>
    </row>
    <row r="58189" spans="25:25" x14ac:dyDescent="0.2">
      <c r="Y58189" s="97"/>
    </row>
    <row r="58190" spans="25:25" x14ac:dyDescent="0.2">
      <c r="Y58190" s="97"/>
    </row>
    <row r="58191" spans="25:25" x14ac:dyDescent="0.2">
      <c r="Y58191" s="97"/>
    </row>
    <row r="58192" spans="25:25" x14ac:dyDescent="0.2">
      <c r="Y58192" s="97"/>
    </row>
    <row r="58193" spans="25:25" x14ac:dyDescent="0.2">
      <c r="Y58193" s="97"/>
    </row>
    <row r="58194" spans="25:25" x14ac:dyDescent="0.2">
      <c r="Y58194" s="97"/>
    </row>
    <row r="58195" spans="25:25" x14ac:dyDescent="0.2">
      <c r="Y58195" s="97"/>
    </row>
    <row r="58196" spans="25:25" x14ac:dyDescent="0.2">
      <c r="Y58196" s="97"/>
    </row>
    <row r="58197" spans="25:25" x14ac:dyDescent="0.2">
      <c r="Y58197" s="97"/>
    </row>
    <row r="58198" spans="25:25" x14ac:dyDescent="0.2">
      <c r="Y58198" s="97"/>
    </row>
    <row r="58199" spans="25:25" x14ac:dyDescent="0.2">
      <c r="Y58199" s="97"/>
    </row>
    <row r="58200" spans="25:25" x14ac:dyDescent="0.2">
      <c r="Y58200" s="97"/>
    </row>
    <row r="58201" spans="25:25" x14ac:dyDescent="0.2">
      <c r="Y58201" s="97"/>
    </row>
    <row r="58202" spans="25:25" x14ac:dyDescent="0.2">
      <c r="Y58202" s="97"/>
    </row>
    <row r="58203" spans="25:25" x14ac:dyDescent="0.2">
      <c r="Y58203" s="97"/>
    </row>
    <row r="58204" spans="25:25" x14ac:dyDescent="0.2">
      <c r="Y58204" s="97"/>
    </row>
    <row r="58205" spans="25:25" x14ac:dyDescent="0.2">
      <c r="Y58205" s="97"/>
    </row>
    <row r="58206" spans="25:25" x14ac:dyDescent="0.2">
      <c r="Y58206" s="97"/>
    </row>
    <row r="58207" spans="25:25" x14ac:dyDescent="0.2">
      <c r="Y58207" s="97"/>
    </row>
    <row r="58208" spans="25:25" x14ac:dyDescent="0.2">
      <c r="Y58208" s="97"/>
    </row>
    <row r="58209" spans="25:25" x14ac:dyDescent="0.2">
      <c r="Y58209" s="97"/>
    </row>
    <row r="58210" spans="25:25" x14ac:dyDescent="0.2">
      <c r="Y58210" s="97"/>
    </row>
    <row r="58211" spans="25:25" x14ac:dyDescent="0.2">
      <c r="Y58211" s="97"/>
    </row>
    <row r="58212" spans="25:25" x14ac:dyDescent="0.2">
      <c r="Y58212" s="97"/>
    </row>
    <row r="58213" spans="25:25" x14ac:dyDescent="0.2">
      <c r="Y58213" s="97"/>
    </row>
    <row r="58214" spans="25:25" x14ac:dyDescent="0.2">
      <c r="Y58214" s="97"/>
    </row>
    <row r="58215" spans="25:25" x14ac:dyDescent="0.2">
      <c r="Y58215" s="97"/>
    </row>
    <row r="58216" spans="25:25" x14ac:dyDescent="0.2">
      <c r="Y58216" s="97"/>
    </row>
    <row r="58217" spans="25:25" x14ac:dyDescent="0.2">
      <c r="Y58217" s="97"/>
    </row>
    <row r="58218" spans="25:25" x14ac:dyDescent="0.2">
      <c r="Y58218" s="97"/>
    </row>
    <row r="58219" spans="25:25" x14ac:dyDescent="0.2">
      <c r="Y58219" s="97"/>
    </row>
    <row r="58220" spans="25:25" x14ac:dyDescent="0.2">
      <c r="Y58220" s="97"/>
    </row>
    <row r="58221" spans="25:25" x14ac:dyDescent="0.2">
      <c r="Y58221" s="97"/>
    </row>
    <row r="58222" spans="25:25" x14ac:dyDescent="0.2">
      <c r="Y58222" s="97"/>
    </row>
    <row r="58223" spans="25:25" x14ac:dyDescent="0.2">
      <c r="Y58223" s="97"/>
    </row>
    <row r="58224" spans="25:25" x14ac:dyDescent="0.2">
      <c r="Y58224" s="97"/>
    </row>
    <row r="58225" spans="25:25" x14ac:dyDescent="0.2">
      <c r="Y58225" s="97"/>
    </row>
    <row r="58226" spans="25:25" x14ac:dyDescent="0.2">
      <c r="Y58226" s="97"/>
    </row>
    <row r="58227" spans="25:25" x14ac:dyDescent="0.2">
      <c r="Y58227" s="97"/>
    </row>
    <row r="58228" spans="25:25" x14ac:dyDescent="0.2">
      <c r="Y58228" s="97"/>
    </row>
    <row r="58229" spans="25:25" x14ac:dyDescent="0.2">
      <c r="Y58229" s="97"/>
    </row>
    <row r="58230" spans="25:25" x14ac:dyDescent="0.2">
      <c r="Y58230" s="97"/>
    </row>
    <row r="58231" spans="25:25" x14ac:dyDescent="0.2">
      <c r="Y58231" s="97"/>
    </row>
    <row r="58232" spans="25:25" x14ac:dyDescent="0.2">
      <c r="Y58232" s="97"/>
    </row>
    <row r="58233" spans="25:25" x14ac:dyDescent="0.2">
      <c r="Y58233" s="97"/>
    </row>
    <row r="58234" spans="25:25" x14ac:dyDescent="0.2">
      <c r="Y58234" s="97"/>
    </row>
    <row r="58235" spans="25:25" x14ac:dyDescent="0.2">
      <c r="Y58235" s="97"/>
    </row>
    <row r="58236" spans="25:25" x14ac:dyDescent="0.2">
      <c r="Y58236" s="97"/>
    </row>
    <row r="58237" spans="25:25" x14ac:dyDescent="0.2">
      <c r="Y58237" s="97"/>
    </row>
    <row r="58238" spans="25:25" x14ac:dyDescent="0.2">
      <c r="Y58238" s="97"/>
    </row>
    <row r="58239" spans="25:25" x14ac:dyDescent="0.2">
      <c r="Y58239" s="97"/>
    </row>
    <row r="58240" spans="25:25" x14ac:dyDescent="0.2">
      <c r="Y58240" s="97"/>
    </row>
    <row r="58241" spans="25:25" x14ac:dyDescent="0.2">
      <c r="Y58241" s="97"/>
    </row>
    <row r="58242" spans="25:25" x14ac:dyDescent="0.2">
      <c r="Y58242" s="97"/>
    </row>
    <row r="58243" spans="25:25" x14ac:dyDescent="0.2">
      <c r="Y58243" s="97"/>
    </row>
    <row r="58244" spans="25:25" x14ac:dyDescent="0.2">
      <c r="Y58244" s="97"/>
    </row>
    <row r="58245" spans="25:25" x14ac:dyDescent="0.2">
      <c r="Y58245" s="97"/>
    </row>
    <row r="58246" spans="25:25" x14ac:dyDescent="0.2">
      <c r="Y58246" s="97"/>
    </row>
    <row r="58247" spans="25:25" x14ac:dyDescent="0.2">
      <c r="Y58247" s="97"/>
    </row>
    <row r="58248" spans="25:25" x14ac:dyDescent="0.2">
      <c r="Y58248" s="97"/>
    </row>
    <row r="58249" spans="25:25" x14ac:dyDescent="0.2">
      <c r="Y58249" s="97"/>
    </row>
    <row r="58250" spans="25:25" x14ac:dyDescent="0.2">
      <c r="Y58250" s="97"/>
    </row>
    <row r="58251" spans="25:25" x14ac:dyDescent="0.2">
      <c r="Y58251" s="97"/>
    </row>
    <row r="58252" spans="25:25" x14ac:dyDescent="0.2">
      <c r="Y58252" s="97"/>
    </row>
    <row r="58253" spans="25:25" x14ac:dyDescent="0.2">
      <c r="Y58253" s="97"/>
    </row>
    <row r="58254" spans="25:25" x14ac:dyDescent="0.2">
      <c r="Y58254" s="97"/>
    </row>
    <row r="58255" spans="25:25" x14ac:dyDescent="0.2">
      <c r="Y58255" s="97"/>
    </row>
    <row r="58256" spans="25:25" x14ac:dyDescent="0.2">
      <c r="Y58256" s="97"/>
    </row>
    <row r="58257" spans="25:25" x14ac:dyDescent="0.2">
      <c r="Y58257" s="97"/>
    </row>
    <row r="58258" spans="25:25" x14ac:dyDescent="0.2">
      <c r="Y58258" s="97"/>
    </row>
    <row r="58259" spans="25:25" x14ac:dyDescent="0.2">
      <c r="Y58259" s="97"/>
    </row>
    <row r="58260" spans="25:25" x14ac:dyDescent="0.2">
      <c r="Y58260" s="97"/>
    </row>
    <row r="58261" spans="25:25" x14ac:dyDescent="0.2">
      <c r="Y58261" s="97"/>
    </row>
    <row r="58262" spans="25:25" x14ac:dyDescent="0.2">
      <c r="Y58262" s="97"/>
    </row>
    <row r="58263" spans="25:25" x14ac:dyDescent="0.2">
      <c r="Y58263" s="97"/>
    </row>
    <row r="58264" spans="25:25" x14ac:dyDescent="0.2">
      <c r="Y58264" s="97"/>
    </row>
    <row r="58265" spans="25:25" x14ac:dyDescent="0.2">
      <c r="Y58265" s="97"/>
    </row>
    <row r="58266" spans="25:25" x14ac:dyDescent="0.2">
      <c r="Y58266" s="97"/>
    </row>
    <row r="58267" spans="25:25" x14ac:dyDescent="0.2">
      <c r="Y58267" s="97"/>
    </row>
    <row r="58268" spans="25:25" x14ac:dyDescent="0.2">
      <c r="Y58268" s="97"/>
    </row>
    <row r="58269" spans="25:25" x14ac:dyDescent="0.2">
      <c r="Y58269" s="97"/>
    </row>
    <row r="58270" spans="25:25" x14ac:dyDescent="0.2">
      <c r="Y58270" s="97"/>
    </row>
    <row r="58271" spans="25:25" x14ac:dyDescent="0.2">
      <c r="Y58271" s="97"/>
    </row>
    <row r="58272" spans="25:25" x14ac:dyDescent="0.2">
      <c r="Y58272" s="97"/>
    </row>
    <row r="58273" spans="25:25" x14ac:dyDescent="0.2">
      <c r="Y58273" s="97"/>
    </row>
    <row r="58274" spans="25:25" x14ac:dyDescent="0.2">
      <c r="Y58274" s="97"/>
    </row>
    <row r="58275" spans="25:25" x14ac:dyDescent="0.2">
      <c r="Y58275" s="97"/>
    </row>
    <row r="58276" spans="25:25" x14ac:dyDescent="0.2">
      <c r="Y58276" s="97"/>
    </row>
    <row r="58277" spans="25:25" x14ac:dyDescent="0.2">
      <c r="Y58277" s="97"/>
    </row>
    <row r="58278" spans="25:25" x14ac:dyDescent="0.2">
      <c r="Y58278" s="97"/>
    </row>
    <row r="58279" spans="25:25" x14ac:dyDescent="0.2">
      <c r="Y58279" s="97"/>
    </row>
    <row r="58280" spans="25:25" x14ac:dyDescent="0.2">
      <c r="Y58280" s="97"/>
    </row>
    <row r="58281" spans="25:25" x14ac:dyDescent="0.2">
      <c r="Y58281" s="97"/>
    </row>
    <row r="58282" spans="25:25" x14ac:dyDescent="0.2">
      <c r="Y58282" s="97"/>
    </row>
    <row r="58283" spans="25:25" x14ac:dyDescent="0.2">
      <c r="Y58283" s="97"/>
    </row>
    <row r="58284" spans="25:25" x14ac:dyDescent="0.2">
      <c r="Y58284" s="97"/>
    </row>
    <row r="58285" spans="25:25" x14ac:dyDescent="0.2">
      <c r="Y58285" s="97"/>
    </row>
    <row r="58286" spans="25:25" x14ac:dyDescent="0.2">
      <c r="Y58286" s="97"/>
    </row>
    <row r="58287" spans="25:25" x14ac:dyDescent="0.2">
      <c r="Y58287" s="97"/>
    </row>
    <row r="58288" spans="25:25" x14ac:dyDescent="0.2">
      <c r="Y58288" s="97"/>
    </row>
    <row r="58289" spans="25:25" x14ac:dyDescent="0.2">
      <c r="Y58289" s="97"/>
    </row>
    <row r="58290" spans="25:25" x14ac:dyDescent="0.2">
      <c r="Y58290" s="97"/>
    </row>
    <row r="58291" spans="25:25" x14ac:dyDescent="0.2">
      <c r="Y58291" s="97"/>
    </row>
    <row r="58292" spans="25:25" x14ac:dyDescent="0.2">
      <c r="Y58292" s="97"/>
    </row>
    <row r="58293" spans="25:25" x14ac:dyDescent="0.2">
      <c r="Y58293" s="97"/>
    </row>
    <row r="58294" spans="25:25" x14ac:dyDescent="0.2">
      <c r="Y58294" s="97"/>
    </row>
    <row r="58295" spans="25:25" x14ac:dyDescent="0.2">
      <c r="Y58295" s="97"/>
    </row>
    <row r="58296" spans="25:25" x14ac:dyDescent="0.2">
      <c r="Y58296" s="97"/>
    </row>
    <row r="58297" spans="25:25" x14ac:dyDescent="0.2">
      <c r="Y58297" s="97"/>
    </row>
    <row r="58298" spans="25:25" x14ac:dyDescent="0.2">
      <c r="Y58298" s="97"/>
    </row>
    <row r="58299" spans="25:25" x14ac:dyDescent="0.2">
      <c r="Y58299" s="97"/>
    </row>
    <row r="58300" spans="25:25" x14ac:dyDescent="0.2">
      <c r="Y58300" s="97"/>
    </row>
    <row r="58301" spans="25:25" x14ac:dyDescent="0.2">
      <c r="Y58301" s="97"/>
    </row>
    <row r="58302" spans="25:25" x14ac:dyDescent="0.2">
      <c r="Y58302" s="97"/>
    </row>
    <row r="58303" spans="25:25" x14ac:dyDescent="0.2">
      <c r="Y58303" s="97"/>
    </row>
    <row r="58304" spans="25:25" x14ac:dyDescent="0.2">
      <c r="Y58304" s="97"/>
    </row>
    <row r="58305" spans="25:25" x14ac:dyDescent="0.2">
      <c r="Y58305" s="97"/>
    </row>
    <row r="58306" spans="25:25" x14ac:dyDescent="0.2">
      <c r="Y58306" s="97"/>
    </row>
    <row r="58307" spans="25:25" x14ac:dyDescent="0.2">
      <c r="Y58307" s="97"/>
    </row>
    <row r="58308" spans="25:25" x14ac:dyDescent="0.2">
      <c r="Y58308" s="97"/>
    </row>
    <row r="58309" spans="25:25" x14ac:dyDescent="0.2">
      <c r="Y58309" s="97"/>
    </row>
    <row r="58310" spans="25:25" x14ac:dyDescent="0.2">
      <c r="Y58310" s="97"/>
    </row>
    <row r="58311" spans="25:25" x14ac:dyDescent="0.2">
      <c r="Y58311" s="97"/>
    </row>
    <row r="58312" spans="25:25" x14ac:dyDescent="0.2">
      <c r="Y58312" s="97"/>
    </row>
    <row r="58313" spans="25:25" x14ac:dyDescent="0.2">
      <c r="Y58313" s="97"/>
    </row>
    <row r="58314" spans="25:25" x14ac:dyDescent="0.2">
      <c r="Y58314" s="97"/>
    </row>
    <row r="58315" spans="25:25" x14ac:dyDescent="0.2">
      <c r="Y58315" s="97"/>
    </row>
    <row r="58316" spans="25:25" x14ac:dyDescent="0.2">
      <c r="Y58316" s="97"/>
    </row>
    <row r="58317" spans="25:25" x14ac:dyDescent="0.2">
      <c r="Y58317" s="97"/>
    </row>
    <row r="58318" spans="25:25" x14ac:dyDescent="0.2">
      <c r="Y58318" s="97"/>
    </row>
    <row r="58319" spans="25:25" x14ac:dyDescent="0.2">
      <c r="Y58319" s="97"/>
    </row>
    <row r="58320" spans="25:25" x14ac:dyDescent="0.2">
      <c r="Y58320" s="97"/>
    </row>
    <row r="58321" spans="25:25" x14ac:dyDescent="0.2">
      <c r="Y58321" s="97"/>
    </row>
    <row r="58322" spans="25:25" x14ac:dyDescent="0.2">
      <c r="Y58322" s="97"/>
    </row>
    <row r="58323" spans="25:25" x14ac:dyDescent="0.2">
      <c r="Y58323" s="97"/>
    </row>
    <row r="58324" spans="25:25" x14ac:dyDescent="0.2">
      <c r="Y58324" s="97"/>
    </row>
    <row r="58325" spans="25:25" x14ac:dyDescent="0.2">
      <c r="Y58325" s="97"/>
    </row>
    <row r="58326" spans="25:25" x14ac:dyDescent="0.2">
      <c r="Y58326" s="97"/>
    </row>
    <row r="58327" spans="25:25" x14ac:dyDescent="0.2">
      <c r="Y58327" s="97"/>
    </row>
    <row r="58328" spans="25:25" x14ac:dyDescent="0.2">
      <c r="Y58328" s="97"/>
    </row>
    <row r="58329" spans="25:25" x14ac:dyDescent="0.2">
      <c r="Y58329" s="97"/>
    </row>
    <row r="58330" spans="25:25" x14ac:dyDescent="0.2">
      <c r="Y58330" s="97"/>
    </row>
    <row r="58331" spans="25:25" x14ac:dyDescent="0.2">
      <c r="Y58331" s="97"/>
    </row>
    <row r="58332" spans="25:25" x14ac:dyDescent="0.2">
      <c r="Y58332" s="97"/>
    </row>
    <row r="58333" spans="25:25" x14ac:dyDescent="0.2">
      <c r="Y58333" s="97"/>
    </row>
    <row r="58334" spans="25:25" x14ac:dyDescent="0.2">
      <c r="Y58334" s="97"/>
    </row>
    <row r="58335" spans="25:25" x14ac:dyDescent="0.2">
      <c r="Y58335" s="97"/>
    </row>
    <row r="58336" spans="25:25" x14ac:dyDescent="0.2">
      <c r="Y58336" s="97"/>
    </row>
    <row r="58337" spans="25:25" x14ac:dyDescent="0.2">
      <c r="Y58337" s="97"/>
    </row>
    <row r="58338" spans="25:25" x14ac:dyDescent="0.2">
      <c r="Y58338" s="97"/>
    </row>
    <row r="58339" spans="25:25" x14ac:dyDescent="0.2">
      <c r="Y58339" s="97"/>
    </row>
    <row r="58340" spans="25:25" x14ac:dyDescent="0.2">
      <c r="Y58340" s="97"/>
    </row>
    <row r="58341" spans="25:25" x14ac:dyDescent="0.2">
      <c r="Y58341" s="97"/>
    </row>
    <row r="58342" spans="25:25" x14ac:dyDescent="0.2">
      <c r="Y58342" s="97"/>
    </row>
    <row r="58343" spans="25:25" x14ac:dyDescent="0.2">
      <c r="Y58343" s="97"/>
    </row>
    <row r="58344" spans="25:25" x14ac:dyDescent="0.2">
      <c r="Y58344" s="97"/>
    </row>
    <row r="58345" spans="25:25" x14ac:dyDescent="0.2">
      <c r="Y58345" s="97"/>
    </row>
    <row r="58346" spans="25:25" x14ac:dyDescent="0.2">
      <c r="Y58346" s="97"/>
    </row>
    <row r="58347" spans="25:25" x14ac:dyDescent="0.2">
      <c r="Y58347" s="97"/>
    </row>
    <row r="58348" spans="25:25" x14ac:dyDescent="0.2">
      <c r="Y58348" s="97"/>
    </row>
    <row r="58349" spans="25:25" x14ac:dyDescent="0.2">
      <c r="Y58349" s="97"/>
    </row>
    <row r="58350" spans="25:25" x14ac:dyDescent="0.2">
      <c r="Y58350" s="97"/>
    </row>
    <row r="58351" spans="25:25" x14ac:dyDescent="0.2">
      <c r="Y58351" s="97"/>
    </row>
    <row r="58352" spans="25:25" x14ac:dyDescent="0.2">
      <c r="Y58352" s="97"/>
    </row>
    <row r="58353" spans="25:25" x14ac:dyDescent="0.2">
      <c r="Y58353" s="97"/>
    </row>
    <row r="58354" spans="25:25" x14ac:dyDescent="0.2">
      <c r="Y58354" s="97"/>
    </row>
    <row r="58355" spans="25:25" x14ac:dyDescent="0.2">
      <c r="Y58355" s="97"/>
    </row>
    <row r="58356" spans="25:25" x14ac:dyDescent="0.2">
      <c r="Y58356" s="97"/>
    </row>
    <row r="58357" spans="25:25" x14ac:dyDescent="0.2">
      <c r="Y58357" s="97"/>
    </row>
    <row r="58358" spans="25:25" x14ac:dyDescent="0.2">
      <c r="Y58358" s="97"/>
    </row>
    <row r="58359" spans="25:25" x14ac:dyDescent="0.2">
      <c r="Y58359" s="97"/>
    </row>
    <row r="58360" spans="25:25" x14ac:dyDescent="0.2">
      <c r="Y58360" s="97"/>
    </row>
    <row r="58361" spans="25:25" x14ac:dyDescent="0.2">
      <c r="Y58361" s="97"/>
    </row>
    <row r="58362" spans="25:25" x14ac:dyDescent="0.2">
      <c r="Y58362" s="97"/>
    </row>
    <row r="58363" spans="25:25" x14ac:dyDescent="0.2">
      <c r="Y58363" s="97"/>
    </row>
    <row r="58364" spans="25:25" x14ac:dyDescent="0.2">
      <c r="Y58364" s="97"/>
    </row>
    <row r="58365" spans="25:25" x14ac:dyDescent="0.2">
      <c r="Y58365" s="97"/>
    </row>
    <row r="58366" spans="25:25" x14ac:dyDescent="0.2">
      <c r="Y58366" s="97"/>
    </row>
    <row r="58367" spans="25:25" x14ac:dyDescent="0.2">
      <c r="Y58367" s="97"/>
    </row>
    <row r="58368" spans="25:25" x14ac:dyDescent="0.2">
      <c r="Y58368" s="97"/>
    </row>
    <row r="58369" spans="25:25" x14ac:dyDescent="0.2">
      <c r="Y58369" s="97"/>
    </row>
    <row r="58370" spans="25:25" x14ac:dyDescent="0.2">
      <c r="Y58370" s="97"/>
    </row>
    <row r="58371" spans="25:25" x14ac:dyDescent="0.2">
      <c r="Y58371" s="97"/>
    </row>
    <row r="58372" spans="25:25" x14ac:dyDescent="0.2">
      <c r="Y58372" s="97"/>
    </row>
    <row r="58373" spans="25:25" x14ac:dyDescent="0.2">
      <c r="Y58373" s="97"/>
    </row>
    <row r="58374" spans="25:25" x14ac:dyDescent="0.2">
      <c r="Y58374" s="97"/>
    </row>
    <row r="58375" spans="25:25" x14ac:dyDescent="0.2">
      <c r="Y58375" s="97"/>
    </row>
    <row r="58376" spans="25:25" x14ac:dyDescent="0.2">
      <c r="Y58376" s="97"/>
    </row>
    <row r="58377" spans="25:25" x14ac:dyDescent="0.2">
      <c r="Y58377" s="97"/>
    </row>
    <row r="58378" spans="25:25" x14ac:dyDescent="0.2">
      <c r="Y58378" s="97"/>
    </row>
    <row r="58379" spans="25:25" x14ac:dyDescent="0.2">
      <c r="Y58379" s="97"/>
    </row>
    <row r="58380" spans="25:25" x14ac:dyDescent="0.2">
      <c r="Y58380" s="97"/>
    </row>
    <row r="58381" spans="25:25" x14ac:dyDescent="0.2">
      <c r="Y58381" s="97"/>
    </row>
    <row r="58382" spans="25:25" x14ac:dyDescent="0.2">
      <c r="Y58382" s="97"/>
    </row>
    <row r="58383" spans="25:25" x14ac:dyDescent="0.2">
      <c r="Y58383" s="97"/>
    </row>
    <row r="58384" spans="25:25" x14ac:dyDescent="0.2">
      <c r="Y58384" s="97"/>
    </row>
    <row r="58385" spans="25:25" x14ac:dyDescent="0.2">
      <c r="Y58385" s="97"/>
    </row>
    <row r="58386" spans="25:25" x14ac:dyDescent="0.2">
      <c r="Y58386" s="97"/>
    </row>
    <row r="58387" spans="25:25" x14ac:dyDescent="0.2">
      <c r="Y58387" s="97"/>
    </row>
    <row r="58388" spans="25:25" x14ac:dyDescent="0.2">
      <c r="Y58388" s="97"/>
    </row>
    <row r="58389" spans="25:25" x14ac:dyDescent="0.2">
      <c r="Y58389" s="97"/>
    </row>
    <row r="58390" spans="25:25" x14ac:dyDescent="0.2">
      <c r="Y58390" s="97"/>
    </row>
    <row r="58391" spans="25:25" x14ac:dyDescent="0.2">
      <c r="Y58391" s="97"/>
    </row>
    <row r="58392" spans="25:25" x14ac:dyDescent="0.2">
      <c r="Y58392" s="97"/>
    </row>
    <row r="58393" spans="25:25" x14ac:dyDescent="0.2">
      <c r="Y58393" s="97"/>
    </row>
    <row r="58394" spans="25:25" x14ac:dyDescent="0.2">
      <c r="Y58394" s="97"/>
    </row>
    <row r="58395" spans="25:25" x14ac:dyDescent="0.2">
      <c r="Y58395" s="97"/>
    </row>
    <row r="58396" spans="25:25" x14ac:dyDescent="0.2">
      <c r="Y58396" s="97"/>
    </row>
    <row r="58397" spans="25:25" x14ac:dyDescent="0.2">
      <c r="Y58397" s="97"/>
    </row>
    <row r="58398" spans="25:25" x14ac:dyDescent="0.2">
      <c r="Y58398" s="97"/>
    </row>
    <row r="58399" spans="25:25" x14ac:dyDescent="0.2">
      <c r="Y58399" s="97"/>
    </row>
    <row r="58400" spans="25:25" x14ac:dyDescent="0.2">
      <c r="Y58400" s="97"/>
    </row>
    <row r="58401" spans="25:25" x14ac:dyDescent="0.2">
      <c r="Y58401" s="97"/>
    </row>
    <row r="58402" spans="25:25" x14ac:dyDescent="0.2">
      <c r="Y58402" s="97"/>
    </row>
    <row r="58403" spans="25:25" x14ac:dyDescent="0.2">
      <c r="Y58403" s="97"/>
    </row>
    <row r="58404" spans="25:25" x14ac:dyDescent="0.2">
      <c r="Y58404" s="97"/>
    </row>
    <row r="58405" spans="25:25" x14ac:dyDescent="0.2">
      <c r="Y58405" s="97"/>
    </row>
    <row r="58406" spans="25:25" x14ac:dyDescent="0.2">
      <c r="Y58406" s="97"/>
    </row>
    <row r="58407" spans="25:25" x14ac:dyDescent="0.2">
      <c r="Y58407" s="97"/>
    </row>
    <row r="58408" spans="25:25" x14ac:dyDescent="0.2">
      <c r="Y58408" s="97"/>
    </row>
    <row r="58409" spans="25:25" x14ac:dyDescent="0.2">
      <c r="Y58409" s="97"/>
    </row>
    <row r="58410" spans="25:25" x14ac:dyDescent="0.2">
      <c r="Y58410" s="97"/>
    </row>
    <row r="58411" spans="25:25" x14ac:dyDescent="0.2">
      <c r="Y58411" s="97"/>
    </row>
    <row r="58412" spans="25:25" x14ac:dyDescent="0.2">
      <c r="Y58412" s="97"/>
    </row>
    <row r="58413" spans="25:25" x14ac:dyDescent="0.2">
      <c r="Y58413" s="97"/>
    </row>
    <row r="58414" spans="25:25" x14ac:dyDescent="0.2">
      <c r="Y58414" s="97"/>
    </row>
    <row r="58415" spans="25:25" x14ac:dyDescent="0.2">
      <c r="Y58415" s="97"/>
    </row>
    <row r="58416" spans="25:25" x14ac:dyDescent="0.2">
      <c r="Y58416" s="97"/>
    </row>
    <row r="58417" spans="25:25" x14ac:dyDescent="0.2">
      <c r="Y58417" s="97"/>
    </row>
    <row r="58418" spans="25:25" x14ac:dyDescent="0.2">
      <c r="Y58418" s="97"/>
    </row>
    <row r="58419" spans="25:25" x14ac:dyDescent="0.2">
      <c r="Y58419" s="97"/>
    </row>
    <row r="58420" spans="25:25" x14ac:dyDescent="0.2">
      <c r="Y58420" s="97"/>
    </row>
    <row r="58421" spans="25:25" x14ac:dyDescent="0.2">
      <c r="Y58421" s="97"/>
    </row>
    <row r="58422" spans="25:25" x14ac:dyDescent="0.2">
      <c r="Y58422" s="97"/>
    </row>
    <row r="58423" spans="25:25" x14ac:dyDescent="0.2">
      <c r="Y58423" s="97"/>
    </row>
    <row r="58424" spans="25:25" x14ac:dyDescent="0.2">
      <c r="Y58424" s="97"/>
    </row>
    <row r="58425" spans="25:25" x14ac:dyDescent="0.2">
      <c r="Y58425" s="97"/>
    </row>
    <row r="58426" spans="25:25" x14ac:dyDescent="0.2">
      <c r="Y58426" s="97"/>
    </row>
    <row r="58427" spans="25:25" x14ac:dyDescent="0.2">
      <c r="Y58427" s="97"/>
    </row>
    <row r="58428" spans="25:25" x14ac:dyDescent="0.2">
      <c r="Y58428" s="97"/>
    </row>
    <row r="58429" spans="25:25" x14ac:dyDescent="0.2">
      <c r="Y58429" s="97"/>
    </row>
    <row r="58430" spans="25:25" x14ac:dyDescent="0.2">
      <c r="Y58430" s="97"/>
    </row>
    <row r="58431" spans="25:25" x14ac:dyDescent="0.2">
      <c r="Y58431" s="97"/>
    </row>
    <row r="58432" spans="25:25" x14ac:dyDescent="0.2">
      <c r="Y58432" s="97"/>
    </row>
    <row r="58433" spans="25:25" x14ac:dyDescent="0.2">
      <c r="Y58433" s="97"/>
    </row>
    <row r="58434" spans="25:25" x14ac:dyDescent="0.2">
      <c r="Y58434" s="97"/>
    </row>
    <row r="58435" spans="25:25" x14ac:dyDescent="0.2">
      <c r="Y58435" s="97"/>
    </row>
    <row r="58436" spans="25:25" x14ac:dyDescent="0.2">
      <c r="Y58436" s="97"/>
    </row>
    <row r="58437" spans="25:25" x14ac:dyDescent="0.2">
      <c r="Y58437" s="97"/>
    </row>
    <row r="58438" spans="25:25" x14ac:dyDescent="0.2">
      <c r="Y58438" s="97"/>
    </row>
    <row r="58439" spans="25:25" x14ac:dyDescent="0.2">
      <c r="Y58439" s="97"/>
    </row>
    <row r="58440" spans="25:25" x14ac:dyDescent="0.2">
      <c r="Y58440" s="97"/>
    </row>
    <row r="58441" spans="25:25" x14ac:dyDescent="0.2">
      <c r="Y58441" s="97"/>
    </row>
    <row r="58442" spans="25:25" x14ac:dyDescent="0.2">
      <c r="Y58442" s="97"/>
    </row>
    <row r="58443" spans="25:25" x14ac:dyDescent="0.2">
      <c r="Y58443" s="97"/>
    </row>
    <row r="58444" spans="25:25" x14ac:dyDescent="0.2">
      <c r="Y58444" s="97"/>
    </row>
    <row r="58445" spans="25:25" x14ac:dyDescent="0.2">
      <c r="Y58445" s="97"/>
    </row>
    <row r="58446" spans="25:25" x14ac:dyDescent="0.2">
      <c r="Y58446" s="97"/>
    </row>
    <row r="58447" spans="25:25" x14ac:dyDescent="0.2">
      <c r="Y58447" s="97"/>
    </row>
    <row r="58448" spans="25:25" x14ac:dyDescent="0.2">
      <c r="Y58448" s="97"/>
    </row>
    <row r="58449" spans="25:25" x14ac:dyDescent="0.2">
      <c r="Y58449" s="97"/>
    </row>
    <row r="58450" spans="25:25" x14ac:dyDescent="0.2">
      <c r="Y58450" s="97"/>
    </row>
    <row r="58451" spans="25:25" x14ac:dyDescent="0.2">
      <c r="Y58451" s="97"/>
    </row>
    <row r="58452" spans="25:25" x14ac:dyDescent="0.2">
      <c r="Y58452" s="97"/>
    </row>
    <row r="58453" spans="25:25" x14ac:dyDescent="0.2">
      <c r="Y58453" s="97"/>
    </row>
    <row r="58454" spans="25:25" x14ac:dyDescent="0.2">
      <c r="Y58454" s="97"/>
    </row>
    <row r="58455" spans="25:25" x14ac:dyDescent="0.2">
      <c r="Y58455" s="97"/>
    </row>
    <row r="58456" spans="25:25" x14ac:dyDescent="0.2">
      <c r="Y58456" s="97"/>
    </row>
    <row r="58457" spans="25:25" x14ac:dyDescent="0.2">
      <c r="Y58457" s="97"/>
    </row>
    <row r="58458" spans="25:25" x14ac:dyDescent="0.2">
      <c r="Y58458" s="97"/>
    </row>
    <row r="58459" spans="25:25" x14ac:dyDescent="0.2">
      <c r="Y58459" s="97"/>
    </row>
    <row r="58460" spans="25:25" x14ac:dyDescent="0.2">
      <c r="Y58460" s="97"/>
    </row>
    <row r="58461" spans="25:25" x14ac:dyDescent="0.2">
      <c r="Y58461" s="97"/>
    </row>
    <row r="58462" spans="25:25" x14ac:dyDescent="0.2">
      <c r="Y58462" s="97"/>
    </row>
    <row r="58463" spans="25:25" x14ac:dyDescent="0.2">
      <c r="Y58463" s="97"/>
    </row>
    <row r="58464" spans="25:25" x14ac:dyDescent="0.2">
      <c r="Y58464" s="97"/>
    </row>
    <row r="58465" spans="25:25" x14ac:dyDescent="0.2">
      <c r="Y58465" s="97"/>
    </row>
    <row r="58466" spans="25:25" x14ac:dyDescent="0.2">
      <c r="Y58466" s="97"/>
    </row>
    <row r="58467" spans="25:25" x14ac:dyDescent="0.2">
      <c r="Y58467" s="97"/>
    </row>
    <row r="58468" spans="25:25" x14ac:dyDescent="0.2">
      <c r="Y58468" s="97"/>
    </row>
    <row r="58469" spans="25:25" x14ac:dyDescent="0.2">
      <c r="Y58469" s="97"/>
    </row>
    <row r="58470" spans="25:25" x14ac:dyDescent="0.2">
      <c r="Y58470" s="97"/>
    </row>
    <row r="58471" spans="25:25" x14ac:dyDescent="0.2">
      <c r="Y58471" s="97"/>
    </row>
    <row r="58472" spans="25:25" x14ac:dyDescent="0.2">
      <c r="Y58472" s="97"/>
    </row>
    <row r="58473" spans="25:25" x14ac:dyDescent="0.2">
      <c r="Y58473" s="97"/>
    </row>
    <row r="58474" spans="25:25" x14ac:dyDescent="0.2">
      <c r="Y58474" s="97"/>
    </row>
    <row r="58475" spans="25:25" x14ac:dyDescent="0.2">
      <c r="Y58475" s="97"/>
    </row>
    <row r="58476" spans="25:25" x14ac:dyDescent="0.2">
      <c r="Y58476" s="97"/>
    </row>
    <row r="58477" spans="25:25" x14ac:dyDescent="0.2">
      <c r="Y58477" s="97"/>
    </row>
    <row r="58478" spans="25:25" x14ac:dyDescent="0.2">
      <c r="Y58478" s="97"/>
    </row>
    <row r="58479" spans="25:25" x14ac:dyDescent="0.2">
      <c r="Y58479" s="97"/>
    </row>
    <row r="58480" spans="25:25" x14ac:dyDescent="0.2">
      <c r="Y58480" s="97"/>
    </row>
    <row r="58481" spans="25:25" x14ac:dyDescent="0.2">
      <c r="Y58481" s="97"/>
    </row>
    <row r="58482" spans="25:25" x14ac:dyDescent="0.2">
      <c r="Y58482" s="97"/>
    </row>
    <row r="58483" spans="25:25" x14ac:dyDescent="0.2">
      <c r="Y58483" s="97"/>
    </row>
    <row r="58484" spans="25:25" x14ac:dyDescent="0.2">
      <c r="Y58484" s="97"/>
    </row>
    <row r="58485" spans="25:25" x14ac:dyDescent="0.2">
      <c r="Y58485" s="97"/>
    </row>
    <row r="58486" spans="25:25" x14ac:dyDescent="0.2">
      <c r="Y58486" s="97"/>
    </row>
    <row r="58487" spans="25:25" x14ac:dyDescent="0.2">
      <c r="Y58487" s="97"/>
    </row>
    <row r="58488" spans="25:25" x14ac:dyDescent="0.2">
      <c r="Y58488" s="97"/>
    </row>
    <row r="58489" spans="25:25" x14ac:dyDescent="0.2">
      <c r="Y58489" s="97"/>
    </row>
    <row r="58490" spans="25:25" x14ac:dyDescent="0.2">
      <c r="Y58490" s="97"/>
    </row>
    <row r="58491" spans="25:25" x14ac:dyDescent="0.2">
      <c r="Y58491" s="97"/>
    </row>
    <row r="58492" spans="25:25" x14ac:dyDescent="0.2">
      <c r="Y58492" s="97"/>
    </row>
    <row r="58493" spans="25:25" x14ac:dyDescent="0.2">
      <c r="Y58493" s="97"/>
    </row>
    <row r="58494" spans="25:25" x14ac:dyDescent="0.2">
      <c r="Y58494" s="97"/>
    </row>
    <row r="58495" spans="25:25" x14ac:dyDescent="0.2">
      <c r="Y58495" s="97"/>
    </row>
    <row r="58496" spans="25:25" x14ac:dyDescent="0.2">
      <c r="Y58496" s="97"/>
    </row>
    <row r="58497" spans="25:25" x14ac:dyDescent="0.2">
      <c r="Y58497" s="97"/>
    </row>
    <row r="58498" spans="25:25" x14ac:dyDescent="0.2">
      <c r="Y58498" s="97"/>
    </row>
    <row r="58499" spans="25:25" x14ac:dyDescent="0.2">
      <c r="Y58499" s="97"/>
    </row>
    <row r="58500" spans="25:25" x14ac:dyDescent="0.2">
      <c r="Y58500" s="97"/>
    </row>
    <row r="58501" spans="25:25" x14ac:dyDescent="0.2">
      <c r="Y58501" s="97"/>
    </row>
    <row r="58502" spans="25:25" x14ac:dyDescent="0.2">
      <c r="Y58502" s="97"/>
    </row>
    <row r="58503" spans="25:25" x14ac:dyDescent="0.2">
      <c r="Y58503" s="97"/>
    </row>
    <row r="58504" spans="25:25" x14ac:dyDescent="0.2">
      <c r="Y58504" s="97"/>
    </row>
    <row r="58505" spans="25:25" x14ac:dyDescent="0.2">
      <c r="Y58505" s="97"/>
    </row>
    <row r="58506" spans="25:25" x14ac:dyDescent="0.2">
      <c r="Y58506" s="97"/>
    </row>
    <row r="58507" spans="25:25" x14ac:dyDescent="0.2">
      <c r="Y58507" s="97"/>
    </row>
    <row r="58508" spans="25:25" x14ac:dyDescent="0.2">
      <c r="Y58508" s="97"/>
    </row>
    <row r="58509" spans="25:25" x14ac:dyDescent="0.2">
      <c r="Y58509" s="97"/>
    </row>
    <row r="58510" spans="25:25" x14ac:dyDescent="0.2">
      <c r="Y58510" s="97"/>
    </row>
    <row r="58511" spans="25:25" x14ac:dyDescent="0.2">
      <c r="Y58511" s="97"/>
    </row>
    <row r="58512" spans="25:25" x14ac:dyDescent="0.2">
      <c r="Y58512" s="97"/>
    </row>
    <row r="58513" spans="25:25" x14ac:dyDescent="0.2">
      <c r="Y58513" s="97"/>
    </row>
    <row r="58514" spans="25:25" x14ac:dyDescent="0.2">
      <c r="Y58514" s="97"/>
    </row>
    <row r="58515" spans="25:25" x14ac:dyDescent="0.2">
      <c r="Y58515" s="97"/>
    </row>
    <row r="58516" spans="25:25" x14ac:dyDescent="0.2">
      <c r="Y58516" s="97"/>
    </row>
    <row r="58517" spans="25:25" x14ac:dyDescent="0.2">
      <c r="Y58517" s="97"/>
    </row>
    <row r="58518" spans="25:25" x14ac:dyDescent="0.2">
      <c r="Y58518" s="97"/>
    </row>
    <row r="58519" spans="25:25" x14ac:dyDescent="0.2">
      <c r="Y58519" s="97"/>
    </row>
    <row r="58520" spans="25:25" x14ac:dyDescent="0.2">
      <c r="Y58520" s="97"/>
    </row>
    <row r="58521" spans="25:25" x14ac:dyDescent="0.2">
      <c r="Y58521" s="97"/>
    </row>
    <row r="58522" spans="25:25" x14ac:dyDescent="0.2">
      <c r="Y58522" s="97"/>
    </row>
    <row r="58523" spans="25:25" x14ac:dyDescent="0.2">
      <c r="Y58523" s="97"/>
    </row>
    <row r="58524" spans="25:25" x14ac:dyDescent="0.2">
      <c r="Y58524" s="97"/>
    </row>
    <row r="58525" spans="25:25" x14ac:dyDescent="0.2">
      <c r="Y58525" s="97"/>
    </row>
    <row r="58526" spans="25:25" x14ac:dyDescent="0.2">
      <c r="Y58526" s="97"/>
    </row>
    <row r="58527" spans="25:25" x14ac:dyDescent="0.2">
      <c r="Y58527" s="97"/>
    </row>
    <row r="58528" spans="25:25" x14ac:dyDescent="0.2">
      <c r="Y58528" s="97"/>
    </row>
    <row r="58529" spans="25:25" x14ac:dyDescent="0.2">
      <c r="Y58529" s="97"/>
    </row>
    <row r="58530" spans="25:25" x14ac:dyDescent="0.2">
      <c r="Y58530" s="97"/>
    </row>
    <row r="58531" spans="25:25" x14ac:dyDescent="0.2">
      <c r="Y58531" s="97"/>
    </row>
    <row r="58532" spans="25:25" x14ac:dyDescent="0.2">
      <c r="Y58532" s="97"/>
    </row>
    <row r="58533" spans="25:25" x14ac:dyDescent="0.2">
      <c r="Y58533" s="97"/>
    </row>
    <row r="58534" spans="25:25" x14ac:dyDescent="0.2">
      <c r="Y58534" s="97"/>
    </row>
    <row r="58535" spans="25:25" x14ac:dyDescent="0.2">
      <c r="Y58535" s="97"/>
    </row>
    <row r="58536" spans="25:25" x14ac:dyDescent="0.2">
      <c r="Y58536" s="97"/>
    </row>
    <row r="58537" spans="25:25" x14ac:dyDescent="0.2">
      <c r="Y58537" s="97"/>
    </row>
    <row r="58538" spans="25:25" x14ac:dyDescent="0.2">
      <c r="Y58538" s="97"/>
    </row>
    <row r="58539" spans="25:25" x14ac:dyDescent="0.2">
      <c r="Y58539" s="97"/>
    </row>
    <row r="58540" spans="25:25" x14ac:dyDescent="0.2">
      <c r="Y58540" s="97"/>
    </row>
    <row r="58541" spans="25:25" x14ac:dyDescent="0.2">
      <c r="Y58541" s="97"/>
    </row>
    <row r="58542" spans="25:25" x14ac:dyDescent="0.2">
      <c r="Y58542" s="97"/>
    </row>
    <row r="58543" spans="25:25" x14ac:dyDescent="0.2">
      <c r="Y58543" s="97"/>
    </row>
    <row r="58544" spans="25:25" x14ac:dyDescent="0.2">
      <c r="Y58544" s="97"/>
    </row>
    <row r="58545" spans="25:25" x14ac:dyDescent="0.2">
      <c r="Y58545" s="97"/>
    </row>
    <row r="58546" spans="25:25" x14ac:dyDescent="0.2">
      <c r="Y58546" s="97"/>
    </row>
    <row r="58547" spans="25:25" x14ac:dyDescent="0.2">
      <c r="Y58547" s="97"/>
    </row>
    <row r="58548" spans="25:25" x14ac:dyDescent="0.2">
      <c r="Y58548" s="97"/>
    </row>
    <row r="58549" spans="25:25" x14ac:dyDescent="0.2">
      <c r="Y58549" s="97"/>
    </row>
    <row r="58550" spans="25:25" x14ac:dyDescent="0.2">
      <c r="Y58550" s="97"/>
    </row>
    <row r="58551" spans="25:25" x14ac:dyDescent="0.2">
      <c r="Y58551" s="97"/>
    </row>
    <row r="58552" spans="25:25" x14ac:dyDescent="0.2">
      <c r="Y58552" s="97"/>
    </row>
    <row r="58553" spans="25:25" x14ac:dyDescent="0.2">
      <c r="Y58553" s="97"/>
    </row>
    <row r="58554" spans="25:25" x14ac:dyDescent="0.2">
      <c r="Y58554" s="97"/>
    </row>
    <row r="58555" spans="25:25" x14ac:dyDescent="0.2">
      <c r="Y58555" s="97"/>
    </row>
    <row r="58556" spans="25:25" x14ac:dyDescent="0.2">
      <c r="Y58556" s="97"/>
    </row>
    <row r="58557" spans="25:25" x14ac:dyDescent="0.2">
      <c r="Y58557" s="97"/>
    </row>
    <row r="58558" spans="25:25" x14ac:dyDescent="0.2">
      <c r="Y58558" s="97"/>
    </row>
    <row r="58559" spans="25:25" x14ac:dyDescent="0.2">
      <c r="Y58559" s="97"/>
    </row>
    <row r="58560" spans="25:25" x14ac:dyDescent="0.2">
      <c r="Y58560" s="97"/>
    </row>
    <row r="58561" spans="25:25" x14ac:dyDescent="0.2">
      <c r="Y58561" s="97"/>
    </row>
    <row r="58562" spans="25:25" x14ac:dyDescent="0.2">
      <c r="Y58562" s="97"/>
    </row>
    <row r="58563" spans="25:25" x14ac:dyDescent="0.2">
      <c r="Y58563" s="97"/>
    </row>
    <row r="58564" spans="25:25" x14ac:dyDescent="0.2">
      <c r="Y58564" s="97"/>
    </row>
    <row r="58565" spans="25:25" x14ac:dyDescent="0.2">
      <c r="Y58565" s="97"/>
    </row>
    <row r="58566" spans="25:25" x14ac:dyDescent="0.2">
      <c r="Y58566" s="97"/>
    </row>
    <row r="58567" spans="25:25" x14ac:dyDescent="0.2">
      <c r="Y58567" s="97"/>
    </row>
    <row r="58568" spans="25:25" x14ac:dyDescent="0.2">
      <c r="Y58568" s="97"/>
    </row>
    <row r="58569" spans="25:25" x14ac:dyDescent="0.2">
      <c r="Y58569" s="97"/>
    </row>
    <row r="58570" spans="25:25" x14ac:dyDescent="0.2">
      <c r="Y58570" s="97"/>
    </row>
    <row r="58571" spans="25:25" x14ac:dyDescent="0.2">
      <c r="Y58571" s="97"/>
    </row>
    <row r="58572" spans="25:25" x14ac:dyDescent="0.2">
      <c r="Y58572" s="97"/>
    </row>
    <row r="58573" spans="25:25" x14ac:dyDescent="0.2">
      <c r="Y58573" s="97"/>
    </row>
    <row r="58574" spans="25:25" x14ac:dyDescent="0.2">
      <c r="Y58574" s="97"/>
    </row>
    <row r="58575" spans="25:25" x14ac:dyDescent="0.2">
      <c r="Y58575" s="97"/>
    </row>
    <row r="58576" spans="25:25" x14ac:dyDescent="0.2">
      <c r="Y58576" s="97"/>
    </row>
    <row r="58577" spans="25:25" x14ac:dyDescent="0.2">
      <c r="Y58577" s="97"/>
    </row>
    <row r="58578" spans="25:25" x14ac:dyDescent="0.2">
      <c r="Y58578" s="97"/>
    </row>
    <row r="58579" spans="25:25" x14ac:dyDescent="0.2">
      <c r="Y58579" s="97"/>
    </row>
    <row r="58580" spans="25:25" x14ac:dyDescent="0.2">
      <c r="Y58580" s="97"/>
    </row>
    <row r="58581" spans="25:25" x14ac:dyDescent="0.2">
      <c r="Y58581" s="97"/>
    </row>
    <row r="58582" spans="25:25" x14ac:dyDescent="0.2">
      <c r="Y58582" s="97"/>
    </row>
    <row r="58583" spans="25:25" x14ac:dyDescent="0.2">
      <c r="Y58583" s="97"/>
    </row>
    <row r="58584" spans="25:25" x14ac:dyDescent="0.2">
      <c r="Y58584" s="97"/>
    </row>
    <row r="58585" spans="25:25" x14ac:dyDescent="0.2">
      <c r="Y58585" s="97"/>
    </row>
    <row r="58586" spans="25:25" x14ac:dyDescent="0.2">
      <c r="Y58586" s="97"/>
    </row>
    <row r="58587" spans="25:25" x14ac:dyDescent="0.2">
      <c r="Y58587" s="97"/>
    </row>
    <row r="58588" spans="25:25" x14ac:dyDescent="0.2">
      <c r="Y58588" s="97"/>
    </row>
    <row r="58589" spans="25:25" x14ac:dyDescent="0.2">
      <c r="Y58589" s="97"/>
    </row>
    <row r="58590" spans="25:25" x14ac:dyDescent="0.2">
      <c r="Y58590" s="97"/>
    </row>
    <row r="58591" spans="25:25" x14ac:dyDescent="0.2">
      <c r="Y58591" s="97"/>
    </row>
    <row r="58592" spans="25:25" x14ac:dyDescent="0.2">
      <c r="Y58592" s="97"/>
    </row>
    <row r="58593" spans="25:25" x14ac:dyDescent="0.2">
      <c r="Y58593" s="97"/>
    </row>
    <row r="58594" spans="25:25" x14ac:dyDescent="0.2">
      <c r="Y58594" s="97"/>
    </row>
    <row r="58595" spans="25:25" x14ac:dyDescent="0.2">
      <c r="Y58595" s="97"/>
    </row>
    <row r="58596" spans="25:25" x14ac:dyDescent="0.2">
      <c r="Y58596" s="97"/>
    </row>
    <row r="58597" spans="25:25" x14ac:dyDescent="0.2">
      <c r="Y58597" s="97"/>
    </row>
    <row r="58598" spans="25:25" x14ac:dyDescent="0.2">
      <c r="Y58598" s="97"/>
    </row>
    <row r="58599" spans="25:25" x14ac:dyDescent="0.2">
      <c r="Y58599" s="97"/>
    </row>
    <row r="58600" spans="25:25" x14ac:dyDescent="0.2">
      <c r="Y58600" s="97"/>
    </row>
    <row r="58601" spans="25:25" x14ac:dyDescent="0.2">
      <c r="Y58601" s="97"/>
    </row>
    <row r="58602" spans="25:25" x14ac:dyDescent="0.2">
      <c r="Y58602" s="97"/>
    </row>
    <row r="58603" spans="25:25" x14ac:dyDescent="0.2">
      <c r="Y58603" s="97"/>
    </row>
    <row r="58604" spans="25:25" x14ac:dyDescent="0.2">
      <c r="Y58604" s="97"/>
    </row>
    <row r="58605" spans="25:25" x14ac:dyDescent="0.2">
      <c r="Y58605" s="97"/>
    </row>
    <row r="58606" spans="25:25" x14ac:dyDescent="0.2">
      <c r="Y58606" s="97"/>
    </row>
    <row r="58607" spans="25:25" x14ac:dyDescent="0.2">
      <c r="Y58607" s="97"/>
    </row>
    <row r="58608" spans="25:25" x14ac:dyDescent="0.2">
      <c r="Y58608" s="97"/>
    </row>
    <row r="58609" spans="25:25" x14ac:dyDescent="0.2">
      <c r="Y58609" s="97"/>
    </row>
    <row r="58610" spans="25:25" x14ac:dyDescent="0.2">
      <c r="Y58610" s="97"/>
    </row>
    <row r="58611" spans="25:25" x14ac:dyDescent="0.2">
      <c r="Y58611" s="97"/>
    </row>
    <row r="58612" spans="25:25" x14ac:dyDescent="0.2">
      <c r="Y58612" s="97"/>
    </row>
    <row r="58613" spans="25:25" x14ac:dyDescent="0.2">
      <c r="Y58613" s="97"/>
    </row>
    <row r="58614" spans="25:25" x14ac:dyDescent="0.2">
      <c r="Y58614" s="97"/>
    </row>
    <row r="58615" spans="25:25" x14ac:dyDescent="0.2">
      <c r="Y58615" s="97"/>
    </row>
    <row r="58616" spans="25:25" x14ac:dyDescent="0.2">
      <c r="Y58616" s="97"/>
    </row>
    <row r="58617" spans="25:25" x14ac:dyDescent="0.2">
      <c r="Y58617" s="97"/>
    </row>
    <row r="58618" spans="25:25" x14ac:dyDescent="0.2">
      <c r="Y58618" s="97"/>
    </row>
    <row r="58619" spans="25:25" x14ac:dyDescent="0.2">
      <c r="Y58619" s="97"/>
    </row>
    <row r="58620" spans="25:25" x14ac:dyDescent="0.2">
      <c r="Y58620" s="97"/>
    </row>
    <row r="58621" spans="25:25" x14ac:dyDescent="0.2">
      <c r="Y58621" s="97"/>
    </row>
    <row r="58622" spans="25:25" x14ac:dyDescent="0.2">
      <c r="Y58622" s="97"/>
    </row>
    <row r="58623" spans="25:25" x14ac:dyDescent="0.2">
      <c r="Y58623" s="97"/>
    </row>
    <row r="58624" spans="25:25" x14ac:dyDescent="0.2">
      <c r="Y58624" s="97"/>
    </row>
    <row r="58625" spans="25:25" x14ac:dyDescent="0.2">
      <c r="Y58625" s="97"/>
    </row>
    <row r="58626" spans="25:25" x14ac:dyDescent="0.2">
      <c r="Y58626" s="97"/>
    </row>
    <row r="58627" spans="25:25" x14ac:dyDescent="0.2">
      <c r="Y58627" s="97"/>
    </row>
    <row r="58628" spans="25:25" x14ac:dyDescent="0.2">
      <c r="Y58628" s="97"/>
    </row>
    <row r="58629" spans="25:25" x14ac:dyDescent="0.2">
      <c r="Y58629" s="97"/>
    </row>
    <row r="58630" spans="25:25" x14ac:dyDescent="0.2">
      <c r="Y58630" s="97"/>
    </row>
    <row r="58631" spans="25:25" x14ac:dyDescent="0.2">
      <c r="Y58631" s="97"/>
    </row>
    <row r="58632" spans="25:25" x14ac:dyDescent="0.2">
      <c r="Y58632" s="97"/>
    </row>
    <row r="58633" spans="25:25" x14ac:dyDescent="0.2">
      <c r="Y58633" s="97"/>
    </row>
    <row r="58634" spans="25:25" x14ac:dyDescent="0.2">
      <c r="Y58634" s="97"/>
    </row>
    <row r="58635" spans="25:25" x14ac:dyDescent="0.2">
      <c r="Y58635" s="97"/>
    </row>
    <row r="58636" spans="25:25" x14ac:dyDescent="0.2">
      <c r="Y58636" s="97"/>
    </row>
    <row r="58637" spans="25:25" x14ac:dyDescent="0.2">
      <c r="Y58637" s="97"/>
    </row>
    <row r="58638" spans="25:25" x14ac:dyDescent="0.2">
      <c r="Y58638" s="97"/>
    </row>
    <row r="58639" spans="25:25" x14ac:dyDescent="0.2">
      <c r="Y58639" s="97"/>
    </row>
    <row r="58640" spans="25:25" x14ac:dyDescent="0.2">
      <c r="Y58640" s="97"/>
    </row>
    <row r="58641" spans="25:25" x14ac:dyDescent="0.2">
      <c r="Y58641" s="97"/>
    </row>
    <row r="58642" spans="25:25" x14ac:dyDescent="0.2">
      <c r="Y58642" s="97"/>
    </row>
    <row r="58643" spans="25:25" x14ac:dyDescent="0.2">
      <c r="Y58643" s="97"/>
    </row>
    <row r="58644" spans="25:25" x14ac:dyDescent="0.2">
      <c r="Y58644" s="97"/>
    </row>
    <row r="58645" spans="25:25" x14ac:dyDescent="0.2">
      <c r="Y58645" s="97"/>
    </row>
    <row r="58646" spans="25:25" x14ac:dyDescent="0.2">
      <c r="Y58646" s="97"/>
    </row>
    <row r="58647" spans="25:25" x14ac:dyDescent="0.2">
      <c r="Y58647" s="97"/>
    </row>
    <row r="58648" spans="25:25" x14ac:dyDescent="0.2">
      <c r="Y58648" s="97"/>
    </row>
    <row r="58649" spans="25:25" x14ac:dyDescent="0.2">
      <c r="Y58649" s="97"/>
    </row>
    <row r="58650" spans="25:25" x14ac:dyDescent="0.2">
      <c r="Y58650" s="97"/>
    </row>
    <row r="58651" spans="25:25" x14ac:dyDescent="0.2">
      <c r="Y58651" s="97"/>
    </row>
    <row r="58652" spans="25:25" x14ac:dyDescent="0.2">
      <c r="Y58652" s="97"/>
    </row>
    <row r="58653" spans="25:25" x14ac:dyDescent="0.2">
      <c r="Y58653" s="97"/>
    </row>
    <row r="58654" spans="25:25" x14ac:dyDescent="0.2">
      <c r="Y58654" s="97"/>
    </row>
    <row r="58655" spans="25:25" x14ac:dyDescent="0.2">
      <c r="Y58655" s="97"/>
    </row>
    <row r="58656" spans="25:25" x14ac:dyDescent="0.2">
      <c r="Y58656" s="97"/>
    </row>
    <row r="58657" spans="25:25" x14ac:dyDescent="0.2">
      <c r="Y58657" s="97"/>
    </row>
    <row r="58658" spans="25:25" x14ac:dyDescent="0.2">
      <c r="Y58658" s="97"/>
    </row>
    <row r="58659" spans="25:25" x14ac:dyDescent="0.2">
      <c r="Y58659" s="97"/>
    </row>
    <row r="58660" spans="25:25" x14ac:dyDescent="0.2">
      <c r="Y58660" s="97"/>
    </row>
    <row r="58661" spans="25:25" x14ac:dyDescent="0.2">
      <c r="Y58661" s="97"/>
    </row>
    <row r="58662" spans="25:25" x14ac:dyDescent="0.2">
      <c r="Y58662" s="97"/>
    </row>
    <row r="58663" spans="25:25" x14ac:dyDescent="0.2">
      <c r="Y58663" s="97"/>
    </row>
    <row r="58664" spans="25:25" x14ac:dyDescent="0.2">
      <c r="Y58664" s="97"/>
    </row>
    <row r="58665" spans="25:25" x14ac:dyDescent="0.2">
      <c r="Y58665" s="97"/>
    </row>
    <row r="58666" spans="25:25" x14ac:dyDescent="0.2">
      <c r="Y58666" s="97"/>
    </row>
    <row r="58667" spans="25:25" x14ac:dyDescent="0.2">
      <c r="Y58667" s="97"/>
    </row>
    <row r="58668" spans="25:25" x14ac:dyDescent="0.2">
      <c r="Y58668" s="97"/>
    </row>
    <row r="58669" spans="25:25" x14ac:dyDescent="0.2">
      <c r="Y58669" s="97"/>
    </row>
    <row r="58670" spans="25:25" x14ac:dyDescent="0.2">
      <c r="Y58670" s="97"/>
    </row>
    <row r="58671" spans="25:25" x14ac:dyDescent="0.2">
      <c r="Y58671" s="97"/>
    </row>
    <row r="58672" spans="25:25" x14ac:dyDescent="0.2">
      <c r="Y58672" s="97"/>
    </row>
    <row r="58673" spans="25:25" x14ac:dyDescent="0.2">
      <c r="Y58673" s="97"/>
    </row>
    <row r="58674" spans="25:25" x14ac:dyDescent="0.2">
      <c r="Y58674" s="97"/>
    </row>
    <row r="58675" spans="25:25" x14ac:dyDescent="0.2">
      <c r="Y58675" s="97"/>
    </row>
    <row r="58676" spans="25:25" x14ac:dyDescent="0.2">
      <c r="Y58676" s="97"/>
    </row>
    <row r="58677" spans="25:25" x14ac:dyDescent="0.2">
      <c r="Y58677" s="97"/>
    </row>
    <row r="58678" spans="25:25" x14ac:dyDescent="0.2">
      <c r="Y58678" s="97"/>
    </row>
    <row r="58679" spans="25:25" x14ac:dyDescent="0.2">
      <c r="Y58679" s="97"/>
    </row>
    <row r="58680" spans="25:25" x14ac:dyDescent="0.2">
      <c r="Y58680" s="97"/>
    </row>
    <row r="58681" spans="25:25" x14ac:dyDescent="0.2">
      <c r="Y58681" s="97"/>
    </row>
    <row r="58682" spans="25:25" x14ac:dyDescent="0.2">
      <c r="Y58682" s="97"/>
    </row>
    <row r="58683" spans="25:25" x14ac:dyDescent="0.2">
      <c r="Y58683" s="97"/>
    </row>
    <row r="58684" spans="25:25" x14ac:dyDescent="0.2">
      <c r="Y58684" s="97"/>
    </row>
    <row r="58685" spans="25:25" x14ac:dyDescent="0.2">
      <c r="Y58685" s="97"/>
    </row>
    <row r="58686" spans="25:25" x14ac:dyDescent="0.2">
      <c r="Y58686" s="97"/>
    </row>
    <row r="58687" spans="25:25" x14ac:dyDescent="0.2">
      <c r="Y58687" s="97"/>
    </row>
    <row r="58688" spans="25:25" x14ac:dyDescent="0.2">
      <c r="Y58688" s="97"/>
    </row>
    <row r="58689" spans="25:25" x14ac:dyDescent="0.2">
      <c r="Y58689" s="97"/>
    </row>
    <row r="58690" spans="25:25" x14ac:dyDescent="0.2">
      <c r="Y58690" s="97"/>
    </row>
    <row r="58691" spans="25:25" x14ac:dyDescent="0.2">
      <c r="Y58691" s="97"/>
    </row>
    <row r="58692" spans="25:25" x14ac:dyDescent="0.2">
      <c r="Y58692" s="97"/>
    </row>
    <row r="58693" spans="25:25" x14ac:dyDescent="0.2">
      <c r="Y58693" s="97"/>
    </row>
    <row r="58694" spans="25:25" x14ac:dyDescent="0.2">
      <c r="Y58694" s="97"/>
    </row>
    <row r="58695" spans="25:25" x14ac:dyDescent="0.2">
      <c r="Y58695" s="97"/>
    </row>
    <row r="58696" spans="25:25" x14ac:dyDescent="0.2">
      <c r="Y58696" s="97"/>
    </row>
    <row r="58697" spans="25:25" x14ac:dyDescent="0.2">
      <c r="Y58697" s="97"/>
    </row>
    <row r="58698" spans="25:25" x14ac:dyDescent="0.2">
      <c r="Y58698" s="97"/>
    </row>
    <row r="58699" spans="25:25" x14ac:dyDescent="0.2">
      <c r="Y58699" s="97"/>
    </row>
    <row r="58700" spans="25:25" x14ac:dyDescent="0.2">
      <c r="Y58700" s="97"/>
    </row>
    <row r="58701" spans="25:25" x14ac:dyDescent="0.2">
      <c r="Y58701" s="97"/>
    </row>
    <row r="58702" spans="25:25" x14ac:dyDescent="0.2">
      <c r="Y58702" s="97"/>
    </row>
    <row r="58703" spans="25:25" x14ac:dyDescent="0.2">
      <c r="Y58703" s="97"/>
    </row>
    <row r="58704" spans="25:25" x14ac:dyDescent="0.2">
      <c r="Y58704" s="97"/>
    </row>
    <row r="58705" spans="25:25" x14ac:dyDescent="0.2">
      <c r="Y58705" s="97"/>
    </row>
    <row r="58706" spans="25:25" x14ac:dyDescent="0.2">
      <c r="Y58706" s="97"/>
    </row>
    <row r="58707" spans="25:25" x14ac:dyDescent="0.2">
      <c r="Y58707" s="97"/>
    </row>
    <row r="58708" spans="25:25" x14ac:dyDescent="0.2">
      <c r="Y58708" s="97"/>
    </row>
    <row r="58709" spans="25:25" x14ac:dyDescent="0.2">
      <c r="Y58709" s="97"/>
    </row>
    <row r="58710" spans="25:25" x14ac:dyDescent="0.2">
      <c r="Y58710" s="97"/>
    </row>
    <row r="58711" spans="25:25" x14ac:dyDescent="0.2">
      <c r="Y58711" s="97"/>
    </row>
    <row r="58712" spans="25:25" x14ac:dyDescent="0.2">
      <c r="Y58712" s="97"/>
    </row>
    <row r="58713" spans="25:25" x14ac:dyDescent="0.2">
      <c r="Y58713" s="97"/>
    </row>
    <row r="58714" spans="25:25" x14ac:dyDescent="0.2">
      <c r="Y58714" s="97"/>
    </row>
    <row r="58715" spans="25:25" x14ac:dyDescent="0.2">
      <c r="Y58715" s="97"/>
    </row>
    <row r="58716" spans="25:25" x14ac:dyDescent="0.2">
      <c r="Y58716" s="97"/>
    </row>
    <row r="58717" spans="25:25" x14ac:dyDescent="0.2">
      <c r="Y58717" s="97"/>
    </row>
    <row r="58718" spans="25:25" x14ac:dyDescent="0.2">
      <c r="Y58718" s="97"/>
    </row>
    <row r="58719" spans="25:25" x14ac:dyDescent="0.2">
      <c r="Y58719" s="97"/>
    </row>
    <row r="58720" spans="25:25" x14ac:dyDescent="0.2">
      <c r="Y58720" s="97"/>
    </row>
    <row r="58721" spans="25:25" x14ac:dyDescent="0.2">
      <c r="Y58721" s="97"/>
    </row>
    <row r="58722" spans="25:25" x14ac:dyDescent="0.2">
      <c r="Y58722" s="97"/>
    </row>
    <row r="58723" spans="25:25" x14ac:dyDescent="0.2">
      <c r="Y58723" s="97"/>
    </row>
    <row r="58724" spans="25:25" x14ac:dyDescent="0.2">
      <c r="Y58724" s="97"/>
    </row>
    <row r="58725" spans="25:25" x14ac:dyDescent="0.2">
      <c r="Y58725" s="97"/>
    </row>
    <row r="58726" spans="25:25" x14ac:dyDescent="0.2">
      <c r="Y58726" s="97"/>
    </row>
    <row r="58727" spans="25:25" x14ac:dyDescent="0.2">
      <c r="Y58727" s="97"/>
    </row>
    <row r="58728" spans="25:25" x14ac:dyDescent="0.2">
      <c r="Y58728" s="97"/>
    </row>
    <row r="58729" spans="25:25" x14ac:dyDescent="0.2">
      <c r="Y58729" s="97"/>
    </row>
    <row r="58730" spans="25:25" x14ac:dyDescent="0.2">
      <c r="Y58730" s="97"/>
    </row>
    <row r="58731" spans="25:25" x14ac:dyDescent="0.2">
      <c r="Y58731" s="97"/>
    </row>
    <row r="58732" spans="25:25" x14ac:dyDescent="0.2">
      <c r="Y58732" s="97"/>
    </row>
    <row r="58733" spans="25:25" x14ac:dyDescent="0.2">
      <c r="Y58733" s="97"/>
    </row>
    <row r="58734" spans="25:25" x14ac:dyDescent="0.2">
      <c r="Y58734" s="97"/>
    </row>
    <row r="58735" spans="25:25" x14ac:dyDescent="0.2">
      <c r="Y58735" s="97"/>
    </row>
    <row r="58736" spans="25:25" x14ac:dyDescent="0.2">
      <c r="Y58736" s="97"/>
    </row>
    <row r="58737" spans="25:25" x14ac:dyDescent="0.2">
      <c r="Y58737" s="97"/>
    </row>
    <row r="58738" spans="25:25" x14ac:dyDescent="0.2">
      <c r="Y58738" s="97"/>
    </row>
    <row r="58739" spans="25:25" x14ac:dyDescent="0.2">
      <c r="Y58739" s="97"/>
    </row>
    <row r="58740" spans="25:25" x14ac:dyDescent="0.2">
      <c r="Y58740" s="97"/>
    </row>
    <row r="58741" spans="25:25" x14ac:dyDescent="0.2">
      <c r="Y58741" s="97"/>
    </row>
    <row r="58742" spans="25:25" x14ac:dyDescent="0.2">
      <c r="Y58742" s="97"/>
    </row>
    <row r="58743" spans="25:25" x14ac:dyDescent="0.2">
      <c r="Y58743" s="97"/>
    </row>
    <row r="58744" spans="25:25" x14ac:dyDescent="0.2">
      <c r="Y58744" s="97"/>
    </row>
    <row r="58745" spans="25:25" x14ac:dyDescent="0.2">
      <c r="Y58745" s="97"/>
    </row>
    <row r="58746" spans="25:25" x14ac:dyDescent="0.2">
      <c r="Y58746" s="97"/>
    </row>
    <row r="58747" spans="25:25" x14ac:dyDescent="0.2">
      <c r="Y58747" s="97"/>
    </row>
    <row r="58748" spans="25:25" x14ac:dyDescent="0.2">
      <c r="Y58748" s="97"/>
    </row>
    <row r="58749" spans="25:25" x14ac:dyDescent="0.2">
      <c r="Y58749" s="97"/>
    </row>
    <row r="58750" spans="25:25" x14ac:dyDescent="0.2">
      <c r="Y58750" s="97"/>
    </row>
    <row r="58751" spans="25:25" x14ac:dyDescent="0.2">
      <c r="Y58751" s="97"/>
    </row>
    <row r="58752" spans="25:25" x14ac:dyDescent="0.2">
      <c r="Y58752" s="97"/>
    </row>
    <row r="58753" spans="25:25" x14ac:dyDescent="0.2">
      <c r="Y58753" s="97"/>
    </row>
    <row r="58754" spans="25:25" x14ac:dyDescent="0.2">
      <c r="Y58754" s="97"/>
    </row>
    <row r="58755" spans="25:25" x14ac:dyDescent="0.2">
      <c r="Y58755" s="97"/>
    </row>
    <row r="58756" spans="25:25" x14ac:dyDescent="0.2">
      <c r="Y58756" s="97"/>
    </row>
    <row r="58757" spans="25:25" x14ac:dyDescent="0.2">
      <c r="Y58757" s="97"/>
    </row>
    <row r="58758" spans="25:25" x14ac:dyDescent="0.2">
      <c r="Y58758" s="97"/>
    </row>
    <row r="58759" spans="25:25" x14ac:dyDescent="0.2">
      <c r="Y58759" s="97"/>
    </row>
    <row r="58760" spans="25:25" x14ac:dyDescent="0.2">
      <c r="Y58760" s="97"/>
    </row>
    <row r="58761" spans="25:25" x14ac:dyDescent="0.2">
      <c r="Y58761" s="97"/>
    </row>
    <row r="58762" spans="25:25" x14ac:dyDescent="0.2">
      <c r="Y58762" s="97"/>
    </row>
    <row r="58763" spans="25:25" x14ac:dyDescent="0.2">
      <c r="Y58763" s="97"/>
    </row>
    <row r="58764" spans="25:25" x14ac:dyDescent="0.2">
      <c r="Y58764" s="97"/>
    </row>
    <row r="58765" spans="25:25" x14ac:dyDescent="0.2">
      <c r="Y58765" s="97"/>
    </row>
    <row r="58766" spans="25:25" x14ac:dyDescent="0.2">
      <c r="Y58766" s="97"/>
    </row>
    <row r="58767" spans="25:25" x14ac:dyDescent="0.2">
      <c r="Y58767" s="97"/>
    </row>
    <row r="58768" spans="25:25" x14ac:dyDescent="0.2">
      <c r="Y58768" s="97"/>
    </row>
    <row r="58769" spans="25:25" x14ac:dyDescent="0.2">
      <c r="Y58769" s="97"/>
    </row>
    <row r="58770" spans="25:25" x14ac:dyDescent="0.2">
      <c r="Y58770" s="97"/>
    </row>
    <row r="58771" spans="25:25" x14ac:dyDescent="0.2">
      <c r="Y58771" s="97"/>
    </row>
    <row r="58772" spans="25:25" x14ac:dyDescent="0.2">
      <c r="Y58772" s="97"/>
    </row>
    <row r="58773" spans="25:25" x14ac:dyDescent="0.2">
      <c r="Y58773" s="97"/>
    </row>
    <row r="58774" spans="25:25" x14ac:dyDescent="0.2">
      <c r="Y58774" s="97"/>
    </row>
    <row r="58775" spans="25:25" x14ac:dyDescent="0.2">
      <c r="Y58775" s="97"/>
    </row>
    <row r="58776" spans="25:25" x14ac:dyDescent="0.2">
      <c r="Y58776" s="97"/>
    </row>
    <row r="58777" spans="25:25" x14ac:dyDescent="0.2">
      <c r="Y58777" s="97"/>
    </row>
    <row r="58778" spans="25:25" x14ac:dyDescent="0.2">
      <c r="Y58778" s="97"/>
    </row>
    <row r="58779" spans="25:25" x14ac:dyDescent="0.2">
      <c r="Y58779" s="97"/>
    </row>
    <row r="58780" spans="25:25" x14ac:dyDescent="0.2">
      <c r="Y58780" s="97"/>
    </row>
    <row r="58781" spans="25:25" x14ac:dyDescent="0.2">
      <c r="Y58781" s="97"/>
    </row>
    <row r="58782" spans="25:25" x14ac:dyDescent="0.2">
      <c r="Y58782" s="97"/>
    </row>
    <row r="58783" spans="25:25" x14ac:dyDescent="0.2">
      <c r="Y58783" s="97"/>
    </row>
    <row r="58784" spans="25:25" x14ac:dyDescent="0.2">
      <c r="Y58784" s="97"/>
    </row>
    <row r="58785" spans="25:25" x14ac:dyDescent="0.2">
      <c r="Y58785" s="97"/>
    </row>
    <row r="58786" spans="25:25" x14ac:dyDescent="0.2">
      <c r="Y58786" s="97"/>
    </row>
    <row r="58787" spans="25:25" x14ac:dyDescent="0.2">
      <c r="Y58787" s="97"/>
    </row>
    <row r="58788" spans="25:25" x14ac:dyDescent="0.2">
      <c r="Y58788" s="97"/>
    </row>
    <row r="58789" spans="25:25" x14ac:dyDescent="0.2">
      <c r="Y58789" s="97"/>
    </row>
    <row r="58790" spans="25:25" x14ac:dyDescent="0.2">
      <c r="Y58790" s="97"/>
    </row>
    <row r="58791" spans="25:25" x14ac:dyDescent="0.2">
      <c r="Y58791" s="97"/>
    </row>
    <row r="58792" spans="25:25" x14ac:dyDescent="0.2">
      <c r="Y58792" s="97"/>
    </row>
    <row r="58793" spans="25:25" x14ac:dyDescent="0.2">
      <c r="Y58793" s="97"/>
    </row>
    <row r="58794" spans="25:25" x14ac:dyDescent="0.2">
      <c r="Y58794" s="97"/>
    </row>
    <row r="58795" spans="25:25" x14ac:dyDescent="0.2">
      <c r="Y58795" s="97"/>
    </row>
    <row r="58796" spans="25:25" x14ac:dyDescent="0.2">
      <c r="Y58796" s="97"/>
    </row>
    <row r="58797" spans="25:25" x14ac:dyDescent="0.2">
      <c r="Y58797" s="97"/>
    </row>
    <row r="58798" spans="25:25" x14ac:dyDescent="0.2">
      <c r="Y58798" s="97"/>
    </row>
    <row r="58799" spans="25:25" x14ac:dyDescent="0.2">
      <c r="Y58799" s="97"/>
    </row>
    <row r="58800" spans="25:25" x14ac:dyDescent="0.2">
      <c r="Y58800" s="97"/>
    </row>
    <row r="58801" spans="25:25" x14ac:dyDescent="0.2">
      <c r="Y58801" s="97"/>
    </row>
    <row r="58802" spans="25:25" x14ac:dyDescent="0.2">
      <c r="Y58802" s="97"/>
    </row>
    <row r="58803" spans="25:25" x14ac:dyDescent="0.2">
      <c r="Y58803" s="97"/>
    </row>
    <row r="58804" spans="25:25" x14ac:dyDescent="0.2">
      <c r="Y58804" s="97"/>
    </row>
    <row r="58805" spans="25:25" x14ac:dyDescent="0.2">
      <c r="Y58805" s="97"/>
    </row>
    <row r="58806" spans="25:25" x14ac:dyDescent="0.2">
      <c r="Y58806" s="97"/>
    </row>
    <row r="58807" spans="25:25" x14ac:dyDescent="0.2">
      <c r="Y58807" s="97"/>
    </row>
    <row r="58808" spans="25:25" x14ac:dyDescent="0.2">
      <c r="Y58808" s="97"/>
    </row>
    <row r="58809" spans="25:25" x14ac:dyDescent="0.2">
      <c r="Y58809" s="97"/>
    </row>
    <row r="58810" spans="25:25" x14ac:dyDescent="0.2">
      <c r="Y58810" s="97"/>
    </row>
    <row r="58811" spans="25:25" x14ac:dyDescent="0.2">
      <c r="Y58811" s="97"/>
    </row>
    <row r="58812" spans="25:25" x14ac:dyDescent="0.2">
      <c r="Y58812" s="97"/>
    </row>
    <row r="58813" spans="25:25" x14ac:dyDescent="0.2">
      <c r="Y58813" s="97"/>
    </row>
    <row r="58814" spans="25:25" x14ac:dyDescent="0.2">
      <c r="Y58814" s="97"/>
    </row>
    <row r="58815" spans="25:25" x14ac:dyDescent="0.2">
      <c r="Y58815" s="97"/>
    </row>
    <row r="58816" spans="25:25" x14ac:dyDescent="0.2">
      <c r="Y58816" s="97"/>
    </row>
    <row r="58817" spans="25:25" x14ac:dyDescent="0.2">
      <c r="Y58817" s="97"/>
    </row>
    <row r="58818" spans="25:25" x14ac:dyDescent="0.2">
      <c r="Y58818" s="97"/>
    </row>
    <row r="58819" spans="25:25" x14ac:dyDescent="0.2">
      <c r="Y58819" s="97"/>
    </row>
    <row r="58820" spans="25:25" x14ac:dyDescent="0.2">
      <c r="Y58820" s="97"/>
    </row>
    <row r="58821" spans="25:25" x14ac:dyDescent="0.2">
      <c r="Y58821" s="97"/>
    </row>
    <row r="58822" spans="25:25" x14ac:dyDescent="0.2">
      <c r="Y58822" s="97"/>
    </row>
    <row r="58823" spans="25:25" x14ac:dyDescent="0.2">
      <c r="Y58823" s="97"/>
    </row>
    <row r="58824" spans="25:25" x14ac:dyDescent="0.2">
      <c r="Y58824" s="97"/>
    </row>
    <row r="58825" spans="25:25" x14ac:dyDescent="0.2">
      <c r="Y58825" s="97"/>
    </row>
    <row r="58826" spans="25:25" x14ac:dyDescent="0.2">
      <c r="Y58826" s="97"/>
    </row>
    <row r="58827" spans="25:25" x14ac:dyDescent="0.2">
      <c r="Y58827" s="97"/>
    </row>
    <row r="58828" spans="25:25" x14ac:dyDescent="0.2">
      <c r="Y58828" s="97"/>
    </row>
    <row r="58829" spans="25:25" x14ac:dyDescent="0.2">
      <c r="Y58829" s="97"/>
    </row>
    <row r="58830" spans="25:25" x14ac:dyDescent="0.2">
      <c r="Y58830" s="97"/>
    </row>
    <row r="58831" spans="25:25" x14ac:dyDescent="0.2">
      <c r="Y58831" s="97"/>
    </row>
    <row r="58832" spans="25:25" x14ac:dyDescent="0.2">
      <c r="Y58832" s="97"/>
    </row>
    <row r="58833" spans="25:25" x14ac:dyDescent="0.2">
      <c r="Y58833" s="97"/>
    </row>
    <row r="58834" spans="25:25" x14ac:dyDescent="0.2">
      <c r="Y58834" s="97"/>
    </row>
    <row r="58835" spans="25:25" x14ac:dyDescent="0.2">
      <c r="Y58835" s="97"/>
    </row>
    <row r="58836" spans="25:25" x14ac:dyDescent="0.2">
      <c r="Y58836" s="97"/>
    </row>
    <row r="58837" spans="25:25" x14ac:dyDescent="0.2">
      <c r="Y58837" s="97"/>
    </row>
    <row r="58838" spans="25:25" x14ac:dyDescent="0.2">
      <c r="Y58838" s="97"/>
    </row>
    <row r="58839" spans="25:25" x14ac:dyDescent="0.2">
      <c r="Y58839" s="97"/>
    </row>
    <row r="58840" spans="25:25" x14ac:dyDescent="0.2">
      <c r="Y58840" s="97"/>
    </row>
    <row r="58841" spans="25:25" x14ac:dyDescent="0.2">
      <c r="Y58841" s="97"/>
    </row>
    <row r="58842" spans="25:25" x14ac:dyDescent="0.2">
      <c r="Y58842" s="97"/>
    </row>
    <row r="58843" spans="25:25" x14ac:dyDescent="0.2">
      <c r="Y58843" s="97"/>
    </row>
    <row r="58844" spans="25:25" x14ac:dyDescent="0.2">
      <c r="Y58844" s="97"/>
    </row>
    <row r="58845" spans="25:25" x14ac:dyDescent="0.2">
      <c r="Y58845" s="97"/>
    </row>
    <row r="58846" spans="25:25" x14ac:dyDescent="0.2">
      <c r="Y58846" s="97"/>
    </row>
    <row r="58847" spans="25:25" x14ac:dyDescent="0.2">
      <c r="Y58847" s="97"/>
    </row>
    <row r="58848" spans="25:25" x14ac:dyDescent="0.2">
      <c r="Y58848" s="97"/>
    </row>
    <row r="58849" spans="25:25" x14ac:dyDescent="0.2">
      <c r="Y58849" s="97"/>
    </row>
    <row r="58850" spans="25:25" x14ac:dyDescent="0.2">
      <c r="Y58850" s="97"/>
    </row>
    <row r="58851" spans="25:25" x14ac:dyDescent="0.2">
      <c r="Y58851" s="97"/>
    </row>
    <row r="58852" spans="25:25" x14ac:dyDescent="0.2">
      <c r="Y58852" s="97"/>
    </row>
    <row r="58853" spans="25:25" x14ac:dyDescent="0.2">
      <c r="Y58853" s="97"/>
    </row>
    <row r="58854" spans="25:25" x14ac:dyDescent="0.2">
      <c r="Y58854" s="97"/>
    </row>
    <row r="58855" spans="25:25" x14ac:dyDescent="0.2">
      <c r="Y58855" s="97"/>
    </row>
    <row r="58856" spans="25:25" x14ac:dyDescent="0.2">
      <c r="Y58856" s="97"/>
    </row>
    <row r="58857" spans="25:25" x14ac:dyDescent="0.2">
      <c r="Y58857" s="97"/>
    </row>
    <row r="58858" spans="25:25" x14ac:dyDescent="0.2">
      <c r="Y58858" s="97"/>
    </row>
    <row r="58859" spans="25:25" x14ac:dyDescent="0.2">
      <c r="Y58859" s="97"/>
    </row>
    <row r="58860" spans="25:25" x14ac:dyDescent="0.2">
      <c r="Y58860" s="97"/>
    </row>
    <row r="58861" spans="25:25" x14ac:dyDescent="0.2">
      <c r="Y58861" s="97"/>
    </row>
    <row r="58862" spans="25:25" x14ac:dyDescent="0.2">
      <c r="Y58862" s="97"/>
    </row>
    <row r="58863" spans="25:25" x14ac:dyDescent="0.2">
      <c r="Y58863" s="97"/>
    </row>
    <row r="58864" spans="25:25" x14ac:dyDescent="0.2">
      <c r="Y58864" s="97"/>
    </row>
    <row r="58865" spans="25:25" x14ac:dyDescent="0.2">
      <c r="Y58865" s="97"/>
    </row>
    <row r="58866" spans="25:25" x14ac:dyDescent="0.2">
      <c r="Y58866" s="97"/>
    </row>
    <row r="58867" spans="25:25" x14ac:dyDescent="0.2">
      <c r="Y58867" s="97"/>
    </row>
    <row r="58868" spans="25:25" x14ac:dyDescent="0.2">
      <c r="Y58868" s="97"/>
    </row>
    <row r="58869" spans="25:25" x14ac:dyDescent="0.2">
      <c r="Y58869" s="97"/>
    </row>
    <row r="58870" spans="25:25" x14ac:dyDescent="0.2">
      <c r="Y58870" s="97"/>
    </row>
    <row r="58871" spans="25:25" x14ac:dyDescent="0.2">
      <c r="Y58871" s="97"/>
    </row>
    <row r="58872" spans="25:25" x14ac:dyDescent="0.2">
      <c r="Y58872" s="97"/>
    </row>
    <row r="58873" spans="25:25" x14ac:dyDescent="0.2">
      <c r="Y58873" s="97"/>
    </row>
    <row r="58874" spans="25:25" x14ac:dyDescent="0.2">
      <c r="Y58874" s="97"/>
    </row>
    <row r="58875" spans="25:25" x14ac:dyDescent="0.2">
      <c r="Y58875" s="97"/>
    </row>
    <row r="58876" spans="25:25" x14ac:dyDescent="0.2">
      <c r="Y58876" s="97"/>
    </row>
    <row r="58877" spans="25:25" x14ac:dyDescent="0.2">
      <c r="Y58877" s="97"/>
    </row>
    <row r="58878" spans="25:25" x14ac:dyDescent="0.2">
      <c r="Y58878" s="97"/>
    </row>
    <row r="58879" spans="25:25" x14ac:dyDescent="0.2">
      <c r="Y58879" s="97"/>
    </row>
    <row r="58880" spans="25:25" x14ac:dyDescent="0.2">
      <c r="Y58880" s="97"/>
    </row>
    <row r="58881" spans="25:25" x14ac:dyDescent="0.2">
      <c r="Y58881" s="97"/>
    </row>
    <row r="58882" spans="25:25" x14ac:dyDescent="0.2">
      <c r="Y58882" s="97"/>
    </row>
    <row r="58883" spans="25:25" x14ac:dyDescent="0.2">
      <c r="Y58883" s="97"/>
    </row>
    <row r="58884" spans="25:25" x14ac:dyDescent="0.2">
      <c r="Y58884" s="97"/>
    </row>
    <row r="58885" spans="25:25" x14ac:dyDescent="0.2">
      <c r="Y58885" s="97"/>
    </row>
    <row r="58886" spans="25:25" x14ac:dyDescent="0.2">
      <c r="Y58886" s="97"/>
    </row>
    <row r="58887" spans="25:25" x14ac:dyDescent="0.2">
      <c r="Y58887" s="97"/>
    </row>
    <row r="58888" spans="25:25" x14ac:dyDescent="0.2">
      <c r="Y58888" s="97"/>
    </row>
    <row r="58889" spans="25:25" x14ac:dyDescent="0.2">
      <c r="Y58889" s="97"/>
    </row>
    <row r="58890" spans="25:25" x14ac:dyDescent="0.2">
      <c r="Y58890" s="97"/>
    </row>
    <row r="58891" spans="25:25" x14ac:dyDescent="0.2">
      <c r="Y58891" s="97"/>
    </row>
    <row r="58892" spans="25:25" x14ac:dyDescent="0.2">
      <c r="Y58892" s="97"/>
    </row>
    <row r="58893" spans="25:25" x14ac:dyDescent="0.2">
      <c r="Y58893" s="97"/>
    </row>
    <row r="58894" spans="25:25" x14ac:dyDescent="0.2">
      <c r="Y58894" s="97"/>
    </row>
    <row r="58895" spans="25:25" x14ac:dyDescent="0.2">
      <c r="Y58895" s="97"/>
    </row>
    <row r="58896" spans="25:25" x14ac:dyDescent="0.2">
      <c r="Y58896" s="97"/>
    </row>
    <row r="58897" spans="25:25" x14ac:dyDescent="0.2">
      <c r="Y58897" s="97"/>
    </row>
    <row r="58898" spans="25:25" x14ac:dyDescent="0.2">
      <c r="Y58898" s="97"/>
    </row>
    <row r="58899" spans="25:25" x14ac:dyDescent="0.2">
      <c r="Y58899" s="97"/>
    </row>
    <row r="58900" spans="25:25" x14ac:dyDescent="0.2">
      <c r="Y58900" s="97"/>
    </row>
    <row r="58901" spans="25:25" x14ac:dyDescent="0.2">
      <c r="Y58901" s="97"/>
    </row>
    <row r="58902" spans="25:25" x14ac:dyDescent="0.2">
      <c r="Y58902" s="97"/>
    </row>
    <row r="58903" spans="25:25" x14ac:dyDescent="0.2">
      <c r="Y58903" s="97"/>
    </row>
    <row r="58904" spans="25:25" x14ac:dyDescent="0.2">
      <c r="Y58904" s="97"/>
    </row>
    <row r="58905" spans="25:25" x14ac:dyDescent="0.2">
      <c r="Y58905" s="97"/>
    </row>
    <row r="58906" spans="25:25" x14ac:dyDescent="0.2">
      <c r="Y58906" s="97"/>
    </row>
    <row r="58907" spans="25:25" x14ac:dyDescent="0.2">
      <c r="Y58907" s="97"/>
    </row>
    <row r="58908" spans="25:25" x14ac:dyDescent="0.2">
      <c r="Y58908" s="97"/>
    </row>
    <row r="58909" spans="25:25" x14ac:dyDescent="0.2">
      <c r="Y58909" s="97"/>
    </row>
    <row r="58910" spans="25:25" x14ac:dyDescent="0.2">
      <c r="Y58910" s="97"/>
    </row>
    <row r="58911" spans="25:25" x14ac:dyDescent="0.2">
      <c r="Y58911" s="97"/>
    </row>
    <row r="58912" spans="25:25" x14ac:dyDescent="0.2">
      <c r="Y58912" s="97"/>
    </row>
    <row r="58913" spans="25:25" x14ac:dyDescent="0.2">
      <c r="Y58913" s="97"/>
    </row>
    <row r="58914" spans="25:25" x14ac:dyDescent="0.2">
      <c r="Y58914" s="97"/>
    </row>
    <row r="58915" spans="25:25" x14ac:dyDescent="0.2">
      <c r="Y58915" s="97"/>
    </row>
    <row r="58916" spans="25:25" x14ac:dyDescent="0.2">
      <c r="Y58916" s="97"/>
    </row>
    <row r="58917" spans="25:25" x14ac:dyDescent="0.2">
      <c r="Y58917" s="97"/>
    </row>
    <row r="58918" spans="25:25" x14ac:dyDescent="0.2">
      <c r="Y58918" s="97"/>
    </row>
    <row r="58919" spans="25:25" x14ac:dyDescent="0.2">
      <c r="Y58919" s="97"/>
    </row>
    <row r="58920" spans="25:25" x14ac:dyDescent="0.2">
      <c r="Y58920" s="97"/>
    </row>
    <row r="58921" spans="25:25" x14ac:dyDescent="0.2">
      <c r="Y58921" s="97"/>
    </row>
    <row r="58922" spans="25:25" x14ac:dyDescent="0.2">
      <c r="Y58922" s="97"/>
    </row>
    <row r="58923" spans="25:25" x14ac:dyDescent="0.2">
      <c r="Y58923" s="97"/>
    </row>
    <row r="58924" spans="25:25" x14ac:dyDescent="0.2">
      <c r="Y58924" s="97"/>
    </row>
    <row r="58925" spans="25:25" x14ac:dyDescent="0.2">
      <c r="Y58925" s="97"/>
    </row>
    <row r="58926" spans="25:25" x14ac:dyDescent="0.2">
      <c r="Y58926" s="97"/>
    </row>
    <row r="58927" spans="25:25" x14ac:dyDescent="0.2">
      <c r="Y58927" s="97"/>
    </row>
    <row r="58928" spans="25:25" x14ac:dyDescent="0.2">
      <c r="Y58928" s="97"/>
    </row>
    <row r="58929" spans="25:25" x14ac:dyDescent="0.2">
      <c r="Y58929" s="97"/>
    </row>
    <row r="58930" spans="25:25" x14ac:dyDescent="0.2">
      <c r="Y58930" s="97"/>
    </row>
    <row r="58931" spans="25:25" x14ac:dyDescent="0.2">
      <c r="Y58931" s="97"/>
    </row>
    <row r="58932" spans="25:25" x14ac:dyDescent="0.2">
      <c r="Y58932" s="97"/>
    </row>
    <row r="58933" spans="25:25" x14ac:dyDescent="0.2">
      <c r="Y58933" s="97"/>
    </row>
    <row r="58934" spans="25:25" x14ac:dyDescent="0.2">
      <c r="Y58934" s="97"/>
    </row>
    <row r="58935" spans="25:25" x14ac:dyDescent="0.2">
      <c r="Y58935" s="97"/>
    </row>
    <row r="58936" spans="25:25" x14ac:dyDescent="0.2">
      <c r="Y58936" s="97"/>
    </row>
    <row r="58937" spans="25:25" x14ac:dyDescent="0.2">
      <c r="Y58937" s="97"/>
    </row>
    <row r="58938" spans="25:25" x14ac:dyDescent="0.2">
      <c r="Y58938" s="97"/>
    </row>
    <row r="58939" spans="25:25" x14ac:dyDescent="0.2">
      <c r="Y58939" s="97"/>
    </row>
    <row r="58940" spans="25:25" x14ac:dyDescent="0.2">
      <c r="Y58940" s="97"/>
    </row>
    <row r="58941" spans="25:25" x14ac:dyDescent="0.2">
      <c r="Y58941" s="97"/>
    </row>
    <row r="58942" spans="25:25" x14ac:dyDescent="0.2">
      <c r="Y58942" s="97"/>
    </row>
    <row r="58943" spans="25:25" x14ac:dyDescent="0.2">
      <c r="Y58943" s="97"/>
    </row>
    <row r="58944" spans="25:25" x14ac:dyDescent="0.2">
      <c r="Y58944" s="97"/>
    </row>
    <row r="58945" spans="25:25" x14ac:dyDescent="0.2">
      <c r="Y58945" s="97"/>
    </row>
    <row r="58946" spans="25:25" x14ac:dyDescent="0.2">
      <c r="Y58946" s="97"/>
    </row>
    <row r="58947" spans="25:25" x14ac:dyDescent="0.2">
      <c r="Y58947" s="97"/>
    </row>
    <row r="58948" spans="25:25" x14ac:dyDescent="0.2">
      <c r="Y58948" s="97"/>
    </row>
    <row r="58949" spans="25:25" x14ac:dyDescent="0.2">
      <c r="Y58949" s="97"/>
    </row>
    <row r="58950" spans="25:25" x14ac:dyDescent="0.2">
      <c r="Y58950" s="97"/>
    </row>
    <row r="58951" spans="25:25" x14ac:dyDescent="0.2">
      <c r="Y58951" s="97"/>
    </row>
    <row r="58952" spans="25:25" x14ac:dyDescent="0.2">
      <c r="Y58952" s="97"/>
    </row>
    <row r="58953" spans="25:25" x14ac:dyDescent="0.2">
      <c r="Y58953" s="97"/>
    </row>
    <row r="58954" spans="25:25" x14ac:dyDescent="0.2">
      <c r="Y58954" s="97"/>
    </row>
    <row r="58955" spans="25:25" x14ac:dyDescent="0.2">
      <c r="Y58955" s="97"/>
    </row>
    <row r="58956" spans="25:25" x14ac:dyDescent="0.2">
      <c r="Y58956" s="97"/>
    </row>
    <row r="58957" spans="25:25" x14ac:dyDescent="0.2">
      <c r="Y58957" s="97"/>
    </row>
    <row r="58958" spans="25:25" x14ac:dyDescent="0.2">
      <c r="Y58958" s="97"/>
    </row>
    <row r="58959" spans="25:25" x14ac:dyDescent="0.2">
      <c r="Y58959" s="97"/>
    </row>
    <row r="58960" spans="25:25" x14ac:dyDescent="0.2">
      <c r="Y58960" s="97"/>
    </row>
    <row r="58961" spans="25:25" x14ac:dyDescent="0.2">
      <c r="Y58961" s="97"/>
    </row>
    <row r="58962" spans="25:25" x14ac:dyDescent="0.2">
      <c r="Y58962" s="97"/>
    </row>
    <row r="58963" spans="25:25" x14ac:dyDescent="0.2">
      <c r="Y58963" s="97"/>
    </row>
    <row r="58964" spans="25:25" x14ac:dyDescent="0.2">
      <c r="Y58964" s="97"/>
    </row>
    <row r="58965" spans="25:25" x14ac:dyDescent="0.2">
      <c r="Y58965" s="97"/>
    </row>
    <row r="58966" spans="25:25" x14ac:dyDescent="0.2">
      <c r="Y58966" s="97"/>
    </row>
    <row r="58967" spans="25:25" x14ac:dyDescent="0.2">
      <c r="Y58967" s="97"/>
    </row>
    <row r="58968" spans="25:25" x14ac:dyDescent="0.2">
      <c r="Y58968" s="97"/>
    </row>
    <row r="58969" spans="25:25" x14ac:dyDescent="0.2">
      <c r="Y58969" s="97"/>
    </row>
    <row r="58970" spans="25:25" x14ac:dyDescent="0.2">
      <c r="Y58970" s="97"/>
    </row>
    <row r="58971" spans="25:25" x14ac:dyDescent="0.2">
      <c r="Y58971" s="97"/>
    </row>
    <row r="58972" spans="25:25" x14ac:dyDescent="0.2">
      <c r="Y58972" s="97"/>
    </row>
    <row r="58973" spans="25:25" x14ac:dyDescent="0.2">
      <c r="Y58973" s="97"/>
    </row>
    <row r="58974" spans="25:25" x14ac:dyDescent="0.2">
      <c r="Y58974" s="97"/>
    </row>
    <row r="58975" spans="25:25" x14ac:dyDescent="0.2">
      <c r="Y58975" s="97"/>
    </row>
    <row r="58976" spans="25:25" x14ac:dyDescent="0.2">
      <c r="Y58976" s="97"/>
    </row>
    <row r="58977" spans="25:25" x14ac:dyDescent="0.2">
      <c r="Y58977" s="97"/>
    </row>
    <row r="58978" spans="25:25" x14ac:dyDescent="0.2">
      <c r="Y58978" s="97"/>
    </row>
    <row r="58979" spans="25:25" x14ac:dyDescent="0.2">
      <c r="Y58979" s="97"/>
    </row>
    <row r="58980" spans="25:25" x14ac:dyDescent="0.2">
      <c r="Y58980" s="97"/>
    </row>
    <row r="58981" spans="25:25" x14ac:dyDescent="0.2">
      <c r="Y58981" s="97"/>
    </row>
    <row r="58982" spans="25:25" x14ac:dyDescent="0.2">
      <c r="Y58982" s="97"/>
    </row>
    <row r="58983" spans="25:25" x14ac:dyDescent="0.2">
      <c r="Y58983" s="97"/>
    </row>
    <row r="58984" spans="25:25" x14ac:dyDescent="0.2">
      <c r="Y58984" s="97"/>
    </row>
    <row r="58985" spans="25:25" x14ac:dyDescent="0.2">
      <c r="Y58985" s="97"/>
    </row>
    <row r="58986" spans="25:25" x14ac:dyDescent="0.2">
      <c r="Y58986" s="97"/>
    </row>
    <row r="58987" spans="25:25" x14ac:dyDescent="0.2">
      <c r="Y58987" s="97"/>
    </row>
    <row r="58988" spans="25:25" x14ac:dyDescent="0.2">
      <c r="Y58988" s="97"/>
    </row>
    <row r="58989" spans="25:25" x14ac:dyDescent="0.2">
      <c r="Y58989" s="97"/>
    </row>
    <row r="58990" spans="25:25" x14ac:dyDescent="0.2">
      <c r="Y58990" s="97"/>
    </row>
    <row r="58991" spans="25:25" x14ac:dyDescent="0.2">
      <c r="Y58991" s="97"/>
    </row>
    <row r="58992" spans="25:25" x14ac:dyDescent="0.2">
      <c r="Y58992" s="97"/>
    </row>
    <row r="58993" spans="25:25" x14ac:dyDescent="0.2">
      <c r="Y58993" s="97"/>
    </row>
    <row r="58994" spans="25:25" x14ac:dyDescent="0.2">
      <c r="Y58994" s="97"/>
    </row>
    <row r="58995" spans="25:25" x14ac:dyDescent="0.2">
      <c r="Y58995" s="97"/>
    </row>
    <row r="58996" spans="25:25" x14ac:dyDescent="0.2">
      <c r="Y58996" s="97"/>
    </row>
    <row r="58997" spans="25:25" x14ac:dyDescent="0.2">
      <c r="Y58997" s="97"/>
    </row>
    <row r="58998" spans="25:25" x14ac:dyDescent="0.2">
      <c r="Y58998" s="97"/>
    </row>
    <row r="58999" spans="25:25" x14ac:dyDescent="0.2">
      <c r="Y58999" s="97"/>
    </row>
    <row r="59000" spans="25:25" x14ac:dyDescent="0.2">
      <c r="Y59000" s="97"/>
    </row>
    <row r="59001" spans="25:25" x14ac:dyDescent="0.2">
      <c r="Y59001" s="97"/>
    </row>
    <row r="59002" spans="25:25" x14ac:dyDescent="0.2">
      <c r="Y59002" s="97"/>
    </row>
    <row r="59003" spans="25:25" x14ac:dyDescent="0.2">
      <c r="Y59003" s="97"/>
    </row>
    <row r="59004" spans="25:25" x14ac:dyDescent="0.2">
      <c r="Y59004" s="97"/>
    </row>
    <row r="59005" spans="25:25" x14ac:dyDescent="0.2">
      <c r="Y59005" s="97"/>
    </row>
    <row r="59006" spans="25:25" x14ac:dyDescent="0.2">
      <c r="Y59006" s="97"/>
    </row>
    <row r="59007" spans="25:25" x14ac:dyDescent="0.2">
      <c r="Y59007" s="97"/>
    </row>
    <row r="59008" spans="25:25" x14ac:dyDescent="0.2">
      <c r="Y59008" s="97"/>
    </row>
    <row r="59009" spans="25:25" x14ac:dyDescent="0.2">
      <c r="Y59009" s="97"/>
    </row>
    <row r="59010" spans="25:25" x14ac:dyDescent="0.2">
      <c r="Y59010" s="97"/>
    </row>
    <row r="59011" spans="25:25" x14ac:dyDescent="0.2">
      <c r="Y59011" s="97"/>
    </row>
    <row r="59012" spans="25:25" x14ac:dyDescent="0.2">
      <c r="Y59012" s="97"/>
    </row>
    <row r="59013" spans="25:25" x14ac:dyDescent="0.2">
      <c r="Y59013" s="97"/>
    </row>
    <row r="59014" spans="25:25" x14ac:dyDescent="0.2">
      <c r="Y59014" s="97"/>
    </row>
    <row r="59015" spans="25:25" x14ac:dyDescent="0.2">
      <c r="Y59015" s="97"/>
    </row>
    <row r="59016" spans="25:25" x14ac:dyDescent="0.2">
      <c r="Y59016" s="97"/>
    </row>
    <row r="59017" spans="25:25" x14ac:dyDescent="0.2">
      <c r="Y59017" s="97"/>
    </row>
    <row r="59018" spans="25:25" x14ac:dyDescent="0.2">
      <c r="Y59018" s="97"/>
    </row>
    <row r="59019" spans="25:25" x14ac:dyDescent="0.2">
      <c r="Y59019" s="97"/>
    </row>
    <row r="59020" spans="25:25" x14ac:dyDescent="0.2">
      <c r="Y59020" s="97"/>
    </row>
    <row r="59021" spans="25:25" x14ac:dyDescent="0.2">
      <c r="Y59021" s="97"/>
    </row>
    <row r="59022" spans="25:25" x14ac:dyDescent="0.2">
      <c r="Y59022" s="97"/>
    </row>
    <row r="59023" spans="25:25" x14ac:dyDescent="0.2">
      <c r="Y59023" s="97"/>
    </row>
    <row r="59024" spans="25:25" x14ac:dyDescent="0.2">
      <c r="Y59024" s="97"/>
    </row>
    <row r="59025" spans="25:25" x14ac:dyDescent="0.2">
      <c r="Y59025" s="97"/>
    </row>
    <row r="59026" spans="25:25" x14ac:dyDescent="0.2">
      <c r="Y59026" s="97"/>
    </row>
    <row r="59027" spans="25:25" x14ac:dyDescent="0.2">
      <c r="Y59027" s="97"/>
    </row>
    <row r="59028" spans="25:25" x14ac:dyDescent="0.2">
      <c r="Y59028" s="97"/>
    </row>
    <row r="59029" spans="25:25" x14ac:dyDescent="0.2">
      <c r="Y59029" s="97"/>
    </row>
    <row r="59030" spans="25:25" x14ac:dyDescent="0.2">
      <c r="Y59030" s="97"/>
    </row>
    <row r="59031" spans="25:25" x14ac:dyDescent="0.2">
      <c r="Y59031" s="97"/>
    </row>
    <row r="59032" spans="25:25" x14ac:dyDescent="0.2">
      <c r="Y59032" s="97"/>
    </row>
    <row r="59033" spans="25:25" x14ac:dyDescent="0.2">
      <c r="Y59033" s="97"/>
    </row>
    <row r="59034" spans="25:25" x14ac:dyDescent="0.2">
      <c r="Y59034" s="97"/>
    </row>
    <row r="59035" spans="25:25" x14ac:dyDescent="0.2">
      <c r="Y59035" s="97"/>
    </row>
    <row r="59036" spans="25:25" x14ac:dyDescent="0.2">
      <c r="Y59036" s="97"/>
    </row>
    <row r="59037" spans="25:25" x14ac:dyDescent="0.2">
      <c r="Y59037" s="97"/>
    </row>
    <row r="59038" spans="25:25" x14ac:dyDescent="0.2">
      <c r="Y59038" s="97"/>
    </row>
    <row r="59039" spans="25:25" x14ac:dyDescent="0.2">
      <c r="Y59039" s="97"/>
    </row>
    <row r="59040" spans="25:25" x14ac:dyDescent="0.2">
      <c r="Y59040" s="97"/>
    </row>
    <row r="59041" spans="25:25" x14ac:dyDescent="0.2">
      <c r="Y59041" s="97"/>
    </row>
    <row r="59042" spans="25:25" x14ac:dyDescent="0.2">
      <c r="Y59042" s="97"/>
    </row>
    <row r="59043" spans="25:25" x14ac:dyDescent="0.2">
      <c r="Y59043" s="97"/>
    </row>
    <row r="59044" spans="25:25" x14ac:dyDescent="0.2">
      <c r="Y59044" s="97"/>
    </row>
    <row r="59045" spans="25:25" x14ac:dyDescent="0.2">
      <c r="Y59045" s="97"/>
    </row>
    <row r="59046" spans="25:25" x14ac:dyDescent="0.2">
      <c r="Y59046" s="97"/>
    </row>
    <row r="59047" spans="25:25" x14ac:dyDescent="0.2">
      <c r="Y59047" s="97"/>
    </row>
    <row r="59048" spans="25:25" x14ac:dyDescent="0.2">
      <c r="Y59048" s="97"/>
    </row>
    <row r="59049" spans="25:25" x14ac:dyDescent="0.2">
      <c r="Y59049" s="97"/>
    </row>
    <row r="59050" spans="25:25" x14ac:dyDescent="0.2">
      <c r="Y59050" s="97"/>
    </row>
    <row r="59051" spans="25:25" x14ac:dyDescent="0.2">
      <c r="Y59051" s="97"/>
    </row>
    <row r="59052" spans="25:25" x14ac:dyDescent="0.2">
      <c r="Y59052" s="97"/>
    </row>
    <row r="59053" spans="25:25" x14ac:dyDescent="0.2">
      <c r="Y59053" s="97"/>
    </row>
    <row r="59054" spans="25:25" x14ac:dyDescent="0.2">
      <c r="Y59054" s="97"/>
    </row>
    <row r="59055" spans="25:25" x14ac:dyDescent="0.2">
      <c r="Y59055" s="97"/>
    </row>
    <row r="59056" spans="25:25" x14ac:dyDescent="0.2">
      <c r="Y59056" s="97"/>
    </row>
    <row r="59057" spans="25:25" x14ac:dyDescent="0.2">
      <c r="Y59057" s="97"/>
    </row>
    <row r="59058" spans="25:25" x14ac:dyDescent="0.2">
      <c r="Y59058" s="97"/>
    </row>
    <row r="59059" spans="25:25" x14ac:dyDescent="0.2">
      <c r="Y59059" s="97"/>
    </row>
    <row r="59060" spans="25:25" x14ac:dyDescent="0.2">
      <c r="Y59060" s="97"/>
    </row>
    <row r="59061" spans="25:25" x14ac:dyDescent="0.2">
      <c r="Y59061" s="97"/>
    </row>
    <row r="59062" spans="25:25" x14ac:dyDescent="0.2">
      <c r="Y59062" s="97"/>
    </row>
    <row r="59063" spans="25:25" x14ac:dyDescent="0.2">
      <c r="Y59063" s="97"/>
    </row>
    <row r="59064" spans="25:25" x14ac:dyDescent="0.2">
      <c r="Y59064" s="97"/>
    </row>
    <row r="59065" spans="25:25" x14ac:dyDescent="0.2">
      <c r="Y59065" s="97"/>
    </row>
    <row r="59066" spans="25:25" x14ac:dyDescent="0.2">
      <c r="Y59066" s="97"/>
    </row>
    <row r="59067" spans="25:25" x14ac:dyDescent="0.2">
      <c r="Y59067" s="97"/>
    </row>
    <row r="59068" spans="25:25" x14ac:dyDescent="0.2">
      <c r="Y59068" s="97"/>
    </row>
    <row r="59069" spans="25:25" x14ac:dyDescent="0.2">
      <c r="Y59069" s="97"/>
    </row>
    <row r="59070" spans="25:25" x14ac:dyDescent="0.2">
      <c r="Y59070" s="97"/>
    </row>
    <row r="59071" spans="25:25" x14ac:dyDescent="0.2">
      <c r="Y59071" s="97"/>
    </row>
    <row r="59072" spans="25:25" x14ac:dyDescent="0.2">
      <c r="Y59072" s="97"/>
    </row>
    <row r="59073" spans="25:25" x14ac:dyDescent="0.2">
      <c r="Y59073" s="97"/>
    </row>
    <row r="59074" spans="25:25" x14ac:dyDescent="0.2">
      <c r="Y59074" s="97"/>
    </row>
    <row r="59075" spans="25:25" x14ac:dyDescent="0.2">
      <c r="Y59075" s="97"/>
    </row>
    <row r="59076" spans="25:25" x14ac:dyDescent="0.2">
      <c r="Y59076" s="97"/>
    </row>
    <row r="59077" spans="25:25" x14ac:dyDescent="0.2">
      <c r="Y59077" s="97"/>
    </row>
    <row r="59078" spans="25:25" x14ac:dyDescent="0.2">
      <c r="Y59078" s="97"/>
    </row>
    <row r="59079" spans="25:25" x14ac:dyDescent="0.2">
      <c r="Y59079" s="97"/>
    </row>
    <row r="59080" spans="25:25" x14ac:dyDescent="0.2">
      <c r="Y59080" s="97"/>
    </row>
    <row r="59081" spans="25:25" x14ac:dyDescent="0.2">
      <c r="Y59081" s="97"/>
    </row>
    <row r="59082" spans="25:25" x14ac:dyDescent="0.2">
      <c r="Y59082" s="97"/>
    </row>
    <row r="59083" spans="25:25" x14ac:dyDescent="0.2">
      <c r="Y59083" s="97"/>
    </row>
    <row r="59084" spans="25:25" x14ac:dyDescent="0.2">
      <c r="Y59084" s="97"/>
    </row>
    <row r="59085" spans="25:25" x14ac:dyDescent="0.2">
      <c r="Y59085" s="97"/>
    </row>
    <row r="59086" spans="25:25" x14ac:dyDescent="0.2">
      <c r="Y59086" s="97"/>
    </row>
    <row r="59087" spans="25:25" x14ac:dyDescent="0.2">
      <c r="Y59087" s="97"/>
    </row>
    <row r="59088" spans="25:25" x14ac:dyDescent="0.2">
      <c r="Y59088" s="97"/>
    </row>
    <row r="59089" spans="25:25" x14ac:dyDescent="0.2">
      <c r="Y59089" s="97"/>
    </row>
    <row r="59090" spans="25:25" x14ac:dyDescent="0.2">
      <c r="Y59090" s="97"/>
    </row>
    <row r="59091" spans="25:25" x14ac:dyDescent="0.2">
      <c r="Y59091" s="97"/>
    </row>
    <row r="59092" spans="25:25" x14ac:dyDescent="0.2">
      <c r="Y59092" s="97"/>
    </row>
    <row r="59093" spans="25:25" x14ac:dyDescent="0.2">
      <c r="Y59093" s="97"/>
    </row>
    <row r="59094" spans="25:25" x14ac:dyDescent="0.2">
      <c r="Y59094" s="97"/>
    </row>
    <row r="59095" spans="25:25" x14ac:dyDescent="0.2">
      <c r="Y59095" s="97"/>
    </row>
    <row r="59096" spans="25:25" x14ac:dyDescent="0.2">
      <c r="Y59096" s="97"/>
    </row>
    <row r="59097" spans="25:25" x14ac:dyDescent="0.2">
      <c r="Y59097" s="97"/>
    </row>
    <row r="59098" spans="25:25" x14ac:dyDescent="0.2">
      <c r="Y59098" s="97"/>
    </row>
    <row r="59099" spans="25:25" x14ac:dyDescent="0.2">
      <c r="Y59099" s="97"/>
    </row>
    <row r="59100" spans="25:25" x14ac:dyDescent="0.2">
      <c r="Y59100" s="97"/>
    </row>
    <row r="59101" spans="25:25" x14ac:dyDescent="0.2">
      <c r="Y59101" s="97"/>
    </row>
    <row r="59102" spans="25:25" x14ac:dyDescent="0.2">
      <c r="Y59102" s="97"/>
    </row>
    <row r="59103" spans="25:25" x14ac:dyDescent="0.2">
      <c r="Y59103" s="97"/>
    </row>
    <row r="59104" spans="25:25" x14ac:dyDescent="0.2">
      <c r="Y59104" s="97"/>
    </row>
    <row r="59105" spans="25:25" x14ac:dyDescent="0.2">
      <c r="Y59105" s="97"/>
    </row>
    <row r="59106" spans="25:25" x14ac:dyDescent="0.2">
      <c r="Y59106" s="97"/>
    </row>
    <row r="59107" spans="25:25" x14ac:dyDescent="0.2">
      <c r="Y59107" s="97"/>
    </row>
    <row r="59108" spans="25:25" x14ac:dyDescent="0.2">
      <c r="Y59108" s="97"/>
    </row>
    <row r="59109" spans="25:25" x14ac:dyDescent="0.2">
      <c r="Y59109" s="97"/>
    </row>
    <row r="59110" spans="25:25" x14ac:dyDescent="0.2">
      <c r="Y59110" s="97"/>
    </row>
    <row r="59111" spans="25:25" x14ac:dyDescent="0.2">
      <c r="Y59111" s="97"/>
    </row>
    <row r="59112" spans="25:25" x14ac:dyDescent="0.2">
      <c r="Y59112" s="97"/>
    </row>
    <row r="59113" spans="25:25" x14ac:dyDescent="0.2">
      <c r="Y59113" s="97"/>
    </row>
    <row r="59114" spans="25:25" x14ac:dyDescent="0.2">
      <c r="Y59114" s="97"/>
    </row>
    <row r="59115" spans="25:25" x14ac:dyDescent="0.2">
      <c r="Y59115" s="97"/>
    </row>
    <row r="59116" spans="25:25" x14ac:dyDescent="0.2">
      <c r="Y59116" s="97"/>
    </row>
    <row r="59117" spans="25:25" x14ac:dyDescent="0.2">
      <c r="Y59117" s="97"/>
    </row>
    <row r="59118" spans="25:25" x14ac:dyDescent="0.2">
      <c r="Y59118" s="97"/>
    </row>
    <row r="59119" spans="25:25" x14ac:dyDescent="0.2">
      <c r="Y59119" s="97"/>
    </row>
    <row r="59120" spans="25:25" x14ac:dyDescent="0.2">
      <c r="Y59120" s="97"/>
    </row>
    <row r="59121" spans="25:25" x14ac:dyDescent="0.2">
      <c r="Y59121" s="97"/>
    </row>
    <row r="59122" spans="25:25" x14ac:dyDescent="0.2">
      <c r="Y59122" s="97"/>
    </row>
    <row r="59123" spans="25:25" x14ac:dyDescent="0.2">
      <c r="Y59123" s="97"/>
    </row>
    <row r="59124" spans="25:25" x14ac:dyDescent="0.2">
      <c r="Y59124" s="97"/>
    </row>
    <row r="59125" spans="25:25" x14ac:dyDescent="0.2">
      <c r="Y59125" s="97"/>
    </row>
    <row r="59126" spans="25:25" x14ac:dyDescent="0.2">
      <c r="Y59126" s="97"/>
    </row>
    <row r="59127" spans="25:25" x14ac:dyDescent="0.2">
      <c r="Y59127" s="97"/>
    </row>
    <row r="59128" spans="25:25" x14ac:dyDescent="0.2">
      <c r="Y59128" s="97"/>
    </row>
    <row r="59129" spans="25:25" x14ac:dyDescent="0.2">
      <c r="Y59129" s="97"/>
    </row>
    <row r="59130" spans="25:25" x14ac:dyDescent="0.2">
      <c r="Y59130" s="97"/>
    </row>
    <row r="59131" spans="25:25" x14ac:dyDescent="0.2">
      <c r="Y59131" s="97"/>
    </row>
    <row r="59132" spans="25:25" x14ac:dyDescent="0.2">
      <c r="Y59132" s="97"/>
    </row>
    <row r="59133" spans="25:25" x14ac:dyDescent="0.2">
      <c r="Y59133" s="97"/>
    </row>
    <row r="59134" spans="25:25" x14ac:dyDescent="0.2">
      <c r="Y59134" s="97"/>
    </row>
    <row r="59135" spans="25:25" x14ac:dyDescent="0.2">
      <c r="Y59135" s="97"/>
    </row>
    <row r="59136" spans="25:25" x14ac:dyDescent="0.2">
      <c r="Y59136" s="97"/>
    </row>
    <row r="59137" spans="25:25" x14ac:dyDescent="0.2">
      <c r="Y59137" s="97"/>
    </row>
    <row r="59138" spans="25:25" x14ac:dyDescent="0.2">
      <c r="Y59138" s="97"/>
    </row>
    <row r="59139" spans="25:25" x14ac:dyDescent="0.2">
      <c r="Y59139" s="97"/>
    </row>
    <row r="59140" spans="25:25" x14ac:dyDescent="0.2">
      <c r="Y59140" s="97"/>
    </row>
    <row r="59141" spans="25:25" x14ac:dyDescent="0.2">
      <c r="Y59141" s="97"/>
    </row>
    <row r="59142" spans="25:25" x14ac:dyDescent="0.2">
      <c r="Y59142" s="97"/>
    </row>
    <row r="59143" spans="25:25" x14ac:dyDescent="0.2">
      <c r="Y59143" s="97"/>
    </row>
    <row r="59144" spans="25:25" x14ac:dyDescent="0.2">
      <c r="Y59144" s="97"/>
    </row>
    <row r="59145" spans="25:25" x14ac:dyDescent="0.2">
      <c r="Y59145" s="97"/>
    </row>
    <row r="59146" spans="25:25" x14ac:dyDescent="0.2">
      <c r="Y59146" s="97"/>
    </row>
    <row r="59147" spans="25:25" x14ac:dyDescent="0.2">
      <c r="Y59147" s="97"/>
    </row>
    <row r="59148" spans="25:25" x14ac:dyDescent="0.2">
      <c r="Y59148" s="97"/>
    </row>
    <row r="59149" spans="25:25" x14ac:dyDescent="0.2">
      <c r="Y59149" s="97"/>
    </row>
    <row r="59150" spans="25:25" x14ac:dyDescent="0.2">
      <c r="Y59150" s="97"/>
    </row>
    <row r="59151" spans="25:25" x14ac:dyDescent="0.2">
      <c r="Y59151" s="97"/>
    </row>
    <row r="59152" spans="25:25" x14ac:dyDescent="0.2">
      <c r="Y59152" s="97"/>
    </row>
    <row r="59153" spans="25:25" x14ac:dyDescent="0.2">
      <c r="Y59153" s="97"/>
    </row>
    <row r="59154" spans="25:25" x14ac:dyDescent="0.2">
      <c r="Y59154" s="97"/>
    </row>
    <row r="59155" spans="25:25" x14ac:dyDescent="0.2">
      <c r="Y59155" s="97"/>
    </row>
    <row r="59156" spans="25:25" x14ac:dyDescent="0.2">
      <c r="Y59156" s="97"/>
    </row>
    <row r="59157" spans="25:25" x14ac:dyDescent="0.2">
      <c r="Y59157" s="97"/>
    </row>
    <row r="59158" spans="25:25" x14ac:dyDescent="0.2">
      <c r="Y59158" s="97"/>
    </row>
    <row r="59159" spans="25:25" x14ac:dyDescent="0.2">
      <c r="Y59159" s="97"/>
    </row>
    <row r="59160" spans="25:25" x14ac:dyDescent="0.2">
      <c r="Y59160" s="97"/>
    </row>
    <row r="59161" spans="25:25" x14ac:dyDescent="0.2">
      <c r="Y59161" s="97"/>
    </row>
    <row r="59162" spans="25:25" x14ac:dyDescent="0.2">
      <c r="Y59162" s="97"/>
    </row>
    <row r="59163" spans="25:25" x14ac:dyDescent="0.2">
      <c r="Y59163" s="97"/>
    </row>
    <row r="59164" spans="25:25" x14ac:dyDescent="0.2">
      <c r="Y59164" s="97"/>
    </row>
    <row r="59165" spans="25:25" x14ac:dyDescent="0.2">
      <c r="Y59165" s="97"/>
    </row>
    <row r="59166" spans="25:25" x14ac:dyDescent="0.2">
      <c r="Y59166" s="97"/>
    </row>
    <row r="59167" spans="25:25" x14ac:dyDescent="0.2">
      <c r="Y59167" s="97"/>
    </row>
    <row r="59168" spans="25:25" x14ac:dyDescent="0.2">
      <c r="Y59168" s="97"/>
    </row>
    <row r="59169" spans="25:25" x14ac:dyDescent="0.2">
      <c r="Y59169" s="97"/>
    </row>
    <row r="59170" spans="25:25" x14ac:dyDescent="0.2">
      <c r="Y59170" s="97"/>
    </row>
    <row r="59171" spans="25:25" x14ac:dyDescent="0.2">
      <c r="Y59171" s="97"/>
    </row>
    <row r="59172" spans="25:25" x14ac:dyDescent="0.2">
      <c r="Y59172" s="97"/>
    </row>
    <row r="59173" spans="25:25" x14ac:dyDescent="0.2">
      <c r="Y59173" s="97"/>
    </row>
    <row r="59174" spans="25:25" x14ac:dyDescent="0.2">
      <c r="Y59174" s="97"/>
    </row>
    <row r="59175" spans="25:25" x14ac:dyDescent="0.2">
      <c r="Y59175" s="97"/>
    </row>
    <row r="59176" spans="25:25" x14ac:dyDescent="0.2">
      <c r="Y59176" s="97"/>
    </row>
    <row r="59177" spans="25:25" x14ac:dyDescent="0.2">
      <c r="Y59177" s="97"/>
    </row>
    <row r="59178" spans="25:25" x14ac:dyDescent="0.2">
      <c r="Y59178" s="97"/>
    </row>
    <row r="59179" spans="25:25" x14ac:dyDescent="0.2">
      <c r="Y59179" s="97"/>
    </row>
    <row r="59180" spans="25:25" x14ac:dyDescent="0.2">
      <c r="Y59180" s="97"/>
    </row>
    <row r="59181" spans="25:25" x14ac:dyDescent="0.2">
      <c r="Y59181" s="97"/>
    </row>
    <row r="59182" spans="25:25" x14ac:dyDescent="0.2">
      <c r="Y59182" s="97"/>
    </row>
    <row r="59183" spans="25:25" x14ac:dyDescent="0.2">
      <c r="Y59183" s="97"/>
    </row>
    <row r="59184" spans="25:25" x14ac:dyDescent="0.2">
      <c r="Y59184" s="97"/>
    </row>
    <row r="59185" spans="25:25" x14ac:dyDescent="0.2">
      <c r="Y59185" s="97"/>
    </row>
    <row r="59186" spans="25:25" x14ac:dyDescent="0.2">
      <c r="Y59186" s="97"/>
    </row>
    <row r="59187" spans="25:25" x14ac:dyDescent="0.2">
      <c r="Y59187" s="97"/>
    </row>
    <row r="59188" spans="25:25" x14ac:dyDescent="0.2">
      <c r="Y59188" s="97"/>
    </row>
    <row r="59189" spans="25:25" x14ac:dyDescent="0.2">
      <c r="Y59189" s="97"/>
    </row>
    <row r="59190" spans="25:25" x14ac:dyDescent="0.2">
      <c r="Y59190" s="97"/>
    </row>
    <row r="59191" spans="25:25" x14ac:dyDescent="0.2">
      <c r="Y59191" s="97"/>
    </row>
    <row r="59192" spans="25:25" x14ac:dyDescent="0.2">
      <c r="Y59192" s="97"/>
    </row>
    <row r="59193" spans="25:25" x14ac:dyDescent="0.2">
      <c r="Y59193" s="97"/>
    </row>
    <row r="59194" spans="25:25" x14ac:dyDescent="0.2">
      <c r="Y59194" s="97"/>
    </row>
    <row r="59195" spans="25:25" x14ac:dyDescent="0.2">
      <c r="Y59195" s="97"/>
    </row>
    <row r="59196" spans="25:25" x14ac:dyDescent="0.2">
      <c r="Y59196" s="97"/>
    </row>
    <row r="59197" spans="25:25" x14ac:dyDescent="0.2">
      <c r="Y59197" s="97"/>
    </row>
    <row r="59198" spans="25:25" x14ac:dyDescent="0.2">
      <c r="Y59198" s="97"/>
    </row>
    <row r="59199" spans="25:25" x14ac:dyDescent="0.2">
      <c r="Y59199" s="97"/>
    </row>
    <row r="59200" spans="25:25" x14ac:dyDescent="0.2">
      <c r="Y59200" s="97"/>
    </row>
    <row r="59201" spans="25:25" x14ac:dyDescent="0.2">
      <c r="Y59201" s="97"/>
    </row>
    <row r="59202" spans="25:25" x14ac:dyDescent="0.2">
      <c r="Y59202" s="97"/>
    </row>
    <row r="59203" spans="25:25" x14ac:dyDescent="0.2">
      <c r="Y59203" s="97"/>
    </row>
    <row r="59204" spans="25:25" x14ac:dyDescent="0.2">
      <c r="Y59204" s="97"/>
    </row>
    <row r="59205" spans="25:25" x14ac:dyDescent="0.2">
      <c r="Y59205" s="97"/>
    </row>
    <row r="59206" spans="25:25" x14ac:dyDescent="0.2">
      <c r="Y59206" s="97"/>
    </row>
    <row r="59207" spans="25:25" x14ac:dyDescent="0.2">
      <c r="Y59207" s="97"/>
    </row>
    <row r="59208" spans="25:25" x14ac:dyDescent="0.2">
      <c r="Y59208" s="97"/>
    </row>
    <row r="59209" spans="25:25" x14ac:dyDescent="0.2">
      <c r="Y59209" s="97"/>
    </row>
    <row r="59210" spans="25:25" x14ac:dyDescent="0.2">
      <c r="Y59210" s="97"/>
    </row>
    <row r="59211" spans="25:25" x14ac:dyDescent="0.2">
      <c r="Y59211" s="97"/>
    </row>
    <row r="59212" spans="25:25" x14ac:dyDescent="0.2">
      <c r="Y59212" s="97"/>
    </row>
    <row r="59213" spans="25:25" x14ac:dyDescent="0.2">
      <c r="Y59213" s="97"/>
    </row>
    <row r="59214" spans="25:25" x14ac:dyDescent="0.2">
      <c r="Y59214" s="97"/>
    </row>
    <row r="59215" spans="25:25" x14ac:dyDescent="0.2">
      <c r="Y59215" s="97"/>
    </row>
    <row r="59216" spans="25:25" x14ac:dyDescent="0.2">
      <c r="Y59216" s="97"/>
    </row>
    <row r="59217" spans="25:25" x14ac:dyDescent="0.2">
      <c r="Y59217" s="97"/>
    </row>
    <row r="59218" spans="25:25" x14ac:dyDescent="0.2">
      <c r="Y59218" s="97"/>
    </row>
    <row r="59219" spans="25:25" x14ac:dyDescent="0.2">
      <c r="Y59219" s="97"/>
    </row>
    <row r="59220" spans="25:25" x14ac:dyDescent="0.2">
      <c r="Y59220" s="97"/>
    </row>
    <row r="59221" spans="25:25" x14ac:dyDescent="0.2">
      <c r="Y59221" s="97"/>
    </row>
    <row r="59222" spans="25:25" x14ac:dyDescent="0.2">
      <c r="Y59222" s="97"/>
    </row>
    <row r="59223" spans="25:25" x14ac:dyDescent="0.2">
      <c r="Y59223" s="97"/>
    </row>
    <row r="59224" spans="25:25" x14ac:dyDescent="0.2">
      <c r="Y59224" s="97"/>
    </row>
    <row r="59225" spans="25:25" x14ac:dyDescent="0.2">
      <c r="Y59225" s="97"/>
    </row>
    <row r="59226" spans="25:25" x14ac:dyDescent="0.2">
      <c r="Y59226" s="97"/>
    </row>
    <row r="59227" spans="25:25" x14ac:dyDescent="0.2">
      <c r="Y59227" s="97"/>
    </row>
    <row r="59228" spans="25:25" x14ac:dyDescent="0.2">
      <c r="Y59228" s="97"/>
    </row>
    <row r="59229" spans="25:25" x14ac:dyDescent="0.2">
      <c r="Y59229" s="97"/>
    </row>
    <row r="59230" spans="25:25" x14ac:dyDescent="0.2">
      <c r="Y59230" s="97"/>
    </row>
    <row r="59231" spans="25:25" x14ac:dyDescent="0.2">
      <c r="Y59231" s="97"/>
    </row>
    <row r="59232" spans="25:25" x14ac:dyDescent="0.2">
      <c r="Y59232" s="97"/>
    </row>
    <row r="59233" spans="25:25" x14ac:dyDescent="0.2">
      <c r="Y59233" s="97"/>
    </row>
    <row r="59234" spans="25:25" x14ac:dyDescent="0.2">
      <c r="Y59234" s="97"/>
    </row>
    <row r="59235" spans="25:25" x14ac:dyDescent="0.2">
      <c r="Y59235" s="97"/>
    </row>
    <row r="59236" spans="25:25" x14ac:dyDescent="0.2">
      <c r="Y59236" s="97"/>
    </row>
    <row r="59237" spans="25:25" x14ac:dyDescent="0.2">
      <c r="Y59237" s="97"/>
    </row>
    <row r="59238" spans="25:25" x14ac:dyDescent="0.2">
      <c r="Y59238" s="97"/>
    </row>
    <row r="59239" spans="25:25" x14ac:dyDescent="0.2">
      <c r="Y59239" s="97"/>
    </row>
    <row r="59240" spans="25:25" x14ac:dyDescent="0.2">
      <c r="Y59240" s="97"/>
    </row>
    <row r="59241" spans="25:25" x14ac:dyDescent="0.2">
      <c r="Y59241" s="97"/>
    </row>
    <row r="59242" spans="25:25" x14ac:dyDescent="0.2">
      <c r="Y59242" s="97"/>
    </row>
    <row r="59243" spans="25:25" x14ac:dyDescent="0.2">
      <c r="Y59243" s="97"/>
    </row>
    <row r="59244" spans="25:25" x14ac:dyDescent="0.2">
      <c r="Y59244" s="97"/>
    </row>
    <row r="59245" spans="25:25" x14ac:dyDescent="0.2">
      <c r="Y59245" s="97"/>
    </row>
    <row r="59246" spans="25:25" x14ac:dyDescent="0.2">
      <c r="Y59246" s="97"/>
    </row>
    <row r="59247" spans="25:25" x14ac:dyDescent="0.2">
      <c r="Y59247" s="97"/>
    </row>
    <row r="59248" spans="25:25" x14ac:dyDescent="0.2">
      <c r="Y59248" s="97"/>
    </row>
    <row r="59249" spans="25:25" x14ac:dyDescent="0.2">
      <c r="Y59249" s="97"/>
    </row>
    <row r="59250" spans="25:25" x14ac:dyDescent="0.2">
      <c r="Y59250" s="97"/>
    </row>
    <row r="59251" spans="25:25" x14ac:dyDescent="0.2">
      <c r="Y59251" s="97"/>
    </row>
    <row r="59252" spans="25:25" x14ac:dyDescent="0.2">
      <c r="Y59252" s="97"/>
    </row>
    <row r="59253" spans="25:25" x14ac:dyDescent="0.2">
      <c r="Y59253" s="97"/>
    </row>
    <row r="59254" spans="25:25" x14ac:dyDescent="0.2">
      <c r="Y59254" s="97"/>
    </row>
    <row r="59255" spans="25:25" x14ac:dyDescent="0.2">
      <c r="Y59255" s="97"/>
    </row>
    <row r="59256" spans="25:25" x14ac:dyDescent="0.2">
      <c r="Y59256" s="97"/>
    </row>
    <row r="59257" spans="25:25" x14ac:dyDescent="0.2">
      <c r="Y59257" s="97"/>
    </row>
    <row r="59258" spans="25:25" x14ac:dyDescent="0.2">
      <c r="Y59258" s="97"/>
    </row>
    <row r="59259" spans="25:25" x14ac:dyDescent="0.2">
      <c r="Y59259" s="97"/>
    </row>
    <row r="59260" spans="25:25" x14ac:dyDescent="0.2">
      <c r="Y59260" s="97"/>
    </row>
    <row r="59261" spans="25:25" x14ac:dyDescent="0.2">
      <c r="Y59261" s="97"/>
    </row>
    <row r="59262" spans="25:25" x14ac:dyDescent="0.2">
      <c r="Y59262" s="97"/>
    </row>
    <row r="59263" spans="25:25" x14ac:dyDescent="0.2">
      <c r="Y59263" s="97"/>
    </row>
    <row r="59264" spans="25:25" x14ac:dyDescent="0.2">
      <c r="Y59264" s="97"/>
    </row>
    <row r="59265" spans="25:25" x14ac:dyDescent="0.2">
      <c r="Y59265" s="97"/>
    </row>
    <row r="59266" spans="25:25" x14ac:dyDescent="0.2">
      <c r="Y59266" s="97"/>
    </row>
    <row r="59267" spans="25:25" x14ac:dyDescent="0.2">
      <c r="Y59267" s="97"/>
    </row>
    <row r="59268" spans="25:25" x14ac:dyDescent="0.2">
      <c r="Y59268" s="97"/>
    </row>
    <row r="59269" spans="25:25" x14ac:dyDescent="0.2">
      <c r="Y59269" s="97"/>
    </row>
    <row r="59270" spans="25:25" x14ac:dyDescent="0.2">
      <c r="Y59270" s="97"/>
    </row>
    <row r="59271" spans="25:25" x14ac:dyDescent="0.2">
      <c r="Y59271" s="97"/>
    </row>
    <row r="59272" spans="25:25" x14ac:dyDescent="0.2">
      <c r="Y59272" s="97"/>
    </row>
    <row r="59273" spans="25:25" x14ac:dyDescent="0.2">
      <c r="Y59273" s="97"/>
    </row>
    <row r="59274" spans="25:25" x14ac:dyDescent="0.2">
      <c r="Y59274" s="97"/>
    </row>
    <row r="59275" spans="25:25" x14ac:dyDescent="0.2">
      <c r="Y59275" s="97"/>
    </row>
    <row r="59276" spans="25:25" x14ac:dyDescent="0.2">
      <c r="Y59276" s="97"/>
    </row>
    <row r="59277" spans="25:25" x14ac:dyDescent="0.2">
      <c r="Y59277" s="97"/>
    </row>
    <row r="59278" spans="25:25" x14ac:dyDescent="0.2">
      <c r="Y59278" s="97"/>
    </row>
    <row r="59279" spans="25:25" x14ac:dyDescent="0.2">
      <c r="Y59279" s="97"/>
    </row>
    <row r="59280" spans="25:25" x14ac:dyDescent="0.2">
      <c r="Y59280" s="97"/>
    </row>
    <row r="59281" spans="25:25" x14ac:dyDescent="0.2">
      <c r="Y59281" s="97"/>
    </row>
    <row r="59282" spans="25:25" x14ac:dyDescent="0.2">
      <c r="Y59282" s="97"/>
    </row>
    <row r="59283" spans="25:25" x14ac:dyDescent="0.2">
      <c r="Y59283" s="97"/>
    </row>
    <row r="59284" spans="25:25" x14ac:dyDescent="0.2">
      <c r="Y59284" s="97"/>
    </row>
    <row r="59285" spans="25:25" x14ac:dyDescent="0.2">
      <c r="Y59285" s="97"/>
    </row>
    <row r="59286" spans="25:25" x14ac:dyDescent="0.2">
      <c r="Y59286" s="97"/>
    </row>
    <row r="59287" spans="25:25" x14ac:dyDescent="0.2">
      <c r="Y59287" s="97"/>
    </row>
    <row r="59288" spans="25:25" x14ac:dyDescent="0.2">
      <c r="Y59288" s="97"/>
    </row>
    <row r="59289" spans="25:25" x14ac:dyDescent="0.2">
      <c r="Y59289" s="97"/>
    </row>
    <row r="59290" spans="25:25" x14ac:dyDescent="0.2">
      <c r="Y59290" s="97"/>
    </row>
    <row r="59291" spans="25:25" x14ac:dyDescent="0.2">
      <c r="Y59291" s="97"/>
    </row>
    <row r="59292" spans="25:25" x14ac:dyDescent="0.2">
      <c r="Y59292" s="97"/>
    </row>
    <row r="59293" spans="25:25" x14ac:dyDescent="0.2">
      <c r="Y59293" s="97"/>
    </row>
    <row r="59294" spans="25:25" x14ac:dyDescent="0.2">
      <c r="Y59294" s="97"/>
    </row>
    <row r="59295" spans="25:25" x14ac:dyDescent="0.2">
      <c r="Y59295" s="97"/>
    </row>
    <row r="59296" spans="25:25" x14ac:dyDescent="0.2">
      <c r="Y59296" s="97"/>
    </row>
    <row r="59297" spans="25:25" x14ac:dyDescent="0.2">
      <c r="Y59297" s="97"/>
    </row>
    <row r="59298" spans="25:25" x14ac:dyDescent="0.2">
      <c r="Y59298" s="97"/>
    </row>
    <row r="59299" spans="25:25" x14ac:dyDescent="0.2">
      <c r="Y59299" s="97"/>
    </row>
    <row r="59300" spans="25:25" x14ac:dyDescent="0.2">
      <c r="Y59300" s="97"/>
    </row>
    <row r="59301" spans="25:25" x14ac:dyDescent="0.2">
      <c r="Y59301" s="97"/>
    </row>
    <row r="59302" spans="25:25" x14ac:dyDescent="0.2">
      <c r="Y59302" s="97"/>
    </row>
    <row r="59303" spans="25:25" x14ac:dyDescent="0.2">
      <c r="Y59303" s="97"/>
    </row>
    <row r="59304" spans="25:25" x14ac:dyDescent="0.2">
      <c r="Y59304" s="97"/>
    </row>
    <row r="59305" spans="25:25" x14ac:dyDescent="0.2">
      <c r="Y59305" s="97"/>
    </row>
    <row r="59306" spans="25:25" x14ac:dyDescent="0.2">
      <c r="Y59306" s="97"/>
    </row>
    <row r="59307" spans="25:25" x14ac:dyDescent="0.2">
      <c r="Y59307" s="97"/>
    </row>
    <row r="59308" spans="25:25" x14ac:dyDescent="0.2">
      <c r="Y59308" s="97"/>
    </row>
    <row r="59309" spans="25:25" x14ac:dyDescent="0.2">
      <c r="Y59309" s="97"/>
    </row>
    <row r="59310" spans="25:25" x14ac:dyDescent="0.2">
      <c r="Y59310" s="97"/>
    </row>
    <row r="59311" spans="25:25" x14ac:dyDescent="0.2">
      <c r="Y59311" s="97"/>
    </row>
    <row r="59312" spans="25:25" x14ac:dyDescent="0.2">
      <c r="Y59312" s="97"/>
    </row>
    <row r="59313" spans="25:25" x14ac:dyDescent="0.2">
      <c r="Y59313" s="97"/>
    </row>
    <row r="59314" spans="25:25" x14ac:dyDescent="0.2">
      <c r="Y59314" s="97"/>
    </row>
    <row r="59315" spans="25:25" x14ac:dyDescent="0.2">
      <c r="Y59315" s="97"/>
    </row>
    <row r="59316" spans="25:25" x14ac:dyDescent="0.2">
      <c r="Y59316" s="97"/>
    </row>
    <row r="59317" spans="25:25" x14ac:dyDescent="0.2">
      <c r="Y59317" s="97"/>
    </row>
    <row r="59318" spans="25:25" x14ac:dyDescent="0.2">
      <c r="Y59318" s="97"/>
    </row>
    <row r="59319" spans="25:25" x14ac:dyDescent="0.2">
      <c r="Y59319" s="97"/>
    </row>
    <row r="59320" spans="25:25" x14ac:dyDescent="0.2">
      <c r="Y59320" s="97"/>
    </row>
    <row r="59321" spans="25:25" x14ac:dyDescent="0.2">
      <c r="Y59321" s="97"/>
    </row>
    <row r="59322" spans="25:25" x14ac:dyDescent="0.2">
      <c r="Y59322" s="97"/>
    </row>
    <row r="59323" spans="25:25" x14ac:dyDescent="0.2">
      <c r="Y59323" s="97"/>
    </row>
    <row r="59324" spans="25:25" x14ac:dyDescent="0.2">
      <c r="Y59324" s="97"/>
    </row>
    <row r="59325" spans="25:25" x14ac:dyDescent="0.2">
      <c r="Y59325" s="97"/>
    </row>
    <row r="59326" spans="25:25" x14ac:dyDescent="0.2">
      <c r="Y59326" s="97"/>
    </row>
    <row r="59327" spans="25:25" x14ac:dyDescent="0.2">
      <c r="Y59327" s="97"/>
    </row>
    <row r="59328" spans="25:25" x14ac:dyDescent="0.2">
      <c r="Y59328" s="97"/>
    </row>
    <row r="59329" spans="25:25" x14ac:dyDescent="0.2">
      <c r="Y59329" s="97"/>
    </row>
    <row r="59330" spans="25:25" x14ac:dyDescent="0.2">
      <c r="Y59330" s="97"/>
    </row>
    <row r="59331" spans="25:25" x14ac:dyDescent="0.2">
      <c r="Y59331" s="97"/>
    </row>
    <row r="59332" spans="25:25" x14ac:dyDescent="0.2">
      <c r="Y59332" s="97"/>
    </row>
    <row r="59333" spans="25:25" x14ac:dyDescent="0.2">
      <c r="Y59333" s="97"/>
    </row>
    <row r="59334" spans="25:25" x14ac:dyDescent="0.2">
      <c r="Y59334" s="97"/>
    </row>
    <row r="59335" spans="25:25" x14ac:dyDescent="0.2">
      <c r="Y59335" s="97"/>
    </row>
    <row r="59336" spans="25:25" x14ac:dyDescent="0.2">
      <c r="Y59336" s="97"/>
    </row>
    <row r="59337" spans="25:25" x14ac:dyDescent="0.2">
      <c r="Y59337" s="97"/>
    </row>
    <row r="59338" spans="25:25" x14ac:dyDescent="0.2">
      <c r="Y59338" s="97"/>
    </row>
    <row r="59339" spans="25:25" x14ac:dyDescent="0.2">
      <c r="Y59339" s="97"/>
    </row>
    <row r="59340" spans="25:25" x14ac:dyDescent="0.2">
      <c r="Y59340" s="97"/>
    </row>
    <row r="59341" spans="25:25" x14ac:dyDescent="0.2">
      <c r="Y59341" s="97"/>
    </row>
    <row r="59342" spans="25:25" x14ac:dyDescent="0.2">
      <c r="Y59342" s="97"/>
    </row>
    <row r="59343" spans="25:25" x14ac:dyDescent="0.2">
      <c r="Y59343" s="97"/>
    </row>
    <row r="59344" spans="25:25" x14ac:dyDescent="0.2">
      <c r="Y59344" s="97"/>
    </row>
    <row r="59345" spans="25:25" x14ac:dyDescent="0.2">
      <c r="Y59345" s="97"/>
    </row>
    <row r="59346" spans="25:25" x14ac:dyDescent="0.2">
      <c r="Y59346" s="97"/>
    </row>
    <row r="59347" spans="25:25" x14ac:dyDescent="0.2">
      <c r="Y59347" s="97"/>
    </row>
    <row r="59348" spans="25:25" x14ac:dyDescent="0.2">
      <c r="Y59348" s="97"/>
    </row>
    <row r="59349" spans="25:25" x14ac:dyDescent="0.2">
      <c r="Y59349" s="97"/>
    </row>
    <row r="59350" spans="25:25" x14ac:dyDescent="0.2">
      <c r="Y59350" s="97"/>
    </row>
    <row r="59351" spans="25:25" x14ac:dyDescent="0.2">
      <c r="Y59351" s="97"/>
    </row>
    <row r="59352" spans="25:25" x14ac:dyDescent="0.2">
      <c r="Y59352" s="97"/>
    </row>
    <row r="59353" spans="25:25" x14ac:dyDescent="0.2">
      <c r="Y59353" s="97"/>
    </row>
    <row r="59354" spans="25:25" x14ac:dyDescent="0.2">
      <c r="Y59354" s="97"/>
    </row>
    <row r="59355" spans="25:25" x14ac:dyDescent="0.2">
      <c r="Y59355" s="97"/>
    </row>
    <row r="59356" spans="25:25" x14ac:dyDescent="0.2">
      <c r="Y59356" s="97"/>
    </row>
    <row r="59357" spans="25:25" x14ac:dyDescent="0.2">
      <c r="Y59357" s="97"/>
    </row>
    <row r="59358" spans="25:25" x14ac:dyDescent="0.2">
      <c r="Y59358" s="97"/>
    </row>
    <row r="59359" spans="25:25" x14ac:dyDescent="0.2">
      <c r="Y59359" s="97"/>
    </row>
    <row r="59360" spans="25:25" x14ac:dyDescent="0.2">
      <c r="Y59360" s="97"/>
    </row>
    <row r="59361" spans="25:25" x14ac:dyDescent="0.2">
      <c r="Y59361" s="97"/>
    </row>
    <row r="59362" spans="25:25" x14ac:dyDescent="0.2">
      <c r="Y59362" s="97"/>
    </row>
    <row r="59363" spans="25:25" x14ac:dyDescent="0.2">
      <c r="Y59363" s="97"/>
    </row>
    <row r="59364" spans="25:25" x14ac:dyDescent="0.2">
      <c r="Y59364" s="97"/>
    </row>
    <row r="59365" spans="25:25" x14ac:dyDescent="0.2">
      <c r="Y59365" s="97"/>
    </row>
    <row r="59366" spans="25:25" x14ac:dyDescent="0.2">
      <c r="Y59366" s="97"/>
    </row>
    <row r="59367" spans="25:25" x14ac:dyDescent="0.2">
      <c r="Y59367" s="97"/>
    </row>
    <row r="59368" spans="25:25" x14ac:dyDescent="0.2">
      <c r="Y59368" s="97"/>
    </row>
    <row r="59369" spans="25:25" x14ac:dyDescent="0.2">
      <c r="Y59369" s="97"/>
    </row>
    <row r="59370" spans="25:25" x14ac:dyDescent="0.2">
      <c r="Y59370" s="97"/>
    </row>
    <row r="59371" spans="25:25" x14ac:dyDescent="0.2">
      <c r="Y59371" s="97"/>
    </row>
    <row r="59372" spans="25:25" x14ac:dyDescent="0.2">
      <c r="Y59372" s="97"/>
    </row>
    <row r="59373" spans="25:25" x14ac:dyDescent="0.2">
      <c r="Y59373" s="97"/>
    </row>
    <row r="59374" spans="25:25" x14ac:dyDescent="0.2">
      <c r="Y59374" s="97"/>
    </row>
    <row r="59375" spans="25:25" x14ac:dyDescent="0.2">
      <c r="Y59375" s="97"/>
    </row>
    <row r="59376" spans="25:25" x14ac:dyDescent="0.2">
      <c r="Y59376" s="97"/>
    </row>
    <row r="59377" spans="25:25" x14ac:dyDescent="0.2">
      <c r="Y59377" s="97"/>
    </row>
    <row r="59378" spans="25:25" x14ac:dyDescent="0.2">
      <c r="Y59378" s="97"/>
    </row>
    <row r="59379" spans="25:25" x14ac:dyDescent="0.2">
      <c r="Y59379" s="97"/>
    </row>
    <row r="59380" spans="25:25" x14ac:dyDescent="0.2">
      <c r="Y59380" s="97"/>
    </row>
    <row r="59381" spans="25:25" x14ac:dyDescent="0.2">
      <c r="Y59381" s="97"/>
    </row>
    <row r="59382" spans="25:25" x14ac:dyDescent="0.2">
      <c r="Y59382" s="97"/>
    </row>
    <row r="59383" spans="25:25" x14ac:dyDescent="0.2">
      <c r="Y59383" s="97"/>
    </row>
    <row r="59384" spans="25:25" x14ac:dyDescent="0.2">
      <c r="Y59384" s="97"/>
    </row>
    <row r="59385" spans="25:25" x14ac:dyDescent="0.2">
      <c r="Y59385" s="97"/>
    </row>
    <row r="59386" spans="25:25" x14ac:dyDescent="0.2">
      <c r="Y59386" s="97"/>
    </row>
    <row r="59387" spans="25:25" x14ac:dyDescent="0.2">
      <c r="Y59387" s="97"/>
    </row>
    <row r="59388" spans="25:25" x14ac:dyDescent="0.2">
      <c r="Y59388" s="97"/>
    </row>
    <row r="59389" spans="25:25" x14ac:dyDescent="0.2">
      <c r="Y59389" s="97"/>
    </row>
    <row r="59390" spans="25:25" x14ac:dyDescent="0.2">
      <c r="Y59390" s="97"/>
    </row>
    <row r="59391" spans="25:25" x14ac:dyDescent="0.2">
      <c r="Y59391" s="97"/>
    </row>
    <row r="59392" spans="25:25" x14ac:dyDescent="0.2">
      <c r="Y59392" s="97"/>
    </row>
    <row r="59393" spans="25:25" x14ac:dyDescent="0.2">
      <c r="Y59393" s="97"/>
    </row>
    <row r="59394" spans="25:25" x14ac:dyDescent="0.2">
      <c r="Y59394" s="97"/>
    </row>
    <row r="59395" spans="25:25" x14ac:dyDescent="0.2">
      <c r="Y59395" s="97"/>
    </row>
    <row r="59396" spans="25:25" x14ac:dyDescent="0.2">
      <c r="Y59396" s="97"/>
    </row>
    <row r="59397" spans="25:25" x14ac:dyDescent="0.2">
      <c r="Y59397" s="97"/>
    </row>
    <row r="59398" spans="25:25" x14ac:dyDescent="0.2">
      <c r="Y59398" s="97"/>
    </row>
    <row r="59399" spans="25:25" x14ac:dyDescent="0.2">
      <c r="Y59399" s="97"/>
    </row>
    <row r="59400" spans="25:25" x14ac:dyDescent="0.2">
      <c r="Y59400" s="97"/>
    </row>
    <row r="59401" spans="25:25" x14ac:dyDescent="0.2">
      <c r="Y59401" s="97"/>
    </row>
    <row r="59402" spans="25:25" x14ac:dyDescent="0.2">
      <c r="Y59402" s="97"/>
    </row>
    <row r="59403" spans="25:25" x14ac:dyDescent="0.2">
      <c r="Y59403" s="97"/>
    </row>
    <row r="59404" spans="25:25" x14ac:dyDescent="0.2">
      <c r="Y59404" s="97"/>
    </row>
    <row r="59405" spans="25:25" x14ac:dyDescent="0.2">
      <c r="Y59405" s="97"/>
    </row>
    <row r="59406" spans="25:25" x14ac:dyDescent="0.2">
      <c r="Y59406" s="97"/>
    </row>
    <row r="59407" spans="25:25" x14ac:dyDescent="0.2">
      <c r="Y59407" s="97"/>
    </row>
    <row r="59408" spans="25:25" x14ac:dyDescent="0.2">
      <c r="Y59408" s="97"/>
    </row>
    <row r="59409" spans="25:25" x14ac:dyDescent="0.2">
      <c r="Y59409" s="97"/>
    </row>
    <row r="59410" spans="25:25" x14ac:dyDescent="0.2">
      <c r="Y59410" s="97"/>
    </row>
    <row r="59411" spans="25:25" x14ac:dyDescent="0.2">
      <c r="Y59411" s="97"/>
    </row>
    <row r="59412" spans="25:25" x14ac:dyDescent="0.2">
      <c r="Y59412" s="97"/>
    </row>
    <row r="59413" spans="25:25" x14ac:dyDescent="0.2">
      <c r="Y59413" s="97"/>
    </row>
    <row r="59414" spans="25:25" x14ac:dyDescent="0.2">
      <c r="Y59414" s="97"/>
    </row>
    <row r="59415" spans="25:25" x14ac:dyDescent="0.2">
      <c r="Y59415" s="97"/>
    </row>
    <row r="59416" spans="25:25" x14ac:dyDescent="0.2">
      <c r="Y59416" s="97"/>
    </row>
    <row r="59417" spans="25:25" x14ac:dyDescent="0.2">
      <c r="Y59417" s="97"/>
    </row>
    <row r="59418" spans="25:25" x14ac:dyDescent="0.2">
      <c r="Y59418" s="97"/>
    </row>
    <row r="59419" spans="25:25" x14ac:dyDescent="0.2">
      <c r="Y59419" s="97"/>
    </row>
    <row r="59420" spans="25:25" x14ac:dyDescent="0.2">
      <c r="Y59420" s="97"/>
    </row>
    <row r="59421" spans="25:25" x14ac:dyDescent="0.2">
      <c r="Y59421" s="97"/>
    </row>
    <row r="59422" spans="25:25" x14ac:dyDescent="0.2">
      <c r="Y59422" s="97"/>
    </row>
    <row r="59423" spans="25:25" x14ac:dyDescent="0.2">
      <c r="Y59423" s="97"/>
    </row>
    <row r="59424" spans="25:25" x14ac:dyDescent="0.2">
      <c r="Y59424" s="97"/>
    </row>
    <row r="59425" spans="25:25" x14ac:dyDescent="0.2">
      <c r="Y59425" s="97"/>
    </row>
    <row r="59426" spans="25:25" x14ac:dyDescent="0.2">
      <c r="Y59426" s="97"/>
    </row>
    <row r="59427" spans="25:25" x14ac:dyDescent="0.2">
      <c r="Y59427" s="97"/>
    </row>
    <row r="59428" spans="25:25" x14ac:dyDescent="0.2">
      <c r="Y59428" s="97"/>
    </row>
    <row r="59429" spans="25:25" x14ac:dyDescent="0.2">
      <c r="Y59429" s="97"/>
    </row>
    <row r="59430" spans="25:25" x14ac:dyDescent="0.2">
      <c r="Y59430" s="97"/>
    </row>
    <row r="59431" spans="25:25" x14ac:dyDescent="0.2">
      <c r="Y59431" s="97"/>
    </row>
    <row r="59432" spans="25:25" x14ac:dyDescent="0.2">
      <c r="Y59432" s="97"/>
    </row>
    <row r="59433" spans="25:25" x14ac:dyDescent="0.2">
      <c r="Y59433" s="97"/>
    </row>
    <row r="59434" spans="25:25" x14ac:dyDescent="0.2">
      <c r="Y59434" s="97"/>
    </row>
    <row r="59435" spans="25:25" x14ac:dyDescent="0.2">
      <c r="Y59435" s="97"/>
    </row>
    <row r="59436" spans="25:25" x14ac:dyDescent="0.2">
      <c r="Y59436" s="97"/>
    </row>
    <row r="59437" spans="25:25" x14ac:dyDescent="0.2">
      <c r="Y59437" s="97"/>
    </row>
    <row r="59438" spans="25:25" x14ac:dyDescent="0.2">
      <c r="Y59438" s="97"/>
    </row>
    <row r="59439" spans="25:25" x14ac:dyDescent="0.2">
      <c r="Y59439" s="97"/>
    </row>
    <row r="59440" spans="25:25" x14ac:dyDescent="0.2">
      <c r="Y59440" s="97"/>
    </row>
    <row r="59441" spans="25:25" x14ac:dyDescent="0.2">
      <c r="Y59441" s="97"/>
    </row>
    <row r="59442" spans="25:25" x14ac:dyDescent="0.2">
      <c r="Y59442" s="97"/>
    </row>
    <row r="59443" spans="25:25" x14ac:dyDescent="0.2">
      <c r="Y59443" s="97"/>
    </row>
    <row r="59444" spans="25:25" x14ac:dyDescent="0.2">
      <c r="Y59444" s="97"/>
    </row>
    <row r="59445" spans="25:25" x14ac:dyDescent="0.2">
      <c r="Y59445" s="97"/>
    </row>
    <row r="59446" spans="25:25" x14ac:dyDescent="0.2">
      <c r="Y59446" s="97"/>
    </row>
    <row r="59447" spans="25:25" x14ac:dyDescent="0.2">
      <c r="Y59447" s="97"/>
    </row>
    <row r="59448" spans="25:25" x14ac:dyDescent="0.2">
      <c r="Y59448" s="97"/>
    </row>
    <row r="59449" spans="25:25" x14ac:dyDescent="0.2">
      <c r="Y59449" s="97"/>
    </row>
    <row r="59450" spans="25:25" x14ac:dyDescent="0.2">
      <c r="Y59450" s="97"/>
    </row>
    <row r="59451" spans="25:25" x14ac:dyDescent="0.2">
      <c r="Y59451" s="97"/>
    </row>
    <row r="59452" spans="25:25" x14ac:dyDescent="0.2">
      <c r="Y59452" s="97"/>
    </row>
    <row r="59453" spans="25:25" x14ac:dyDescent="0.2">
      <c r="Y59453" s="97"/>
    </row>
    <row r="59454" spans="25:25" x14ac:dyDescent="0.2">
      <c r="Y59454" s="97"/>
    </row>
    <row r="59455" spans="25:25" x14ac:dyDescent="0.2">
      <c r="Y59455" s="97"/>
    </row>
    <row r="59456" spans="25:25" x14ac:dyDescent="0.2">
      <c r="Y59456" s="97"/>
    </row>
    <row r="59457" spans="25:25" x14ac:dyDescent="0.2">
      <c r="Y59457" s="97"/>
    </row>
    <row r="59458" spans="25:25" x14ac:dyDescent="0.2">
      <c r="Y59458" s="97"/>
    </row>
    <row r="59459" spans="25:25" x14ac:dyDescent="0.2">
      <c r="Y59459" s="97"/>
    </row>
    <row r="59460" spans="25:25" x14ac:dyDescent="0.2">
      <c r="Y59460" s="97"/>
    </row>
    <row r="59461" spans="25:25" x14ac:dyDescent="0.2">
      <c r="Y59461" s="97"/>
    </row>
    <row r="59462" spans="25:25" x14ac:dyDescent="0.2">
      <c r="Y59462" s="97"/>
    </row>
    <row r="59463" spans="25:25" x14ac:dyDescent="0.2">
      <c r="Y59463" s="97"/>
    </row>
    <row r="59464" spans="25:25" x14ac:dyDescent="0.2">
      <c r="Y59464" s="97"/>
    </row>
    <row r="59465" spans="25:25" x14ac:dyDescent="0.2">
      <c r="Y59465" s="97"/>
    </row>
    <row r="59466" spans="25:25" x14ac:dyDescent="0.2">
      <c r="Y59466" s="97"/>
    </row>
    <row r="59467" spans="25:25" x14ac:dyDescent="0.2">
      <c r="Y59467" s="97"/>
    </row>
    <row r="59468" spans="25:25" x14ac:dyDescent="0.2">
      <c r="Y59468" s="97"/>
    </row>
    <row r="59469" spans="25:25" x14ac:dyDescent="0.2">
      <c r="Y59469" s="97"/>
    </row>
    <row r="59470" spans="25:25" x14ac:dyDescent="0.2">
      <c r="Y59470" s="97"/>
    </row>
    <row r="59471" spans="25:25" x14ac:dyDescent="0.2">
      <c r="Y59471" s="97"/>
    </row>
    <row r="59472" spans="25:25" x14ac:dyDescent="0.2">
      <c r="Y59472" s="97"/>
    </row>
    <row r="59473" spans="25:25" x14ac:dyDescent="0.2">
      <c r="Y59473" s="97"/>
    </row>
    <row r="59474" spans="25:25" x14ac:dyDescent="0.2">
      <c r="Y59474" s="97"/>
    </row>
    <row r="59475" spans="25:25" x14ac:dyDescent="0.2">
      <c r="Y59475" s="97"/>
    </row>
    <row r="59476" spans="25:25" x14ac:dyDescent="0.2">
      <c r="Y59476" s="97"/>
    </row>
    <row r="59477" spans="25:25" x14ac:dyDescent="0.2">
      <c r="Y59477" s="97"/>
    </row>
    <row r="59478" spans="25:25" x14ac:dyDescent="0.2">
      <c r="Y59478" s="97"/>
    </row>
    <row r="59479" spans="25:25" x14ac:dyDescent="0.2">
      <c r="Y59479" s="97"/>
    </row>
    <row r="59480" spans="25:25" x14ac:dyDescent="0.2">
      <c r="Y59480" s="97"/>
    </row>
    <row r="59481" spans="25:25" x14ac:dyDescent="0.2">
      <c r="Y59481" s="97"/>
    </row>
    <row r="59482" spans="25:25" x14ac:dyDescent="0.2">
      <c r="Y59482" s="97"/>
    </row>
    <row r="59483" spans="25:25" x14ac:dyDescent="0.2">
      <c r="Y59483" s="97"/>
    </row>
    <row r="59484" spans="25:25" x14ac:dyDescent="0.2">
      <c r="Y59484" s="97"/>
    </row>
    <row r="59485" spans="25:25" x14ac:dyDescent="0.2">
      <c r="Y59485" s="97"/>
    </row>
    <row r="59486" spans="25:25" x14ac:dyDescent="0.2">
      <c r="Y59486" s="97"/>
    </row>
    <row r="59487" spans="25:25" x14ac:dyDescent="0.2">
      <c r="Y59487" s="97"/>
    </row>
    <row r="59488" spans="25:25" x14ac:dyDescent="0.2">
      <c r="Y59488" s="97"/>
    </row>
    <row r="59489" spans="25:25" x14ac:dyDescent="0.2">
      <c r="Y59489" s="97"/>
    </row>
    <row r="59490" spans="25:25" x14ac:dyDescent="0.2">
      <c r="Y59490" s="97"/>
    </row>
    <row r="59491" spans="25:25" x14ac:dyDescent="0.2">
      <c r="Y59491" s="97"/>
    </row>
    <row r="59492" spans="25:25" x14ac:dyDescent="0.2">
      <c r="Y59492" s="97"/>
    </row>
    <row r="59493" spans="25:25" x14ac:dyDescent="0.2">
      <c r="Y59493" s="97"/>
    </row>
    <row r="59494" spans="25:25" x14ac:dyDescent="0.2">
      <c r="Y59494" s="97"/>
    </row>
    <row r="59495" spans="25:25" x14ac:dyDescent="0.2">
      <c r="Y59495" s="97"/>
    </row>
    <row r="59496" spans="25:25" x14ac:dyDescent="0.2">
      <c r="Y59496" s="97"/>
    </row>
    <row r="59497" spans="25:25" x14ac:dyDescent="0.2">
      <c r="Y59497" s="97"/>
    </row>
    <row r="59498" spans="25:25" x14ac:dyDescent="0.2">
      <c r="Y59498" s="97"/>
    </row>
    <row r="59499" spans="25:25" x14ac:dyDescent="0.2">
      <c r="Y59499" s="97"/>
    </row>
    <row r="59500" spans="25:25" x14ac:dyDescent="0.2">
      <c r="Y59500" s="97"/>
    </row>
    <row r="59501" spans="25:25" x14ac:dyDescent="0.2">
      <c r="Y59501" s="97"/>
    </row>
    <row r="59502" spans="25:25" x14ac:dyDescent="0.2">
      <c r="Y59502" s="97"/>
    </row>
    <row r="59503" spans="25:25" x14ac:dyDescent="0.2">
      <c r="Y59503" s="97"/>
    </row>
    <row r="59504" spans="25:25" x14ac:dyDescent="0.2">
      <c r="Y59504" s="97"/>
    </row>
    <row r="59505" spans="25:25" x14ac:dyDescent="0.2">
      <c r="Y59505" s="97"/>
    </row>
    <row r="59506" spans="25:25" x14ac:dyDescent="0.2">
      <c r="Y59506" s="97"/>
    </row>
    <row r="59507" spans="25:25" x14ac:dyDescent="0.2">
      <c r="Y59507" s="97"/>
    </row>
    <row r="59508" spans="25:25" x14ac:dyDescent="0.2">
      <c r="Y59508" s="97"/>
    </row>
    <row r="59509" spans="25:25" x14ac:dyDescent="0.2">
      <c r="Y59509" s="97"/>
    </row>
    <row r="59510" spans="25:25" x14ac:dyDescent="0.2">
      <c r="Y59510" s="97"/>
    </row>
    <row r="59511" spans="25:25" x14ac:dyDescent="0.2">
      <c r="Y59511" s="97"/>
    </row>
    <row r="59512" spans="25:25" x14ac:dyDescent="0.2">
      <c r="Y59512" s="97"/>
    </row>
    <row r="59513" spans="25:25" x14ac:dyDescent="0.2">
      <c r="Y59513" s="97"/>
    </row>
    <row r="59514" spans="25:25" x14ac:dyDescent="0.2">
      <c r="Y59514" s="97"/>
    </row>
    <row r="59515" spans="25:25" x14ac:dyDescent="0.2">
      <c r="Y59515" s="97"/>
    </row>
    <row r="59516" spans="25:25" x14ac:dyDescent="0.2">
      <c r="Y59516" s="97"/>
    </row>
    <row r="59517" spans="25:25" x14ac:dyDescent="0.2">
      <c r="Y59517" s="97"/>
    </row>
    <row r="59518" spans="25:25" x14ac:dyDescent="0.2">
      <c r="Y59518" s="97"/>
    </row>
    <row r="59519" spans="25:25" x14ac:dyDescent="0.2">
      <c r="Y59519" s="97"/>
    </row>
    <row r="59520" spans="25:25" x14ac:dyDescent="0.2">
      <c r="Y59520" s="97"/>
    </row>
    <row r="59521" spans="25:25" x14ac:dyDescent="0.2">
      <c r="Y59521" s="97"/>
    </row>
    <row r="59522" spans="25:25" x14ac:dyDescent="0.2">
      <c r="Y59522" s="97"/>
    </row>
    <row r="59523" spans="25:25" x14ac:dyDescent="0.2">
      <c r="Y59523" s="97"/>
    </row>
    <row r="59524" spans="25:25" x14ac:dyDescent="0.2">
      <c r="Y59524" s="97"/>
    </row>
    <row r="59525" spans="25:25" x14ac:dyDescent="0.2">
      <c r="Y59525" s="97"/>
    </row>
    <row r="59526" spans="25:25" x14ac:dyDescent="0.2">
      <c r="Y59526" s="97"/>
    </row>
    <row r="59527" spans="25:25" x14ac:dyDescent="0.2">
      <c r="Y59527" s="97"/>
    </row>
    <row r="59528" spans="25:25" x14ac:dyDescent="0.2">
      <c r="Y59528" s="97"/>
    </row>
    <row r="59529" spans="25:25" x14ac:dyDescent="0.2">
      <c r="Y59529" s="97"/>
    </row>
    <row r="59530" spans="25:25" x14ac:dyDescent="0.2">
      <c r="Y59530" s="97"/>
    </row>
    <row r="59531" spans="25:25" x14ac:dyDescent="0.2">
      <c r="Y59531" s="97"/>
    </row>
    <row r="59532" spans="25:25" x14ac:dyDescent="0.2">
      <c r="Y59532" s="97"/>
    </row>
    <row r="59533" spans="25:25" x14ac:dyDescent="0.2">
      <c r="Y59533" s="97"/>
    </row>
    <row r="59534" spans="25:25" x14ac:dyDescent="0.2">
      <c r="Y59534" s="97"/>
    </row>
    <row r="59535" spans="25:25" x14ac:dyDescent="0.2">
      <c r="Y59535" s="97"/>
    </row>
    <row r="59536" spans="25:25" x14ac:dyDescent="0.2">
      <c r="Y59536" s="97"/>
    </row>
    <row r="59537" spans="25:25" x14ac:dyDescent="0.2">
      <c r="Y59537" s="97"/>
    </row>
    <row r="59538" spans="25:25" x14ac:dyDescent="0.2">
      <c r="Y59538" s="97"/>
    </row>
    <row r="59539" spans="25:25" x14ac:dyDescent="0.2">
      <c r="Y59539" s="97"/>
    </row>
    <row r="59540" spans="25:25" x14ac:dyDescent="0.2">
      <c r="Y59540" s="97"/>
    </row>
    <row r="59541" spans="25:25" x14ac:dyDescent="0.2">
      <c r="Y59541" s="97"/>
    </row>
    <row r="59542" spans="25:25" x14ac:dyDescent="0.2">
      <c r="Y59542" s="97"/>
    </row>
    <row r="59543" spans="25:25" x14ac:dyDescent="0.2">
      <c r="Y59543" s="97"/>
    </row>
    <row r="59544" spans="25:25" x14ac:dyDescent="0.2">
      <c r="Y59544" s="97"/>
    </row>
    <row r="59545" spans="25:25" x14ac:dyDescent="0.2">
      <c r="Y59545" s="97"/>
    </row>
    <row r="59546" spans="25:25" x14ac:dyDescent="0.2">
      <c r="Y59546" s="97"/>
    </row>
    <row r="59547" spans="25:25" x14ac:dyDescent="0.2">
      <c r="Y59547" s="97"/>
    </row>
    <row r="59548" spans="25:25" x14ac:dyDescent="0.2">
      <c r="Y59548" s="97"/>
    </row>
    <row r="59549" spans="25:25" x14ac:dyDescent="0.2">
      <c r="Y59549" s="97"/>
    </row>
    <row r="59550" spans="25:25" x14ac:dyDescent="0.2">
      <c r="Y59550" s="97"/>
    </row>
    <row r="59551" spans="25:25" x14ac:dyDescent="0.2">
      <c r="Y59551" s="97"/>
    </row>
    <row r="59552" spans="25:25" x14ac:dyDescent="0.2">
      <c r="Y59552" s="97"/>
    </row>
    <row r="59553" spans="25:25" x14ac:dyDescent="0.2">
      <c r="Y59553" s="97"/>
    </row>
    <row r="59554" spans="25:25" x14ac:dyDescent="0.2">
      <c r="Y59554" s="97"/>
    </row>
    <row r="59555" spans="25:25" x14ac:dyDescent="0.2">
      <c r="Y59555" s="97"/>
    </row>
    <row r="59556" spans="25:25" x14ac:dyDescent="0.2">
      <c r="Y59556" s="97"/>
    </row>
    <row r="59557" spans="25:25" x14ac:dyDescent="0.2">
      <c r="Y59557" s="97"/>
    </row>
    <row r="59558" spans="25:25" x14ac:dyDescent="0.2">
      <c r="Y59558" s="97"/>
    </row>
    <row r="59559" spans="25:25" x14ac:dyDescent="0.2">
      <c r="Y59559" s="97"/>
    </row>
    <row r="59560" spans="25:25" x14ac:dyDescent="0.2">
      <c r="Y59560" s="97"/>
    </row>
    <row r="59561" spans="25:25" x14ac:dyDescent="0.2">
      <c r="Y59561" s="97"/>
    </row>
    <row r="59562" spans="25:25" x14ac:dyDescent="0.2">
      <c r="Y59562" s="97"/>
    </row>
    <row r="59563" spans="25:25" x14ac:dyDescent="0.2">
      <c r="Y59563" s="97"/>
    </row>
    <row r="59564" spans="25:25" x14ac:dyDescent="0.2">
      <c r="Y59564" s="97"/>
    </row>
    <row r="59565" spans="25:25" x14ac:dyDescent="0.2">
      <c r="Y59565" s="97"/>
    </row>
    <row r="59566" spans="25:25" x14ac:dyDescent="0.2">
      <c r="Y59566" s="97"/>
    </row>
    <row r="59567" spans="25:25" x14ac:dyDescent="0.2">
      <c r="Y59567" s="97"/>
    </row>
    <row r="59568" spans="25:25" x14ac:dyDescent="0.2">
      <c r="Y59568" s="97"/>
    </row>
    <row r="59569" spans="25:25" x14ac:dyDescent="0.2">
      <c r="Y59569" s="97"/>
    </row>
    <row r="59570" spans="25:25" x14ac:dyDescent="0.2">
      <c r="Y59570" s="97"/>
    </row>
    <row r="59571" spans="25:25" x14ac:dyDescent="0.2">
      <c r="Y59571" s="97"/>
    </row>
    <row r="59572" spans="25:25" x14ac:dyDescent="0.2">
      <c r="Y59572" s="97"/>
    </row>
    <row r="59573" spans="25:25" x14ac:dyDescent="0.2">
      <c r="Y59573" s="97"/>
    </row>
    <row r="59574" spans="25:25" x14ac:dyDescent="0.2">
      <c r="Y59574" s="97"/>
    </row>
    <row r="59575" spans="25:25" x14ac:dyDescent="0.2">
      <c r="Y59575" s="97"/>
    </row>
    <row r="59576" spans="25:25" x14ac:dyDescent="0.2">
      <c r="Y59576" s="97"/>
    </row>
    <row r="59577" spans="25:25" x14ac:dyDescent="0.2">
      <c r="Y59577" s="97"/>
    </row>
    <row r="59578" spans="25:25" x14ac:dyDescent="0.2">
      <c r="Y59578" s="97"/>
    </row>
    <row r="59579" spans="25:25" x14ac:dyDescent="0.2">
      <c r="Y59579" s="97"/>
    </row>
    <row r="59580" spans="25:25" x14ac:dyDescent="0.2">
      <c r="Y59580" s="97"/>
    </row>
    <row r="59581" spans="25:25" x14ac:dyDescent="0.2">
      <c r="Y59581" s="97"/>
    </row>
    <row r="59582" spans="25:25" x14ac:dyDescent="0.2">
      <c r="Y59582" s="97"/>
    </row>
    <row r="59583" spans="25:25" x14ac:dyDescent="0.2">
      <c r="Y59583" s="97"/>
    </row>
    <row r="59584" spans="25:25" x14ac:dyDescent="0.2">
      <c r="Y59584" s="97"/>
    </row>
    <row r="59585" spans="25:25" x14ac:dyDescent="0.2">
      <c r="Y59585" s="97"/>
    </row>
    <row r="59586" spans="25:25" x14ac:dyDescent="0.2">
      <c r="Y59586" s="97"/>
    </row>
    <row r="59587" spans="25:25" x14ac:dyDescent="0.2">
      <c r="Y59587" s="97"/>
    </row>
    <row r="59588" spans="25:25" x14ac:dyDescent="0.2">
      <c r="Y59588" s="97"/>
    </row>
    <row r="59589" spans="25:25" x14ac:dyDescent="0.2">
      <c r="Y59589" s="97"/>
    </row>
    <row r="59590" spans="25:25" x14ac:dyDescent="0.2">
      <c r="Y59590" s="97"/>
    </row>
    <row r="59591" spans="25:25" x14ac:dyDescent="0.2">
      <c r="Y59591" s="97"/>
    </row>
    <row r="59592" spans="25:25" x14ac:dyDescent="0.2">
      <c r="Y59592" s="97"/>
    </row>
    <row r="59593" spans="25:25" x14ac:dyDescent="0.2">
      <c r="Y59593" s="97"/>
    </row>
    <row r="59594" spans="25:25" x14ac:dyDescent="0.2">
      <c r="Y59594" s="97"/>
    </row>
    <row r="59595" spans="25:25" x14ac:dyDescent="0.2">
      <c r="Y59595" s="97"/>
    </row>
    <row r="59596" spans="25:25" x14ac:dyDescent="0.2">
      <c r="Y59596" s="97"/>
    </row>
    <row r="59597" spans="25:25" x14ac:dyDescent="0.2">
      <c r="Y59597" s="97"/>
    </row>
    <row r="59598" spans="25:25" x14ac:dyDescent="0.2">
      <c r="Y59598" s="97"/>
    </row>
    <row r="59599" spans="25:25" x14ac:dyDescent="0.2">
      <c r="Y59599" s="97"/>
    </row>
    <row r="59600" spans="25:25" x14ac:dyDescent="0.2">
      <c r="Y59600" s="97"/>
    </row>
    <row r="59601" spans="25:25" x14ac:dyDescent="0.2">
      <c r="Y59601" s="97"/>
    </row>
    <row r="59602" spans="25:25" x14ac:dyDescent="0.2">
      <c r="Y59602" s="97"/>
    </row>
    <row r="59603" spans="25:25" x14ac:dyDescent="0.2">
      <c r="Y59603" s="97"/>
    </row>
    <row r="59604" spans="25:25" x14ac:dyDescent="0.2">
      <c r="Y59604" s="97"/>
    </row>
    <row r="59605" spans="25:25" x14ac:dyDescent="0.2">
      <c r="Y59605" s="97"/>
    </row>
    <row r="59606" spans="25:25" x14ac:dyDescent="0.2">
      <c r="Y59606" s="97"/>
    </row>
    <row r="59607" spans="25:25" x14ac:dyDescent="0.2">
      <c r="Y59607" s="97"/>
    </row>
    <row r="59608" spans="25:25" x14ac:dyDescent="0.2">
      <c r="Y59608" s="97"/>
    </row>
    <row r="59609" spans="25:25" x14ac:dyDescent="0.2">
      <c r="Y59609" s="97"/>
    </row>
    <row r="59610" spans="25:25" x14ac:dyDescent="0.2">
      <c r="Y59610" s="97"/>
    </row>
    <row r="59611" spans="25:25" x14ac:dyDescent="0.2">
      <c r="Y59611" s="97"/>
    </row>
    <row r="59612" spans="25:25" x14ac:dyDescent="0.2">
      <c r="Y59612" s="97"/>
    </row>
    <row r="59613" spans="25:25" x14ac:dyDescent="0.2">
      <c r="Y59613" s="97"/>
    </row>
    <row r="59614" spans="25:25" x14ac:dyDescent="0.2">
      <c r="Y59614" s="97"/>
    </row>
    <row r="59615" spans="25:25" x14ac:dyDescent="0.2">
      <c r="Y59615" s="97"/>
    </row>
    <row r="59616" spans="25:25" x14ac:dyDescent="0.2">
      <c r="Y59616" s="97"/>
    </row>
    <row r="59617" spans="25:25" x14ac:dyDescent="0.2">
      <c r="Y59617" s="97"/>
    </row>
    <row r="59618" spans="25:25" x14ac:dyDescent="0.2">
      <c r="Y59618" s="97"/>
    </row>
    <row r="59619" spans="25:25" x14ac:dyDescent="0.2">
      <c r="Y59619" s="97"/>
    </row>
    <row r="59620" spans="25:25" x14ac:dyDescent="0.2">
      <c r="Y59620" s="97"/>
    </row>
    <row r="59621" spans="25:25" x14ac:dyDescent="0.2">
      <c r="Y59621" s="97"/>
    </row>
    <row r="59622" spans="25:25" x14ac:dyDescent="0.2">
      <c r="Y59622" s="97"/>
    </row>
    <row r="59623" spans="25:25" x14ac:dyDescent="0.2">
      <c r="Y59623" s="97"/>
    </row>
    <row r="59624" spans="25:25" x14ac:dyDescent="0.2">
      <c r="Y59624" s="97"/>
    </row>
    <row r="59625" spans="25:25" x14ac:dyDescent="0.2">
      <c r="Y59625" s="97"/>
    </row>
    <row r="59626" spans="25:25" x14ac:dyDescent="0.2">
      <c r="Y59626" s="97"/>
    </row>
    <row r="59627" spans="25:25" x14ac:dyDescent="0.2">
      <c r="Y59627" s="97"/>
    </row>
    <row r="59628" spans="25:25" x14ac:dyDescent="0.2">
      <c r="Y59628" s="97"/>
    </row>
    <row r="59629" spans="25:25" x14ac:dyDescent="0.2">
      <c r="Y59629" s="97"/>
    </row>
    <row r="59630" spans="25:25" x14ac:dyDescent="0.2">
      <c r="Y59630" s="97"/>
    </row>
    <row r="59631" spans="25:25" x14ac:dyDescent="0.2">
      <c r="Y59631" s="97"/>
    </row>
    <row r="59632" spans="25:25" x14ac:dyDescent="0.2">
      <c r="Y59632" s="97"/>
    </row>
    <row r="59633" spans="25:25" x14ac:dyDescent="0.2">
      <c r="Y59633" s="97"/>
    </row>
    <row r="59634" spans="25:25" x14ac:dyDescent="0.2">
      <c r="Y59634" s="97"/>
    </row>
    <row r="59635" spans="25:25" x14ac:dyDescent="0.2">
      <c r="Y59635" s="97"/>
    </row>
    <row r="59636" spans="25:25" x14ac:dyDescent="0.2">
      <c r="Y59636" s="97"/>
    </row>
    <row r="59637" spans="25:25" x14ac:dyDescent="0.2">
      <c r="Y59637" s="97"/>
    </row>
    <row r="59638" spans="25:25" x14ac:dyDescent="0.2">
      <c r="Y59638" s="97"/>
    </row>
    <row r="59639" spans="25:25" x14ac:dyDescent="0.2">
      <c r="Y59639" s="97"/>
    </row>
    <row r="59640" spans="25:25" x14ac:dyDescent="0.2">
      <c r="Y59640" s="97"/>
    </row>
    <row r="59641" spans="25:25" x14ac:dyDescent="0.2">
      <c r="Y59641" s="97"/>
    </row>
    <row r="59642" spans="25:25" x14ac:dyDescent="0.2">
      <c r="Y59642" s="97"/>
    </row>
    <row r="59643" spans="25:25" x14ac:dyDescent="0.2">
      <c r="Y59643" s="97"/>
    </row>
    <row r="59644" spans="25:25" x14ac:dyDescent="0.2">
      <c r="Y59644" s="97"/>
    </row>
    <row r="59645" spans="25:25" x14ac:dyDescent="0.2">
      <c r="Y59645" s="97"/>
    </row>
    <row r="59646" spans="25:25" x14ac:dyDescent="0.2">
      <c r="Y59646" s="97"/>
    </row>
    <row r="59647" spans="25:25" x14ac:dyDescent="0.2">
      <c r="Y59647" s="97"/>
    </row>
    <row r="59648" spans="25:25" x14ac:dyDescent="0.2">
      <c r="Y59648" s="97"/>
    </row>
    <row r="59649" spans="25:25" x14ac:dyDescent="0.2">
      <c r="Y59649" s="97"/>
    </row>
    <row r="59650" spans="25:25" x14ac:dyDescent="0.2">
      <c r="Y59650" s="97"/>
    </row>
    <row r="59651" spans="25:25" x14ac:dyDescent="0.2">
      <c r="Y59651" s="97"/>
    </row>
    <row r="59652" spans="25:25" x14ac:dyDescent="0.2">
      <c r="Y59652" s="97"/>
    </row>
    <row r="59653" spans="25:25" x14ac:dyDescent="0.2">
      <c r="Y59653" s="97"/>
    </row>
    <row r="59654" spans="25:25" x14ac:dyDescent="0.2">
      <c r="Y59654" s="97"/>
    </row>
    <row r="59655" spans="25:25" x14ac:dyDescent="0.2">
      <c r="Y59655" s="97"/>
    </row>
    <row r="59656" spans="25:25" x14ac:dyDescent="0.2">
      <c r="Y59656" s="97"/>
    </row>
    <row r="59657" spans="25:25" x14ac:dyDescent="0.2">
      <c r="Y59657" s="97"/>
    </row>
    <row r="59658" spans="25:25" x14ac:dyDescent="0.2">
      <c r="Y59658" s="97"/>
    </row>
    <row r="59659" spans="25:25" x14ac:dyDescent="0.2">
      <c r="Y59659" s="97"/>
    </row>
    <row r="59660" spans="25:25" x14ac:dyDescent="0.2">
      <c r="Y59660" s="97"/>
    </row>
    <row r="59661" spans="25:25" x14ac:dyDescent="0.2">
      <c r="Y59661" s="97"/>
    </row>
    <row r="59662" spans="25:25" x14ac:dyDescent="0.2">
      <c r="Y59662" s="97"/>
    </row>
    <row r="59663" spans="25:25" x14ac:dyDescent="0.2">
      <c r="Y59663" s="97"/>
    </row>
    <row r="59664" spans="25:25" x14ac:dyDescent="0.2">
      <c r="Y59664" s="97"/>
    </row>
    <row r="59665" spans="25:25" x14ac:dyDescent="0.2">
      <c r="Y59665" s="97"/>
    </row>
    <row r="59666" spans="25:25" x14ac:dyDescent="0.2">
      <c r="Y59666" s="97"/>
    </row>
    <row r="59667" spans="25:25" x14ac:dyDescent="0.2">
      <c r="Y59667" s="97"/>
    </row>
    <row r="59668" spans="25:25" x14ac:dyDescent="0.2">
      <c r="Y59668" s="97"/>
    </row>
    <row r="59669" spans="25:25" x14ac:dyDescent="0.2">
      <c r="Y59669" s="97"/>
    </row>
    <row r="59670" spans="25:25" x14ac:dyDescent="0.2">
      <c r="Y59670" s="97"/>
    </row>
    <row r="59671" spans="25:25" x14ac:dyDescent="0.2">
      <c r="Y59671" s="97"/>
    </row>
    <row r="59672" spans="25:25" x14ac:dyDescent="0.2">
      <c r="Y59672" s="97"/>
    </row>
    <row r="59673" spans="25:25" x14ac:dyDescent="0.2">
      <c r="Y59673" s="97"/>
    </row>
    <row r="59674" spans="25:25" x14ac:dyDescent="0.2">
      <c r="Y59674" s="97"/>
    </row>
    <row r="59675" spans="25:25" x14ac:dyDescent="0.2">
      <c r="Y59675" s="97"/>
    </row>
    <row r="59676" spans="25:25" x14ac:dyDescent="0.2">
      <c r="Y59676" s="97"/>
    </row>
    <row r="59677" spans="25:25" x14ac:dyDescent="0.2">
      <c r="Y59677" s="97"/>
    </row>
    <row r="59678" spans="25:25" x14ac:dyDescent="0.2">
      <c r="Y59678" s="97"/>
    </row>
    <row r="59679" spans="25:25" x14ac:dyDescent="0.2">
      <c r="Y59679" s="97"/>
    </row>
    <row r="59680" spans="25:25" x14ac:dyDescent="0.2">
      <c r="Y59680" s="97"/>
    </row>
    <row r="59681" spans="25:25" x14ac:dyDescent="0.2">
      <c r="Y59681" s="97"/>
    </row>
    <row r="59682" spans="25:25" x14ac:dyDescent="0.2">
      <c r="Y59682" s="97"/>
    </row>
    <row r="59683" spans="25:25" x14ac:dyDescent="0.2">
      <c r="Y59683" s="97"/>
    </row>
    <row r="59684" spans="25:25" x14ac:dyDescent="0.2">
      <c r="Y59684" s="97"/>
    </row>
    <row r="59685" spans="25:25" x14ac:dyDescent="0.2">
      <c r="Y59685" s="97"/>
    </row>
    <row r="59686" spans="25:25" x14ac:dyDescent="0.2">
      <c r="Y59686" s="97"/>
    </row>
    <row r="59687" spans="25:25" x14ac:dyDescent="0.2">
      <c r="Y59687" s="97"/>
    </row>
    <row r="59688" spans="25:25" x14ac:dyDescent="0.2">
      <c r="Y59688" s="97"/>
    </row>
    <row r="59689" spans="25:25" x14ac:dyDescent="0.2">
      <c r="Y59689" s="97"/>
    </row>
    <row r="59690" spans="25:25" x14ac:dyDescent="0.2">
      <c r="Y59690" s="97"/>
    </row>
    <row r="59691" spans="25:25" x14ac:dyDescent="0.2">
      <c r="Y59691" s="97"/>
    </row>
    <row r="59692" spans="25:25" x14ac:dyDescent="0.2">
      <c r="Y59692" s="97"/>
    </row>
    <row r="59693" spans="25:25" x14ac:dyDescent="0.2">
      <c r="Y59693" s="97"/>
    </row>
    <row r="59694" spans="25:25" x14ac:dyDescent="0.2">
      <c r="Y59694" s="97"/>
    </row>
    <row r="59695" spans="25:25" x14ac:dyDescent="0.2">
      <c r="Y59695" s="97"/>
    </row>
    <row r="59696" spans="25:25" x14ac:dyDescent="0.2">
      <c r="Y59696" s="97"/>
    </row>
    <row r="59697" spans="25:25" x14ac:dyDescent="0.2">
      <c r="Y59697" s="97"/>
    </row>
    <row r="59698" spans="25:25" x14ac:dyDescent="0.2">
      <c r="Y59698" s="97"/>
    </row>
    <row r="59699" spans="25:25" x14ac:dyDescent="0.2">
      <c r="Y59699" s="97"/>
    </row>
    <row r="59700" spans="25:25" x14ac:dyDescent="0.2">
      <c r="Y59700" s="97"/>
    </row>
    <row r="59701" spans="25:25" x14ac:dyDescent="0.2">
      <c r="Y59701" s="97"/>
    </row>
    <row r="59702" spans="25:25" x14ac:dyDescent="0.2">
      <c r="Y59702" s="97"/>
    </row>
    <row r="59703" spans="25:25" x14ac:dyDescent="0.2">
      <c r="Y59703" s="97"/>
    </row>
    <row r="59704" spans="25:25" x14ac:dyDescent="0.2">
      <c r="Y59704" s="97"/>
    </row>
    <row r="59705" spans="25:25" x14ac:dyDescent="0.2">
      <c r="Y59705" s="97"/>
    </row>
    <row r="59706" spans="25:25" x14ac:dyDescent="0.2">
      <c r="Y59706" s="97"/>
    </row>
    <row r="59707" spans="25:25" x14ac:dyDescent="0.2">
      <c r="Y59707" s="97"/>
    </row>
    <row r="59708" spans="25:25" x14ac:dyDescent="0.2">
      <c r="Y59708" s="97"/>
    </row>
    <row r="59709" spans="25:25" x14ac:dyDescent="0.2">
      <c r="Y59709" s="97"/>
    </row>
    <row r="59710" spans="25:25" x14ac:dyDescent="0.2">
      <c r="Y59710" s="97"/>
    </row>
    <row r="59711" spans="25:25" x14ac:dyDescent="0.2">
      <c r="Y59711" s="97"/>
    </row>
    <row r="59712" spans="25:25" x14ac:dyDescent="0.2">
      <c r="Y59712" s="97"/>
    </row>
    <row r="59713" spans="25:25" x14ac:dyDescent="0.2">
      <c r="Y59713" s="97"/>
    </row>
    <row r="59714" spans="25:25" x14ac:dyDescent="0.2">
      <c r="Y59714" s="97"/>
    </row>
    <row r="59715" spans="25:25" x14ac:dyDescent="0.2">
      <c r="Y59715" s="97"/>
    </row>
    <row r="59716" spans="25:25" x14ac:dyDescent="0.2">
      <c r="Y59716" s="97"/>
    </row>
    <row r="59717" spans="25:25" x14ac:dyDescent="0.2">
      <c r="Y59717" s="97"/>
    </row>
    <row r="59718" spans="25:25" x14ac:dyDescent="0.2">
      <c r="Y59718" s="97"/>
    </row>
    <row r="59719" spans="25:25" x14ac:dyDescent="0.2">
      <c r="Y59719" s="97"/>
    </row>
    <row r="59720" spans="25:25" x14ac:dyDescent="0.2">
      <c r="Y59720" s="97"/>
    </row>
    <row r="59721" spans="25:25" x14ac:dyDescent="0.2">
      <c r="Y59721" s="97"/>
    </row>
    <row r="59722" spans="25:25" x14ac:dyDescent="0.2">
      <c r="Y59722" s="97"/>
    </row>
    <row r="59723" spans="25:25" x14ac:dyDescent="0.2">
      <c r="Y59723" s="97"/>
    </row>
    <row r="59724" spans="25:25" x14ac:dyDescent="0.2">
      <c r="Y59724" s="97"/>
    </row>
    <row r="59725" spans="25:25" x14ac:dyDescent="0.2">
      <c r="Y59725" s="97"/>
    </row>
    <row r="59726" spans="25:25" x14ac:dyDescent="0.2">
      <c r="Y59726" s="97"/>
    </row>
    <row r="59727" spans="25:25" x14ac:dyDescent="0.2">
      <c r="Y59727" s="97"/>
    </row>
    <row r="59728" spans="25:25" x14ac:dyDescent="0.2">
      <c r="Y59728" s="97"/>
    </row>
    <row r="59729" spans="25:25" x14ac:dyDescent="0.2">
      <c r="Y59729" s="97"/>
    </row>
    <row r="59730" spans="25:25" x14ac:dyDescent="0.2">
      <c r="Y59730" s="97"/>
    </row>
    <row r="59731" spans="25:25" x14ac:dyDescent="0.2">
      <c r="Y59731" s="97"/>
    </row>
    <row r="59732" spans="25:25" x14ac:dyDescent="0.2">
      <c r="Y59732" s="97"/>
    </row>
    <row r="59733" spans="25:25" x14ac:dyDescent="0.2">
      <c r="Y59733" s="97"/>
    </row>
    <row r="59734" spans="25:25" x14ac:dyDescent="0.2">
      <c r="Y59734" s="97"/>
    </row>
    <row r="59735" spans="25:25" x14ac:dyDescent="0.2">
      <c r="Y59735" s="97"/>
    </row>
    <row r="59736" spans="25:25" x14ac:dyDescent="0.2">
      <c r="Y59736" s="97"/>
    </row>
    <row r="59737" spans="25:25" x14ac:dyDescent="0.2">
      <c r="Y59737" s="97"/>
    </row>
    <row r="59738" spans="25:25" x14ac:dyDescent="0.2">
      <c r="Y59738" s="97"/>
    </row>
    <row r="59739" spans="25:25" x14ac:dyDescent="0.2">
      <c r="Y59739" s="97"/>
    </row>
    <row r="59740" spans="25:25" x14ac:dyDescent="0.2">
      <c r="Y59740" s="97"/>
    </row>
    <row r="59741" spans="25:25" x14ac:dyDescent="0.2">
      <c r="Y59741" s="97"/>
    </row>
    <row r="59742" spans="25:25" x14ac:dyDescent="0.2">
      <c r="Y59742" s="97"/>
    </row>
    <row r="59743" spans="25:25" x14ac:dyDescent="0.2">
      <c r="Y59743" s="97"/>
    </row>
    <row r="59744" spans="25:25" x14ac:dyDescent="0.2">
      <c r="Y59744" s="97"/>
    </row>
    <row r="59745" spans="25:25" x14ac:dyDescent="0.2">
      <c r="Y59745" s="97"/>
    </row>
    <row r="59746" spans="25:25" x14ac:dyDescent="0.2">
      <c r="Y59746" s="97"/>
    </row>
    <row r="59747" spans="25:25" x14ac:dyDescent="0.2">
      <c r="Y59747" s="97"/>
    </row>
    <row r="59748" spans="25:25" x14ac:dyDescent="0.2">
      <c r="Y59748" s="97"/>
    </row>
    <row r="59749" spans="25:25" x14ac:dyDescent="0.2">
      <c r="Y59749" s="97"/>
    </row>
    <row r="59750" spans="25:25" x14ac:dyDescent="0.2">
      <c r="Y59750" s="97"/>
    </row>
    <row r="59751" spans="25:25" x14ac:dyDescent="0.2">
      <c r="Y59751" s="97"/>
    </row>
    <row r="59752" spans="25:25" x14ac:dyDescent="0.2">
      <c r="Y59752" s="97"/>
    </row>
    <row r="59753" spans="25:25" x14ac:dyDescent="0.2">
      <c r="Y59753" s="97"/>
    </row>
    <row r="59754" spans="25:25" x14ac:dyDescent="0.2">
      <c r="Y59754" s="97"/>
    </row>
    <row r="59755" spans="25:25" x14ac:dyDescent="0.2">
      <c r="Y59755" s="97"/>
    </row>
    <row r="59756" spans="25:25" x14ac:dyDescent="0.2">
      <c r="Y59756" s="97"/>
    </row>
    <row r="59757" spans="25:25" x14ac:dyDescent="0.2">
      <c r="Y59757" s="97"/>
    </row>
    <row r="59758" spans="25:25" x14ac:dyDescent="0.2">
      <c r="Y59758" s="97"/>
    </row>
    <row r="59759" spans="25:25" x14ac:dyDescent="0.2">
      <c r="Y59759" s="97"/>
    </row>
    <row r="59760" spans="25:25" x14ac:dyDescent="0.2">
      <c r="Y59760" s="97"/>
    </row>
    <row r="59761" spans="25:25" x14ac:dyDescent="0.2">
      <c r="Y59761" s="97"/>
    </row>
    <row r="59762" spans="25:25" x14ac:dyDescent="0.2">
      <c r="Y59762" s="97"/>
    </row>
    <row r="59763" spans="25:25" x14ac:dyDescent="0.2">
      <c r="Y59763" s="97"/>
    </row>
    <row r="59764" spans="25:25" x14ac:dyDescent="0.2">
      <c r="Y59764" s="97"/>
    </row>
    <row r="59765" spans="25:25" x14ac:dyDescent="0.2">
      <c r="Y59765" s="97"/>
    </row>
    <row r="59766" spans="25:25" x14ac:dyDescent="0.2">
      <c r="Y59766" s="97"/>
    </row>
    <row r="59767" spans="25:25" x14ac:dyDescent="0.2">
      <c r="Y59767" s="97"/>
    </row>
    <row r="59768" spans="25:25" x14ac:dyDescent="0.2">
      <c r="Y59768" s="97"/>
    </row>
    <row r="59769" spans="25:25" x14ac:dyDescent="0.2">
      <c r="Y59769" s="97"/>
    </row>
    <row r="59770" spans="25:25" x14ac:dyDescent="0.2">
      <c r="Y59770" s="97"/>
    </row>
    <row r="59771" spans="25:25" x14ac:dyDescent="0.2">
      <c r="Y59771" s="97"/>
    </row>
    <row r="59772" spans="25:25" x14ac:dyDescent="0.2">
      <c r="Y59772" s="97"/>
    </row>
    <row r="59773" spans="25:25" x14ac:dyDescent="0.2">
      <c r="Y59773" s="97"/>
    </row>
    <row r="59774" spans="25:25" x14ac:dyDescent="0.2">
      <c r="Y59774" s="97"/>
    </row>
    <row r="59775" spans="25:25" x14ac:dyDescent="0.2">
      <c r="Y59775" s="97"/>
    </row>
    <row r="59776" spans="25:25" x14ac:dyDescent="0.2">
      <c r="Y59776" s="97"/>
    </row>
    <row r="59777" spans="25:25" x14ac:dyDescent="0.2">
      <c r="Y59777" s="97"/>
    </row>
    <row r="59778" spans="25:25" x14ac:dyDescent="0.2">
      <c r="Y59778" s="97"/>
    </row>
    <row r="59779" spans="25:25" x14ac:dyDescent="0.2">
      <c r="Y59779" s="97"/>
    </row>
    <row r="59780" spans="25:25" x14ac:dyDescent="0.2">
      <c r="Y59780" s="97"/>
    </row>
    <row r="59781" spans="25:25" x14ac:dyDescent="0.2">
      <c r="Y59781" s="97"/>
    </row>
    <row r="59782" spans="25:25" x14ac:dyDescent="0.2">
      <c r="Y59782" s="97"/>
    </row>
    <row r="59783" spans="25:25" x14ac:dyDescent="0.2">
      <c r="Y59783" s="97"/>
    </row>
    <row r="59784" spans="25:25" x14ac:dyDescent="0.2">
      <c r="Y59784" s="97"/>
    </row>
    <row r="59785" spans="25:25" x14ac:dyDescent="0.2">
      <c r="Y59785" s="97"/>
    </row>
    <row r="59786" spans="25:25" x14ac:dyDescent="0.2">
      <c r="Y59786" s="97"/>
    </row>
    <row r="59787" spans="25:25" x14ac:dyDescent="0.2">
      <c r="Y59787" s="97"/>
    </row>
    <row r="59788" spans="25:25" x14ac:dyDescent="0.2">
      <c r="Y59788" s="97"/>
    </row>
    <row r="59789" spans="25:25" x14ac:dyDescent="0.2">
      <c r="Y59789" s="97"/>
    </row>
    <row r="59790" spans="25:25" x14ac:dyDescent="0.2">
      <c r="Y59790" s="97"/>
    </row>
    <row r="59791" spans="25:25" x14ac:dyDescent="0.2">
      <c r="Y59791" s="97"/>
    </row>
    <row r="59792" spans="25:25" x14ac:dyDescent="0.2">
      <c r="Y59792" s="97"/>
    </row>
    <row r="59793" spans="25:25" x14ac:dyDescent="0.2">
      <c r="Y59793" s="97"/>
    </row>
    <row r="59794" spans="25:25" x14ac:dyDescent="0.2">
      <c r="Y59794" s="97"/>
    </row>
    <row r="59795" spans="25:25" x14ac:dyDescent="0.2">
      <c r="Y59795" s="97"/>
    </row>
    <row r="59796" spans="25:25" x14ac:dyDescent="0.2">
      <c r="Y59796" s="97"/>
    </row>
    <row r="59797" spans="25:25" x14ac:dyDescent="0.2">
      <c r="Y59797" s="97"/>
    </row>
    <row r="59798" spans="25:25" x14ac:dyDescent="0.2">
      <c r="Y59798" s="97"/>
    </row>
    <row r="59799" spans="25:25" x14ac:dyDescent="0.2">
      <c r="Y59799" s="97"/>
    </row>
    <row r="59800" spans="25:25" x14ac:dyDescent="0.2">
      <c r="Y59800" s="97"/>
    </row>
    <row r="59801" spans="25:25" x14ac:dyDescent="0.2">
      <c r="Y59801" s="97"/>
    </row>
    <row r="59802" spans="25:25" x14ac:dyDescent="0.2">
      <c r="Y59802" s="97"/>
    </row>
    <row r="59803" spans="25:25" x14ac:dyDescent="0.2">
      <c r="Y59803" s="97"/>
    </row>
    <row r="59804" spans="25:25" x14ac:dyDescent="0.2">
      <c r="Y59804" s="97"/>
    </row>
    <row r="59805" spans="25:25" x14ac:dyDescent="0.2">
      <c r="Y59805" s="97"/>
    </row>
    <row r="59806" spans="25:25" x14ac:dyDescent="0.2">
      <c r="Y59806" s="97"/>
    </row>
    <row r="59807" spans="25:25" x14ac:dyDescent="0.2">
      <c r="Y59807" s="97"/>
    </row>
    <row r="59808" spans="25:25" x14ac:dyDescent="0.2">
      <c r="Y59808" s="97"/>
    </row>
    <row r="59809" spans="25:25" x14ac:dyDescent="0.2">
      <c r="Y59809" s="97"/>
    </row>
    <row r="59810" spans="25:25" x14ac:dyDescent="0.2">
      <c r="Y59810" s="97"/>
    </row>
    <row r="59811" spans="25:25" x14ac:dyDescent="0.2">
      <c r="Y59811" s="97"/>
    </row>
    <row r="59812" spans="25:25" x14ac:dyDescent="0.2">
      <c r="Y59812" s="97"/>
    </row>
    <row r="59813" spans="25:25" x14ac:dyDescent="0.2">
      <c r="Y59813" s="97"/>
    </row>
    <row r="59814" spans="25:25" x14ac:dyDescent="0.2">
      <c r="Y59814" s="97"/>
    </row>
    <row r="59815" spans="25:25" x14ac:dyDescent="0.2">
      <c r="Y59815" s="97"/>
    </row>
    <row r="59816" spans="25:25" x14ac:dyDescent="0.2">
      <c r="Y59816" s="97"/>
    </row>
    <row r="59817" spans="25:25" x14ac:dyDescent="0.2">
      <c r="Y59817" s="97"/>
    </row>
    <row r="59818" spans="25:25" x14ac:dyDescent="0.2">
      <c r="Y59818" s="97"/>
    </row>
    <row r="59819" spans="25:25" x14ac:dyDescent="0.2">
      <c r="Y59819" s="97"/>
    </row>
    <row r="59820" spans="25:25" x14ac:dyDescent="0.2">
      <c r="Y59820" s="97"/>
    </row>
    <row r="59821" spans="25:25" x14ac:dyDescent="0.2">
      <c r="Y59821" s="97"/>
    </row>
    <row r="59822" spans="25:25" x14ac:dyDescent="0.2">
      <c r="Y59822" s="97"/>
    </row>
    <row r="59823" spans="25:25" x14ac:dyDescent="0.2">
      <c r="Y59823" s="97"/>
    </row>
    <row r="59824" spans="25:25" x14ac:dyDescent="0.2">
      <c r="Y59824" s="97"/>
    </row>
    <row r="59825" spans="25:25" x14ac:dyDescent="0.2">
      <c r="Y59825" s="97"/>
    </row>
    <row r="59826" spans="25:25" x14ac:dyDescent="0.2">
      <c r="Y59826" s="97"/>
    </row>
    <row r="59827" spans="25:25" x14ac:dyDescent="0.2">
      <c r="Y59827" s="97"/>
    </row>
    <row r="59828" spans="25:25" x14ac:dyDescent="0.2">
      <c r="Y59828" s="97"/>
    </row>
    <row r="59829" spans="25:25" x14ac:dyDescent="0.2">
      <c r="Y59829" s="97"/>
    </row>
    <row r="59830" spans="25:25" x14ac:dyDescent="0.2">
      <c r="Y59830" s="97"/>
    </row>
    <row r="59831" spans="25:25" x14ac:dyDescent="0.2">
      <c r="Y59831" s="97"/>
    </row>
    <row r="59832" spans="25:25" x14ac:dyDescent="0.2">
      <c r="Y59832" s="97"/>
    </row>
    <row r="59833" spans="25:25" x14ac:dyDescent="0.2">
      <c r="Y59833" s="97"/>
    </row>
    <row r="59834" spans="25:25" x14ac:dyDescent="0.2">
      <c r="Y59834" s="97"/>
    </row>
    <row r="59835" spans="25:25" x14ac:dyDescent="0.2">
      <c r="Y59835" s="97"/>
    </row>
    <row r="59836" spans="25:25" x14ac:dyDescent="0.2">
      <c r="Y59836" s="97"/>
    </row>
    <row r="59837" spans="25:25" x14ac:dyDescent="0.2">
      <c r="Y59837" s="97"/>
    </row>
    <row r="59838" spans="25:25" x14ac:dyDescent="0.2">
      <c r="Y59838" s="97"/>
    </row>
    <row r="59839" spans="25:25" x14ac:dyDescent="0.2">
      <c r="Y59839" s="97"/>
    </row>
    <row r="59840" spans="25:25" x14ac:dyDescent="0.2">
      <c r="Y59840" s="97"/>
    </row>
    <row r="59841" spans="25:25" x14ac:dyDescent="0.2">
      <c r="Y59841" s="97"/>
    </row>
    <row r="59842" spans="25:25" x14ac:dyDescent="0.2">
      <c r="Y59842" s="97"/>
    </row>
    <row r="59843" spans="25:25" x14ac:dyDescent="0.2">
      <c r="Y59843" s="97"/>
    </row>
    <row r="59844" spans="25:25" x14ac:dyDescent="0.2">
      <c r="Y59844" s="97"/>
    </row>
    <row r="59845" spans="25:25" x14ac:dyDescent="0.2">
      <c r="Y59845" s="97"/>
    </row>
    <row r="59846" spans="25:25" x14ac:dyDescent="0.2">
      <c r="Y59846" s="97"/>
    </row>
    <row r="59847" spans="25:25" x14ac:dyDescent="0.2">
      <c r="Y59847" s="97"/>
    </row>
    <row r="59848" spans="25:25" x14ac:dyDescent="0.2">
      <c r="Y59848" s="97"/>
    </row>
    <row r="59849" spans="25:25" x14ac:dyDescent="0.2">
      <c r="Y59849" s="97"/>
    </row>
    <row r="59850" spans="25:25" x14ac:dyDescent="0.2">
      <c r="Y59850" s="97"/>
    </row>
    <row r="59851" spans="25:25" x14ac:dyDescent="0.2">
      <c r="Y59851" s="97"/>
    </row>
    <row r="59852" spans="25:25" x14ac:dyDescent="0.2">
      <c r="Y59852" s="97"/>
    </row>
    <row r="59853" spans="25:25" x14ac:dyDescent="0.2">
      <c r="Y59853" s="97"/>
    </row>
    <row r="59854" spans="25:25" x14ac:dyDescent="0.2">
      <c r="Y59854" s="97"/>
    </row>
    <row r="59855" spans="25:25" x14ac:dyDescent="0.2">
      <c r="Y59855" s="97"/>
    </row>
    <row r="59856" spans="25:25" x14ac:dyDescent="0.2">
      <c r="Y59856" s="97"/>
    </row>
    <row r="59857" spans="25:25" x14ac:dyDescent="0.2">
      <c r="Y59857" s="97"/>
    </row>
    <row r="59858" spans="25:25" x14ac:dyDescent="0.2">
      <c r="Y59858" s="97"/>
    </row>
    <row r="59859" spans="25:25" x14ac:dyDescent="0.2">
      <c r="Y59859" s="97"/>
    </row>
    <row r="59860" spans="25:25" x14ac:dyDescent="0.2">
      <c r="Y59860" s="97"/>
    </row>
    <row r="59861" spans="25:25" x14ac:dyDescent="0.2">
      <c r="Y59861" s="97"/>
    </row>
    <row r="59862" spans="25:25" x14ac:dyDescent="0.2">
      <c r="Y59862" s="97"/>
    </row>
    <row r="59863" spans="25:25" x14ac:dyDescent="0.2">
      <c r="Y59863" s="97"/>
    </row>
    <row r="59864" spans="25:25" x14ac:dyDescent="0.2">
      <c r="Y59864" s="97"/>
    </row>
    <row r="59865" spans="25:25" x14ac:dyDescent="0.2">
      <c r="Y59865" s="97"/>
    </row>
    <row r="59866" spans="25:25" x14ac:dyDescent="0.2">
      <c r="Y59866" s="97"/>
    </row>
    <row r="59867" spans="25:25" x14ac:dyDescent="0.2">
      <c r="Y59867" s="97"/>
    </row>
    <row r="59868" spans="25:25" x14ac:dyDescent="0.2">
      <c r="Y59868" s="97"/>
    </row>
    <row r="59869" spans="25:25" x14ac:dyDescent="0.2">
      <c r="Y59869" s="97"/>
    </row>
    <row r="59870" spans="25:25" x14ac:dyDescent="0.2">
      <c r="Y59870" s="97"/>
    </row>
    <row r="59871" spans="25:25" x14ac:dyDescent="0.2">
      <c r="Y59871" s="97"/>
    </row>
    <row r="59872" spans="25:25" x14ac:dyDescent="0.2">
      <c r="Y59872" s="97"/>
    </row>
    <row r="59873" spans="25:25" x14ac:dyDescent="0.2">
      <c r="Y59873" s="97"/>
    </row>
    <row r="59874" spans="25:25" x14ac:dyDescent="0.2">
      <c r="Y59874" s="97"/>
    </row>
    <row r="59875" spans="25:25" x14ac:dyDescent="0.2">
      <c r="Y59875" s="97"/>
    </row>
    <row r="59876" spans="25:25" x14ac:dyDescent="0.2">
      <c r="Y59876" s="97"/>
    </row>
    <row r="59877" spans="25:25" x14ac:dyDescent="0.2">
      <c r="Y59877" s="97"/>
    </row>
    <row r="59878" spans="25:25" x14ac:dyDescent="0.2">
      <c r="Y59878" s="97"/>
    </row>
    <row r="59879" spans="25:25" x14ac:dyDescent="0.2">
      <c r="Y59879" s="97"/>
    </row>
    <row r="59880" spans="25:25" x14ac:dyDescent="0.2">
      <c r="Y59880" s="97"/>
    </row>
    <row r="59881" spans="25:25" x14ac:dyDescent="0.2">
      <c r="Y59881" s="97"/>
    </row>
    <row r="59882" spans="25:25" x14ac:dyDescent="0.2">
      <c r="Y59882" s="97"/>
    </row>
    <row r="59883" spans="25:25" x14ac:dyDescent="0.2">
      <c r="Y59883" s="97"/>
    </row>
    <row r="59884" spans="25:25" x14ac:dyDescent="0.2">
      <c r="Y59884" s="97"/>
    </row>
    <row r="59885" spans="25:25" x14ac:dyDescent="0.2">
      <c r="Y59885" s="97"/>
    </row>
    <row r="59886" spans="25:25" x14ac:dyDescent="0.2">
      <c r="Y59886" s="97"/>
    </row>
    <row r="59887" spans="25:25" x14ac:dyDescent="0.2">
      <c r="Y59887" s="97"/>
    </row>
    <row r="59888" spans="25:25" x14ac:dyDescent="0.2">
      <c r="Y59888" s="97"/>
    </row>
    <row r="59889" spans="25:25" x14ac:dyDescent="0.2">
      <c r="Y59889" s="97"/>
    </row>
    <row r="59890" spans="25:25" x14ac:dyDescent="0.2">
      <c r="Y59890" s="97"/>
    </row>
    <row r="59891" spans="25:25" x14ac:dyDescent="0.2">
      <c r="Y59891" s="97"/>
    </row>
    <row r="59892" spans="25:25" x14ac:dyDescent="0.2">
      <c r="Y59892" s="97"/>
    </row>
    <row r="59893" spans="25:25" x14ac:dyDescent="0.2">
      <c r="Y59893" s="97"/>
    </row>
    <row r="59894" spans="25:25" x14ac:dyDescent="0.2">
      <c r="Y59894" s="97"/>
    </row>
    <row r="59895" spans="25:25" x14ac:dyDescent="0.2">
      <c r="Y59895" s="97"/>
    </row>
    <row r="59896" spans="25:25" x14ac:dyDescent="0.2">
      <c r="Y59896" s="97"/>
    </row>
    <row r="59897" spans="25:25" x14ac:dyDescent="0.2">
      <c r="Y59897" s="97"/>
    </row>
    <row r="59898" spans="25:25" x14ac:dyDescent="0.2">
      <c r="Y59898" s="97"/>
    </row>
    <row r="59899" spans="25:25" x14ac:dyDescent="0.2">
      <c r="Y59899" s="97"/>
    </row>
    <row r="59900" spans="25:25" x14ac:dyDescent="0.2">
      <c r="Y59900" s="97"/>
    </row>
    <row r="59901" spans="25:25" x14ac:dyDescent="0.2">
      <c r="Y59901" s="97"/>
    </row>
    <row r="59902" spans="25:25" x14ac:dyDescent="0.2">
      <c r="Y59902" s="97"/>
    </row>
    <row r="59903" spans="25:25" x14ac:dyDescent="0.2">
      <c r="Y59903" s="97"/>
    </row>
    <row r="59904" spans="25:25" x14ac:dyDescent="0.2">
      <c r="Y59904" s="97"/>
    </row>
    <row r="59905" spans="25:25" x14ac:dyDescent="0.2">
      <c r="Y59905" s="97"/>
    </row>
    <row r="59906" spans="25:25" x14ac:dyDescent="0.2">
      <c r="Y59906" s="97"/>
    </row>
    <row r="59907" spans="25:25" x14ac:dyDescent="0.2">
      <c r="Y59907" s="97"/>
    </row>
    <row r="59908" spans="25:25" x14ac:dyDescent="0.2">
      <c r="Y59908" s="97"/>
    </row>
    <row r="59909" spans="25:25" x14ac:dyDescent="0.2">
      <c r="Y59909" s="97"/>
    </row>
    <row r="59910" spans="25:25" x14ac:dyDescent="0.2">
      <c r="Y59910" s="97"/>
    </row>
    <row r="59911" spans="25:25" x14ac:dyDescent="0.2">
      <c r="Y59911" s="97"/>
    </row>
    <row r="59912" spans="25:25" x14ac:dyDescent="0.2">
      <c r="Y59912" s="97"/>
    </row>
    <row r="59913" spans="25:25" x14ac:dyDescent="0.2">
      <c r="Y59913" s="97"/>
    </row>
    <row r="59914" spans="25:25" x14ac:dyDescent="0.2">
      <c r="Y59914" s="97"/>
    </row>
    <row r="59915" spans="25:25" x14ac:dyDescent="0.2">
      <c r="Y59915" s="97"/>
    </row>
    <row r="59916" spans="25:25" x14ac:dyDescent="0.2">
      <c r="Y59916" s="97"/>
    </row>
    <row r="59917" spans="25:25" x14ac:dyDescent="0.2">
      <c r="Y59917" s="97"/>
    </row>
    <row r="59918" spans="25:25" x14ac:dyDescent="0.2">
      <c r="Y59918" s="97"/>
    </row>
    <row r="59919" spans="25:25" x14ac:dyDescent="0.2">
      <c r="Y59919" s="97"/>
    </row>
    <row r="59920" spans="25:25" x14ac:dyDescent="0.2">
      <c r="Y59920" s="97"/>
    </row>
    <row r="59921" spans="25:25" x14ac:dyDescent="0.2">
      <c r="Y59921" s="97"/>
    </row>
    <row r="59922" spans="25:25" x14ac:dyDescent="0.2">
      <c r="Y59922" s="97"/>
    </row>
    <row r="59923" spans="25:25" x14ac:dyDescent="0.2">
      <c r="Y59923" s="97"/>
    </row>
    <row r="59924" spans="25:25" x14ac:dyDescent="0.2">
      <c r="Y59924" s="97"/>
    </row>
    <row r="59925" spans="25:25" x14ac:dyDescent="0.2">
      <c r="Y59925" s="97"/>
    </row>
    <row r="59926" spans="25:25" x14ac:dyDescent="0.2">
      <c r="Y59926" s="97"/>
    </row>
    <row r="59927" spans="25:25" x14ac:dyDescent="0.2">
      <c r="Y59927" s="97"/>
    </row>
    <row r="59928" spans="25:25" x14ac:dyDescent="0.2">
      <c r="Y59928" s="97"/>
    </row>
    <row r="59929" spans="25:25" x14ac:dyDescent="0.2">
      <c r="Y59929" s="97"/>
    </row>
    <row r="59930" spans="25:25" x14ac:dyDescent="0.2">
      <c r="Y59930" s="97"/>
    </row>
    <row r="59931" spans="25:25" x14ac:dyDescent="0.2">
      <c r="Y59931" s="97"/>
    </row>
    <row r="59932" spans="25:25" x14ac:dyDescent="0.2">
      <c r="Y59932" s="97"/>
    </row>
    <row r="59933" spans="25:25" x14ac:dyDescent="0.2">
      <c r="Y59933" s="97"/>
    </row>
    <row r="59934" spans="25:25" x14ac:dyDescent="0.2">
      <c r="Y59934" s="97"/>
    </row>
    <row r="59935" spans="25:25" x14ac:dyDescent="0.2">
      <c r="Y59935" s="97"/>
    </row>
    <row r="59936" spans="25:25" x14ac:dyDescent="0.2">
      <c r="Y59936" s="97"/>
    </row>
    <row r="59937" spans="25:25" x14ac:dyDescent="0.2">
      <c r="Y59937" s="97"/>
    </row>
    <row r="59938" spans="25:25" x14ac:dyDescent="0.2">
      <c r="Y59938" s="97"/>
    </row>
    <row r="59939" spans="25:25" x14ac:dyDescent="0.2">
      <c r="Y59939" s="97"/>
    </row>
    <row r="59940" spans="25:25" x14ac:dyDescent="0.2">
      <c r="Y59940" s="97"/>
    </row>
    <row r="59941" spans="25:25" x14ac:dyDescent="0.2">
      <c r="Y59941" s="97"/>
    </row>
    <row r="59942" spans="25:25" x14ac:dyDescent="0.2">
      <c r="Y59942" s="97"/>
    </row>
    <row r="59943" spans="25:25" x14ac:dyDescent="0.2">
      <c r="Y59943" s="97"/>
    </row>
    <row r="59944" spans="25:25" x14ac:dyDescent="0.2">
      <c r="Y59944" s="97"/>
    </row>
    <row r="59945" spans="25:25" x14ac:dyDescent="0.2">
      <c r="Y59945" s="97"/>
    </row>
    <row r="59946" spans="25:25" x14ac:dyDescent="0.2">
      <c r="Y59946" s="97"/>
    </row>
    <row r="59947" spans="25:25" x14ac:dyDescent="0.2">
      <c r="Y59947" s="97"/>
    </row>
    <row r="59948" spans="25:25" x14ac:dyDescent="0.2">
      <c r="Y59948" s="97"/>
    </row>
    <row r="59949" spans="25:25" x14ac:dyDescent="0.2">
      <c r="Y59949" s="97"/>
    </row>
    <row r="59950" spans="25:25" x14ac:dyDescent="0.2">
      <c r="Y59950" s="97"/>
    </row>
    <row r="59951" spans="25:25" x14ac:dyDescent="0.2">
      <c r="Y59951" s="97"/>
    </row>
    <row r="59952" spans="25:25" x14ac:dyDescent="0.2">
      <c r="Y59952" s="97"/>
    </row>
    <row r="59953" spans="25:25" x14ac:dyDescent="0.2">
      <c r="Y59953" s="97"/>
    </row>
    <row r="59954" spans="25:25" x14ac:dyDescent="0.2">
      <c r="Y59954" s="97"/>
    </row>
    <row r="59955" spans="25:25" x14ac:dyDescent="0.2">
      <c r="Y59955" s="97"/>
    </row>
    <row r="59956" spans="25:25" x14ac:dyDescent="0.2">
      <c r="Y59956" s="97"/>
    </row>
    <row r="59957" spans="25:25" x14ac:dyDescent="0.2">
      <c r="Y59957" s="97"/>
    </row>
    <row r="59958" spans="25:25" x14ac:dyDescent="0.2">
      <c r="Y59958" s="97"/>
    </row>
    <row r="59959" spans="25:25" x14ac:dyDescent="0.2">
      <c r="Y59959" s="97"/>
    </row>
    <row r="59960" spans="25:25" x14ac:dyDescent="0.2">
      <c r="Y59960" s="97"/>
    </row>
    <row r="59961" spans="25:25" x14ac:dyDescent="0.2">
      <c r="Y59961" s="97"/>
    </row>
    <row r="59962" spans="25:25" x14ac:dyDescent="0.2">
      <c r="Y59962" s="97"/>
    </row>
    <row r="59963" spans="25:25" x14ac:dyDescent="0.2">
      <c r="Y59963" s="97"/>
    </row>
    <row r="59964" spans="25:25" x14ac:dyDescent="0.2">
      <c r="Y59964" s="97"/>
    </row>
    <row r="59965" spans="25:25" x14ac:dyDescent="0.2">
      <c r="Y59965" s="97"/>
    </row>
    <row r="59966" spans="25:25" x14ac:dyDescent="0.2">
      <c r="Y59966" s="97"/>
    </row>
    <row r="59967" spans="25:25" x14ac:dyDescent="0.2">
      <c r="Y59967" s="97"/>
    </row>
    <row r="59968" spans="25:25" x14ac:dyDescent="0.2">
      <c r="Y59968" s="97"/>
    </row>
    <row r="59969" spans="25:25" x14ac:dyDescent="0.2">
      <c r="Y59969" s="97"/>
    </row>
    <row r="59970" spans="25:25" x14ac:dyDescent="0.2">
      <c r="Y59970" s="97"/>
    </row>
    <row r="59971" spans="25:25" x14ac:dyDescent="0.2">
      <c r="Y59971" s="97"/>
    </row>
    <row r="59972" spans="25:25" x14ac:dyDescent="0.2">
      <c r="Y59972" s="97"/>
    </row>
    <row r="59973" spans="25:25" x14ac:dyDescent="0.2">
      <c r="Y59973" s="97"/>
    </row>
    <row r="59974" spans="25:25" x14ac:dyDescent="0.2">
      <c r="Y59974" s="97"/>
    </row>
    <row r="59975" spans="25:25" x14ac:dyDescent="0.2">
      <c r="Y59975" s="97"/>
    </row>
    <row r="59976" spans="25:25" x14ac:dyDescent="0.2">
      <c r="Y59976" s="97"/>
    </row>
    <row r="59977" spans="25:25" x14ac:dyDescent="0.2">
      <c r="Y59977" s="97"/>
    </row>
    <row r="59978" spans="25:25" x14ac:dyDescent="0.2">
      <c r="Y59978" s="97"/>
    </row>
    <row r="59979" spans="25:25" x14ac:dyDescent="0.2">
      <c r="Y59979" s="97"/>
    </row>
    <row r="59980" spans="25:25" x14ac:dyDescent="0.2">
      <c r="Y59980" s="97"/>
    </row>
    <row r="59981" spans="25:25" x14ac:dyDescent="0.2">
      <c r="Y59981" s="97"/>
    </row>
    <row r="59982" spans="25:25" x14ac:dyDescent="0.2">
      <c r="Y59982" s="97"/>
    </row>
    <row r="59983" spans="25:25" x14ac:dyDescent="0.2">
      <c r="Y59983" s="97"/>
    </row>
    <row r="59984" spans="25:25" x14ac:dyDescent="0.2">
      <c r="Y59984" s="97"/>
    </row>
    <row r="59985" spans="25:25" x14ac:dyDescent="0.2">
      <c r="Y59985" s="97"/>
    </row>
    <row r="59986" spans="25:25" x14ac:dyDescent="0.2">
      <c r="Y59986" s="97"/>
    </row>
    <row r="59987" spans="25:25" x14ac:dyDescent="0.2">
      <c r="Y59987" s="97"/>
    </row>
    <row r="59988" spans="25:25" x14ac:dyDescent="0.2">
      <c r="Y59988" s="97"/>
    </row>
    <row r="59989" spans="25:25" x14ac:dyDescent="0.2">
      <c r="Y59989" s="97"/>
    </row>
    <row r="59990" spans="25:25" x14ac:dyDescent="0.2">
      <c r="Y59990" s="97"/>
    </row>
    <row r="59991" spans="25:25" x14ac:dyDescent="0.2">
      <c r="Y59991" s="97"/>
    </row>
    <row r="59992" spans="25:25" x14ac:dyDescent="0.2">
      <c r="Y59992" s="97"/>
    </row>
    <row r="59993" spans="25:25" x14ac:dyDescent="0.2">
      <c r="Y59993" s="97"/>
    </row>
    <row r="59994" spans="25:25" x14ac:dyDescent="0.2">
      <c r="Y59994" s="97"/>
    </row>
    <row r="59995" spans="25:25" x14ac:dyDescent="0.2">
      <c r="Y59995" s="97"/>
    </row>
    <row r="59996" spans="25:25" x14ac:dyDescent="0.2">
      <c r="Y59996" s="97"/>
    </row>
    <row r="59997" spans="25:25" x14ac:dyDescent="0.2">
      <c r="Y59997" s="97"/>
    </row>
    <row r="59998" spans="25:25" x14ac:dyDescent="0.2">
      <c r="Y59998" s="97"/>
    </row>
    <row r="59999" spans="25:25" x14ac:dyDescent="0.2">
      <c r="Y59999" s="97"/>
    </row>
    <row r="60000" spans="25:25" x14ac:dyDescent="0.2">
      <c r="Y60000" s="97"/>
    </row>
    <row r="60001" spans="25:25" x14ac:dyDescent="0.2">
      <c r="Y60001" s="97"/>
    </row>
    <row r="60002" spans="25:25" x14ac:dyDescent="0.2">
      <c r="Y60002" s="97"/>
    </row>
    <row r="60003" spans="25:25" x14ac:dyDescent="0.2">
      <c r="Y60003" s="97"/>
    </row>
    <row r="60004" spans="25:25" x14ac:dyDescent="0.2">
      <c r="Y60004" s="97"/>
    </row>
    <row r="60005" spans="25:25" x14ac:dyDescent="0.2">
      <c r="Y60005" s="97"/>
    </row>
    <row r="60006" spans="25:25" x14ac:dyDescent="0.2">
      <c r="Y60006" s="97"/>
    </row>
    <row r="60007" spans="25:25" x14ac:dyDescent="0.2">
      <c r="Y60007" s="97"/>
    </row>
    <row r="60008" spans="25:25" x14ac:dyDescent="0.2">
      <c r="Y60008" s="97"/>
    </row>
    <row r="60009" spans="25:25" x14ac:dyDescent="0.2">
      <c r="Y60009" s="97"/>
    </row>
    <row r="60010" spans="25:25" x14ac:dyDescent="0.2">
      <c r="Y60010" s="97"/>
    </row>
    <row r="60011" spans="25:25" x14ac:dyDescent="0.2">
      <c r="Y60011" s="97"/>
    </row>
    <row r="60012" spans="25:25" x14ac:dyDescent="0.2">
      <c r="Y60012" s="97"/>
    </row>
    <row r="60013" spans="25:25" x14ac:dyDescent="0.2">
      <c r="Y60013" s="97"/>
    </row>
    <row r="60014" spans="25:25" x14ac:dyDescent="0.2">
      <c r="Y60014" s="97"/>
    </row>
    <row r="60015" spans="25:25" x14ac:dyDescent="0.2">
      <c r="Y60015" s="97"/>
    </row>
    <row r="60016" spans="25:25" x14ac:dyDescent="0.2">
      <c r="Y60016" s="97"/>
    </row>
    <row r="60017" spans="25:25" x14ac:dyDescent="0.2">
      <c r="Y60017" s="97"/>
    </row>
    <row r="60018" spans="25:25" x14ac:dyDescent="0.2">
      <c r="Y60018" s="97"/>
    </row>
    <row r="60019" spans="25:25" x14ac:dyDescent="0.2">
      <c r="Y60019" s="97"/>
    </row>
    <row r="60020" spans="25:25" x14ac:dyDescent="0.2">
      <c r="Y60020" s="97"/>
    </row>
    <row r="60021" spans="25:25" x14ac:dyDescent="0.2">
      <c r="Y60021" s="97"/>
    </row>
    <row r="60022" spans="25:25" x14ac:dyDescent="0.2">
      <c r="Y60022" s="97"/>
    </row>
    <row r="60023" spans="25:25" x14ac:dyDescent="0.2">
      <c r="Y60023" s="97"/>
    </row>
    <row r="60024" spans="25:25" x14ac:dyDescent="0.2">
      <c r="Y60024" s="97"/>
    </row>
    <row r="60025" spans="25:25" x14ac:dyDescent="0.2">
      <c r="Y60025" s="97"/>
    </row>
    <row r="60026" spans="25:25" x14ac:dyDescent="0.2">
      <c r="Y60026" s="97"/>
    </row>
    <row r="60027" spans="25:25" x14ac:dyDescent="0.2">
      <c r="Y60027" s="97"/>
    </row>
    <row r="60028" spans="25:25" x14ac:dyDescent="0.2">
      <c r="Y60028" s="97"/>
    </row>
    <row r="60029" spans="25:25" x14ac:dyDescent="0.2">
      <c r="Y60029" s="97"/>
    </row>
    <row r="60030" spans="25:25" x14ac:dyDescent="0.2">
      <c r="Y60030" s="97"/>
    </row>
    <row r="60031" spans="25:25" x14ac:dyDescent="0.2">
      <c r="Y60031" s="97"/>
    </row>
    <row r="60032" spans="25:25" x14ac:dyDescent="0.2">
      <c r="Y60032" s="97"/>
    </row>
    <row r="60033" spans="25:25" x14ac:dyDescent="0.2">
      <c r="Y60033" s="97"/>
    </row>
    <row r="60034" spans="25:25" x14ac:dyDescent="0.2">
      <c r="Y60034" s="97"/>
    </row>
    <row r="60035" spans="25:25" x14ac:dyDescent="0.2">
      <c r="Y60035" s="97"/>
    </row>
    <row r="60036" spans="25:25" x14ac:dyDescent="0.2">
      <c r="Y60036" s="97"/>
    </row>
    <row r="60037" spans="25:25" x14ac:dyDescent="0.2">
      <c r="Y60037" s="97"/>
    </row>
    <row r="60038" spans="25:25" x14ac:dyDescent="0.2">
      <c r="Y60038" s="97"/>
    </row>
    <row r="60039" spans="25:25" x14ac:dyDescent="0.2">
      <c r="Y60039" s="97"/>
    </row>
    <row r="60040" spans="25:25" x14ac:dyDescent="0.2">
      <c r="Y60040" s="97"/>
    </row>
    <row r="60041" spans="25:25" x14ac:dyDescent="0.2">
      <c r="Y60041" s="97"/>
    </row>
    <row r="60042" spans="25:25" x14ac:dyDescent="0.2">
      <c r="Y60042" s="97"/>
    </row>
    <row r="60043" spans="25:25" x14ac:dyDescent="0.2">
      <c r="Y60043" s="97"/>
    </row>
    <row r="60044" spans="25:25" x14ac:dyDescent="0.2">
      <c r="Y60044" s="97"/>
    </row>
    <row r="60045" spans="25:25" x14ac:dyDescent="0.2">
      <c r="Y60045" s="97"/>
    </row>
    <row r="60046" spans="25:25" x14ac:dyDescent="0.2">
      <c r="Y60046" s="97"/>
    </row>
    <row r="60047" spans="25:25" x14ac:dyDescent="0.2">
      <c r="Y60047" s="97"/>
    </row>
    <row r="60048" spans="25:25" x14ac:dyDescent="0.2">
      <c r="Y60048" s="97"/>
    </row>
    <row r="60049" spans="25:25" x14ac:dyDescent="0.2">
      <c r="Y60049" s="97"/>
    </row>
    <row r="60050" spans="25:25" x14ac:dyDescent="0.2">
      <c r="Y60050" s="97"/>
    </row>
    <row r="60051" spans="25:25" x14ac:dyDescent="0.2">
      <c r="Y60051" s="97"/>
    </row>
    <row r="60052" spans="25:25" x14ac:dyDescent="0.2">
      <c r="Y60052" s="97"/>
    </row>
    <row r="60053" spans="25:25" x14ac:dyDescent="0.2">
      <c r="Y60053" s="97"/>
    </row>
    <row r="60054" spans="25:25" x14ac:dyDescent="0.2">
      <c r="Y60054" s="97"/>
    </row>
    <row r="60055" spans="25:25" x14ac:dyDescent="0.2">
      <c r="Y60055" s="97"/>
    </row>
    <row r="60056" spans="25:25" x14ac:dyDescent="0.2">
      <c r="Y60056" s="97"/>
    </row>
    <row r="60057" spans="25:25" x14ac:dyDescent="0.2">
      <c r="Y60057" s="97"/>
    </row>
    <row r="60058" spans="25:25" x14ac:dyDescent="0.2">
      <c r="Y60058" s="97"/>
    </row>
    <row r="60059" spans="25:25" x14ac:dyDescent="0.2">
      <c r="Y60059" s="97"/>
    </row>
    <row r="60060" spans="25:25" x14ac:dyDescent="0.2">
      <c r="Y60060" s="97"/>
    </row>
    <row r="60061" spans="25:25" x14ac:dyDescent="0.2">
      <c r="Y60061" s="97"/>
    </row>
    <row r="60062" spans="25:25" x14ac:dyDescent="0.2">
      <c r="Y60062" s="97"/>
    </row>
    <row r="60063" spans="25:25" x14ac:dyDescent="0.2">
      <c r="Y60063" s="97"/>
    </row>
    <row r="60064" spans="25:25" x14ac:dyDescent="0.2">
      <c r="Y60064" s="97"/>
    </row>
    <row r="60065" spans="25:25" x14ac:dyDescent="0.2">
      <c r="Y60065" s="97"/>
    </row>
    <row r="60066" spans="25:25" x14ac:dyDescent="0.2">
      <c r="Y60066" s="97"/>
    </row>
    <row r="60067" spans="25:25" x14ac:dyDescent="0.2">
      <c r="Y60067" s="97"/>
    </row>
    <row r="60068" spans="25:25" x14ac:dyDescent="0.2">
      <c r="Y60068" s="97"/>
    </row>
    <row r="60069" spans="25:25" x14ac:dyDescent="0.2">
      <c r="Y60069" s="97"/>
    </row>
    <row r="60070" spans="25:25" x14ac:dyDescent="0.2">
      <c r="Y60070" s="97"/>
    </row>
    <row r="60071" spans="25:25" x14ac:dyDescent="0.2">
      <c r="Y60071" s="97"/>
    </row>
    <row r="60072" spans="25:25" x14ac:dyDescent="0.2">
      <c r="Y60072" s="97"/>
    </row>
    <row r="60073" spans="25:25" x14ac:dyDescent="0.2">
      <c r="Y60073" s="97"/>
    </row>
    <row r="60074" spans="25:25" x14ac:dyDescent="0.2">
      <c r="Y60074" s="97"/>
    </row>
    <row r="60075" spans="25:25" x14ac:dyDescent="0.2">
      <c r="Y60075" s="97"/>
    </row>
    <row r="60076" spans="25:25" x14ac:dyDescent="0.2">
      <c r="Y60076" s="97"/>
    </row>
    <row r="60077" spans="25:25" x14ac:dyDescent="0.2">
      <c r="Y60077" s="97"/>
    </row>
    <row r="60078" spans="25:25" x14ac:dyDescent="0.2">
      <c r="Y60078" s="97"/>
    </row>
    <row r="60079" spans="25:25" x14ac:dyDescent="0.2">
      <c r="Y60079" s="97"/>
    </row>
    <row r="60080" spans="25:25" x14ac:dyDescent="0.2">
      <c r="Y60080" s="97"/>
    </row>
    <row r="60081" spans="25:25" x14ac:dyDescent="0.2">
      <c r="Y60081" s="97"/>
    </row>
    <row r="60082" spans="25:25" x14ac:dyDescent="0.2">
      <c r="Y60082" s="97"/>
    </row>
    <row r="60083" spans="25:25" x14ac:dyDescent="0.2">
      <c r="Y60083" s="97"/>
    </row>
    <row r="60084" spans="25:25" x14ac:dyDescent="0.2">
      <c r="Y60084" s="97"/>
    </row>
    <row r="60085" spans="25:25" x14ac:dyDescent="0.2">
      <c r="Y60085" s="97"/>
    </row>
    <row r="60086" spans="25:25" x14ac:dyDescent="0.2">
      <c r="Y60086" s="97"/>
    </row>
    <row r="60087" spans="25:25" x14ac:dyDescent="0.2">
      <c r="Y60087" s="97"/>
    </row>
    <row r="60088" spans="25:25" x14ac:dyDescent="0.2">
      <c r="Y60088" s="97"/>
    </row>
    <row r="60089" spans="25:25" x14ac:dyDescent="0.2">
      <c r="Y60089" s="97"/>
    </row>
    <row r="60090" spans="25:25" x14ac:dyDescent="0.2">
      <c r="Y60090" s="97"/>
    </row>
    <row r="60091" spans="25:25" x14ac:dyDescent="0.2">
      <c r="Y60091" s="97"/>
    </row>
    <row r="60092" spans="25:25" x14ac:dyDescent="0.2">
      <c r="Y60092" s="97"/>
    </row>
    <row r="60093" spans="25:25" x14ac:dyDescent="0.2">
      <c r="Y60093" s="97"/>
    </row>
    <row r="60094" spans="25:25" x14ac:dyDescent="0.2">
      <c r="Y60094" s="97"/>
    </row>
    <row r="60095" spans="25:25" x14ac:dyDescent="0.2">
      <c r="Y60095" s="97"/>
    </row>
    <row r="60096" spans="25:25" x14ac:dyDescent="0.2">
      <c r="Y60096" s="97"/>
    </row>
    <row r="60097" spans="25:25" x14ac:dyDescent="0.2">
      <c r="Y60097" s="97"/>
    </row>
    <row r="60098" spans="25:25" x14ac:dyDescent="0.2">
      <c r="Y60098" s="97"/>
    </row>
    <row r="60099" spans="25:25" x14ac:dyDescent="0.2">
      <c r="Y60099" s="97"/>
    </row>
    <row r="60100" spans="25:25" x14ac:dyDescent="0.2">
      <c r="Y60100" s="97"/>
    </row>
    <row r="60101" spans="25:25" x14ac:dyDescent="0.2">
      <c r="Y60101" s="97"/>
    </row>
    <row r="60102" spans="25:25" x14ac:dyDescent="0.2">
      <c r="Y60102" s="97"/>
    </row>
    <row r="60103" spans="25:25" x14ac:dyDescent="0.2">
      <c r="Y60103" s="97"/>
    </row>
    <row r="60104" spans="25:25" x14ac:dyDescent="0.2">
      <c r="Y60104" s="97"/>
    </row>
    <row r="60105" spans="25:25" x14ac:dyDescent="0.2">
      <c r="Y60105" s="97"/>
    </row>
    <row r="60106" spans="25:25" x14ac:dyDescent="0.2">
      <c r="Y60106" s="97"/>
    </row>
    <row r="60107" spans="25:25" x14ac:dyDescent="0.2">
      <c r="Y60107" s="97"/>
    </row>
    <row r="60108" spans="25:25" x14ac:dyDescent="0.2">
      <c r="Y60108" s="97"/>
    </row>
    <row r="60109" spans="25:25" x14ac:dyDescent="0.2">
      <c r="Y60109" s="97"/>
    </row>
    <row r="60110" spans="25:25" x14ac:dyDescent="0.2">
      <c r="Y60110" s="97"/>
    </row>
    <row r="60111" spans="25:25" x14ac:dyDescent="0.2">
      <c r="Y60111" s="97"/>
    </row>
    <row r="60112" spans="25:25" x14ac:dyDescent="0.2">
      <c r="Y60112" s="97"/>
    </row>
    <row r="60113" spans="25:25" x14ac:dyDescent="0.2">
      <c r="Y60113" s="97"/>
    </row>
    <row r="60114" spans="25:25" x14ac:dyDescent="0.2">
      <c r="Y60114" s="97"/>
    </row>
    <row r="60115" spans="25:25" x14ac:dyDescent="0.2">
      <c r="Y60115" s="97"/>
    </row>
    <row r="60116" spans="25:25" x14ac:dyDescent="0.2">
      <c r="Y60116" s="97"/>
    </row>
    <row r="60117" spans="25:25" x14ac:dyDescent="0.2">
      <c r="Y60117" s="97"/>
    </row>
    <row r="60118" spans="25:25" x14ac:dyDescent="0.2">
      <c r="Y60118" s="97"/>
    </row>
    <row r="60119" spans="25:25" x14ac:dyDescent="0.2">
      <c r="Y60119" s="97"/>
    </row>
    <row r="60120" spans="25:25" x14ac:dyDescent="0.2">
      <c r="Y60120" s="97"/>
    </row>
    <row r="60121" spans="25:25" x14ac:dyDescent="0.2">
      <c r="Y60121" s="97"/>
    </row>
    <row r="60122" spans="25:25" x14ac:dyDescent="0.2">
      <c r="Y60122" s="97"/>
    </row>
    <row r="60123" spans="25:25" x14ac:dyDescent="0.2">
      <c r="Y60123" s="97"/>
    </row>
    <row r="60124" spans="25:25" x14ac:dyDescent="0.2">
      <c r="Y60124" s="97"/>
    </row>
    <row r="60125" spans="25:25" x14ac:dyDescent="0.2">
      <c r="Y60125" s="97"/>
    </row>
    <row r="60126" spans="25:25" x14ac:dyDescent="0.2">
      <c r="Y60126" s="97"/>
    </row>
    <row r="60127" spans="25:25" x14ac:dyDescent="0.2">
      <c r="Y60127" s="97"/>
    </row>
    <row r="60128" spans="25:25" x14ac:dyDescent="0.2">
      <c r="Y60128" s="97"/>
    </row>
    <row r="60129" spans="25:25" x14ac:dyDescent="0.2">
      <c r="Y60129" s="97"/>
    </row>
    <row r="60130" spans="25:25" x14ac:dyDescent="0.2">
      <c r="Y60130" s="97"/>
    </row>
    <row r="60131" spans="25:25" x14ac:dyDescent="0.2">
      <c r="Y60131" s="97"/>
    </row>
    <row r="60132" spans="25:25" x14ac:dyDescent="0.2">
      <c r="Y60132" s="97"/>
    </row>
    <row r="60133" spans="25:25" x14ac:dyDescent="0.2">
      <c r="Y60133" s="97"/>
    </row>
    <row r="60134" spans="25:25" x14ac:dyDescent="0.2">
      <c r="Y60134" s="97"/>
    </row>
    <row r="60135" spans="25:25" x14ac:dyDescent="0.2">
      <c r="Y60135" s="97"/>
    </row>
    <row r="60136" spans="25:25" x14ac:dyDescent="0.2">
      <c r="Y60136" s="97"/>
    </row>
    <row r="60137" spans="25:25" x14ac:dyDescent="0.2">
      <c r="Y60137" s="97"/>
    </row>
    <row r="60138" spans="25:25" x14ac:dyDescent="0.2">
      <c r="Y60138" s="97"/>
    </row>
    <row r="60139" spans="25:25" x14ac:dyDescent="0.2">
      <c r="Y60139" s="97"/>
    </row>
    <row r="60140" spans="25:25" x14ac:dyDescent="0.2">
      <c r="Y60140" s="97"/>
    </row>
    <row r="60141" spans="25:25" x14ac:dyDescent="0.2">
      <c r="Y60141" s="97"/>
    </row>
    <row r="60142" spans="25:25" x14ac:dyDescent="0.2">
      <c r="Y60142" s="97"/>
    </row>
    <row r="60143" spans="25:25" x14ac:dyDescent="0.2">
      <c r="Y60143" s="97"/>
    </row>
    <row r="60144" spans="25:25" x14ac:dyDescent="0.2">
      <c r="Y60144" s="97"/>
    </row>
    <row r="60145" spans="25:25" x14ac:dyDescent="0.2">
      <c r="Y60145" s="97"/>
    </row>
    <row r="60146" spans="25:25" x14ac:dyDescent="0.2">
      <c r="Y60146" s="97"/>
    </row>
    <row r="60147" spans="25:25" x14ac:dyDescent="0.2">
      <c r="Y60147" s="97"/>
    </row>
    <row r="60148" spans="25:25" x14ac:dyDescent="0.2">
      <c r="Y60148" s="97"/>
    </row>
    <row r="60149" spans="25:25" x14ac:dyDescent="0.2">
      <c r="Y60149" s="97"/>
    </row>
    <row r="60150" spans="25:25" x14ac:dyDescent="0.2">
      <c r="Y60150" s="97"/>
    </row>
    <row r="60151" spans="25:25" x14ac:dyDescent="0.2">
      <c r="Y60151" s="97"/>
    </row>
    <row r="60152" spans="25:25" x14ac:dyDescent="0.2">
      <c r="Y60152" s="97"/>
    </row>
    <row r="60153" spans="25:25" x14ac:dyDescent="0.2">
      <c r="Y60153" s="97"/>
    </row>
    <row r="60154" spans="25:25" x14ac:dyDescent="0.2">
      <c r="Y60154" s="97"/>
    </row>
    <row r="60155" spans="25:25" x14ac:dyDescent="0.2">
      <c r="Y60155" s="97"/>
    </row>
    <row r="60156" spans="25:25" x14ac:dyDescent="0.2">
      <c r="Y60156" s="97"/>
    </row>
    <row r="60157" spans="25:25" x14ac:dyDescent="0.2">
      <c r="Y60157" s="97"/>
    </row>
    <row r="60158" spans="25:25" x14ac:dyDescent="0.2">
      <c r="Y60158" s="97"/>
    </row>
    <row r="60159" spans="25:25" x14ac:dyDescent="0.2">
      <c r="Y60159" s="97"/>
    </row>
    <row r="60160" spans="25:25" x14ac:dyDescent="0.2">
      <c r="Y60160" s="97"/>
    </row>
    <row r="60161" spans="25:25" x14ac:dyDescent="0.2">
      <c r="Y60161" s="97"/>
    </row>
    <row r="60162" spans="25:25" x14ac:dyDescent="0.2">
      <c r="Y60162" s="97"/>
    </row>
    <row r="60163" spans="25:25" x14ac:dyDescent="0.2">
      <c r="Y60163" s="97"/>
    </row>
    <row r="60164" spans="25:25" x14ac:dyDescent="0.2">
      <c r="Y60164" s="97"/>
    </row>
    <row r="60165" spans="25:25" x14ac:dyDescent="0.2">
      <c r="Y60165" s="97"/>
    </row>
    <row r="60166" spans="25:25" x14ac:dyDescent="0.2">
      <c r="Y60166" s="97"/>
    </row>
    <row r="60167" spans="25:25" x14ac:dyDescent="0.2">
      <c r="Y60167" s="97"/>
    </row>
    <row r="60168" spans="25:25" x14ac:dyDescent="0.2">
      <c r="Y60168" s="97"/>
    </row>
    <row r="60169" spans="25:25" x14ac:dyDescent="0.2">
      <c r="Y60169" s="97"/>
    </row>
    <row r="60170" spans="25:25" x14ac:dyDescent="0.2">
      <c r="Y60170" s="97"/>
    </row>
    <row r="60171" spans="25:25" x14ac:dyDescent="0.2">
      <c r="Y60171" s="97"/>
    </row>
    <row r="60172" spans="25:25" x14ac:dyDescent="0.2">
      <c r="Y60172" s="97"/>
    </row>
    <row r="60173" spans="25:25" x14ac:dyDescent="0.2">
      <c r="Y60173" s="97"/>
    </row>
    <row r="60174" spans="25:25" x14ac:dyDescent="0.2">
      <c r="Y60174" s="97"/>
    </row>
    <row r="60175" spans="25:25" x14ac:dyDescent="0.2">
      <c r="Y60175" s="97"/>
    </row>
    <row r="60176" spans="25:25" x14ac:dyDescent="0.2">
      <c r="Y60176" s="97"/>
    </row>
    <row r="60177" spans="25:25" x14ac:dyDescent="0.2">
      <c r="Y60177" s="97"/>
    </row>
    <row r="60178" spans="25:25" x14ac:dyDescent="0.2">
      <c r="Y60178" s="97"/>
    </row>
    <row r="60179" spans="25:25" x14ac:dyDescent="0.2">
      <c r="Y60179" s="97"/>
    </row>
    <row r="60180" spans="25:25" x14ac:dyDescent="0.2">
      <c r="Y60180" s="97"/>
    </row>
    <row r="60181" spans="25:25" x14ac:dyDescent="0.2">
      <c r="Y60181" s="97"/>
    </row>
    <row r="60182" spans="25:25" x14ac:dyDescent="0.2">
      <c r="Y60182" s="97"/>
    </row>
    <row r="60183" spans="25:25" x14ac:dyDescent="0.2">
      <c r="Y60183" s="97"/>
    </row>
    <row r="60184" spans="25:25" x14ac:dyDescent="0.2">
      <c r="Y60184" s="97"/>
    </row>
    <row r="60185" spans="25:25" x14ac:dyDescent="0.2">
      <c r="Y60185" s="97"/>
    </row>
    <row r="60186" spans="25:25" x14ac:dyDescent="0.2">
      <c r="Y60186" s="97"/>
    </row>
    <row r="60187" spans="25:25" x14ac:dyDescent="0.2">
      <c r="Y60187" s="97"/>
    </row>
    <row r="60188" spans="25:25" x14ac:dyDescent="0.2">
      <c r="Y60188" s="97"/>
    </row>
    <row r="60189" spans="25:25" x14ac:dyDescent="0.2">
      <c r="Y60189" s="97"/>
    </row>
    <row r="60190" spans="25:25" x14ac:dyDescent="0.2">
      <c r="Y60190" s="97"/>
    </row>
    <row r="60191" spans="25:25" x14ac:dyDescent="0.2">
      <c r="Y60191" s="97"/>
    </row>
    <row r="60192" spans="25:25" x14ac:dyDescent="0.2">
      <c r="Y60192" s="97"/>
    </row>
    <row r="60193" spans="25:25" x14ac:dyDescent="0.2">
      <c r="Y60193" s="97"/>
    </row>
    <row r="60194" spans="25:25" x14ac:dyDescent="0.2">
      <c r="Y60194" s="97"/>
    </row>
    <row r="60195" spans="25:25" x14ac:dyDescent="0.2">
      <c r="Y60195" s="97"/>
    </row>
    <row r="60196" spans="25:25" x14ac:dyDescent="0.2">
      <c r="Y60196" s="97"/>
    </row>
    <row r="60197" spans="25:25" x14ac:dyDescent="0.2">
      <c r="Y60197" s="97"/>
    </row>
    <row r="60198" spans="25:25" x14ac:dyDescent="0.2">
      <c r="Y60198" s="97"/>
    </row>
    <row r="60199" spans="25:25" x14ac:dyDescent="0.2">
      <c r="Y60199" s="97"/>
    </row>
    <row r="60200" spans="25:25" x14ac:dyDescent="0.2">
      <c r="Y60200" s="97"/>
    </row>
    <row r="60201" spans="25:25" x14ac:dyDescent="0.2">
      <c r="Y60201" s="97"/>
    </row>
    <row r="60202" spans="25:25" x14ac:dyDescent="0.2">
      <c r="Y60202" s="97"/>
    </row>
    <row r="60203" spans="25:25" x14ac:dyDescent="0.2">
      <c r="Y60203" s="97"/>
    </row>
    <row r="60204" spans="25:25" x14ac:dyDescent="0.2">
      <c r="Y60204" s="97"/>
    </row>
    <row r="60205" spans="25:25" x14ac:dyDescent="0.2">
      <c r="Y60205" s="97"/>
    </row>
    <row r="60206" spans="25:25" x14ac:dyDescent="0.2">
      <c r="Y60206" s="97"/>
    </row>
    <row r="60207" spans="25:25" x14ac:dyDescent="0.2">
      <c r="Y60207" s="97"/>
    </row>
    <row r="60208" spans="25:25" x14ac:dyDescent="0.2">
      <c r="Y60208" s="97"/>
    </row>
    <row r="60209" spans="25:25" x14ac:dyDescent="0.2">
      <c r="Y60209" s="97"/>
    </row>
    <row r="60210" spans="25:25" x14ac:dyDescent="0.2">
      <c r="Y60210" s="97"/>
    </row>
    <row r="60211" spans="25:25" x14ac:dyDescent="0.2">
      <c r="Y60211" s="97"/>
    </row>
    <row r="60212" spans="25:25" x14ac:dyDescent="0.2">
      <c r="Y60212" s="97"/>
    </row>
    <row r="60213" spans="25:25" x14ac:dyDescent="0.2">
      <c r="Y60213" s="97"/>
    </row>
    <row r="60214" spans="25:25" x14ac:dyDescent="0.2">
      <c r="Y60214" s="97"/>
    </row>
    <row r="60215" spans="25:25" x14ac:dyDescent="0.2">
      <c r="Y60215" s="97"/>
    </row>
    <row r="60216" spans="25:25" x14ac:dyDescent="0.2">
      <c r="Y60216" s="97"/>
    </row>
    <row r="60217" spans="25:25" x14ac:dyDescent="0.2">
      <c r="Y60217" s="97"/>
    </row>
    <row r="60218" spans="25:25" x14ac:dyDescent="0.2">
      <c r="Y60218" s="97"/>
    </row>
    <row r="60219" spans="25:25" x14ac:dyDescent="0.2">
      <c r="Y60219" s="97"/>
    </row>
    <row r="60220" spans="25:25" x14ac:dyDescent="0.2">
      <c r="Y60220" s="97"/>
    </row>
    <row r="60221" spans="25:25" x14ac:dyDescent="0.2">
      <c r="Y60221" s="97"/>
    </row>
    <row r="60222" spans="25:25" x14ac:dyDescent="0.2">
      <c r="Y60222" s="97"/>
    </row>
    <row r="60223" spans="25:25" x14ac:dyDescent="0.2">
      <c r="Y60223" s="97"/>
    </row>
    <row r="60224" spans="25:25" x14ac:dyDescent="0.2">
      <c r="Y60224" s="97"/>
    </row>
    <row r="60225" spans="25:25" x14ac:dyDescent="0.2">
      <c r="Y60225" s="97"/>
    </row>
    <row r="60226" spans="25:25" x14ac:dyDescent="0.2">
      <c r="Y60226" s="97"/>
    </row>
    <row r="60227" spans="25:25" x14ac:dyDescent="0.2">
      <c r="Y60227" s="97"/>
    </row>
    <row r="60228" spans="25:25" x14ac:dyDescent="0.2">
      <c r="Y60228" s="97"/>
    </row>
    <row r="60229" spans="25:25" x14ac:dyDescent="0.2">
      <c r="Y60229" s="97"/>
    </row>
    <row r="60230" spans="25:25" x14ac:dyDescent="0.2">
      <c r="Y60230" s="97"/>
    </row>
    <row r="60231" spans="25:25" x14ac:dyDescent="0.2">
      <c r="Y60231" s="97"/>
    </row>
    <row r="60232" spans="25:25" x14ac:dyDescent="0.2">
      <c r="Y60232" s="97"/>
    </row>
    <row r="60233" spans="25:25" x14ac:dyDescent="0.2">
      <c r="Y60233" s="97"/>
    </row>
    <row r="60234" spans="25:25" x14ac:dyDescent="0.2">
      <c r="Y60234" s="97"/>
    </row>
    <row r="60235" spans="25:25" x14ac:dyDescent="0.2">
      <c r="Y60235" s="97"/>
    </row>
    <row r="60236" spans="25:25" x14ac:dyDescent="0.2">
      <c r="Y60236" s="97"/>
    </row>
    <row r="60237" spans="25:25" x14ac:dyDescent="0.2">
      <c r="Y60237" s="97"/>
    </row>
    <row r="60238" spans="25:25" x14ac:dyDescent="0.2">
      <c r="Y60238" s="97"/>
    </row>
    <row r="60239" spans="25:25" x14ac:dyDescent="0.2">
      <c r="Y60239" s="97"/>
    </row>
    <row r="60240" spans="25:25" x14ac:dyDescent="0.2">
      <c r="Y60240" s="97"/>
    </row>
    <row r="60241" spans="25:25" x14ac:dyDescent="0.2">
      <c r="Y60241" s="97"/>
    </row>
    <row r="60242" spans="25:25" x14ac:dyDescent="0.2">
      <c r="Y60242" s="97"/>
    </row>
    <row r="60243" spans="25:25" x14ac:dyDescent="0.2">
      <c r="Y60243" s="97"/>
    </row>
    <row r="60244" spans="25:25" x14ac:dyDescent="0.2">
      <c r="Y60244" s="97"/>
    </row>
    <row r="60245" spans="25:25" x14ac:dyDescent="0.2">
      <c r="Y60245" s="97"/>
    </row>
    <row r="60246" spans="25:25" x14ac:dyDescent="0.2">
      <c r="Y60246" s="97"/>
    </row>
    <row r="60247" spans="25:25" x14ac:dyDescent="0.2">
      <c r="Y60247" s="97"/>
    </row>
    <row r="60248" spans="25:25" x14ac:dyDescent="0.2">
      <c r="Y60248" s="97"/>
    </row>
    <row r="60249" spans="25:25" x14ac:dyDescent="0.2">
      <c r="Y60249" s="97"/>
    </row>
    <row r="60250" spans="25:25" x14ac:dyDescent="0.2">
      <c r="Y60250" s="97"/>
    </row>
    <row r="60251" spans="25:25" x14ac:dyDescent="0.2">
      <c r="Y60251" s="97"/>
    </row>
    <row r="60252" spans="25:25" x14ac:dyDescent="0.2">
      <c r="Y60252" s="97"/>
    </row>
    <row r="60253" spans="25:25" x14ac:dyDescent="0.2">
      <c r="Y60253" s="97"/>
    </row>
    <row r="60254" spans="25:25" x14ac:dyDescent="0.2">
      <c r="Y60254" s="97"/>
    </row>
    <row r="60255" spans="25:25" x14ac:dyDescent="0.2">
      <c r="Y60255" s="97"/>
    </row>
    <row r="60256" spans="25:25" x14ac:dyDescent="0.2">
      <c r="Y60256" s="97"/>
    </row>
    <row r="60257" spans="25:25" x14ac:dyDescent="0.2">
      <c r="Y60257" s="97"/>
    </row>
    <row r="60258" spans="25:25" x14ac:dyDescent="0.2">
      <c r="Y60258" s="97"/>
    </row>
    <row r="60259" spans="25:25" x14ac:dyDescent="0.2">
      <c r="Y60259" s="97"/>
    </row>
    <row r="60260" spans="25:25" x14ac:dyDescent="0.2">
      <c r="Y60260" s="97"/>
    </row>
    <row r="60261" spans="25:25" x14ac:dyDescent="0.2">
      <c r="Y60261" s="97"/>
    </row>
    <row r="60262" spans="25:25" x14ac:dyDescent="0.2">
      <c r="Y60262" s="97"/>
    </row>
    <row r="60263" spans="25:25" x14ac:dyDescent="0.2">
      <c r="Y60263" s="97"/>
    </row>
    <row r="60264" spans="25:25" x14ac:dyDescent="0.2">
      <c r="Y60264" s="97"/>
    </row>
    <row r="60265" spans="25:25" x14ac:dyDescent="0.2">
      <c r="Y60265" s="97"/>
    </row>
    <row r="60266" spans="25:25" x14ac:dyDescent="0.2">
      <c r="Y60266" s="97"/>
    </row>
    <row r="60267" spans="25:25" x14ac:dyDescent="0.2">
      <c r="Y60267" s="97"/>
    </row>
    <row r="60268" spans="25:25" x14ac:dyDescent="0.2">
      <c r="Y60268" s="97"/>
    </row>
    <row r="60269" spans="25:25" x14ac:dyDescent="0.2">
      <c r="Y60269" s="97"/>
    </row>
    <row r="60270" spans="25:25" x14ac:dyDescent="0.2">
      <c r="Y60270" s="97"/>
    </row>
    <row r="60271" spans="25:25" x14ac:dyDescent="0.2">
      <c r="Y60271" s="97"/>
    </row>
    <row r="60272" spans="25:25" x14ac:dyDescent="0.2">
      <c r="Y60272" s="97"/>
    </row>
    <row r="60273" spans="25:25" x14ac:dyDescent="0.2">
      <c r="Y60273" s="97"/>
    </row>
    <row r="60274" spans="25:25" x14ac:dyDescent="0.2">
      <c r="Y60274" s="97"/>
    </row>
    <row r="60275" spans="25:25" x14ac:dyDescent="0.2">
      <c r="Y60275" s="97"/>
    </row>
    <row r="60276" spans="25:25" x14ac:dyDescent="0.2">
      <c r="Y60276" s="97"/>
    </row>
    <row r="60277" spans="25:25" x14ac:dyDescent="0.2">
      <c r="Y60277" s="97"/>
    </row>
    <row r="60278" spans="25:25" x14ac:dyDescent="0.2">
      <c r="Y60278" s="97"/>
    </row>
    <row r="60279" spans="25:25" x14ac:dyDescent="0.2">
      <c r="Y60279" s="97"/>
    </row>
    <row r="60280" spans="25:25" x14ac:dyDescent="0.2">
      <c r="Y60280" s="97"/>
    </row>
    <row r="60281" spans="25:25" x14ac:dyDescent="0.2">
      <c r="Y60281" s="97"/>
    </row>
    <row r="60282" spans="25:25" x14ac:dyDescent="0.2">
      <c r="Y60282" s="97"/>
    </row>
    <row r="60283" spans="25:25" x14ac:dyDescent="0.2">
      <c r="Y60283" s="97"/>
    </row>
    <row r="60284" spans="25:25" x14ac:dyDescent="0.2">
      <c r="Y60284" s="97"/>
    </row>
    <row r="60285" spans="25:25" x14ac:dyDescent="0.2">
      <c r="Y60285" s="97"/>
    </row>
    <row r="60286" spans="25:25" x14ac:dyDescent="0.2">
      <c r="Y60286" s="97"/>
    </row>
    <row r="60287" spans="25:25" x14ac:dyDescent="0.2">
      <c r="Y60287" s="97"/>
    </row>
    <row r="60288" spans="25:25" x14ac:dyDescent="0.2">
      <c r="Y60288" s="97"/>
    </row>
    <row r="60289" spans="25:25" x14ac:dyDescent="0.2">
      <c r="Y60289" s="97"/>
    </row>
    <row r="60290" spans="25:25" x14ac:dyDescent="0.2">
      <c r="Y60290" s="97"/>
    </row>
    <row r="60291" spans="25:25" x14ac:dyDescent="0.2">
      <c r="Y60291" s="97"/>
    </row>
    <row r="60292" spans="25:25" x14ac:dyDescent="0.2">
      <c r="Y60292" s="97"/>
    </row>
    <row r="60293" spans="25:25" x14ac:dyDescent="0.2">
      <c r="Y60293" s="97"/>
    </row>
    <row r="60294" spans="25:25" x14ac:dyDescent="0.2">
      <c r="Y60294" s="97"/>
    </row>
    <row r="60295" spans="25:25" x14ac:dyDescent="0.2">
      <c r="Y60295" s="97"/>
    </row>
    <row r="60296" spans="25:25" x14ac:dyDescent="0.2">
      <c r="Y60296" s="97"/>
    </row>
    <row r="60297" spans="25:25" x14ac:dyDescent="0.2">
      <c r="Y60297" s="97"/>
    </row>
    <row r="60298" spans="25:25" x14ac:dyDescent="0.2">
      <c r="Y60298" s="97"/>
    </row>
    <row r="60299" spans="25:25" x14ac:dyDescent="0.2">
      <c r="Y60299" s="97"/>
    </row>
    <row r="60300" spans="25:25" x14ac:dyDescent="0.2">
      <c r="Y60300" s="97"/>
    </row>
    <row r="60301" spans="25:25" x14ac:dyDescent="0.2">
      <c r="Y60301" s="97"/>
    </row>
    <row r="60302" spans="25:25" x14ac:dyDescent="0.2">
      <c r="Y60302" s="97"/>
    </row>
    <row r="60303" spans="25:25" x14ac:dyDescent="0.2">
      <c r="Y60303" s="97"/>
    </row>
    <row r="60304" spans="25:25" x14ac:dyDescent="0.2">
      <c r="Y60304" s="97"/>
    </row>
    <row r="60305" spans="25:25" x14ac:dyDescent="0.2">
      <c r="Y60305" s="97"/>
    </row>
    <row r="60306" spans="25:25" x14ac:dyDescent="0.2">
      <c r="Y60306" s="97"/>
    </row>
    <row r="60307" spans="25:25" x14ac:dyDescent="0.2">
      <c r="Y60307" s="97"/>
    </row>
    <row r="60308" spans="25:25" x14ac:dyDescent="0.2">
      <c r="Y60308" s="97"/>
    </row>
    <row r="60309" spans="25:25" x14ac:dyDescent="0.2">
      <c r="Y60309" s="97"/>
    </row>
    <row r="60310" spans="25:25" x14ac:dyDescent="0.2">
      <c r="Y60310" s="97"/>
    </row>
    <row r="60311" spans="25:25" x14ac:dyDescent="0.2">
      <c r="Y60311" s="97"/>
    </row>
    <row r="60312" spans="25:25" x14ac:dyDescent="0.2">
      <c r="Y60312" s="97"/>
    </row>
    <row r="60313" spans="25:25" x14ac:dyDescent="0.2">
      <c r="Y60313" s="97"/>
    </row>
    <row r="60314" spans="25:25" x14ac:dyDescent="0.2">
      <c r="Y60314" s="97"/>
    </row>
    <row r="60315" spans="25:25" x14ac:dyDescent="0.2">
      <c r="Y60315" s="97"/>
    </row>
    <row r="60316" spans="25:25" x14ac:dyDescent="0.2">
      <c r="Y60316" s="97"/>
    </row>
    <row r="60317" spans="25:25" x14ac:dyDescent="0.2">
      <c r="Y60317" s="97"/>
    </row>
    <row r="60318" spans="25:25" x14ac:dyDescent="0.2">
      <c r="Y60318" s="97"/>
    </row>
    <row r="60319" spans="25:25" x14ac:dyDescent="0.2">
      <c r="Y60319" s="97"/>
    </row>
    <row r="60320" spans="25:25" x14ac:dyDescent="0.2">
      <c r="Y60320" s="97"/>
    </row>
    <row r="60321" spans="25:25" x14ac:dyDescent="0.2">
      <c r="Y60321" s="97"/>
    </row>
    <row r="60322" spans="25:25" x14ac:dyDescent="0.2">
      <c r="Y60322" s="97"/>
    </row>
    <row r="60323" spans="25:25" x14ac:dyDescent="0.2">
      <c r="Y60323" s="97"/>
    </row>
    <row r="60324" spans="25:25" x14ac:dyDescent="0.2">
      <c r="Y60324" s="97"/>
    </row>
    <row r="60325" spans="25:25" x14ac:dyDescent="0.2">
      <c r="Y60325" s="97"/>
    </row>
    <row r="60326" spans="25:25" x14ac:dyDescent="0.2">
      <c r="Y60326" s="97"/>
    </row>
    <row r="60327" spans="25:25" x14ac:dyDescent="0.2">
      <c r="Y60327" s="97"/>
    </row>
    <row r="60328" spans="25:25" x14ac:dyDescent="0.2">
      <c r="Y60328" s="97"/>
    </row>
    <row r="60329" spans="25:25" x14ac:dyDescent="0.2">
      <c r="Y60329" s="97"/>
    </row>
    <row r="60330" spans="25:25" x14ac:dyDescent="0.2">
      <c r="Y60330" s="97"/>
    </row>
    <row r="60331" spans="25:25" x14ac:dyDescent="0.2">
      <c r="Y60331" s="97"/>
    </row>
    <row r="60332" spans="25:25" x14ac:dyDescent="0.2">
      <c r="Y60332" s="97"/>
    </row>
    <row r="60333" spans="25:25" x14ac:dyDescent="0.2">
      <c r="Y60333" s="97"/>
    </row>
    <row r="60334" spans="25:25" x14ac:dyDescent="0.2">
      <c r="Y60334" s="97"/>
    </row>
    <row r="60335" spans="25:25" x14ac:dyDescent="0.2">
      <c r="Y60335" s="97"/>
    </row>
    <row r="60336" spans="25:25" x14ac:dyDescent="0.2">
      <c r="Y60336" s="97"/>
    </row>
    <row r="60337" spans="25:25" x14ac:dyDescent="0.2">
      <c r="Y60337" s="97"/>
    </row>
    <row r="60338" spans="25:25" x14ac:dyDescent="0.2">
      <c r="Y60338" s="97"/>
    </row>
    <row r="60339" spans="25:25" x14ac:dyDescent="0.2">
      <c r="Y60339" s="97"/>
    </row>
    <row r="60340" spans="25:25" x14ac:dyDescent="0.2">
      <c r="Y60340" s="97"/>
    </row>
    <row r="60341" spans="25:25" x14ac:dyDescent="0.2">
      <c r="Y60341" s="97"/>
    </row>
    <row r="60342" spans="25:25" x14ac:dyDescent="0.2">
      <c r="Y60342" s="97"/>
    </row>
    <row r="60343" spans="25:25" x14ac:dyDescent="0.2">
      <c r="Y60343" s="97"/>
    </row>
    <row r="60344" spans="25:25" x14ac:dyDescent="0.2">
      <c r="Y60344" s="97"/>
    </row>
    <row r="60345" spans="25:25" x14ac:dyDescent="0.2">
      <c r="Y60345" s="97"/>
    </row>
    <row r="60346" spans="25:25" x14ac:dyDescent="0.2">
      <c r="Y60346" s="97"/>
    </row>
    <row r="60347" spans="25:25" x14ac:dyDescent="0.2">
      <c r="Y60347" s="97"/>
    </row>
    <row r="60348" spans="25:25" x14ac:dyDescent="0.2">
      <c r="Y60348" s="97"/>
    </row>
    <row r="60349" spans="25:25" x14ac:dyDescent="0.2">
      <c r="Y60349" s="97"/>
    </row>
    <row r="60350" spans="25:25" x14ac:dyDescent="0.2">
      <c r="Y60350" s="97"/>
    </row>
    <row r="60351" spans="25:25" x14ac:dyDescent="0.2">
      <c r="Y60351" s="97"/>
    </row>
    <row r="60352" spans="25:25" x14ac:dyDescent="0.2">
      <c r="Y60352" s="97"/>
    </row>
    <row r="60353" spans="25:25" x14ac:dyDescent="0.2">
      <c r="Y60353" s="97"/>
    </row>
    <row r="60354" spans="25:25" x14ac:dyDescent="0.2">
      <c r="Y60354" s="97"/>
    </row>
    <row r="60355" spans="25:25" x14ac:dyDescent="0.2">
      <c r="Y60355" s="97"/>
    </row>
    <row r="60356" spans="25:25" x14ac:dyDescent="0.2">
      <c r="Y60356" s="97"/>
    </row>
    <row r="60357" spans="25:25" x14ac:dyDescent="0.2">
      <c r="Y60357" s="97"/>
    </row>
    <row r="60358" spans="25:25" x14ac:dyDescent="0.2">
      <c r="Y60358" s="97"/>
    </row>
    <row r="60359" spans="25:25" x14ac:dyDescent="0.2">
      <c r="Y60359" s="97"/>
    </row>
    <row r="60360" spans="25:25" x14ac:dyDescent="0.2">
      <c r="Y60360" s="97"/>
    </row>
    <row r="60361" spans="25:25" x14ac:dyDescent="0.2">
      <c r="Y60361" s="97"/>
    </row>
    <row r="60362" spans="25:25" x14ac:dyDescent="0.2">
      <c r="Y60362" s="97"/>
    </row>
    <row r="60363" spans="25:25" x14ac:dyDescent="0.2">
      <c r="Y60363" s="97"/>
    </row>
    <row r="60364" spans="25:25" x14ac:dyDescent="0.2">
      <c r="Y60364" s="97"/>
    </row>
    <row r="60365" spans="25:25" x14ac:dyDescent="0.2">
      <c r="Y60365" s="97"/>
    </row>
    <row r="60366" spans="25:25" x14ac:dyDescent="0.2">
      <c r="Y60366" s="97"/>
    </row>
    <row r="60367" spans="25:25" x14ac:dyDescent="0.2">
      <c r="Y60367" s="97"/>
    </row>
    <row r="60368" spans="25:25" x14ac:dyDescent="0.2">
      <c r="Y60368" s="97"/>
    </row>
    <row r="60369" spans="25:25" x14ac:dyDescent="0.2">
      <c r="Y60369" s="97"/>
    </row>
    <row r="60370" spans="25:25" x14ac:dyDescent="0.2">
      <c r="Y60370" s="97"/>
    </row>
    <row r="60371" spans="25:25" x14ac:dyDescent="0.2">
      <c r="Y60371" s="97"/>
    </row>
    <row r="60372" spans="25:25" x14ac:dyDescent="0.2">
      <c r="Y60372" s="97"/>
    </row>
    <row r="60373" spans="25:25" x14ac:dyDescent="0.2">
      <c r="Y60373" s="97"/>
    </row>
    <row r="60374" spans="25:25" x14ac:dyDescent="0.2">
      <c r="Y60374" s="97"/>
    </row>
    <row r="60375" spans="25:25" x14ac:dyDescent="0.2">
      <c r="Y60375" s="97"/>
    </row>
    <row r="60376" spans="25:25" x14ac:dyDescent="0.2">
      <c r="Y60376" s="97"/>
    </row>
    <row r="60377" spans="25:25" x14ac:dyDescent="0.2">
      <c r="Y60377" s="97"/>
    </row>
    <row r="60378" spans="25:25" x14ac:dyDescent="0.2">
      <c r="Y60378" s="97"/>
    </row>
    <row r="60379" spans="25:25" x14ac:dyDescent="0.2">
      <c r="Y60379" s="97"/>
    </row>
    <row r="60380" spans="25:25" x14ac:dyDescent="0.2">
      <c r="Y60380" s="97"/>
    </row>
    <row r="60381" spans="25:25" x14ac:dyDescent="0.2">
      <c r="Y60381" s="97"/>
    </row>
    <row r="60382" spans="25:25" x14ac:dyDescent="0.2">
      <c r="Y60382" s="97"/>
    </row>
    <row r="60383" spans="25:25" x14ac:dyDescent="0.2">
      <c r="Y60383" s="97"/>
    </row>
    <row r="60384" spans="25:25" x14ac:dyDescent="0.2">
      <c r="Y60384" s="97"/>
    </row>
    <row r="60385" spans="25:25" x14ac:dyDescent="0.2">
      <c r="Y60385" s="97"/>
    </row>
    <row r="60386" spans="25:25" x14ac:dyDescent="0.2">
      <c r="Y60386" s="97"/>
    </row>
    <row r="60387" spans="25:25" x14ac:dyDescent="0.2">
      <c r="Y60387" s="97"/>
    </row>
    <row r="60388" spans="25:25" x14ac:dyDescent="0.2">
      <c r="Y60388" s="97"/>
    </row>
    <row r="60389" spans="25:25" x14ac:dyDescent="0.2">
      <c r="Y60389" s="97"/>
    </row>
    <row r="60390" spans="25:25" x14ac:dyDescent="0.2">
      <c r="Y60390" s="97"/>
    </row>
    <row r="60391" spans="25:25" x14ac:dyDescent="0.2">
      <c r="Y60391" s="97"/>
    </row>
    <row r="60392" spans="25:25" x14ac:dyDescent="0.2">
      <c r="Y60392" s="97"/>
    </row>
    <row r="60393" spans="25:25" x14ac:dyDescent="0.2">
      <c r="Y60393" s="97"/>
    </row>
    <row r="60394" spans="25:25" x14ac:dyDescent="0.2">
      <c r="Y60394" s="97"/>
    </row>
    <row r="60395" spans="25:25" x14ac:dyDescent="0.2">
      <c r="Y60395" s="97"/>
    </row>
    <row r="60396" spans="25:25" x14ac:dyDescent="0.2">
      <c r="Y60396" s="97"/>
    </row>
    <row r="60397" spans="25:25" x14ac:dyDescent="0.2">
      <c r="Y60397" s="97"/>
    </row>
    <row r="60398" spans="25:25" x14ac:dyDescent="0.2">
      <c r="Y60398" s="97"/>
    </row>
    <row r="60399" spans="25:25" x14ac:dyDescent="0.2">
      <c r="Y60399" s="97"/>
    </row>
    <row r="60400" spans="25:25" x14ac:dyDescent="0.2">
      <c r="Y60400" s="97"/>
    </row>
    <row r="60401" spans="25:25" x14ac:dyDescent="0.2">
      <c r="Y60401" s="97"/>
    </row>
    <row r="60402" spans="25:25" x14ac:dyDescent="0.2">
      <c r="Y60402" s="97"/>
    </row>
    <row r="60403" spans="25:25" x14ac:dyDescent="0.2">
      <c r="Y60403" s="97"/>
    </row>
    <row r="60404" spans="25:25" x14ac:dyDescent="0.2">
      <c r="Y60404" s="97"/>
    </row>
    <row r="60405" spans="25:25" x14ac:dyDescent="0.2">
      <c r="Y60405" s="97"/>
    </row>
    <row r="60406" spans="25:25" x14ac:dyDescent="0.2">
      <c r="Y60406" s="97"/>
    </row>
    <row r="60407" spans="25:25" x14ac:dyDescent="0.2">
      <c r="Y60407" s="97"/>
    </row>
    <row r="60408" spans="25:25" x14ac:dyDescent="0.2">
      <c r="Y60408" s="97"/>
    </row>
    <row r="60409" spans="25:25" x14ac:dyDescent="0.2">
      <c r="Y60409" s="97"/>
    </row>
    <row r="60410" spans="25:25" x14ac:dyDescent="0.2">
      <c r="Y60410" s="97"/>
    </row>
    <row r="60411" spans="25:25" x14ac:dyDescent="0.2">
      <c r="Y60411" s="97"/>
    </row>
    <row r="60412" spans="25:25" x14ac:dyDescent="0.2">
      <c r="Y60412" s="97"/>
    </row>
    <row r="60413" spans="25:25" x14ac:dyDescent="0.2">
      <c r="Y60413" s="97"/>
    </row>
    <row r="60414" spans="25:25" x14ac:dyDescent="0.2">
      <c r="Y60414" s="97"/>
    </row>
    <row r="60415" spans="25:25" x14ac:dyDescent="0.2">
      <c r="Y60415" s="97"/>
    </row>
    <row r="60416" spans="25:25" x14ac:dyDescent="0.2">
      <c r="Y60416" s="97"/>
    </row>
    <row r="60417" spans="25:25" x14ac:dyDescent="0.2">
      <c r="Y60417" s="97"/>
    </row>
    <row r="60418" spans="25:25" x14ac:dyDescent="0.2">
      <c r="Y60418" s="97"/>
    </row>
    <row r="60419" spans="25:25" x14ac:dyDescent="0.2">
      <c r="Y60419" s="97"/>
    </row>
    <row r="60420" spans="25:25" x14ac:dyDescent="0.2">
      <c r="Y60420" s="97"/>
    </row>
    <row r="60421" spans="25:25" x14ac:dyDescent="0.2">
      <c r="Y60421" s="97"/>
    </row>
    <row r="60422" spans="25:25" x14ac:dyDescent="0.2">
      <c r="Y60422" s="97"/>
    </row>
    <row r="60423" spans="25:25" x14ac:dyDescent="0.2">
      <c r="Y60423" s="97"/>
    </row>
    <row r="60424" spans="25:25" x14ac:dyDescent="0.2">
      <c r="Y60424" s="97"/>
    </row>
    <row r="60425" spans="25:25" x14ac:dyDescent="0.2">
      <c r="Y60425" s="97"/>
    </row>
    <row r="60426" spans="25:25" x14ac:dyDescent="0.2">
      <c r="Y60426" s="97"/>
    </row>
    <row r="60427" spans="25:25" x14ac:dyDescent="0.2">
      <c r="Y60427" s="97"/>
    </row>
    <row r="60428" spans="25:25" x14ac:dyDescent="0.2">
      <c r="Y60428" s="97"/>
    </row>
    <row r="60429" spans="25:25" x14ac:dyDescent="0.2">
      <c r="Y60429" s="97"/>
    </row>
    <row r="60430" spans="25:25" x14ac:dyDescent="0.2">
      <c r="Y60430" s="97"/>
    </row>
    <row r="60431" spans="25:25" x14ac:dyDescent="0.2">
      <c r="Y60431" s="97"/>
    </row>
    <row r="60432" spans="25:25" x14ac:dyDescent="0.2">
      <c r="Y60432" s="97"/>
    </row>
    <row r="60433" spans="25:25" x14ac:dyDescent="0.2">
      <c r="Y60433" s="97"/>
    </row>
    <row r="60434" spans="25:25" x14ac:dyDescent="0.2">
      <c r="Y60434" s="97"/>
    </row>
    <row r="60435" spans="25:25" x14ac:dyDescent="0.2">
      <c r="Y60435" s="97"/>
    </row>
    <row r="60436" spans="25:25" x14ac:dyDescent="0.2">
      <c r="Y60436" s="97"/>
    </row>
    <row r="60437" spans="25:25" x14ac:dyDescent="0.2">
      <c r="Y60437" s="97"/>
    </row>
    <row r="60438" spans="25:25" x14ac:dyDescent="0.2">
      <c r="Y60438" s="97"/>
    </row>
    <row r="60439" spans="25:25" x14ac:dyDescent="0.2">
      <c r="Y60439" s="97"/>
    </row>
    <row r="60440" spans="25:25" x14ac:dyDescent="0.2">
      <c r="Y60440" s="97"/>
    </row>
    <row r="60441" spans="25:25" x14ac:dyDescent="0.2">
      <c r="Y60441" s="97"/>
    </row>
    <row r="60442" spans="25:25" x14ac:dyDescent="0.2">
      <c r="Y60442" s="97"/>
    </row>
    <row r="60443" spans="25:25" x14ac:dyDescent="0.2">
      <c r="Y60443" s="97"/>
    </row>
    <row r="60444" spans="25:25" x14ac:dyDescent="0.2">
      <c r="Y60444" s="97"/>
    </row>
    <row r="60445" spans="25:25" x14ac:dyDescent="0.2">
      <c r="Y60445" s="97"/>
    </row>
    <row r="60446" spans="25:25" x14ac:dyDescent="0.2">
      <c r="Y60446" s="97"/>
    </row>
    <row r="60447" spans="25:25" x14ac:dyDescent="0.2">
      <c r="Y60447" s="97"/>
    </row>
    <row r="60448" spans="25:25" x14ac:dyDescent="0.2">
      <c r="Y60448" s="97"/>
    </row>
    <row r="60449" spans="25:25" x14ac:dyDescent="0.2">
      <c r="Y60449" s="97"/>
    </row>
    <row r="60450" spans="25:25" x14ac:dyDescent="0.2">
      <c r="Y60450" s="97"/>
    </row>
    <row r="60451" spans="25:25" x14ac:dyDescent="0.2">
      <c r="Y60451" s="97"/>
    </row>
    <row r="60452" spans="25:25" x14ac:dyDescent="0.2">
      <c r="Y60452" s="97"/>
    </row>
    <row r="60453" spans="25:25" x14ac:dyDescent="0.2">
      <c r="Y60453" s="97"/>
    </row>
    <row r="60454" spans="25:25" x14ac:dyDescent="0.2">
      <c r="Y60454" s="97"/>
    </row>
    <row r="60455" spans="25:25" x14ac:dyDescent="0.2">
      <c r="Y60455" s="97"/>
    </row>
    <row r="60456" spans="25:25" x14ac:dyDescent="0.2">
      <c r="Y60456" s="97"/>
    </row>
    <row r="60457" spans="25:25" x14ac:dyDescent="0.2">
      <c r="Y60457" s="97"/>
    </row>
    <row r="60458" spans="25:25" x14ac:dyDescent="0.2">
      <c r="Y60458" s="97"/>
    </row>
    <row r="60459" spans="25:25" x14ac:dyDescent="0.2">
      <c r="Y60459" s="97"/>
    </row>
    <row r="60460" spans="25:25" x14ac:dyDescent="0.2">
      <c r="Y60460" s="97"/>
    </row>
    <row r="60461" spans="25:25" x14ac:dyDescent="0.2">
      <c r="Y60461" s="97"/>
    </row>
    <row r="60462" spans="25:25" x14ac:dyDescent="0.2">
      <c r="Y60462" s="97"/>
    </row>
    <row r="60463" spans="25:25" x14ac:dyDescent="0.2">
      <c r="Y60463" s="97"/>
    </row>
    <row r="60464" spans="25:25" x14ac:dyDescent="0.2">
      <c r="Y60464" s="97"/>
    </row>
    <row r="60465" spans="25:25" x14ac:dyDescent="0.2">
      <c r="Y60465" s="97"/>
    </row>
    <row r="60466" spans="25:25" x14ac:dyDescent="0.2">
      <c r="Y60466" s="97"/>
    </row>
    <row r="60467" spans="25:25" x14ac:dyDescent="0.2">
      <c r="Y60467" s="97"/>
    </row>
    <row r="60468" spans="25:25" x14ac:dyDescent="0.2">
      <c r="Y60468" s="97"/>
    </row>
    <row r="60469" spans="25:25" x14ac:dyDescent="0.2">
      <c r="Y60469" s="97"/>
    </row>
    <row r="60470" spans="25:25" x14ac:dyDescent="0.2">
      <c r="Y60470" s="97"/>
    </row>
    <row r="60471" spans="25:25" x14ac:dyDescent="0.2">
      <c r="Y60471" s="97"/>
    </row>
    <row r="60472" spans="25:25" x14ac:dyDescent="0.2">
      <c r="Y60472" s="97"/>
    </row>
    <row r="60473" spans="25:25" x14ac:dyDescent="0.2">
      <c r="Y60473" s="97"/>
    </row>
    <row r="60474" spans="25:25" x14ac:dyDescent="0.2">
      <c r="Y60474" s="97"/>
    </row>
    <row r="60475" spans="25:25" x14ac:dyDescent="0.2">
      <c r="Y60475" s="97"/>
    </row>
    <row r="60476" spans="25:25" x14ac:dyDescent="0.2">
      <c r="Y60476" s="97"/>
    </row>
    <row r="60477" spans="25:25" x14ac:dyDescent="0.2">
      <c r="Y60477" s="97"/>
    </row>
    <row r="60478" spans="25:25" x14ac:dyDescent="0.2">
      <c r="Y60478" s="97"/>
    </row>
    <row r="60479" spans="25:25" x14ac:dyDescent="0.2">
      <c r="Y60479" s="97"/>
    </row>
    <row r="60480" spans="25:25" x14ac:dyDescent="0.2">
      <c r="Y60480" s="97"/>
    </row>
    <row r="60481" spans="25:25" x14ac:dyDescent="0.2">
      <c r="Y60481" s="97"/>
    </row>
    <row r="60482" spans="25:25" x14ac:dyDescent="0.2">
      <c r="Y60482" s="97"/>
    </row>
    <row r="60483" spans="25:25" x14ac:dyDescent="0.2">
      <c r="Y60483" s="97"/>
    </row>
    <row r="60484" spans="25:25" x14ac:dyDescent="0.2">
      <c r="Y60484" s="97"/>
    </row>
    <row r="60485" spans="25:25" x14ac:dyDescent="0.2">
      <c r="Y60485" s="97"/>
    </row>
    <row r="60486" spans="25:25" x14ac:dyDescent="0.2">
      <c r="Y60486" s="97"/>
    </row>
    <row r="60487" spans="25:25" x14ac:dyDescent="0.2">
      <c r="Y60487" s="97"/>
    </row>
    <row r="60488" spans="25:25" x14ac:dyDescent="0.2">
      <c r="Y60488" s="97"/>
    </row>
    <row r="60489" spans="25:25" x14ac:dyDescent="0.2">
      <c r="Y60489" s="97"/>
    </row>
    <row r="60490" spans="25:25" x14ac:dyDescent="0.2">
      <c r="Y60490" s="97"/>
    </row>
    <row r="60491" spans="25:25" x14ac:dyDescent="0.2">
      <c r="Y60491" s="97"/>
    </row>
    <row r="60492" spans="25:25" x14ac:dyDescent="0.2">
      <c r="Y60492" s="97"/>
    </row>
    <row r="60493" spans="25:25" x14ac:dyDescent="0.2">
      <c r="Y60493" s="97"/>
    </row>
    <row r="60494" spans="25:25" x14ac:dyDescent="0.2">
      <c r="Y60494" s="97"/>
    </row>
    <row r="60495" spans="25:25" x14ac:dyDescent="0.2">
      <c r="Y60495" s="97"/>
    </row>
    <row r="60496" spans="25:25" x14ac:dyDescent="0.2">
      <c r="Y60496" s="97"/>
    </row>
    <row r="60497" spans="25:25" x14ac:dyDescent="0.2">
      <c r="Y60497" s="97"/>
    </row>
    <row r="60498" spans="25:25" x14ac:dyDescent="0.2">
      <c r="Y60498" s="97"/>
    </row>
    <row r="60499" spans="25:25" x14ac:dyDescent="0.2">
      <c r="Y60499" s="97"/>
    </row>
    <row r="60500" spans="25:25" x14ac:dyDescent="0.2">
      <c r="Y60500" s="97"/>
    </row>
    <row r="60501" spans="25:25" x14ac:dyDescent="0.2">
      <c r="Y60501" s="97"/>
    </row>
    <row r="60502" spans="25:25" x14ac:dyDescent="0.2">
      <c r="Y60502" s="97"/>
    </row>
    <row r="60503" spans="25:25" x14ac:dyDescent="0.2">
      <c r="Y60503" s="97"/>
    </row>
    <row r="60504" spans="25:25" x14ac:dyDescent="0.2">
      <c r="Y60504" s="97"/>
    </row>
    <row r="60505" spans="25:25" x14ac:dyDescent="0.2">
      <c r="Y60505" s="97"/>
    </row>
    <row r="60506" spans="25:25" x14ac:dyDescent="0.2">
      <c r="Y60506" s="97"/>
    </row>
    <row r="60507" spans="25:25" x14ac:dyDescent="0.2">
      <c r="Y60507" s="97"/>
    </row>
    <row r="60508" spans="25:25" x14ac:dyDescent="0.2">
      <c r="Y60508" s="97"/>
    </row>
    <row r="60509" spans="25:25" x14ac:dyDescent="0.2">
      <c r="Y60509" s="97"/>
    </row>
    <row r="60510" spans="25:25" x14ac:dyDescent="0.2">
      <c r="Y60510" s="97"/>
    </row>
    <row r="60511" spans="25:25" x14ac:dyDescent="0.2">
      <c r="Y60511" s="97"/>
    </row>
    <row r="60512" spans="25:25" x14ac:dyDescent="0.2">
      <c r="Y60512" s="97"/>
    </row>
    <row r="60513" spans="25:25" x14ac:dyDescent="0.2">
      <c r="Y60513" s="97"/>
    </row>
    <row r="60514" spans="25:25" x14ac:dyDescent="0.2">
      <c r="Y60514" s="97"/>
    </row>
    <row r="60515" spans="25:25" x14ac:dyDescent="0.2">
      <c r="Y60515" s="97"/>
    </row>
    <row r="60516" spans="25:25" x14ac:dyDescent="0.2">
      <c r="Y60516" s="97"/>
    </row>
    <row r="60517" spans="25:25" x14ac:dyDescent="0.2">
      <c r="Y60517" s="97"/>
    </row>
    <row r="60518" spans="25:25" x14ac:dyDescent="0.2">
      <c r="Y60518" s="97"/>
    </row>
    <row r="60519" spans="25:25" x14ac:dyDescent="0.2">
      <c r="Y60519" s="97"/>
    </row>
    <row r="60520" spans="25:25" x14ac:dyDescent="0.2">
      <c r="Y60520" s="97"/>
    </row>
    <row r="60521" spans="25:25" x14ac:dyDescent="0.2">
      <c r="Y60521" s="97"/>
    </row>
    <row r="60522" spans="25:25" x14ac:dyDescent="0.2">
      <c r="Y60522" s="97"/>
    </row>
    <row r="60523" spans="25:25" x14ac:dyDescent="0.2">
      <c r="Y60523" s="97"/>
    </row>
    <row r="60524" spans="25:25" x14ac:dyDescent="0.2">
      <c r="Y60524" s="97"/>
    </row>
    <row r="60525" spans="25:25" x14ac:dyDescent="0.2">
      <c r="Y60525" s="97"/>
    </row>
    <row r="60526" spans="25:25" x14ac:dyDescent="0.2">
      <c r="Y60526" s="97"/>
    </row>
    <row r="60527" spans="25:25" x14ac:dyDescent="0.2">
      <c r="Y60527" s="97"/>
    </row>
    <row r="60528" spans="25:25" x14ac:dyDescent="0.2">
      <c r="Y60528" s="97"/>
    </row>
    <row r="60529" spans="25:25" x14ac:dyDescent="0.2">
      <c r="Y60529" s="97"/>
    </row>
    <row r="60530" spans="25:25" x14ac:dyDescent="0.2">
      <c r="Y60530" s="97"/>
    </row>
    <row r="60531" spans="25:25" x14ac:dyDescent="0.2">
      <c r="Y60531" s="97"/>
    </row>
    <row r="60532" spans="25:25" x14ac:dyDescent="0.2">
      <c r="Y60532" s="97"/>
    </row>
    <row r="60533" spans="25:25" x14ac:dyDescent="0.2">
      <c r="Y60533" s="97"/>
    </row>
    <row r="60534" spans="25:25" x14ac:dyDescent="0.2">
      <c r="Y60534" s="97"/>
    </row>
    <row r="60535" spans="25:25" x14ac:dyDescent="0.2">
      <c r="Y60535" s="97"/>
    </row>
    <row r="60536" spans="25:25" x14ac:dyDescent="0.2">
      <c r="Y60536" s="97"/>
    </row>
    <row r="60537" spans="25:25" x14ac:dyDescent="0.2">
      <c r="Y60537" s="97"/>
    </row>
    <row r="60538" spans="25:25" x14ac:dyDescent="0.2">
      <c r="Y60538" s="97"/>
    </row>
    <row r="60539" spans="25:25" x14ac:dyDescent="0.2">
      <c r="Y60539" s="97"/>
    </row>
    <row r="60540" spans="25:25" x14ac:dyDescent="0.2">
      <c r="Y60540" s="97"/>
    </row>
    <row r="60541" spans="25:25" x14ac:dyDescent="0.2">
      <c r="Y60541" s="97"/>
    </row>
    <row r="60542" spans="25:25" x14ac:dyDescent="0.2">
      <c r="Y60542" s="97"/>
    </row>
    <row r="60543" spans="25:25" x14ac:dyDescent="0.2">
      <c r="Y60543" s="97"/>
    </row>
    <row r="60544" spans="25:25" x14ac:dyDescent="0.2">
      <c r="Y60544" s="97"/>
    </row>
    <row r="60545" spans="25:25" x14ac:dyDescent="0.2">
      <c r="Y60545" s="97"/>
    </row>
    <row r="60546" spans="25:25" x14ac:dyDescent="0.2">
      <c r="Y60546" s="97"/>
    </row>
    <row r="60547" spans="25:25" x14ac:dyDescent="0.2">
      <c r="Y60547" s="97"/>
    </row>
    <row r="60548" spans="25:25" x14ac:dyDescent="0.2">
      <c r="Y60548" s="97"/>
    </row>
    <row r="60549" spans="25:25" x14ac:dyDescent="0.2">
      <c r="Y60549" s="97"/>
    </row>
    <row r="60550" spans="25:25" x14ac:dyDescent="0.2">
      <c r="Y60550" s="97"/>
    </row>
    <row r="60551" spans="25:25" x14ac:dyDescent="0.2">
      <c r="Y60551" s="97"/>
    </row>
    <row r="60552" spans="25:25" x14ac:dyDescent="0.2">
      <c r="Y60552" s="97"/>
    </row>
    <row r="60553" spans="25:25" x14ac:dyDescent="0.2">
      <c r="Y60553" s="97"/>
    </row>
    <row r="60554" spans="25:25" x14ac:dyDescent="0.2">
      <c r="Y60554" s="97"/>
    </row>
    <row r="60555" spans="25:25" x14ac:dyDescent="0.2">
      <c r="Y60555" s="97"/>
    </row>
    <row r="60556" spans="25:25" x14ac:dyDescent="0.2">
      <c r="Y60556" s="97"/>
    </row>
    <row r="60557" spans="25:25" x14ac:dyDescent="0.2">
      <c r="Y60557" s="97"/>
    </row>
    <row r="60558" spans="25:25" x14ac:dyDescent="0.2">
      <c r="Y60558" s="97"/>
    </row>
    <row r="60559" spans="25:25" x14ac:dyDescent="0.2">
      <c r="Y60559" s="97"/>
    </row>
    <row r="60560" spans="25:25" x14ac:dyDescent="0.2">
      <c r="Y60560" s="97"/>
    </row>
    <row r="60561" spans="25:25" x14ac:dyDescent="0.2">
      <c r="Y60561" s="97"/>
    </row>
    <row r="60562" spans="25:25" x14ac:dyDescent="0.2">
      <c r="Y60562" s="97"/>
    </row>
    <row r="60563" spans="25:25" x14ac:dyDescent="0.2">
      <c r="Y60563" s="97"/>
    </row>
    <row r="60564" spans="25:25" x14ac:dyDescent="0.2">
      <c r="Y60564" s="97"/>
    </row>
    <row r="60565" spans="25:25" x14ac:dyDescent="0.2">
      <c r="Y60565" s="97"/>
    </row>
    <row r="60566" spans="25:25" x14ac:dyDescent="0.2">
      <c r="Y60566" s="97"/>
    </row>
    <row r="60567" spans="25:25" x14ac:dyDescent="0.2">
      <c r="Y60567" s="97"/>
    </row>
    <row r="60568" spans="25:25" x14ac:dyDescent="0.2">
      <c r="Y60568" s="97"/>
    </row>
    <row r="60569" spans="25:25" x14ac:dyDescent="0.2">
      <c r="Y60569" s="97"/>
    </row>
    <row r="60570" spans="25:25" x14ac:dyDescent="0.2">
      <c r="Y60570" s="97"/>
    </row>
    <row r="60571" spans="25:25" x14ac:dyDescent="0.2">
      <c r="Y60571" s="97"/>
    </row>
    <row r="60572" spans="25:25" x14ac:dyDescent="0.2">
      <c r="Y60572" s="97"/>
    </row>
    <row r="60573" spans="25:25" x14ac:dyDescent="0.2">
      <c r="Y60573" s="97"/>
    </row>
    <row r="60574" spans="25:25" x14ac:dyDescent="0.2">
      <c r="Y60574" s="97"/>
    </row>
    <row r="60575" spans="25:25" x14ac:dyDescent="0.2">
      <c r="Y60575" s="97"/>
    </row>
    <row r="60576" spans="25:25" x14ac:dyDescent="0.2">
      <c r="Y60576" s="97"/>
    </row>
    <row r="60577" spans="25:25" x14ac:dyDescent="0.2">
      <c r="Y60577" s="97"/>
    </row>
    <row r="60578" spans="25:25" x14ac:dyDescent="0.2">
      <c r="Y60578" s="97"/>
    </row>
    <row r="60579" spans="25:25" x14ac:dyDescent="0.2">
      <c r="Y60579" s="97"/>
    </row>
    <row r="60580" spans="25:25" x14ac:dyDescent="0.2">
      <c r="Y60580" s="97"/>
    </row>
    <row r="60581" spans="25:25" x14ac:dyDescent="0.2">
      <c r="Y60581" s="97"/>
    </row>
    <row r="60582" spans="25:25" x14ac:dyDescent="0.2">
      <c r="Y60582" s="97"/>
    </row>
    <row r="60583" spans="25:25" x14ac:dyDescent="0.2">
      <c r="Y60583" s="97"/>
    </row>
    <row r="60584" spans="25:25" x14ac:dyDescent="0.2">
      <c r="Y60584" s="97"/>
    </row>
    <row r="60585" spans="25:25" x14ac:dyDescent="0.2">
      <c r="Y60585" s="97"/>
    </row>
    <row r="60586" spans="25:25" x14ac:dyDescent="0.2">
      <c r="Y60586" s="97"/>
    </row>
    <row r="60587" spans="25:25" x14ac:dyDescent="0.2">
      <c r="Y60587" s="97"/>
    </row>
    <row r="60588" spans="25:25" x14ac:dyDescent="0.2">
      <c r="Y60588" s="97"/>
    </row>
    <row r="60589" spans="25:25" x14ac:dyDescent="0.2">
      <c r="Y60589" s="97"/>
    </row>
    <row r="60590" spans="25:25" x14ac:dyDescent="0.2">
      <c r="Y60590" s="97"/>
    </row>
    <row r="60591" spans="25:25" x14ac:dyDescent="0.2">
      <c r="Y60591" s="97"/>
    </row>
    <row r="60592" spans="25:25" x14ac:dyDescent="0.2">
      <c r="Y60592" s="97"/>
    </row>
    <row r="60593" spans="25:25" x14ac:dyDescent="0.2">
      <c r="Y60593" s="97"/>
    </row>
    <row r="60594" spans="25:25" x14ac:dyDescent="0.2">
      <c r="Y60594" s="97"/>
    </row>
    <row r="60595" spans="25:25" x14ac:dyDescent="0.2">
      <c r="Y60595" s="97"/>
    </row>
    <row r="60596" spans="25:25" x14ac:dyDescent="0.2">
      <c r="Y60596" s="97"/>
    </row>
    <row r="60597" spans="25:25" x14ac:dyDescent="0.2">
      <c r="Y60597" s="97"/>
    </row>
    <row r="60598" spans="25:25" x14ac:dyDescent="0.2">
      <c r="Y60598" s="97"/>
    </row>
    <row r="60599" spans="25:25" x14ac:dyDescent="0.2">
      <c r="Y60599" s="97"/>
    </row>
    <row r="60600" spans="25:25" x14ac:dyDescent="0.2">
      <c r="Y60600" s="97"/>
    </row>
    <row r="60601" spans="25:25" x14ac:dyDescent="0.2">
      <c r="Y60601" s="97"/>
    </row>
    <row r="60602" spans="25:25" x14ac:dyDescent="0.2">
      <c r="Y60602" s="97"/>
    </row>
    <row r="60603" spans="25:25" x14ac:dyDescent="0.2">
      <c r="Y60603" s="97"/>
    </row>
    <row r="60604" spans="25:25" x14ac:dyDescent="0.2">
      <c r="Y60604" s="97"/>
    </row>
    <row r="60605" spans="25:25" x14ac:dyDescent="0.2">
      <c r="Y60605" s="97"/>
    </row>
    <row r="60606" spans="25:25" x14ac:dyDescent="0.2">
      <c r="Y60606" s="97"/>
    </row>
    <row r="60607" spans="25:25" x14ac:dyDescent="0.2">
      <c r="Y60607" s="97"/>
    </row>
    <row r="60608" spans="25:25" x14ac:dyDescent="0.2">
      <c r="Y60608" s="97"/>
    </row>
    <row r="60609" spans="25:25" x14ac:dyDescent="0.2">
      <c r="Y60609" s="97"/>
    </row>
    <row r="60610" spans="25:25" x14ac:dyDescent="0.2">
      <c r="Y60610" s="97"/>
    </row>
    <row r="60611" spans="25:25" x14ac:dyDescent="0.2">
      <c r="Y60611" s="97"/>
    </row>
    <row r="60612" spans="25:25" x14ac:dyDescent="0.2">
      <c r="Y60612" s="97"/>
    </row>
    <row r="60613" spans="25:25" x14ac:dyDescent="0.2">
      <c r="Y60613" s="97"/>
    </row>
    <row r="60614" spans="25:25" x14ac:dyDescent="0.2">
      <c r="Y60614" s="97"/>
    </row>
    <row r="60615" spans="25:25" x14ac:dyDescent="0.2">
      <c r="Y60615" s="97"/>
    </row>
    <row r="60616" spans="25:25" x14ac:dyDescent="0.2">
      <c r="Y60616" s="97"/>
    </row>
    <row r="60617" spans="25:25" x14ac:dyDescent="0.2">
      <c r="Y60617" s="97"/>
    </row>
    <row r="60618" spans="25:25" x14ac:dyDescent="0.2">
      <c r="Y60618" s="97"/>
    </row>
    <row r="60619" spans="25:25" x14ac:dyDescent="0.2">
      <c r="Y60619" s="97"/>
    </row>
    <row r="60620" spans="25:25" x14ac:dyDescent="0.2">
      <c r="Y60620" s="97"/>
    </row>
    <row r="60621" spans="25:25" x14ac:dyDescent="0.2">
      <c r="Y60621" s="97"/>
    </row>
    <row r="60622" spans="25:25" x14ac:dyDescent="0.2">
      <c r="Y60622" s="97"/>
    </row>
    <row r="60623" spans="25:25" x14ac:dyDescent="0.2">
      <c r="Y60623" s="97"/>
    </row>
    <row r="60624" spans="25:25" x14ac:dyDescent="0.2">
      <c r="Y60624" s="97"/>
    </row>
    <row r="60625" spans="25:25" x14ac:dyDescent="0.2">
      <c r="Y60625" s="97"/>
    </row>
    <row r="60626" spans="25:25" x14ac:dyDescent="0.2">
      <c r="Y60626" s="97"/>
    </row>
    <row r="60627" spans="25:25" x14ac:dyDescent="0.2">
      <c r="Y60627" s="97"/>
    </row>
    <row r="60628" spans="25:25" x14ac:dyDescent="0.2">
      <c r="Y60628" s="97"/>
    </row>
    <row r="60629" spans="25:25" x14ac:dyDescent="0.2">
      <c r="Y60629" s="97"/>
    </row>
    <row r="60630" spans="25:25" x14ac:dyDescent="0.2">
      <c r="Y60630" s="97"/>
    </row>
    <row r="60631" spans="25:25" x14ac:dyDescent="0.2">
      <c r="Y60631" s="97"/>
    </row>
    <row r="60632" spans="25:25" x14ac:dyDescent="0.2">
      <c r="Y60632" s="97"/>
    </row>
    <row r="60633" spans="25:25" x14ac:dyDescent="0.2">
      <c r="Y60633" s="97"/>
    </row>
    <row r="60634" spans="25:25" x14ac:dyDescent="0.2">
      <c r="Y60634" s="97"/>
    </row>
    <row r="60635" spans="25:25" x14ac:dyDescent="0.2">
      <c r="Y60635" s="97"/>
    </row>
    <row r="60636" spans="25:25" x14ac:dyDescent="0.2">
      <c r="Y60636" s="97"/>
    </row>
    <row r="60637" spans="25:25" x14ac:dyDescent="0.2">
      <c r="Y60637" s="97"/>
    </row>
    <row r="60638" spans="25:25" x14ac:dyDescent="0.2">
      <c r="Y60638" s="97"/>
    </row>
    <row r="60639" spans="25:25" x14ac:dyDescent="0.2">
      <c r="Y60639" s="97"/>
    </row>
    <row r="60640" spans="25:25" x14ac:dyDescent="0.2">
      <c r="Y60640" s="97"/>
    </row>
    <row r="60641" spans="25:25" x14ac:dyDescent="0.2">
      <c r="Y60641" s="97"/>
    </row>
    <row r="60642" spans="25:25" x14ac:dyDescent="0.2">
      <c r="Y60642" s="97"/>
    </row>
    <row r="60643" spans="25:25" x14ac:dyDescent="0.2">
      <c r="Y60643" s="97"/>
    </row>
    <row r="60644" spans="25:25" x14ac:dyDescent="0.2">
      <c r="Y60644" s="97"/>
    </row>
    <row r="60645" spans="25:25" x14ac:dyDescent="0.2">
      <c r="Y60645" s="97"/>
    </row>
    <row r="60646" spans="25:25" x14ac:dyDescent="0.2">
      <c r="Y60646" s="97"/>
    </row>
    <row r="60647" spans="25:25" x14ac:dyDescent="0.2">
      <c r="Y60647" s="97"/>
    </row>
    <row r="60648" spans="25:25" x14ac:dyDescent="0.2">
      <c r="Y60648" s="97"/>
    </row>
    <row r="60649" spans="25:25" x14ac:dyDescent="0.2">
      <c r="Y60649" s="97"/>
    </row>
    <row r="60650" spans="25:25" x14ac:dyDescent="0.2">
      <c r="Y60650" s="97"/>
    </row>
    <row r="60651" spans="25:25" x14ac:dyDescent="0.2">
      <c r="Y60651" s="97"/>
    </row>
    <row r="60652" spans="25:25" x14ac:dyDescent="0.2">
      <c r="Y60652" s="97"/>
    </row>
    <row r="60653" spans="25:25" x14ac:dyDescent="0.2">
      <c r="Y60653" s="97"/>
    </row>
    <row r="60654" spans="25:25" x14ac:dyDescent="0.2">
      <c r="Y60654" s="97"/>
    </row>
    <row r="60655" spans="25:25" x14ac:dyDescent="0.2">
      <c r="Y60655" s="97"/>
    </row>
    <row r="60656" spans="25:25" x14ac:dyDescent="0.2">
      <c r="Y60656" s="97"/>
    </row>
    <row r="60657" spans="25:25" x14ac:dyDescent="0.2">
      <c r="Y60657" s="97"/>
    </row>
    <row r="60658" spans="25:25" x14ac:dyDescent="0.2">
      <c r="Y60658" s="97"/>
    </row>
    <row r="60659" spans="25:25" x14ac:dyDescent="0.2">
      <c r="Y60659" s="97"/>
    </row>
    <row r="60660" spans="25:25" x14ac:dyDescent="0.2">
      <c r="Y60660" s="97"/>
    </row>
    <row r="60661" spans="25:25" x14ac:dyDescent="0.2">
      <c r="Y60661" s="97"/>
    </row>
    <row r="60662" spans="25:25" x14ac:dyDescent="0.2">
      <c r="Y60662" s="97"/>
    </row>
    <row r="60663" spans="25:25" x14ac:dyDescent="0.2">
      <c r="Y60663" s="97"/>
    </row>
    <row r="60664" spans="25:25" x14ac:dyDescent="0.2">
      <c r="Y60664" s="97"/>
    </row>
    <row r="60665" spans="25:25" x14ac:dyDescent="0.2">
      <c r="Y60665" s="97"/>
    </row>
    <row r="60666" spans="25:25" x14ac:dyDescent="0.2">
      <c r="Y60666" s="97"/>
    </row>
    <row r="60667" spans="25:25" x14ac:dyDescent="0.2">
      <c r="Y60667" s="97"/>
    </row>
    <row r="60668" spans="25:25" x14ac:dyDescent="0.2">
      <c r="Y60668" s="97"/>
    </row>
    <row r="60669" spans="25:25" x14ac:dyDescent="0.2">
      <c r="Y60669" s="97"/>
    </row>
    <row r="60670" spans="25:25" x14ac:dyDescent="0.2">
      <c r="Y60670" s="97"/>
    </row>
    <row r="60671" spans="25:25" x14ac:dyDescent="0.2">
      <c r="Y60671" s="97"/>
    </row>
    <row r="60672" spans="25:25" x14ac:dyDescent="0.2">
      <c r="Y60672" s="97"/>
    </row>
    <row r="60673" spans="25:25" x14ac:dyDescent="0.2">
      <c r="Y60673" s="97"/>
    </row>
    <row r="60674" spans="25:25" x14ac:dyDescent="0.2">
      <c r="Y60674" s="97"/>
    </row>
    <row r="60675" spans="25:25" x14ac:dyDescent="0.2">
      <c r="Y60675" s="97"/>
    </row>
    <row r="60676" spans="25:25" x14ac:dyDescent="0.2">
      <c r="Y60676" s="97"/>
    </row>
    <row r="60677" spans="25:25" x14ac:dyDescent="0.2">
      <c r="Y60677" s="97"/>
    </row>
    <row r="60678" spans="25:25" x14ac:dyDescent="0.2">
      <c r="Y60678" s="97"/>
    </row>
    <row r="60679" spans="25:25" x14ac:dyDescent="0.2">
      <c r="Y60679" s="97"/>
    </row>
    <row r="60680" spans="25:25" x14ac:dyDescent="0.2">
      <c r="Y60680" s="97"/>
    </row>
    <row r="60681" spans="25:25" x14ac:dyDescent="0.2">
      <c r="Y60681" s="97"/>
    </row>
    <row r="60682" spans="25:25" x14ac:dyDescent="0.2">
      <c r="Y60682" s="97"/>
    </row>
    <row r="60683" spans="25:25" x14ac:dyDescent="0.2">
      <c r="Y60683" s="97"/>
    </row>
    <row r="60684" spans="25:25" x14ac:dyDescent="0.2">
      <c r="Y60684" s="97"/>
    </row>
    <row r="60685" spans="25:25" x14ac:dyDescent="0.2">
      <c r="Y60685" s="97"/>
    </row>
    <row r="60686" spans="25:25" x14ac:dyDescent="0.2">
      <c r="Y60686" s="97"/>
    </row>
    <row r="60687" spans="25:25" x14ac:dyDescent="0.2">
      <c r="Y60687" s="97"/>
    </row>
    <row r="60688" spans="25:25" x14ac:dyDescent="0.2">
      <c r="Y60688" s="97"/>
    </row>
    <row r="60689" spans="25:25" x14ac:dyDescent="0.2">
      <c r="Y60689" s="97"/>
    </row>
    <row r="60690" spans="25:25" x14ac:dyDescent="0.2">
      <c r="Y60690" s="97"/>
    </row>
    <row r="60691" spans="25:25" x14ac:dyDescent="0.2">
      <c r="Y60691" s="97"/>
    </row>
    <row r="60692" spans="25:25" x14ac:dyDescent="0.2">
      <c r="Y60692" s="97"/>
    </row>
    <row r="60693" spans="25:25" x14ac:dyDescent="0.2">
      <c r="Y60693" s="97"/>
    </row>
    <row r="60694" spans="25:25" x14ac:dyDescent="0.2">
      <c r="Y60694" s="97"/>
    </row>
    <row r="60695" spans="25:25" x14ac:dyDescent="0.2">
      <c r="Y60695" s="97"/>
    </row>
    <row r="60696" spans="25:25" x14ac:dyDescent="0.2">
      <c r="Y60696" s="97"/>
    </row>
    <row r="60697" spans="25:25" x14ac:dyDescent="0.2">
      <c r="Y60697" s="97"/>
    </row>
    <row r="60698" spans="25:25" x14ac:dyDescent="0.2">
      <c r="Y60698" s="97"/>
    </row>
    <row r="60699" spans="25:25" x14ac:dyDescent="0.2">
      <c r="Y60699" s="97"/>
    </row>
    <row r="60700" spans="25:25" x14ac:dyDescent="0.2">
      <c r="Y60700" s="97"/>
    </row>
    <row r="60701" spans="25:25" x14ac:dyDescent="0.2">
      <c r="Y60701" s="97"/>
    </row>
    <row r="60702" spans="25:25" x14ac:dyDescent="0.2">
      <c r="Y60702" s="97"/>
    </row>
    <row r="60703" spans="25:25" x14ac:dyDescent="0.2">
      <c r="Y60703" s="97"/>
    </row>
    <row r="60704" spans="25:25" x14ac:dyDescent="0.2">
      <c r="Y60704" s="97"/>
    </row>
    <row r="60705" spans="25:25" x14ac:dyDescent="0.2">
      <c r="Y60705" s="97"/>
    </row>
    <row r="60706" spans="25:25" x14ac:dyDescent="0.2">
      <c r="Y60706" s="97"/>
    </row>
    <row r="60707" spans="25:25" x14ac:dyDescent="0.2">
      <c r="Y60707" s="97"/>
    </row>
    <row r="60708" spans="25:25" x14ac:dyDescent="0.2">
      <c r="Y60708" s="97"/>
    </row>
    <row r="60709" spans="25:25" x14ac:dyDescent="0.2">
      <c r="Y60709" s="97"/>
    </row>
    <row r="60710" spans="25:25" x14ac:dyDescent="0.2">
      <c r="Y60710" s="97"/>
    </row>
    <row r="60711" spans="25:25" x14ac:dyDescent="0.2">
      <c r="Y60711" s="97"/>
    </row>
    <row r="60712" spans="25:25" x14ac:dyDescent="0.2">
      <c r="Y60712" s="97"/>
    </row>
    <row r="60713" spans="25:25" x14ac:dyDescent="0.2">
      <c r="Y60713" s="97"/>
    </row>
    <row r="60714" spans="25:25" x14ac:dyDescent="0.2">
      <c r="Y60714" s="97"/>
    </row>
    <row r="60715" spans="25:25" x14ac:dyDescent="0.2">
      <c r="Y60715" s="97"/>
    </row>
    <row r="60716" spans="25:25" x14ac:dyDescent="0.2">
      <c r="Y60716" s="97"/>
    </row>
    <row r="60717" spans="25:25" x14ac:dyDescent="0.2">
      <c r="Y60717" s="97"/>
    </row>
    <row r="60718" spans="25:25" x14ac:dyDescent="0.2">
      <c r="Y60718" s="97"/>
    </row>
    <row r="60719" spans="25:25" x14ac:dyDescent="0.2">
      <c r="Y60719" s="97"/>
    </row>
    <row r="60720" spans="25:25" x14ac:dyDescent="0.2">
      <c r="Y60720" s="97"/>
    </row>
    <row r="60721" spans="25:25" x14ac:dyDescent="0.2">
      <c r="Y60721" s="97"/>
    </row>
    <row r="60722" spans="25:25" x14ac:dyDescent="0.2">
      <c r="Y60722" s="97"/>
    </row>
    <row r="60723" spans="25:25" x14ac:dyDescent="0.2">
      <c r="Y60723" s="97"/>
    </row>
    <row r="60724" spans="25:25" x14ac:dyDescent="0.2">
      <c r="Y60724" s="97"/>
    </row>
    <row r="60725" spans="25:25" x14ac:dyDescent="0.2">
      <c r="Y60725" s="97"/>
    </row>
    <row r="60726" spans="25:25" x14ac:dyDescent="0.2">
      <c r="Y60726" s="97"/>
    </row>
    <row r="60727" spans="25:25" x14ac:dyDescent="0.2">
      <c r="Y60727" s="97"/>
    </row>
    <row r="60728" spans="25:25" x14ac:dyDescent="0.2">
      <c r="Y60728" s="97"/>
    </row>
    <row r="60729" spans="25:25" x14ac:dyDescent="0.2">
      <c r="Y60729" s="97"/>
    </row>
    <row r="60730" spans="25:25" x14ac:dyDescent="0.2">
      <c r="Y60730" s="97"/>
    </row>
    <row r="60731" spans="25:25" x14ac:dyDescent="0.2">
      <c r="Y60731" s="97"/>
    </row>
    <row r="60732" spans="25:25" x14ac:dyDescent="0.2">
      <c r="Y60732" s="97"/>
    </row>
    <row r="60733" spans="25:25" x14ac:dyDescent="0.2">
      <c r="Y60733" s="97"/>
    </row>
    <row r="60734" spans="25:25" x14ac:dyDescent="0.2">
      <c r="Y60734" s="97"/>
    </row>
    <row r="60735" spans="25:25" x14ac:dyDescent="0.2">
      <c r="Y60735" s="97"/>
    </row>
    <row r="60736" spans="25:25" x14ac:dyDescent="0.2">
      <c r="Y60736" s="97"/>
    </row>
    <row r="60737" spans="25:25" x14ac:dyDescent="0.2">
      <c r="Y60737" s="97"/>
    </row>
    <row r="60738" spans="25:25" x14ac:dyDescent="0.2">
      <c r="Y60738" s="97"/>
    </row>
    <row r="60739" spans="25:25" x14ac:dyDescent="0.2">
      <c r="Y60739" s="97"/>
    </row>
    <row r="60740" spans="25:25" x14ac:dyDescent="0.2">
      <c r="Y60740" s="97"/>
    </row>
    <row r="60741" spans="25:25" x14ac:dyDescent="0.2">
      <c r="Y60741" s="97"/>
    </row>
    <row r="60742" spans="25:25" x14ac:dyDescent="0.2">
      <c r="Y60742" s="97"/>
    </row>
    <row r="60743" spans="25:25" x14ac:dyDescent="0.2">
      <c r="Y60743" s="97"/>
    </row>
    <row r="60744" spans="25:25" x14ac:dyDescent="0.2">
      <c r="Y60744" s="97"/>
    </row>
    <row r="60745" spans="25:25" x14ac:dyDescent="0.2">
      <c r="Y60745" s="97"/>
    </row>
    <row r="60746" spans="25:25" x14ac:dyDescent="0.2">
      <c r="Y60746" s="97"/>
    </row>
    <row r="60747" spans="25:25" x14ac:dyDescent="0.2">
      <c r="Y60747" s="97"/>
    </row>
    <row r="60748" spans="25:25" x14ac:dyDescent="0.2">
      <c r="Y60748" s="97"/>
    </row>
    <row r="60749" spans="25:25" x14ac:dyDescent="0.2">
      <c r="Y60749" s="97"/>
    </row>
    <row r="60750" spans="25:25" x14ac:dyDescent="0.2">
      <c r="Y60750" s="97"/>
    </row>
    <row r="60751" spans="25:25" x14ac:dyDescent="0.2">
      <c r="Y60751" s="97"/>
    </row>
    <row r="60752" spans="25:25" x14ac:dyDescent="0.2">
      <c r="Y60752" s="97"/>
    </row>
    <row r="60753" spans="25:25" x14ac:dyDescent="0.2">
      <c r="Y60753" s="97"/>
    </row>
    <row r="60754" spans="25:25" x14ac:dyDescent="0.2">
      <c r="Y60754" s="97"/>
    </row>
    <row r="60755" spans="25:25" x14ac:dyDescent="0.2">
      <c r="Y60755" s="97"/>
    </row>
    <row r="60756" spans="25:25" x14ac:dyDescent="0.2">
      <c r="Y60756" s="97"/>
    </row>
    <row r="60757" spans="25:25" x14ac:dyDescent="0.2">
      <c r="Y60757" s="97"/>
    </row>
    <row r="60758" spans="25:25" x14ac:dyDescent="0.2">
      <c r="Y60758" s="97"/>
    </row>
    <row r="60759" spans="25:25" x14ac:dyDescent="0.2">
      <c r="Y60759" s="97"/>
    </row>
    <row r="60760" spans="25:25" x14ac:dyDescent="0.2">
      <c r="Y60760" s="97"/>
    </row>
    <row r="60761" spans="25:25" x14ac:dyDescent="0.2">
      <c r="Y60761" s="97"/>
    </row>
    <row r="60762" spans="25:25" x14ac:dyDescent="0.2">
      <c r="Y60762" s="97"/>
    </row>
    <row r="60763" spans="25:25" x14ac:dyDescent="0.2">
      <c r="Y60763" s="97"/>
    </row>
    <row r="60764" spans="25:25" x14ac:dyDescent="0.2">
      <c r="Y60764" s="97"/>
    </row>
    <row r="60765" spans="25:25" x14ac:dyDescent="0.2">
      <c r="Y60765" s="97"/>
    </row>
    <row r="60766" spans="25:25" x14ac:dyDescent="0.2">
      <c r="Y60766" s="97"/>
    </row>
    <row r="60767" spans="25:25" x14ac:dyDescent="0.2">
      <c r="Y60767" s="97"/>
    </row>
    <row r="60768" spans="25:25" x14ac:dyDescent="0.2">
      <c r="Y60768" s="97"/>
    </row>
    <row r="60769" spans="25:25" x14ac:dyDescent="0.2">
      <c r="Y60769" s="97"/>
    </row>
    <row r="60770" spans="25:25" x14ac:dyDescent="0.2">
      <c r="Y60770" s="97"/>
    </row>
    <row r="60771" spans="25:25" x14ac:dyDescent="0.2">
      <c r="Y60771" s="97"/>
    </row>
    <row r="60772" spans="25:25" x14ac:dyDescent="0.2">
      <c r="Y60772" s="97"/>
    </row>
    <row r="60773" spans="25:25" x14ac:dyDescent="0.2">
      <c r="Y60773" s="97"/>
    </row>
    <row r="60774" spans="25:25" x14ac:dyDescent="0.2">
      <c r="Y60774" s="97"/>
    </row>
    <row r="60775" spans="25:25" x14ac:dyDescent="0.2">
      <c r="Y60775" s="97"/>
    </row>
    <row r="60776" spans="25:25" x14ac:dyDescent="0.2">
      <c r="Y60776" s="97"/>
    </row>
    <row r="60777" spans="25:25" x14ac:dyDescent="0.2">
      <c r="Y60777" s="97"/>
    </row>
    <row r="60778" spans="25:25" x14ac:dyDescent="0.2">
      <c r="Y60778" s="97"/>
    </row>
    <row r="60779" spans="25:25" x14ac:dyDescent="0.2">
      <c r="Y60779" s="97"/>
    </row>
    <row r="60780" spans="25:25" x14ac:dyDescent="0.2">
      <c r="Y60780" s="97"/>
    </row>
    <row r="60781" spans="25:25" x14ac:dyDescent="0.2">
      <c r="Y60781" s="97"/>
    </row>
    <row r="60782" spans="25:25" x14ac:dyDescent="0.2">
      <c r="Y60782" s="97"/>
    </row>
    <row r="60783" spans="25:25" x14ac:dyDescent="0.2">
      <c r="Y60783" s="97"/>
    </row>
    <row r="60784" spans="25:25" x14ac:dyDescent="0.2">
      <c r="Y60784" s="97"/>
    </row>
    <row r="60785" spans="25:25" x14ac:dyDescent="0.2">
      <c r="Y60785" s="97"/>
    </row>
    <row r="60786" spans="25:25" x14ac:dyDescent="0.2">
      <c r="Y60786" s="97"/>
    </row>
    <row r="60787" spans="25:25" x14ac:dyDescent="0.2">
      <c r="Y60787" s="97"/>
    </row>
    <row r="60788" spans="25:25" x14ac:dyDescent="0.2">
      <c r="Y60788" s="97"/>
    </row>
    <row r="60789" spans="25:25" x14ac:dyDescent="0.2">
      <c r="Y60789" s="97"/>
    </row>
    <row r="60790" spans="25:25" x14ac:dyDescent="0.2">
      <c r="Y60790" s="97"/>
    </row>
    <row r="60791" spans="25:25" x14ac:dyDescent="0.2">
      <c r="Y60791" s="97"/>
    </row>
    <row r="60792" spans="25:25" x14ac:dyDescent="0.2">
      <c r="Y60792" s="97"/>
    </row>
    <row r="60793" spans="25:25" x14ac:dyDescent="0.2">
      <c r="Y60793" s="97"/>
    </row>
    <row r="60794" spans="25:25" x14ac:dyDescent="0.2">
      <c r="Y60794" s="97"/>
    </row>
    <row r="60795" spans="25:25" x14ac:dyDescent="0.2">
      <c r="Y60795" s="97"/>
    </row>
    <row r="60796" spans="25:25" x14ac:dyDescent="0.2">
      <c r="Y60796" s="97"/>
    </row>
    <row r="60797" spans="25:25" x14ac:dyDescent="0.2">
      <c r="Y60797" s="97"/>
    </row>
    <row r="60798" spans="25:25" x14ac:dyDescent="0.2">
      <c r="Y60798" s="97"/>
    </row>
    <row r="60799" spans="25:25" x14ac:dyDescent="0.2">
      <c r="Y60799" s="97"/>
    </row>
    <row r="60800" spans="25:25" x14ac:dyDescent="0.2">
      <c r="Y60800" s="97"/>
    </row>
    <row r="60801" spans="25:25" x14ac:dyDescent="0.2">
      <c r="Y60801" s="97"/>
    </row>
    <row r="60802" spans="25:25" x14ac:dyDescent="0.2">
      <c r="Y60802" s="97"/>
    </row>
    <row r="60803" spans="25:25" x14ac:dyDescent="0.2">
      <c r="Y60803" s="97"/>
    </row>
    <row r="60804" spans="25:25" x14ac:dyDescent="0.2">
      <c r="Y60804" s="97"/>
    </row>
    <row r="60805" spans="25:25" x14ac:dyDescent="0.2">
      <c r="Y60805" s="97"/>
    </row>
    <row r="60806" spans="25:25" x14ac:dyDescent="0.2">
      <c r="Y60806" s="97"/>
    </row>
    <row r="60807" spans="25:25" x14ac:dyDescent="0.2">
      <c r="Y60807" s="97"/>
    </row>
    <row r="60808" spans="25:25" x14ac:dyDescent="0.2">
      <c r="Y60808" s="97"/>
    </row>
    <row r="60809" spans="25:25" x14ac:dyDescent="0.2">
      <c r="Y60809" s="97"/>
    </row>
    <row r="60810" spans="25:25" x14ac:dyDescent="0.2">
      <c r="Y60810" s="97"/>
    </row>
    <row r="60811" spans="25:25" x14ac:dyDescent="0.2">
      <c r="Y60811" s="97"/>
    </row>
    <row r="60812" spans="25:25" x14ac:dyDescent="0.2">
      <c r="Y60812" s="97"/>
    </row>
    <row r="60813" spans="25:25" x14ac:dyDescent="0.2">
      <c r="Y60813" s="97"/>
    </row>
    <row r="60814" spans="25:25" x14ac:dyDescent="0.2">
      <c r="Y60814" s="97"/>
    </row>
    <row r="60815" spans="25:25" x14ac:dyDescent="0.2">
      <c r="Y60815" s="97"/>
    </row>
    <row r="60816" spans="25:25" x14ac:dyDescent="0.2">
      <c r="Y60816" s="97"/>
    </row>
    <row r="60817" spans="25:25" x14ac:dyDescent="0.2">
      <c r="Y60817" s="97"/>
    </row>
    <row r="60818" spans="25:25" x14ac:dyDescent="0.2">
      <c r="Y60818" s="97"/>
    </row>
    <row r="60819" spans="25:25" x14ac:dyDescent="0.2">
      <c r="Y60819" s="97"/>
    </row>
    <row r="60820" spans="25:25" x14ac:dyDescent="0.2">
      <c r="Y60820" s="97"/>
    </row>
    <row r="60821" spans="25:25" x14ac:dyDescent="0.2">
      <c r="Y60821" s="97"/>
    </row>
    <row r="60822" spans="25:25" x14ac:dyDescent="0.2">
      <c r="Y60822" s="97"/>
    </row>
    <row r="60823" spans="25:25" x14ac:dyDescent="0.2">
      <c r="Y60823" s="97"/>
    </row>
    <row r="60824" spans="25:25" x14ac:dyDescent="0.2">
      <c r="Y60824" s="97"/>
    </row>
    <row r="60825" spans="25:25" x14ac:dyDescent="0.2">
      <c r="Y60825" s="97"/>
    </row>
    <row r="60826" spans="25:25" x14ac:dyDescent="0.2">
      <c r="Y60826" s="97"/>
    </row>
    <row r="60827" spans="25:25" x14ac:dyDescent="0.2">
      <c r="Y60827" s="97"/>
    </row>
    <row r="60828" spans="25:25" x14ac:dyDescent="0.2">
      <c r="Y60828" s="97"/>
    </row>
    <row r="60829" spans="25:25" x14ac:dyDescent="0.2">
      <c r="Y60829" s="97"/>
    </row>
    <row r="60830" spans="25:25" x14ac:dyDescent="0.2">
      <c r="Y60830" s="97"/>
    </row>
    <row r="60831" spans="25:25" x14ac:dyDescent="0.2">
      <c r="Y60831" s="97"/>
    </row>
    <row r="60832" spans="25:25" x14ac:dyDescent="0.2">
      <c r="Y60832" s="97"/>
    </row>
    <row r="60833" spans="25:25" x14ac:dyDescent="0.2">
      <c r="Y60833" s="97"/>
    </row>
    <row r="60834" spans="25:25" x14ac:dyDescent="0.2">
      <c r="Y60834" s="97"/>
    </row>
    <row r="60835" spans="25:25" x14ac:dyDescent="0.2">
      <c r="Y60835" s="97"/>
    </row>
    <row r="60836" spans="25:25" x14ac:dyDescent="0.2">
      <c r="Y60836" s="97"/>
    </row>
    <row r="60837" spans="25:25" x14ac:dyDescent="0.2">
      <c r="Y60837" s="97"/>
    </row>
    <row r="60838" spans="25:25" x14ac:dyDescent="0.2">
      <c r="Y60838" s="97"/>
    </row>
    <row r="60839" spans="25:25" x14ac:dyDescent="0.2">
      <c r="Y60839" s="97"/>
    </row>
    <row r="60840" spans="25:25" x14ac:dyDescent="0.2">
      <c r="Y60840" s="97"/>
    </row>
    <row r="60841" spans="25:25" x14ac:dyDescent="0.2">
      <c r="Y60841" s="97"/>
    </row>
    <row r="60842" spans="25:25" x14ac:dyDescent="0.2">
      <c r="Y60842" s="97"/>
    </row>
    <row r="60843" spans="25:25" x14ac:dyDescent="0.2">
      <c r="Y60843" s="97"/>
    </row>
    <row r="60844" spans="25:25" x14ac:dyDescent="0.2">
      <c r="Y60844" s="97"/>
    </row>
    <row r="60845" spans="25:25" x14ac:dyDescent="0.2">
      <c r="Y60845" s="97"/>
    </row>
    <row r="60846" spans="25:25" x14ac:dyDescent="0.2">
      <c r="Y60846" s="97"/>
    </row>
    <row r="60847" spans="25:25" x14ac:dyDescent="0.2">
      <c r="Y60847" s="97"/>
    </row>
    <row r="60848" spans="25:25" x14ac:dyDescent="0.2">
      <c r="Y60848" s="97"/>
    </row>
    <row r="60849" spans="25:25" x14ac:dyDescent="0.2">
      <c r="Y60849" s="97"/>
    </row>
    <row r="60850" spans="25:25" x14ac:dyDescent="0.2">
      <c r="Y60850" s="97"/>
    </row>
    <row r="60851" spans="25:25" x14ac:dyDescent="0.2">
      <c r="Y60851" s="97"/>
    </row>
    <row r="60852" spans="25:25" x14ac:dyDescent="0.2">
      <c r="Y60852" s="97"/>
    </row>
    <row r="60853" spans="25:25" x14ac:dyDescent="0.2">
      <c r="Y60853" s="97"/>
    </row>
    <row r="60854" spans="25:25" x14ac:dyDescent="0.2">
      <c r="Y60854" s="97"/>
    </row>
    <row r="60855" spans="25:25" x14ac:dyDescent="0.2">
      <c r="Y60855" s="97"/>
    </row>
    <row r="60856" spans="25:25" x14ac:dyDescent="0.2">
      <c r="Y60856" s="97"/>
    </row>
    <row r="60857" spans="25:25" x14ac:dyDescent="0.2">
      <c r="Y60857" s="97"/>
    </row>
    <row r="60858" spans="25:25" x14ac:dyDescent="0.2">
      <c r="Y60858" s="97"/>
    </row>
    <row r="60859" spans="25:25" x14ac:dyDescent="0.2">
      <c r="Y60859" s="97"/>
    </row>
    <row r="60860" spans="25:25" x14ac:dyDescent="0.2">
      <c r="Y60860" s="97"/>
    </row>
    <row r="60861" spans="25:25" x14ac:dyDescent="0.2">
      <c r="Y60861" s="97"/>
    </row>
    <row r="60862" spans="25:25" x14ac:dyDescent="0.2">
      <c r="Y60862" s="97"/>
    </row>
    <row r="60863" spans="25:25" x14ac:dyDescent="0.2">
      <c r="Y60863" s="97"/>
    </row>
    <row r="60864" spans="25:25" x14ac:dyDescent="0.2">
      <c r="Y60864" s="97"/>
    </row>
    <row r="60865" spans="25:25" x14ac:dyDescent="0.2">
      <c r="Y60865" s="97"/>
    </row>
    <row r="60866" spans="25:25" x14ac:dyDescent="0.2">
      <c r="Y60866" s="97"/>
    </row>
    <row r="60867" spans="25:25" x14ac:dyDescent="0.2">
      <c r="Y60867" s="97"/>
    </row>
    <row r="60868" spans="25:25" x14ac:dyDescent="0.2">
      <c r="Y60868" s="97"/>
    </row>
    <row r="60869" spans="25:25" x14ac:dyDescent="0.2">
      <c r="Y60869" s="97"/>
    </row>
    <row r="60870" spans="25:25" x14ac:dyDescent="0.2">
      <c r="Y60870" s="97"/>
    </row>
    <row r="60871" spans="25:25" x14ac:dyDescent="0.2">
      <c r="Y60871" s="97"/>
    </row>
    <row r="60872" spans="25:25" x14ac:dyDescent="0.2">
      <c r="Y60872" s="97"/>
    </row>
    <row r="60873" spans="25:25" x14ac:dyDescent="0.2">
      <c r="Y60873" s="97"/>
    </row>
    <row r="60874" spans="25:25" x14ac:dyDescent="0.2">
      <c r="Y60874" s="97"/>
    </row>
    <row r="60875" spans="25:25" x14ac:dyDescent="0.2">
      <c r="Y60875" s="97"/>
    </row>
    <row r="60876" spans="25:25" x14ac:dyDescent="0.2">
      <c r="Y60876" s="97"/>
    </row>
    <row r="60877" spans="25:25" x14ac:dyDescent="0.2">
      <c r="Y60877" s="97"/>
    </row>
    <row r="60878" spans="25:25" x14ac:dyDescent="0.2">
      <c r="Y60878" s="97"/>
    </row>
    <row r="60879" spans="25:25" x14ac:dyDescent="0.2">
      <c r="Y60879" s="97"/>
    </row>
    <row r="60880" spans="25:25" x14ac:dyDescent="0.2">
      <c r="Y60880" s="97"/>
    </row>
    <row r="60881" spans="25:25" x14ac:dyDescent="0.2">
      <c r="Y60881" s="97"/>
    </row>
    <row r="60882" spans="25:25" x14ac:dyDescent="0.2">
      <c r="Y60882" s="97"/>
    </row>
    <row r="60883" spans="25:25" x14ac:dyDescent="0.2">
      <c r="Y60883" s="97"/>
    </row>
    <row r="60884" spans="25:25" x14ac:dyDescent="0.2">
      <c r="Y60884" s="97"/>
    </row>
    <row r="60885" spans="25:25" x14ac:dyDescent="0.2">
      <c r="Y60885" s="97"/>
    </row>
    <row r="60886" spans="25:25" x14ac:dyDescent="0.2">
      <c r="Y60886" s="97"/>
    </row>
    <row r="60887" spans="25:25" x14ac:dyDescent="0.2">
      <c r="Y60887" s="97"/>
    </row>
    <row r="60888" spans="25:25" x14ac:dyDescent="0.2">
      <c r="Y60888" s="97"/>
    </row>
    <row r="60889" spans="25:25" x14ac:dyDescent="0.2">
      <c r="Y60889" s="97"/>
    </row>
    <row r="60890" spans="25:25" x14ac:dyDescent="0.2">
      <c r="Y60890" s="97"/>
    </row>
    <row r="60891" spans="25:25" x14ac:dyDescent="0.2">
      <c r="Y60891" s="97"/>
    </row>
    <row r="60892" spans="25:25" x14ac:dyDescent="0.2">
      <c r="Y60892" s="97"/>
    </row>
    <row r="60893" spans="25:25" x14ac:dyDescent="0.2">
      <c r="Y60893" s="97"/>
    </row>
    <row r="60894" spans="25:25" x14ac:dyDescent="0.2">
      <c r="Y60894" s="97"/>
    </row>
    <row r="60895" spans="25:25" x14ac:dyDescent="0.2">
      <c r="Y60895" s="97"/>
    </row>
    <row r="60896" spans="25:25" x14ac:dyDescent="0.2">
      <c r="Y60896" s="97"/>
    </row>
    <row r="60897" spans="25:25" x14ac:dyDescent="0.2">
      <c r="Y60897" s="97"/>
    </row>
    <row r="60898" spans="25:25" x14ac:dyDescent="0.2">
      <c r="Y60898" s="97"/>
    </row>
    <row r="60899" spans="25:25" x14ac:dyDescent="0.2">
      <c r="Y60899" s="97"/>
    </row>
    <row r="60900" spans="25:25" x14ac:dyDescent="0.2">
      <c r="Y60900" s="97"/>
    </row>
    <row r="60901" spans="25:25" x14ac:dyDescent="0.2">
      <c r="Y60901" s="97"/>
    </row>
    <row r="60902" spans="25:25" x14ac:dyDescent="0.2">
      <c r="Y60902" s="97"/>
    </row>
    <row r="60903" spans="25:25" x14ac:dyDescent="0.2">
      <c r="Y60903" s="97"/>
    </row>
    <row r="60904" spans="25:25" x14ac:dyDescent="0.2">
      <c r="Y60904" s="97"/>
    </row>
    <row r="60905" spans="25:25" x14ac:dyDescent="0.2">
      <c r="Y60905" s="97"/>
    </row>
    <row r="60906" spans="25:25" x14ac:dyDescent="0.2">
      <c r="Y60906" s="97"/>
    </row>
    <row r="60907" spans="25:25" x14ac:dyDescent="0.2">
      <c r="Y60907" s="97"/>
    </row>
    <row r="60908" spans="25:25" x14ac:dyDescent="0.2">
      <c r="Y60908" s="97"/>
    </row>
    <row r="60909" spans="25:25" x14ac:dyDescent="0.2">
      <c r="Y60909" s="97"/>
    </row>
    <row r="60910" spans="25:25" x14ac:dyDescent="0.2">
      <c r="Y60910" s="97"/>
    </row>
    <row r="60911" spans="25:25" x14ac:dyDescent="0.2">
      <c r="Y60911" s="97"/>
    </row>
    <row r="60912" spans="25:25" x14ac:dyDescent="0.2">
      <c r="Y60912" s="97"/>
    </row>
    <row r="60913" spans="25:25" x14ac:dyDescent="0.2">
      <c r="Y60913" s="97"/>
    </row>
    <row r="60914" spans="25:25" x14ac:dyDescent="0.2">
      <c r="Y60914" s="97"/>
    </row>
    <row r="60915" spans="25:25" x14ac:dyDescent="0.2">
      <c r="Y60915" s="97"/>
    </row>
    <row r="60916" spans="25:25" x14ac:dyDescent="0.2">
      <c r="Y60916" s="97"/>
    </row>
    <row r="60917" spans="25:25" x14ac:dyDescent="0.2">
      <c r="Y60917" s="97"/>
    </row>
    <row r="60918" spans="25:25" x14ac:dyDescent="0.2">
      <c r="Y60918" s="97"/>
    </row>
    <row r="60919" spans="25:25" x14ac:dyDescent="0.2">
      <c r="Y60919" s="97"/>
    </row>
    <row r="60920" spans="25:25" x14ac:dyDescent="0.2">
      <c r="Y60920" s="97"/>
    </row>
    <row r="60921" spans="25:25" x14ac:dyDescent="0.2">
      <c r="Y60921" s="97"/>
    </row>
    <row r="60922" spans="25:25" x14ac:dyDescent="0.2">
      <c r="Y60922" s="97"/>
    </row>
    <row r="60923" spans="25:25" x14ac:dyDescent="0.2">
      <c r="Y60923" s="97"/>
    </row>
    <row r="60924" spans="25:25" x14ac:dyDescent="0.2">
      <c r="Y60924" s="97"/>
    </row>
    <row r="60925" spans="25:25" x14ac:dyDescent="0.2">
      <c r="Y60925" s="97"/>
    </row>
    <row r="60926" spans="25:25" x14ac:dyDescent="0.2">
      <c r="Y60926" s="97"/>
    </row>
    <row r="60927" spans="25:25" x14ac:dyDescent="0.2">
      <c r="Y60927" s="97"/>
    </row>
    <row r="60928" spans="25:25" x14ac:dyDescent="0.2">
      <c r="Y60928" s="97"/>
    </row>
    <row r="60929" spans="25:25" x14ac:dyDescent="0.2">
      <c r="Y60929" s="97"/>
    </row>
    <row r="60930" spans="25:25" x14ac:dyDescent="0.2">
      <c r="Y60930" s="97"/>
    </row>
    <row r="60931" spans="25:25" x14ac:dyDescent="0.2">
      <c r="Y60931" s="97"/>
    </row>
    <row r="60932" spans="25:25" x14ac:dyDescent="0.2">
      <c r="Y60932" s="97"/>
    </row>
    <row r="60933" spans="25:25" x14ac:dyDescent="0.2">
      <c r="Y60933" s="97"/>
    </row>
    <row r="60934" spans="25:25" x14ac:dyDescent="0.2">
      <c r="Y60934" s="97"/>
    </row>
    <row r="60935" spans="25:25" x14ac:dyDescent="0.2">
      <c r="Y60935" s="97"/>
    </row>
    <row r="60936" spans="25:25" x14ac:dyDescent="0.2">
      <c r="Y60936" s="97"/>
    </row>
    <row r="60937" spans="25:25" x14ac:dyDescent="0.2">
      <c r="Y60937" s="97"/>
    </row>
    <row r="60938" spans="25:25" x14ac:dyDescent="0.2">
      <c r="Y60938" s="97"/>
    </row>
    <row r="60939" spans="25:25" x14ac:dyDescent="0.2">
      <c r="Y60939" s="97"/>
    </row>
    <row r="60940" spans="25:25" x14ac:dyDescent="0.2">
      <c r="Y60940" s="97"/>
    </row>
    <row r="60941" spans="25:25" x14ac:dyDescent="0.2">
      <c r="Y60941" s="97"/>
    </row>
    <row r="60942" spans="25:25" x14ac:dyDescent="0.2">
      <c r="Y60942" s="97"/>
    </row>
    <row r="60943" spans="25:25" x14ac:dyDescent="0.2">
      <c r="Y60943" s="97"/>
    </row>
    <row r="60944" spans="25:25" x14ac:dyDescent="0.2">
      <c r="Y60944" s="97"/>
    </row>
    <row r="60945" spans="25:25" x14ac:dyDescent="0.2">
      <c r="Y60945" s="97"/>
    </row>
    <row r="60946" spans="25:25" x14ac:dyDescent="0.2">
      <c r="Y60946" s="97"/>
    </row>
    <row r="60947" spans="25:25" x14ac:dyDescent="0.2">
      <c r="Y60947" s="97"/>
    </row>
    <row r="60948" spans="25:25" x14ac:dyDescent="0.2">
      <c r="Y60948" s="97"/>
    </row>
    <row r="60949" spans="25:25" x14ac:dyDescent="0.2">
      <c r="Y60949" s="97"/>
    </row>
    <row r="60950" spans="25:25" x14ac:dyDescent="0.2">
      <c r="Y60950" s="97"/>
    </row>
    <row r="60951" spans="25:25" x14ac:dyDescent="0.2">
      <c r="Y60951" s="97"/>
    </row>
    <row r="60952" spans="25:25" x14ac:dyDescent="0.2">
      <c r="Y60952" s="97"/>
    </row>
    <row r="60953" spans="25:25" x14ac:dyDescent="0.2">
      <c r="Y60953" s="97"/>
    </row>
    <row r="60954" spans="25:25" x14ac:dyDescent="0.2">
      <c r="Y60954" s="97"/>
    </row>
    <row r="60955" spans="25:25" x14ac:dyDescent="0.2">
      <c r="Y60955" s="97"/>
    </row>
    <row r="60956" spans="25:25" x14ac:dyDescent="0.2">
      <c r="Y60956" s="97"/>
    </row>
    <row r="60957" spans="25:25" x14ac:dyDescent="0.2">
      <c r="Y60957" s="97"/>
    </row>
    <row r="60958" spans="25:25" x14ac:dyDescent="0.2">
      <c r="Y60958" s="97"/>
    </row>
    <row r="60959" spans="25:25" x14ac:dyDescent="0.2">
      <c r="Y60959" s="97"/>
    </row>
    <row r="60960" spans="25:25" x14ac:dyDescent="0.2">
      <c r="Y60960" s="97"/>
    </row>
    <row r="60961" spans="25:25" x14ac:dyDescent="0.2">
      <c r="Y60961" s="97"/>
    </row>
    <row r="60962" spans="25:25" x14ac:dyDescent="0.2">
      <c r="Y60962" s="97"/>
    </row>
    <row r="60963" spans="25:25" x14ac:dyDescent="0.2">
      <c r="Y60963" s="97"/>
    </row>
    <row r="60964" spans="25:25" x14ac:dyDescent="0.2">
      <c r="Y60964" s="97"/>
    </row>
    <row r="60965" spans="25:25" x14ac:dyDescent="0.2">
      <c r="Y60965" s="97"/>
    </row>
    <row r="60966" spans="25:25" x14ac:dyDescent="0.2">
      <c r="Y60966" s="97"/>
    </row>
    <row r="60967" spans="25:25" x14ac:dyDescent="0.2">
      <c r="Y60967" s="97"/>
    </row>
    <row r="60968" spans="25:25" x14ac:dyDescent="0.2">
      <c r="Y60968" s="97"/>
    </row>
    <row r="60969" spans="25:25" x14ac:dyDescent="0.2">
      <c r="Y60969" s="97"/>
    </row>
    <row r="60970" spans="25:25" x14ac:dyDescent="0.2">
      <c r="Y60970" s="97"/>
    </row>
    <row r="60971" spans="25:25" x14ac:dyDescent="0.2">
      <c r="Y60971" s="97"/>
    </row>
    <row r="60972" spans="25:25" x14ac:dyDescent="0.2">
      <c r="Y60972" s="97"/>
    </row>
    <row r="60973" spans="25:25" x14ac:dyDescent="0.2">
      <c r="Y60973" s="97"/>
    </row>
    <row r="60974" spans="25:25" x14ac:dyDescent="0.2">
      <c r="Y60974" s="97"/>
    </row>
    <row r="60975" spans="25:25" x14ac:dyDescent="0.2">
      <c r="Y60975" s="97"/>
    </row>
    <row r="60976" spans="25:25" x14ac:dyDescent="0.2">
      <c r="Y60976" s="97"/>
    </row>
    <row r="60977" spans="25:25" x14ac:dyDescent="0.2">
      <c r="Y60977" s="97"/>
    </row>
    <row r="60978" spans="25:25" x14ac:dyDescent="0.2">
      <c r="Y60978" s="97"/>
    </row>
    <row r="60979" spans="25:25" x14ac:dyDescent="0.2">
      <c r="Y60979" s="97"/>
    </row>
    <row r="60980" spans="25:25" x14ac:dyDescent="0.2">
      <c r="Y60980" s="97"/>
    </row>
    <row r="60981" spans="25:25" x14ac:dyDescent="0.2">
      <c r="Y60981" s="97"/>
    </row>
    <row r="60982" spans="25:25" x14ac:dyDescent="0.2">
      <c r="Y60982" s="97"/>
    </row>
    <row r="60983" spans="25:25" x14ac:dyDescent="0.2">
      <c r="Y60983" s="97"/>
    </row>
    <row r="60984" spans="25:25" x14ac:dyDescent="0.2">
      <c r="Y60984" s="97"/>
    </row>
    <row r="60985" spans="25:25" x14ac:dyDescent="0.2">
      <c r="Y60985" s="97"/>
    </row>
    <row r="60986" spans="25:25" x14ac:dyDescent="0.2">
      <c r="Y60986" s="97"/>
    </row>
    <row r="60987" spans="25:25" x14ac:dyDescent="0.2">
      <c r="Y60987" s="97"/>
    </row>
    <row r="60988" spans="25:25" x14ac:dyDescent="0.2">
      <c r="Y60988" s="97"/>
    </row>
    <row r="60989" spans="25:25" x14ac:dyDescent="0.2">
      <c r="Y60989" s="97"/>
    </row>
    <row r="60990" spans="25:25" x14ac:dyDescent="0.2">
      <c r="Y60990" s="97"/>
    </row>
    <row r="60991" spans="25:25" x14ac:dyDescent="0.2">
      <c r="Y60991" s="97"/>
    </row>
    <row r="60992" spans="25:25" x14ac:dyDescent="0.2">
      <c r="Y60992" s="97"/>
    </row>
    <row r="60993" spans="25:25" x14ac:dyDescent="0.2">
      <c r="Y60993" s="97"/>
    </row>
    <row r="60994" spans="25:25" x14ac:dyDescent="0.2">
      <c r="Y60994" s="97"/>
    </row>
    <row r="60995" spans="25:25" x14ac:dyDescent="0.2">
      <c r="Y60995" s="97"/>
    </row>
    <row r="60996" spans="25:25" x14ac:dyDescent="0.2">
      <c r="Y60996" s="97"/>
    </row>
    <row r="60997" spans="25:25" x14ac:dyDescent="0.2">
      <c r="Y60997" s="97"/>
    </row>
    <row r="60998" spans="25:25" x14ac:dyDescent="0.2">
      <c r="Y60998" s="97"/>
    </row>
    <row r="60999" spans="25:25" x14ac:dyDescent="0.2">
      <c r="Y60999" s="97"/>
    </row>
    <row r="61000" spans="25:25" x14ac:dyDescent="0.2">
      <c r="Y61000" s="97"/>
    </row>
    <row r="61001" spans="25:25" x14ac:dyDescent="0.2">
      <c r="Y61001" s="97"/>
    </row>
    <row r="61002" spans="25:25" x14ac:dyDescent="0.2">
      <c r="Y61002" s="97"/>
    </row>
    <row r="61003" spans="25:25" x14ac:dyDescent="0.2">
      <c r="Y61003" s="97"/>
    </row>
    <row r="61004" spans="25:25" x14ac:dyDescent="0.2">
      <c r="Y61004" s="97"/>
    </row>
    <row r="61005" spans="25:25" x14ac:dyDescent="0.2">
      <c r="Y61005" s="97"/>
    </row>
    <row r="61006" spans="25:25" x14ac:dyDescent="0.2">
      <c r="Y61006" s="97"/>
    </row>
    <row r="61007" spans="25:25" x14ac:dyDescent="0.2">
      <c r="Y61007" s="97"/>
    </row>
    <row r="61008" spans="25:25" x14ac:dyDescent="0.2">
      <c r="Y61008" s="97"/>
    </row>
    <row r="61009" spans="25:25" x14ac:dyDescent="0.2">
      <c r="Y61009" s="97"/>
    </row>
    <row r="61010" spans="25:25" x14ac:dyDescent="0.2">
      <c r="Y61010" s="97"/>
    </row>
    <row r="61011" spans="25:25" x14ac:dyDescent="0.2">
      <c r="Y61011" s="97"/>
    </row>
    <row r="61012" spans="25:25" x14ac:dyDescent="0.2">
      <c r="Y61012" s="97"/>
    </row>
    <row r="61013" spans="25:25" x14ac:dyDescent="0.2">
      <c r="Y61013" s="97"/>
    </row>
    <row r="61014" spans="25:25" x14ac:dyDescent="0.2">
      <c r="Y61014" s="97"/>
    </row>
    <row r="61015" spans="25:25" x14ac:dyDescent="0.2">
      <c r="Y61015" s="97"/>
    </row>
    <row r="61016" spans="25:25" x14ac:dyDescent="0.2">
      <c r="Y61016" s="97"/>
    </row>
    <row r="61017" spans="25:25" x14ac:dyDescent="0.2">
      <c r="Y61017" s="97"/>
    </row>
    <row r="61018" spans="25:25" x14ac:dyDescent="0.2">
      <c r="Y61018" s="97"/>
    </row>
    <row r="61019" spans="25:25" x14ac:dyDescent="0.2">
      <c r="Y61019" s="97"/>
    </row>
    <row r="61020" spans="25:25" x14ac:dyDescent="0.2">
      <c r="Y61020" s="97"/>
    </row>
    <row r="61021" spans="25:25" x14ac:dyDescent="0.2">
      <c r="Y61021" s="97"/>
    </row>
    <row r="61022" spans="25:25" x14ac:dyDescent="0.2">
      <c r="Y61022" s="97"/>
    </row>
    <row r="61023" spans="25:25" x14ac:dyDescent="0.2">
      <c r="Y61023" s="97"/>
    </row>
    <row r="61024" spans="25:25" x14ac:dyDescent="0.2">
      <c r="Y61024" s="97"/>
    </row>
    <row r="61025" spans="25:25" x14ac:dyDescent="0.2">
      <c r="Y61025" s="97"/>
    </row>
    <row r="61026" spans="25:25" x14ac:dyDescent="0.2">
      <c r="Y61026" s="97"/>
    </row>
    <row r="61027" spans="25:25" x14ac:dyDescent="0.2">
      <c r="Y61027" s="97"/>
    </row>
    <row r="61028" spans="25:25" x14ac:dyDescent="0.2">
      <c r="Y61028" s="97"/>
    </row>
    <row r="61029" spans="25:25" x14ac:dyDescent="0.2">
      <c r="Y61029" s="97"/>
    </row>
    <row r="61030" spans="25:25" x14ac:dyDescent="0.2">
      <c r="Y61030" s="97"/>
    </row>
    <row r="61031" spans="25:25" x14ac:dyDescent="0.2">
      <c r="Y61031" s="97"/>
    </row>
    <row r="61032" spans="25:25" x14ac:dyDescent="0.2">
      <c r="Y61032" s="97"/>
    </row>
    <row r="61033" spans="25:25" x14ac:dyDescent="0.2">
      <c r="Y61033" s="97"/>
    </row>
    <row r="61034" spans="25:25" x14ac:dyDescent="0.2">
      <c r="Y61034" s="97"/>
    </row>
    <row r="61035" spans="25:25" x14ac:dyDescent="0.2">
      <c r="Y61035" s="97"/>
    </row>
    <row r="61036" spans="25:25" x14ac:dyDescent="0.2">
      <c r="Y61036" s="97"/>
    </row>
    <row r="61037" spans="25:25" x14ac:dyDescent="0.2">
      <c r="Y61037" s="97"/>
    </row>
    <row r="61038" spans="25:25" x14ac:dyDescent="0.2">
      <c r="Y61038" s="97"/>
    </row>
    <row r="61039" spans="25:25" x14ac:dyDescent="0.2">
      <c r="Y61039" s="97"/>
    </row>
    <row r="61040" spans="25:25" x14ac:dyDescent="0.2">
      <c r="Y61040" s="97"/>
    </row>
    <row r="61041" spans="25:25" x14ac:dyDescent="0.2">
      <c r="Y61041" s="97"/>
    </row>
    <row r="61042" spans="25:25" x14ac:dyDescent="0.2">
      <c r="Y61042" s="97"/>
    </row>
    <row r="61043" spans="25:25" x14ac:dyDescent="0.2">
      <c r="Y61043" s="97"/>
    </row>
    <row r="61044" spans="25:25" x14ac:dyDescent="0.2">
      <c r="Y61044" s="97"/>
    </row>
    <row r="61045" spans="25:25" x14ac:dyDescent="0.2">
      <c r="Y61045" s="97"/>
    </row>
    <row r="61046" spans="25:25" x14ac:dyDescent="0.2">
      <c r="Y61046" s="97"/>
    </row>
    <row r="61047" spans="25:25" x14ac:dyDescent="0.2">
      <c r="Y61047" s="97"/>
    </row>
    <row r="61048" spans="25:25" x14ac:dyDescent="0.2">
      <c r="Y61048" s="97"/>
    </row>
    <row r="61049" spans="25:25" x14ac:dyDescent="0.2">
      <c r="Y61049" s="97"/>
    </row>
    <row r="61050" spans="25:25" x14ac:dyDescent="0.2">
      <c r="Y61050" s="97"/>
    </row>
    <row r="61051" spans="25:25" x14ac:dyDescent="0.2">
      <c r="Y61051" s="97"/>
    </row>
    <row r="61052" spans="25:25" x14ac:dyDescent="0.2">
      <c r="Y61052" s="97"/>
    </row>
    <row r="61053" spans="25:25" x14ac:dyDescent="0.2">
      <c r="Y61053" s="97"/>
    </row>
    <row r="61054" spans="25:25" x14ac:dyDescent="0.2">
      <c r="Y61054" s="97"/>
    </row>
    <row r="61055" spans="25:25" x14ac:dyDescent="0.2">
      <c r="Y61055" s="97"/>
    </row>
    <row r="61056" spans="25:25" x14ac:dyDescent="0.2">
      <c r="Y61056" s="97"/>
    </row>
    <row r="61057" spans="25:25" x14ac:dyDescent="0.2">
      <c r="Y61057" s="97"/>
    </row>
    <row r="61058" spans="25:25" x14ac:dyDescent="0.2">
      <c r="Y61058" s="97"/>
    </row>
    <row r="61059" spans="25:25" x14ac:dyDescent="0.2">
      <c r="Y61059" s="97"/>
    </row>
    <row r="61060" spans="25:25" x14ac:dyDescent="0.2">
      <c r="Y61060" s="97"/>
    </row>
    <row r="61061" spans="25:25" x14ac:dyDescent="0.2">
      <c r="Y61061" s="97"/>
    </row>
    <row r="61062" spans="25:25" x14ac:dyDescent="0.2">
      <c r="Y61062" s="97"/>
    </row>
    <row r="61063" spans="25:25" x14ac:dyDescent="0.2">
      <c r="Y61063" s="97"/>
    </row>
    <row r="61064" spans="25:25" x14ac:dyDescent="0.2">
      <c r="Y61064" s="97"/>
    </row>
    <row r="61065" spans="25:25" x14ac:dyDescent="0.2">
      <c r="Y61065" s="97"/>
    </row>
    <row r="61066" spans="25:25" x14ac:dyDescent="0.2">
      <c r="Y61066" s="97"/>
    </row>
    <row r="61067" spans="25:25" x14ac:dyDescent="0.2">
      <c r="Y61067" s="97"/>
    </row>
    <row r="61068" spans="25:25" x14ac:dyDescent="0.2">
      <c r="Y61068" s="97"/>
    </row>
    <row r="61069" spans="25:25" x14ac:dyDescent="0.2">
      <c r="Y61069" s="97"/>
    </row>
    <row r="61070" spans="25:25" x14ac:dyDescent="0.2">
      <c r="Y61070" s="97"/>
    </row>
    <row r="61071" spans="25:25" x14ac:dyDescent="0.2">
      <c r="Y61071" s="97"/>
    </row>
    <row r="61072" spans="25:25" x14ac:dyDescent="0.2">
      <c r="Y61072" s="97"/>
    </row>
    <row r="61073" spans="25:25" x14ac:dyDescent="0.2">
      <c r="Y61073" s="97"/>
    </row>
    <row r="61074" spans="25:25" x14ac:dyDescent="0.2">
      <c r="Y61074" s="97"/>
    </row>
    <row r="61075" spans="25:25" x14ac:dyDescent="0.2">
      <c r="Y61075" s="97"/>
    </row>
    <row r="61076" spans="25:25" x14ac:dyDescent="0.2">
      <c r="Y61076" s="97"/>
    </row>
    <row r="61077" spans="25:25" x14ac:dyDescent="0.2">
      <c r="Y61077" s="97"/>
    </row>
    <row r="61078" spans="25:25" x14ac:dyDescent="0.2">
      <c r="Y61078" s="97"/>
    </row>
    <row r="61079" spans="25:25" x14ac:dyDescent="0.2">
      <c r="Y61079" s="97"/>
    </row>
    <row r="61080" spans="25:25" x14ac:dyDescent="0.2">
      <c r="Y61080" s="97"/>
    </row>
    <row r="61081" spans="25:25" x14ac:dyDescent="0.2">
      <c r="Y61081" s="97"/>
    </row>
    <row r="61082" spans="25:25" x14ac:dyDescent="0.2">
      <c r="Y61082" s="97"/>
    </row>
    <row r="61083" spans="25:25" x14ac:dyDescent="0.2">
      <c r="Y61083" s="97"/>
    </row>
    <row r="61084" spans="25:25" x14ac:dyDescent="0.2">
      <c r="Y61084" s="97"/>
    </row>
    <row r="61085" spans="25:25" x14ac:dyDescent="0.2">
      <c r="Y61085" s="97"/>
    </row>
    <row r="61086" spans="25:25" x14ac:dyDescent="0.2">
      <c r="Y61086" s="97"/>
    </row>
    <row r="61087" spans="25:25" x14ac:dyDescent="0.2">
      <c r="Y61087" s="97"/>
    </row>
    <row r="61088" spans="25:25" x14ac:dyDescent="0.2">
      <c r="Y61088" s="97"/>
    </row>
    <row r="61089" spans="25:25" x14ac:dyDescent="0.2">
      <c r="Y61089" s="97"/>
    </row>
    <row r="61090" spans="25:25" x14ac:dyDescent="0.2">
      <c r="Y61090" s="97"/>
    </row>
    <row r="61091" spans="25:25" x14ac:dyDescent="0.2">
      <c r="Y61091" s="97"/>
    </row>
    <row r="61092" spans="25:25" x14ac:dyDescent="0.2">
      <c r="Y61092" s="97"/>
    </row>
    <row r="61093" spans="25:25" x14ac:dyDescent="0.2">
      <c r="Y61093" s="97"/>
    </row>
    <row r="61094" spans="25:25" x14ac:dyDescent="0.2">
      <c r="Y61094" s="97"/>
    </row>
    <row r="61095" spans="25:25" x14ac:dyDescent="0.2">
      <c r="Y61095" s="97"/>
    </row>
    <row r="61096" spans="25:25" x14ac:dyDescent="0.2">
      <c r="Y61096" s="97"/>
    </row>
    <row r="61097" spans="25:25" x14ac:dyDescent="0.2">
      <c r="Y61097" s="97"/>
    </row>
    <row r="61098" spans="25:25" x14ac:dyDescent="0.2">
      <c r="Y61098" s="97"/>
    </row>
    <row r="61099" spans="25:25" x14ac:dyDescent="0.2">
      <c r="Y61099" s="97"/>
    </row>
    <row r="61100" spans="25:25" x14ac:dyDescent="0.2">
      <c r="Y61100" s="97"/>
    </row>
    <row r="61101" spans="25:25" x14ac:dyDescent="0.2">
      <c r="Y61101" s="97"/>
    </row>
    <row r="61102" spans="25:25" x14ac:dyDescent="0.2">
      <c r="Y61102" s="97"/>
    </row>
    <row r="61103" spans="25:25" x14ac:dyDescent="0.2">
      <c r="Y61103" s="97"/>
    </row>
    <row r="61104" spans="25:25" x14ac:dyDescent="0.2">
      <c r="Y61104" s="97"/>
    </row>
    <row r="61105" spans="25:25" x14ac:dyDescent="0.2">
      <c r="Y61105" s="97"/>
    </row>
    <row r="61106" spans="25:25" x14ac:dyDescent="0.2">
      <c r="Y61106" s="97"/>
    </row>
    <row r="61107" spans="25:25" x14ac:dyDescent="0.2">
      <c r="Y61107" s="97"/>
    </row>
    <row r="61108" spans="25:25" x14ac:dyDescent="0.2">
      <c r="Y61108" s="97"/>
    </row>
    <row r="61109" spans="25:25" x14ac:dyDescent="0.2">
      <c r="Y61109" s="97"/>
    </row>
    <row r="61110" spans="25:25" x14ac:dyDescent="0.2">
      <c r="Y61110" s="97"/>
    </row>
    <row r="61111" spans="25:25" x14ac:dyDescent="0.2">
      <c r="Y61111" s="97"/>
    </row>
    <row r="61112" spans="25:25" x14ac:dyDescent="0.2">
      <c r="Y61112" s="97"/>
    </row>
    <row r="61113" spans="25:25" x14ac:dyDescent="0.2">
      <c r="Y61113" s="97"/>
    </row>
    <row r="61114" spans="25:25" x14ac:dyDescent="0.2">
      <c r="Y61114" s="97"/>
    </row>
    <row r="61115" spans="25:25" x14ac:dyDescent="0.2">
      <c r="Y61115" s="97"/>
    </row>
    <row r="61116" spans="25:25" x14ac:dyDescent="0.2">
      <c r="Y61116" s="97"/>
    </row>
    <row r="61117" spans="25:25" x14ac:dyDescent="0.2">
      <c r="Y61117" s="97"/>
    </row>
    <row r="61118" spans="25:25" x14ac:dyDescent="0.2">
      <c r="Y61118" s="97"/>
    </row>
    <row r="61119" spans="25:25" x14ac:dyDescent="0.2">
      <c r="Y61119" s="97"/>
    </row>
    <row r="61120" spans="25:25" x14ac:dyDescent="0.2">
      <c r="Y61120" s="97"/>
    </row>
    <row r="61121" spans="25:25" x14ac:dyDescent="0.2">
      <c r="Y61121" s="97"/>
    </row>
    <row r="61122" spans="25:25" x14ac:dyDescent="0.2">
      <c r="Y61122" s="97"/>
    </row>
    <row r="61123" spans="25:25" x14ac:dyDescent="0.2">
      <c r="Y61123" s="97"/>
    </row>
    <row r="61124" spans="25:25" x14ac:dyDescent="0.2">
      <c r="Y61124" s="97"/>
    </row>
    <row r="61125" spans="25:25" x14ac:dyDescent="0.2">
      <c r="Y61125" s="97"/>
    </row>
    <row r="61126" spans="25:25" x14ac:dyDescent="0.2">
      <c r="Y61126" s="97"/>
    </row>
    <row r="61127" spans="25:25" x14ac:dyDescent="0.2">
      <c r="Y61127" s="97"/>
    </row>
    <row r="61128" spans="25:25" x14ac:dyDescent="0.2">
      <c r="Y61128" s="97"/>
    </row>
    <row r="61129" spans="25:25" x14ac:dyDescent="0.2">
      <c r="Y61129" s="97"/>
    </row>
    <row r="61130" spans="25:25" x14ac:dyDescent="0.2">
      <c r="Y61130" s="97"/>
    </row>
    <row r="61131" spans="25:25" x14ac:dyDescent="0.2">
      <c r="Y61131" s="97"/>
    </row>
    <row r="61132" spans="25:25" x14ac:dyDescent="0.2">
      <c r="Y61132" s="97"/>
    </row>
    <row r="61133" spans="25:25" x14ac:dyDescent="0.2">
      <c r="Y61133" s="97"/>
    </row>
    <row r="61134" spans="25:25" x14ac:dyDescent="0.2">
      <c r="Y61134" s="97"/>
    </row>
    <row r="61135" spans="25:25" x14ac:dyDescent="0.2">
      <c r="Y61135" s="97"/>
    </row>
    <row r="61136" spans="25:25" x14ac:dyDescent="0.2">
      <c r="Y61136" s="97"/>
    </row>
    <row r="61137" spans="25:25" x14ac:dyDescent="0.2">
      <c r="Y61137" s="97"/>
    </row>
    <row r="61138" spans="25:25" x14ac:dyDescent="0.2">
      <c r="Y61138" s="97"/>
    </row>
    <row r="61139" spans="25:25" x14ac:dyDescent="0.2">
      <c r="Y61139" s="97"/>
    </row>
    <row r="61140" spans="25:25" x14ac:dyDescent="0.2">
      <c r="Y61140" s="97"/>
    </row>
    <row r="61141" spans="25:25" x14ac:dyDescent="0.2">
      <c r="Y61141" s="97"/>
    </row>
    <row r="61142" spans="25:25" x14ac:dyDescent="0.2">
      <c r="Y61142" s="97"/>
    </row>
    <row r="61143" spans="25:25" x14ac:dyDescent="0.2">
      <c r="Y61143" s="97"/>
    </row>
    <row r="61144" spans="25:25" x14ac:dyDescent="0.2">
      <c r="Y61144" s="97"/>
    </row>
    <row r="61145" spans="25:25" x14ac:dyDescent="0.2">
      <c r="Y61145" s="97"/>
    </row>
    <row r="61146" spans="25:25" x14ac:dyDescent="0.2">
      <c r="Y61146" s="97"/>
    </row>
    <row r="61147" spans="25:25" x14ac:dyDescent="0.2">
      <c r="Y61147" s="97"/>
    </row>
    <row r="61148" spans="25:25" x14ac:dyDescent="0.2">
      <c r="Y61148" s="97"/>
    </row>
    <row r="61149" spans="25:25" x14ac:dyDescent="0.2">
      <c r="Y61149" s="97"/>
    </row>
    <row r="61150" spans="25:25" x14ac:dyDescent="0.2">
      <c r="Y61150" s="97"/>
    </row>
    <row r="61151" spans="25:25" x14ac:dyDescent="0.2">
      <c r="Y61151" s="97"/>
    </row>
    <row r="61152" spans="25:25" x14ac:dyDescent="0.2">
      <c r="Y61152" s="97"/>
    </row>
    <row r="61153" spans="25:25" x14ac:dyDescent="0.2">
      <c r="Y61153" s="97"/>
    </row>
    <row r="61154" spans="25:25" x14ac:dyDescent="0.2">
      <c r="Y61154" s="97"/>
    </row>
    <row r="61155" spans="25:25" x14ac:dyDescent="0.2">
      <c r="Y61155" s="97"/>
    </row>
    <row r="61156" spans="25:25" x14ac:dyDescent="0.2">
      <c r="Y61156" s="97"/>
    </row>
    <row r="61157" spans="25:25" x14ac:dyDescent="0.2">
      <c r="Y61157" s="97"/>
    </row>
    <row r="61158" spans="25:25" x14ac:dyDescent="0.2">
      <c r="Y61158" s="97"/>
    </row>
    <row r="61159" spans="25:25" x14ac:dyDescent="0.2">
      <c r="Y61159" s="97"/>
    </row>
    <row r="61160" spans="25:25" x14ac:dyDescent="0.2">
      <c r="Y61160" s="97"/>
    </row>
    <row r="61161" spans="25:25" x14ac:dyDescent="0.2">
      <c r="Y61161" s="97"/>
    </row>
    <row r="61162" spans="25:25" x14ac:dyDescent="0.2">
      <c r="Y61162" s="97"/>
    </row>
    <row r="61163" spans="25:25" x14ac:dyDescent="0.2">
      <c r="Y61163" s="97"/>
    </row>
    <row r="61164" spans="25:25" x14ac:dyDescent="0.2">
      <c r="Y61164" s="97"/>
    </row>
    <row r="61165" spans="25:25" x14ac:dyDescent="0.2">
      <c r="Y61165" s="97"/>
    </row>
    <row r="61166" spans="25:25" x14ac:dyDescent="0.2">
      <c r="Y61166" s="97"/>
    </row>
    <row r="61167" spans="25:25" x14ac:dyDescent="0.2">
      <c r="Y61167" s="97"/>
    </row>
    <row r="61168" spans="25:25" x14ac:dyDescent="0.2">
      <c r="Y61168" s="97"/>
    </row>
    <row r="61169" spans="25:25" x14ac:dyDescent="0.2">
      <c r="Y61169" s="97"/>
    </row>
    <row r="61170" spans="25:25" x14ac:dyDescent="0.2">
      <c r="Y61170" s="97"/>
    </row>
    <row r="61171" spans="25:25" x14ac:dyDescent="0.2">
      <c r="Y61171" s="97"/>
    </row>
    <row r="61172" spans="25:25" x14ac:dyDescent="0.2">
      <c r="Y61172" s="97"/>
    </row>
    <row r="61173" spans="25:25" x14ac:dyDescent="0.2">
      <c r="Y61173" s="97"/>
    </row>
    <row r="61174" spans="25:25" x14ac:dyDescent="0.2">
      <c r="Y61174" s="97"/>
    </row>
    <row r="61175" spans="25:25" x14ac:dyDescent="0.2">
      <c r="Y61175" s="97"/>
    </row>
    <row r="61176" spans="25:25" x14ac:dyDescent="0.2">
      <c r="Y61176" s="97"/>
    </row>
    <row r="61177" spans="25:25" x14ac:dyDescent="0.2">
      <c r="Y61177" s="97"/>
    </row>
    <row r="61178" spans="25:25" x14ac:dyDescent="0.2">
      <c r="Y61178" s="97"/>
    </row>
    <row r="61179" spans="25:25" x14ac:dyDescent="0.2">
      <c r="Y61179" s="97"/>
    </row>
    <row r="61180" spans="25:25" x14ac:dyDescent="0.2">
      <c r="Y61180" s="97"/>
    </row>
    <row r="61181" spans="25:25" x14ac:dyDescent="0.2">
      <c r="Y61181" s="97"/>
    </row>
    <row r="61182" spans="25:25" x14ac:dyDescent="0.2">
      <c r="Y61182" s="97"/>
    </row>
    <row r="61183" spans="25:25" x14ac:dyDescent="0.2">
      <c r="Y61183" s="97"/>
    </row>
    <row r="61184" spans="25:25" x14ac:dyDescent="0.2">
      <c r="Y61184" s="97"/>
    </row>
    <row r="61185" spans="25:25" x14ac:dyDescent="0.2">
      <c r="Y61185" s="97"/>
    </row>
    <row r="61186" spans="25:25" x14ac:dyDescent="0.2">
      <c r="Y61186" s="97"/>
    </row>
    <row r="61187" spans="25:25" x14ac:dyDescent="0.2">
      <c r="Y61187" s="97"/>
    </row>
    <row r="61188" spans="25:25" x14ac:dyDescent="0.2">
      <c r="Y61188" s="97"/>
    </row>
    <row r="61189" spans="25:25" x14ac:dyDescent="0.2">
      <c r="Y61189" s="97"/>
    </row>
    <row r="61190" spans="25:25" x14ac:dyDescent="0.2">
      <c r="Y61190" s="97"/>
    </row>
    <row r="61191" spans="25:25" x14ac:dyDescent="0.2">
      <c r="Y61191" s="97"/>
    </row>
    <row r="61192" spans="25:25" x14ac:dyDescent="0.2">
      <c r="Y61192" s="97"/>
    </row>
    <row r="61193" spans="25:25" x14ac:dyDescent="0.2">
      <c r="Y61193" s="97"/>
    </row>
    <row r="61194" spans="25:25" x14ac:dyDescent="0.2">
      <c r="Y61194" s="97"/>
    </row>
    <row r="61195" spans="25:25" x14ac:dyDescent="0.2">
      <c r="Y61195" s="97"/>
    </row>
    <row r="61196" spans="25:25" x14ac:dyDescent="0.2">
      <c r="Y61196" s="97"/>
    </row>
    <row r="61197" spans="25:25" x14ac:dyDescent="0.2">
      <c r="Y61197" s="97"/>
    </row>
    <row r="61198" spans="25:25" x14ac:dyDescent="0.2">
      <c r="Y61198" s="97"/>
    </row>
    <row r="61199" spans="25:25" x14ac:dyDescent="0.2">
      <c r="Y61199" s="97"/>
    </row>
    <row r="61200" spans="25:25" x14ac:dyDescent="0.2">
      <c r="Y61200" s="97"/>
    </row>
    <row r="61201" spans="25:25" x14ac:dyDescent="0.2">
      <c r="Y61201" s="97"/>
    </row>
    <row r="61202" spans="25:25" x14ac:dyDescent="0.2">
      <c r="Y61202" s="97"/>
    </row>
    <row r="61203" spans="25:25" x14ac:dyDescent="0.2">
      <c r="Y61203" s="97"/>
    </row>
    <row r="61204" spans="25:25" x14ac:dyDescent="0.2">
      <c r="Y61204" s="97"/>
    </row>
    <row r="61205" spans="25:25" x14ac:dyDescent="0.2">
      <c r="Y61205" s="97"/>
    </row>
    <row r="61206" spans="25:25" x14ac:dyDescent="0.2">
      <c r="Y61206" s="97"/>
    </row>
    <row r="61207" spans="25:25" x14ac:dyDescent="0.2">
      <c r="Y61207" s="97"/>
    </row>
    <row r="61208" spans="25:25" x14ac:dyDescent="0.2">
      <c r="Y61208" s="97"/>
    </row>
    <row r="61209" spans="25:25" x14ac:dyDescent="0.2">
      <c r="Y61209" s="97"/>
    </row>
    <row r="61210" spans="25:25" x14ac:dyDescent="0.2">
      <c r="Y61210" s="97"/>
    </row>
    <row r="61211" spans="25:25" x14ac:dyDescent="0.2">
      <c r="Y61211" s="97"/>
    </row>
    <row r="61212" spans="25:25" x14ac:dyDescent="0.2">
      <c r="Y61212" s="97"/>
    </row>
    <row r="61213" spans="25:25" x14ac:dyDescent="0.2">
      <c r="Y61213" s="97"/>
    </row>
    <row r="61214" spans="25:25" x14ac:dyDescent="0.2">
      <c r="Y61214" s="97"/>
    </row>
    <row r="61215" spans="25:25" x14ac:dyDescent="0.2">
      <c r="Y61215" s="97"/>
    </row>
    <row r="61216" spans="25:25" x14ac:dyDescent="0.2">
      <c r="Y61216" s="97"/>
    </row>
    <row r="61217" spans="25:25" x14ac:dyDescent="0.2">
      <c r="Y61217" s="97"/>
    </row>
    <row r="61218" spans="25:25" x14ac:dyDescent="0.2">
      <c r="Y61218" s="97"/>
    </row>
    <row r="61219" spans="25:25" x14ac:dyDescent="0.2">
      <c r="Y61219" s="97"/>
    </row>
    <row r="61220" spans="25:25" x14ac:dyDescent="0.2">
      <c r="Y61220" s="97"/>
    </row>
    <row r="61221" spans="25:25" x14ac:dyDescent="0.2">
      <c r="Y61221" s="97"/>
    </row>
    <row r="61222" spans="25:25" x14ac:dyDescent="0.2">
      <c r="Y61222" s="97"/>
    </row>
    <row r="61223" spans="25:25" x14ac:dyDescent="0.2">
      <c r="Y61223" s="97"/>
    </row>
    <row r="61224" spans="25:25" x14ac:dyDescent="0.2">
      <c r="Y61224" s="97"/>
    </row>
    <row r="61225" spans="25:25" x14ac:dyDescent="0.2">
      <c r="Y61225" s="97"/>
    </row>
    <row r="61226" spans="25:25" x14ac:dyDescent="0.2">
      <c r="Y61226" s="97"/>
    </row>
    <row r="61227" spans="25:25" x14ac:dyDescent="0.2">
      <c r="Y61227" s="97"/>
    </row>
    <row r="61228" spans="25:25" x14ac:dyDescent="0.2">
      <c r="Y61228" s="97"/>
    </row>
    <row r="61229" spans="25:25" x14ac:dyDescent="0.2">
      <c r="Y61229" s="97"/>
    </row>
    <row r="61230" spans="25:25" x14ac:dyDescent="0.2">
      <c r="Y61230" s="97"/>
    </row>
    <row r="61231" spans="25:25" x14ac:dyDescent="0.2">
      <c r="Y61231" s="97"/>
    </row>
    <row r="61232" spans="25:25" x14ac:dyDescent="0.2">
      <c r="Y61232" s="97"/>
    </row>
    <row r="61233" spans="25:25" x14ac:dyDescent="0.2">
      <c r="Y61233" s="97"/>
    </row>
    <row r="61234" spans="25:25" x14ac:dyDescent="0.2">
      <c r="Y61234" s="97"/>
    </row>
    <row r="61235" spans="25:25" x14ac:dyDescent="0.2">
      <c r="Y61235" s="97"/>
    </row>
    <row r="61236" spans="25:25" x14ac:dyDescent="0.2">
      <c r="Y61236" s="97"/>
    </row>
    <row r="61237" spans="25:25" x14ac:dyDescent="0.2">
      <c r="Y61237" s="97"/>
    </row>
    <row r="61238" spans="25:25" x14ac:dyDescent="0.2">
      <c r="Y61238" s="97"/>
    </row>
    <row r="61239" spans="25:25" x14ac:dyDescent="0.2">
      <c r="Y61239" s="97"/>
    </row>
    <row r="61240" spans="25:25" x14ac:dyDescent="0.2">
      <c r="Y61240" s="97"/>
    </row>
    <row r="61241" spans="25:25" x14ac:dyDescent="0.2">
      <c r="Y61241" s="97"/>
    </row>
    <row r="61242" spans="25:25" x14ac:dyDescent="0.2">
      <c r="Y61242" s="97"/>
    </row>
    <row r="61243" spans="25:25" x14ac:dyDescent="0.2">
      <c r="Y61243" s="97"/>
    </row>
    <row r="61244" spans="25:25" x14ac:dyDescent="0.2">
      <c r="Y61244" s="97"/>
    </row>
    <row r="61245" spans="25:25" x14ac:dyDescent="0.2">
      <c r="Y61245" s="97"/>
    </row>
    <row r="61246" spans="25:25" x14ac:dyDescent="0.2">
      <c r="Y61246" s="97"/>
    </row>
    <row r="61247" spans="25:25" x14ac:dyDescent="0.2">
      <c r="Y61247" s="97"/>
    </row>
    <row r="61248" spans="25:25" x14ac:dyDescent="0.2">
      <c r="Y61248" s="97"/>
    </row>
    <row r="61249" spans="25:25" x14ac:dyDescent="0.2">
      <c r="Y61249" s="97"/>
    </row>
    <row r="61250" spans="25:25" x14ac:dyDescent="0.2">
      <c r="Y61250" s="97"/>
    </row>
    <row r="61251" spans="25:25" x14ac:dyDescent="0.2">
      <c r="Y61251" s="97"/>
    </row>
    <row r="61252" spans="25:25" x14ac:dyDescent="0.2">
      <c r="Y61252" s="97"/>
    </row>
    <row r="61253" spans="25:25" x14ac:dyDescent="0.2">
      <c r="Y61253" s="97"/>
    </row>
    <row r="61254" spans="25:25" x14ac:dyDescent="0.2">
      <c r="Y61254" s="97"/>
    </row>
    <row r="61255" spans="25:25" x14ac:dyDescent="0.2">
      <c r="Y61255" s="97"/>
    </row>
    <row r="61256" spans="25:25" x14ac:dyDescent="0.2">
      <c r="Y61256" s="97"/>
    </row>
    <row r="61257" spans="25:25" x14ac:dyDescent="0.2">
      <c r="Y61257" s="97"/>
    </row>
    <row r="61258" spans="25:25" x14ac:dyDescent="0.2">
      <c r="Y61258" s="97"/>
    </row>
    <row r="61259" spans="25:25" x14ac:dyDescent="0.2">
      <c r="Y61259" s="97"/>
    </row>
    <row r="61260" spans="25:25" x14ac:dyDescent="0.2">
      <c r="Y61260" s="97"/>
    </row>
    <row r="61261" spans="25:25" x14ac:dyDescent="0.2">
      <c r="Y61261" s="97"/>
    </row>
    <row r="61262" spans="25:25" x14ac:dyDescent="0.2">
      <c r="Y61262" s="97"/>
    </row>
    <row r="61263" spans="25:25" x14ac:dyDescent="0.2">
      <c r="Y61263" s="97"/>
    </row>
    <row r="61264" spans="25:25" x14ac:dyDescent="0.2">
      <c r="Y61264" s="97"/>
    </row>
    <row r="61265" spans="25:25" x14ac:dyDescent="0.2">
      <c r="Y61265" s="97"/>
    </row>
    <row r="61266" spans="25:25" x14ac:dyDescent="0.2">
      <c r="Y61266" s="97"/>
    </row>
    <row r="61267" spans="25:25" x14ac:dyDescent="0.2">
      <c r="Y61267" s="97"/>
    </row>
    <row r="61268" spans="25:25" x14ac:dyDescent="0.2">
      <c r="Y61268" s="97"/>
    </row>
    <row r="61269" spans="25:25" x14ac:dyDescent="0.2">
      <c r="Y61269" s="97"/>
    </row>
    <row r="61270" spans="25:25" x14ac:dyDescent="0.2">
      <c r="Y61270" s="97"/>
    </row>
    <row r="61271" spans="25:25" x14ac:dyDescent="0.2">
      <c r="Y61271" s="97"/>
    </row>
    <row r="61272" spans="25:25" x14ac:dyDescent="0.2">
      <c r="Y61272" s="97"/>
    </row>
    <row r="61273" spans="25:25" x14ac:dyDescent="0.2">
      <c r="Y61273" s="97"/>
    </row>
    <row r="61274" spans="25:25" x14ac:dyDescent="0.2">
      <c r="Y61274" s="97"/>
    </row>
    <row r="61275" spans="25:25" x14ac:dyDescent="0.2">
      <c r="Y61275" s="97"/>
    </row>
    <row r="61276" spans="25:25" x14ac:dyDescent="0.2">
      <c r="Y61276" s="97"/>
    </row>
    <row r="61277" spans="25:25" x14ac:dyDescent="0.2">
      <c r="Y61277" s="97"/>
    </row>
    <row r="61278" spans="25:25" x14ac:dyDescent="0.2">
      <c r="Y61278" s="97"/>
    </row>
    <row r="61279" spans="25:25" x14ac:dyDescent="0.2">
      <c r="Y61279" s="97"/>
    </row>
    <row r="61280" spans="25:25" x14ac:dyDescent="0.2">
      <c r="Y61280" s="97"/>
    </row>
    <row r="61281" spans="25:25" x14ac:dyDescent="0.2">
      <c r="Y61281" s="97"/>
    </row>
    <row r="61282" spans="25:25" x14ac:dyDescent="0.2">
      <c r="Y61282" s="97"/>
    </row>
    <row r="61283" spans="25:25" x14ac:dyDescent="0.2">
      <c r="Y61283" s="97"/>
    </row>
    <row r="61284" spans="25:25" x14ac:dyDescent="0.2">
      <c r="Y61284" s="97"/>
    </row>
    <row r="61285" spans="25:25" x14ac:dyDescent="0.2">
      <c r="Y61285" s="97"/>
    </row>
    <row r="61286" spans="25:25" x14ac:dyDescent="0.2">
      <c r="Y61286" s="97"/>
    </row>
    <row r="61287" spans="25:25" x14ac:dyDescent="0.2">
      <c r="Y61287" s="97"/>
    </row>
    <row r="61288" spans="25:25" x14ac:dyDescent="0.2">
      <c r="Y61288" s="97"/>
    </row>
    <row r="61289" spans="25:25" x14ac:dyDescent="0.2">
      <c r="Y61289" s="97"/>
    </row>
    <row r="61290" spans="25:25" x14ac:dyDescent="0.2">
      <c r="Y61290" s="97"/>
    </row>
    <row r="61291" spans="25:25" x14ac:dyDescent="0.2">
      <c r="Y61291" s="97"/>
    </row>
    <row r="61292" spans="25:25" x14ac:dyDescent="0.2">
      <c r="Y61292" s="97"/>
    </row>
    <row r="61293" spans="25:25" x14ac:dyDescent="0.2">
      <c r="Y61293" s="97"/>
    </row>
    <row r="61294" spans="25:25" x14ac:dyDescent="0.2">
      <c r="Y61294" s="97"/>
    </row>
    <row r="61295" spans="25:25" x14ac:dyDescent="0.2">
      <c r="Y61295" s="97"/>
    </row>
    <row r="61296" spans="25:25" x14ac:dyDescent="0.2">
      <c r="Y61296" s="97"/>
    </row>
    <row r="61297" spans="25:25" x14ac:dyDescent="0.2">
      <c r="Y61297" s="97"/>
    </row>
    <row r="61298" spans="25:25" x14ac:dyDescent="0.2">
      <c r="Y61298" s="97"/>
    </row>
    <row r="61299" spans="25:25" x14ac:dyDescent="0.2">
      <c r="Y61299" s="97"/>
    </row>
    <row r="61300" spans="25:25" x14ac:dyDescent="0.2">
      <c r="Y61300" s="97"/>
    </row>
    <row r="61301" spans="25:25" x14ac:dyDescent="0.2">
      <c r="Y61301" s="97"/>
    </row>
    <row r="61302" spans="25:25" x14ac:dyDescent="0.2">
      <c r="Y61302" s="97"/>
    </row>
    <row r="61303" spans="25:25" x14ac:dyDescent="0.2">
      <c r="Y61303" s="97"/>
    </row>
    <row r="61304" spans="25:25" x14ac:dyDescent="0.2">
      <c r="Y61304" s="97"/>
    </row>
    <row r="61305" spans="25:25" x14ac:dyDescent="0.2">
      <c r="Y61305" s="97"/>
    </row>
    <row r="61306" spans="25:25" x14ac:dyDescent="0.2">
      <c r="Y61306" s="97"/>
    </row>
    <row r="61307" spans="25:25" x14ac:dyDescent="0.2">
      <c r="Y61307" s="97"/>
    </row>
    <row r="61308" spans="25:25" x14ac:dyDescent="0.2">
      <c r="Y61308" s="97"/>
    </row>
    <row r="61309" spans="25:25" x14ac:dyDescent="0.2">
      <c r="Y61309" s="97"/>
    </row>
    <row r="61310" spans="25:25" x14ac:dyDescent="0.2">
      <c r="Y61310" s="97"/>
    </row>
    <row r="61311" spans="25:25" x14ac:dyDescent="0.2">
      <c r="Y61311" s="97"/>
    </row>
    <row r="61312" spans="25:25" x14ac:dyDescent="0.2">
      <c r="Y61312" s="97"/>
    </row>
    <row r="61313" spans="25:25" x14ac:dyDescent="0.2">
      <c r="Y61313" s="97"/>
    </row>
    <row r="61314" spans="25:25" x14ac:dyDescent="0.2">
      <c r="Y61314" s="97"/>
    </row>
    <row r="61315" spans="25:25" x14ac:dyDescent="0.2">
      <c r="Y61315" s="97"/>
    </row>
    <row r="61316" spans="25:25" x14ac:dyDescent="0.2">
      <c r="Y61316" s="97"/>
    </row>
    <row r="61317" spans="25:25" x14ac:dyDescent="0.2">
      <c r="Y61317" s="97"/>
    </row>
    <row r="61318" spans="25:25" x14ac:dyDescent="0.2">
      <c r="Y61318" s="97"/>
    </row>
    <row r="61319" spans="25:25" x14ac:dyDescent="0.2">
      <c r="Y61319" s="97"/>
    </row>
    <row r="61320" spans="25:25" x14ac:dyDescent="0.2">
      <c r="Y61320" s="97"/>
    </row>
    <row r="61321" spans="25:25" x14ac:dyDescent="0.2">
      <c r="Y61321" s="97"/>
    </row>
    <row r="61322" spans="25:25" x14ac:dyDescent="0.2">
      <c r="Y61322" s="97"/>
    </row>
    <row r="61323" spans="25:25" x14ac:dyDescent="0.2">
      <c r="Y61323" s="97"/>
    </row>
    <row r="61324" spans="25:25" x14ac:dyDescent="0.2">
      <c r="Y61324" s="97"/>
    </row>
    <row r="61325" spans="25:25" x14ac:dyDescent="0.2">
      <c r="Y61325" s="97"/>
    </row>
    <row r="61326" spans="25:25" x14ac:dyDescent="0.2">
      <c r="Y61326" s="97"/>
    </row>
    <row r="61327" spans="25:25" x14ac:dyDescent="0.2">
      <c r="Y61327" s="97"/>
    </row>
    <row r="61328" spans="25:25" x14ac:dyDescent="0.2">
      <c r="Y61328" s="97"/>
    </row>
    <row r="61329" spans="25:25" x14ac:dyDescent="0.2">
      <c r="Y61329" s="97"/>
    </row>
    <row r="61330" spans="25:25" x14ac:dyDescent="0.2">
      <c r="Y61330" s="97"/>
    </row>
    <row r="61331" spans="25:25" x14ac:dyDescent="0.2">
      <c r="Y61331" s="97"/>
    </row>
    <row r="61332" spans="25:25" x14ac:dyDescent="0.2">
      <c r="Y61332" s="97"/>
    </row>
    <row r="61333" spans="25:25" x14ac:dyDescent="0.2">
      <c r="Y61333" s="97"/>
    </row>
    <row r="61334" spans="25:25" x14ac:dyDescent="0.2">
      <c r="Y61334" s="97"/>
    </row>
    <row r="61335" spans="25:25" x14ac:dyDescent="0.2">
      <c r="Y61335" s="97"/>
    </row>
    <row r="61336" spans="25:25" x14ac:dyDescent="0.2">
      <c r="Y61336" s="97"/>
    </row>
    <row r="61337" spans="25:25" x14ac:dyDescent="0.2">
      <c r="Y61337" s="97"/>
    </row>
    <row r="61338" spans="25:25" x14ac:dyDescent="0.2">
      <c r="Y61338" s="97"/>
    </row>
    <row r="61339" spans="25:25" x14ac:dyDescent="0.2">
      <c r="Y61339" s="97"/>
    </row>
    <row r="61340" spans="25:25" x14ac:dyDescent="0.2">
      <c r="Y61340" s="97"/>
    </row>
    <row r="61341" spans="25:25" x14ac:dyDescent="0.2">
      <c r="Y61341" s="97"/>
    </row>
    <row r="61342" spans="25:25" x14ac:dyDescent="0.2">
      <c r="Y61342" s="97"/>
    </row>
    <row r="61343" spans="25:25" x14ac:dyDescent="0.2">
      <c r="Y61343" s="97"/>
    </row>
    <row r="61344" spans="25:25" x14ac:dyDescent="0.2">
      <c r="Y61344" s="97"/>
    </row>
    <row r="61345" spans="25:25" x14ac:dyDescent="0.2">
      <c r="Y61345" s="97"/>
    </row>
    <row r="61346" spans="25:25" x14ac:dyDescent="0.2">
      <c r="Y61346" s="97"/>
    </row>
    <row r="61347" spans="25:25" x14ac:dyDescent="0.2">
      <c r="Y61347" s="97"/>
    </row>
    <row r="61348" spans="25:25" x14ac:dyDescent="0.2">
      <c r="Y61348" s="97"/>
    </row>
    <row r="61349" spans="25:25" x14ac:dyDescent="0.2">
      <c r="Y61349" s="97"/>
    </row>
    <row r="61350" spans="25:25" x14ac:dyDescent="0.2">
      <c r="Y61350" s="97"/>
    </row>
    <row r="61351" spans="25:25" x14ac:dyDescent="0.2">
      <c r="Y61351" s="97"/>
    </row>
    <row r="61352" spans="25:25" x14ac:dyDescent="0.2">
      <c r="Y61352" s="97"/>
    </row>
    <row r="61353" spans="25:25" x14ac:dyDescent="0.2">
      <c r="Y61353" s="97"/>
    </row>
    <row r="61354" spans="25:25" x14ac:dyDescent="0.2">
      <c r="Y61354" s="97"/>
    </row>
    <row r="61355" spans="25:25" x14ac:dyDescent="0.2">
      <c r="Y61355" s="97"/>
    </row>
    <row r="61356" spans="25:25" x14ac:dyDescent="0.2">
      <c r="Y61356" s="97"/>
    </row>
    <row r="61357" spans="25:25" x14ac:dyDescent="0.2">
      <c r="Y61357" s="97"/>
    </row>
    <row r="61358" spans="25:25" x14ac:dyDescent="0.2">
      <c r="Y61358" s="97"/>
    </row>
    <row r="61359" spans="25:25" x14ac:dyDescent="0.2">
      <c r="Y61359" s="97"/>
    </row>
    <row r="61360" spans="25:25" x14ac:dyDescent="0.2">
      <c r="Y61360" s="97"/>
    </row>
    <row r="61361" spans="25:25" x14ac:dyDescent="0.2">
      <c r="Y61361" s="97"/>
    </row>
    <row r="61362" spans="25:25" x14ac:dyDescent="0.2">
      <c r="Y61362" s="97"/>
    </row>
    <row r="61363" spans="25:25" x14ac:dyDescent="0.2">
      <c r="Y61363" s="97"/>
    </row>
    <row r="61364" spans="25:25" x14ac:dyDescent="0.2">
      <c r="Y61364" s="97"/>
    </row>
    <row r="61365" spans="25:25" x14ac:dyDescent="0.2">
      <c r="Y61365" s="97"/>
    </row>
    <row r="61366" spans="25:25" x14ac:dyDescent="0.2">
      <c r="Y61366" s="97"/>
    </row>
    <row r="61367" spans="25:25" x14ac:dyDescent="0.2">
      <c r="Y61367" s="97"/>
    </row>
    <row r="61368" spans="25:25" x14ac:dyDescent="0.2">
      <c r="Y61368" s="97"/>
    </row>
    <row r="61369" spans="25:25" x14ac:dyDescent="0.2">
      <c r="Y61369" s="97"/>
    </row>
    <row r="61370" spans="25:25" x14ac:dyDescent="0.2">
      <c r="Y61370" s="97"/>
    </row>
    <row r="61371" spans="25:25" x14ac:dyDescent="0.2">
      <c r="Y61371" s="97"/>
    </row>
    <row r="61372" spans="25:25" x14ac:dyDescent="0.2">
      <c r="Y61372" s="97"/>
    </row>
    <row r="61373" spans="25:25" x14ac:dyDescent="0.2">
      <c r="Y61373" s="97"/>
    </row>
    <row r="61374" spans="25:25" x14ac:dyDescent="0.2">
      <c r="Y61374" s="97"/>
    </row>
    <row r="61375" spans="25:25" x14ac:dyDescent="0.2">
      <c r="Y61375" s="97"/>
    </row>
    <row r="61376" spans="25:25" x14ac:dyDescent="0.2">
      <c r="Y61376" s="97"/>
    </row>
    <row r="61377" spans="25:25" x14ac:dyDescent="0.2">
      <c r="Y61377" s="97"/>
    </row>
    <row r="61378" spans="25:25" x14ac:dyDescent="0.2">
      <c r="Y61378" s="97"/>
    </row>
    <row r="61379" spans="25:25" x14ac:dyDescent="0.2">
      <c r="Y61379" s="97"/>
    </row>
    <row r="61380" spans="25:25" x14ac:dyDescent="0.2">
      <c r="Y61380" s="97"/>
    </row>
    <row r="61381" spans="25:25" x14ac:dyDescent="0.2">
      <c r="Y61381" s="97"/>
    </row>
    <row r="61382" spans="25:25" x14ac:dyDescent="0.2">
      <c r="Y61382" s="97"/>
    </row>
    <row r="61383" spans="25:25" x14ac:dyDescent="0.2">
      <c r="Y61383" s="97"/>
    </row>
    <row r="61384" spans="25:25" x14ac:dyDescent="0.2">
      <c r="Y61384" s="97"/>
    </row>
    <row r="61385" spans="25:25" x14ac:dyDescent="0.2">
      <c r="Y61385" s="97"/>
    </row>
    <row r="61386" spans="25:25" x14ac:dyDescent="0.2">
      <c r="Y61386" s="97"/>
    </row>
    <row r="61387" spans="25:25" x14ac:dyDescent="0.2">
      <c r="Y61387" s="97"/>
    </row>
    <row r="61388" spans="25:25" x14ac:dyDescent="0.2">
      <c r="Y61388" s="97"/>
    </row>
    <row r="61389" spans="25:25" x14ac:dyDescent="0.2">
      <c r="Y61389" s="97"/>
    </row>
    <row r="61390" spans="25:25" x14ac:dyDescent="0.2">
      <c r="Y61390" s="97"/>
    </row>
    <row r="61391" spans="25:25" x14ac:dyDescent="0.2">
      <c r="Y61391" s="97"/>
    </row>
    <row r="61392" spans="25:25" x14ac:dyDescent="0.2">
      <c r="Y61392" s="97"/>
    </row>
    <row r="61393" spans="25:25" x14ac:dyDescent="0.2">
      <c r="Y61393" s="97"/>
    </row>
    <row r="61394" spans="25:25" x14ac:dyDescent="0.2">
      <c r="Y61394" s="97"/>
    </row>
    <row r="61395" spans="25:25" x14ac:dyDescent="0.2">
      <c r="Y61395" s="97"/>
    </row>
    <row r="61396" spans="25:25" x14ac:dyDescent="0.2">
      <c r="Y61396" s="97"/>
    </row>
    <row r="61397" spans="25:25" x14ac:dyDescent="0.2">
      <c r="Y61397" s="97"/>
    </row>
    <row r="61398" spans="25:25" x14ac:dyDescent="0.2">
      <c r="Y61398" s="97"/>
    </row>
    <row r="61399" spans="25:25" x14ac:dyDescent="0.2">
      <c r="Y61399" s="97"/>
    </row>
    <row r="61400" spans="25:25" x14ac:dyDescent="0.2">
      <c r="Y61400" s="97"/>
    </row>
    <row r="61401" spans="25:25" x14ac:dyDescent="0.2">
      <c r="Y61401" s="97"/>
    </row>
    <row r="61402" spans="25:25" x14ac:dyDescent="0.2">
      <c r="Y61402" s="97"/>
    </row>
    <row r="61403" spans="25:25" x14ac:dyDescent="0.2">
      <c r="Y61403" s="97"/>
    </row>
    <row r="61404" spans="25:25" x14ac:dyDescent="0.2">
      <c r="Y61404" s="97"/>
    </row>
    <row r="61405" spans="25:25" x14ac:dyDescent="0.2">
      <c r="Y61405" s="97"/>
    </row>
    <row r="61406" spans="25:25" x14ac:dyDescent="0.2">
      <c r="Y61406" s="97"/>
    </row>
    <row r="61407" spans="25:25" x14ac:dyDescent="0.2">
      <c r="Y61407" s="97"/>
    </row>
    <row r="61408" spans="25:25" x14ac:dyDescent="0.2">
      <c r="Y61408" s="97"/>
    </row>
    <row r="61409" spans="25:25" x14ac:dyDescent="0.2">
      <c r="Y61409" s="97"/>
    </row>
    <row r="61410" spans="25:25" x14ac:dyDescent="0.2">
      <c r="Y61410" s="97"/>
    </row>
    <row r="61411" spans="25:25" x14ac:dyDescent="0.2">
      <c r="Y61411" s="97"/>
    </row>
    <row r="61412" spans="25:25" x14ac:dyDescent="0.2">
      <c r="Y61412" s="97"/>
    </row>
    <row r="61413" spans="25:25" x14ac:dyDescent="0.2">
      <c r="Y61413" s="97"/>
    </row>
    <row r="61414" spans="25:25" x14ac:dyDescent="0.2">
      <c r="Y61414" s="97"/>
    </row>
    <row r="61415" spans="25:25" x14ac:dyDescent="0.2">
      <c r="Y61415" s="97"/>
    </row>
    <row r="61416" spans="25:25" x14ac:dyDescent="0.2">
      <c r="Y61416" s="97"/>
    </row>
    <row r="61417" spans="25:25" x14ac:dyDescent="0.2">
      <c r="Y61417" s="97"/>
    </row>
    <row r="61418" spans="25:25" x14ac:dyDescent="0.2">
      <c r="Y61418" s="97"/>
    </row>
    <row r="61419" spans="25:25" x14ac:dyDescent="0.2">
      <c r="Y61419" s="97"/>
    </row>
    <row r="61420" spans="25:25" x14ac:dyDescent="0.2">
      <c r="Y61420" s="97"/>
    </row>
    <row r="61421" spans="25:25" x14ac:dyDescent="0.2">
      <c r="Y61421" s="97"/>
    </row>
    <row r="61422" spans="25:25" x14ac:dyDescent="0.2">
      <c r="Y61422" s="97"/>
    </row>
    <row r="61423" spans="25:25" x14ac:dyDescent="0.2">
      <c r="Y61423" s="97"/>
    </row>
    <row r="61424" spans="25:25" x14ac:dyDescent="0.2">
      <c r="Y61424" s="97"/>
    </row>
    <row r="61425" spans="25:25" x14ac:dyDescent="0.2">
      <c r="Y61425" s="97"/>
    </row>
    <row r="61426" spans="25:25" x14ac:dyDescent="0.2">
      <c r="Y61426" s="97"/>
    </row>
    <row r="61427" spans="25:25" x14ac:dyDescent="0.2">
      <c r="Y61427" s="97"/>
    </row>
    <row r="61428" spans="25:25" x14ac:dyDescent="0.2">
      <c r="Y61428" s="97"/>
    </row>
    <row r="61429" spans="25:25" x14ac:dyDescent="0.2">
      <c r="Y61429" s="97"/>
    </row>
    <row r="61430" spans="25:25" x14ac:dyDescent="0.2">
      <c r="Y61430" s="97"/>
    </row>
    <row r="61431" spans="25:25" x14ac:dyDescent="0.2">
      <c r="Y61431" s="97"/>
    </row>
    <row r="61432" spans="25:25" x14ac:dyDescent="0.2">
      <c r="Y61432" s="97"/>
    </row>
    <row r="61433" spans="25:25" x14ac:dyDescent="0.2">
      <c r="Y61433" s="97"/>
    </row>
    <row r="61434" spans="25:25" x14ac:dyDescent="0.2">
      <c r="Y61434" s="97"/>
    </row>
    <row r="61435" spans="25:25" x14ac:dyDescent="0.2">
      <c r="Y61435" s="97"/>
    </row>
    <row r="61436" spans="25:25" x14ac:dyDescent="0.2">
      <c r="Y61436" s="97"/>
    </row>
    <row r="61437" spans="25:25" x14ac:dyDescent="0.2">
      <c r="Y61437" s="97"/>
    </row>
    <row r="61438" spans="25:25" x14ac:dyDescent="0.2">
      <c r="Y61438" s="97"/>
    </row>
    <row r="61439" spans="25:25" x14ac:dyDescent="0.2">
      <c r="Y61439" s="97"/>
    </row>
    <row r="61440" spans="25:25" x14ac:dyDescent="0.2">
      <c r="Y61440" s="97"/>
    </row>
    <row r="61441" spans="25:25" x14ac:dyDescent="0.2">
      <c r="Y61441" s="97"/>
    </row>
    <row r="61442" spans="25:25" x14ac:dyDescent="0.2">
      <c r="Y61442" s="97"/>
    </row>
    <row r="61443" spans="25:25" x14ac:dyDescent="0.2">
      <c r="Y61443" s="97"/>
    </row>
    <row r="61444" spans="25:25" x14ac:dyDescent="0.2">
      <c r="Y61444" s="97"/>
    </row>
    <row r="61445" spans="25:25" x14ac:dyDescent="0.2">
      <c r="Y61445" s="97"/>
    </row>
    <row r="61446" spans="25:25" x14ac:dyDescent="0.2">
      <c r="Y61446" s="97"/>
    </row>
    <row r="61447" spans="25:25" x14ac:dyDescent="0.2">
      <c r="Y61447" s="97"/>
    </row>
    <row r="61448" spans="25:25" x14ac:dyDescent="0.2">
      <c r="Y61448" s="97"/>
    </row>
    <row r="61449" spans="25:25" x14ac:dyDescent="0.2">
      <c r="Y61449" s="97"/>
    </row>
    <row r="61450" spans="25:25" x14ac:dyDescent="0.2">
      <c r="Y61450" s="97"/>
    </row>
    <row r="61451" spans="25:25" x14ac:dyDescent="0.2">
      <c r="Y61451" s="97"/>
    </row>
    <row r="61452" spans="25:25" x14ac:dyDescent="0.2">
      <c r="Y61452" s="97"/>
    </row>
    <row r="61453" spans="25:25" x14ac:dyDescent="0.2">
      <c r="Y61453" s="97"/>
    </row>
    <row r="61454" spans="25:25" x14ac:dyDescent="0.2">
      <c r="Y61454" s="97"/>
    </row>
    <row r="61455" spans="25:25" x14ac:dyDescent="0.2">
      <c r="Y61455" s="97"/>
    </row>
    <row r="61456" spans="25:25" x14ac:dyDescent="0.2">
      <c r="Y61456" s="97"/>
    </row>
    <row r="61457" spans="25:25" x14ac:dyDescent="0.2">
      <c r="Y61457" s="97"/>
    </row>
    <row r="61458" spans="25:25" x14ac:dyDescent="0.2">
      <c r="Y61458" s="97"/>
    </row>
    <row r="61459" spans="25:25" x14ac:dyDescent="0.2">
      <c r="Y61459" s="97"/>
    </row>
    <row r="61460" spans="25:25" x14ac:dyDescent="0.2">
      <c r="Y61460" s="97"/>
    </row>
    <row r="61461" spans="25:25" x14ac:dyDescent="0.2">
      <c r="Y61461" s="97"/>
    </row>
    <row r="61462" spans="25:25" x14ac:dyDescent="0.2">
      <c r="Y61462" s="97"/>
    </row>
    <row r="61463" spans="25:25" x14ac:dyDescent="0.2">
      <c r="Y61463" s="97"/>
    </row>
    <row r="61464" spans="25:25" x14ac:dyDescent="0.2">
      <c r="Y61464" s="97"/>
    </row>
    <row r="61465" spans="25:25" x14ac:dyDescent="0.2">
      <c r="Y61465" s="97"/>
    </row>
    <row r="61466" spans="25:25" x14ac:dyDescent="0.2">
      <c r="Y61466" s="97"/>
    </row>
    <row r="61467" spans="25:25" x14ac:dyDescent="0.2">
      <c r="Y61467" s="97"/>
    </row>
    <row r="61468" spans="25:25" x14ac:dyDescent="0.2">
      <c r="Y61468" s="97"/>
    </row>
    <row r="61469" spans="25:25" x14ac:dyDescent="0.2">
      <c r="Y61469" s="97"/>
    </row>
    <row r="61470" spans="25:25" x14ac:dyDescent="0.2">
      <c r="Y61470" s="97"/>
    </row>
    <row r="61471" spans="25:25" x14ac:dyDescent="0.2">
      <c r="Y61471" s="97"/>
    </row>
    <row r="61472" spans="25:25" x14ac:dyDescent="0.2">
      <c r="Y61472" s="97"/>
    </row>
    <row r="61473" spans="25:25" x14ac:dyDescent="0.2">
      <c r="Y61473" s="97"/>
    </row>
    <row r="61474" spans="25:25" x14ac:dyDescent="0.2">
      <c r="Y61474" s="97"/>
    </row>
    <row r="61475" spans="25:25" x14ac:dyDescent="0.2">
      <c r="Y61475" s="97"/>
    </row>
    <row r="61476" spans="25:25" x14ac:dyDescent="0.2">
      <c r="Y61476" s="97"/>
    </row>
    <row r="61477" spans="25:25" x14ac:dyDescent="0.2">
      <c r="Y61477" s="97"/>
    </row>
    <row r="61478" spans="25:25" x14ac:dyDescent="0.2">
      <c r="Y61478" s="97"/>
    </row>
    <row r="61479" spans="25:25" x14ac:dyDescent="0.2">
      <c r="Y61479" s="97"/>
    </row>
    <row r="61480" spans="25:25" x14ac:dyDescent="0.2">
      <c r="Y61480" s="97"/>
    </row>
    <row r="61481" spans="25:25" x14ac:dyDescent="0.2">
      <c r="Y61481" s="97"/>
    </row>
    <row r="61482" spans="25:25" x14ac:dyDescent="0.2">
      <c r="Y61482" s="97"/>
    </row>
    <row r="61483" spans="25:25" x14ac:dyDescent="0.2">
      <c r="Y61483" s="97"/>
    </row>
    <row r="61484" spans="25:25" x14ac:dyDescent="0.2">
      <c r="Y61484" s="97"/>
    </row>
    <row r="61485" spans="25:25" x14ac:dyDescent="0.2">
      <c r="Y61485" s="97"/>
    </row>
    <row r="61486" spans="25:25" x14ac:dyDescent="0.2">
      <c r="Y61486" s="97"/>
    </row>
    <row r="61487" spans="25:25" x14ac:dyDescent="0.2">
      <c r="Y61487" s="97"/>
    </row>
    <row r="61488" spans="25:25" x14ac:dyDescent="0.2">
      <c r="Y61488" s="97"/>
    </row>
    <row r="61489" spans="25:25" x14ac:dyDescent="0.2">
      <c r="Y61489" s="97"/>
    </row>
    <row r="61490" spans="25:25" x14ac:dyDescent="0.2">
      <c r="Y61490" s="97"/>
    </row>
    <row r="61491" spans="25:25" x14ac:dyDescent="0.2">
      <c r="Y61491" s="97"/>
    </row>
    <row r="61492" spans="25:25" x14ac:dyDescent="0.2">
      <c r="Y61492" s="97"/>
    </row>
    <row r="61493" spans="25:25" x14ac:dyDescent="0.2">
      <c r="Y61493" s="97"/>
    </row>
    <row r="61494" spans="25:25" x14ac:dyDescent="0.2">
      <c r="Y61494" s="97"/>
    </row>
    <row r="61495" spans="25:25" x14ac:dyDescent="0.2">
      <c r="Y61495" s="97"/>
    </row>
    <row r="61496" spans="25:25" x14ac:dyDescent="0.2">
      <c r="Y61496" s="97"/>
    </row>
    <row r="61497" spans="25:25" x14ac:dyDescent="0.2">
      <c r="Y61497" s="97"/>
    </row>
    <row r="61498" spans="25:25" x14ac:dyDescent="0.2">
      <c r="Y61498" s="97"/>
    </row>
    <row r="61499" spans="25:25" x14ac:dyDescent="0.2">
      <c r="Y61499" s="97"/>
    </row>
    <row r="61500" spans="25:25" x14ac:dyDescent="0.2">
      <c r="Y61500" s="97"/>
    </row>
    <row r="61501" spans="25:25" x14ac:dyDescent="0.2">
      <c r="Y61501" s="97"/>
    </row>
    <row r="61502" spans="25:25" x14ac:dyDescent="0.2">
      <c r="Y61502" s="97"/>
    </row>
    <row r="61503" spans="25:25" x14ac:dyDescent="0.2">
      <c r="Y61503" s="97"/>
    </row>
    <row r="61504" spans="25:25" x14ac:dyDescent="0.2">
      <c r="Y61504" s="97"/>
    </row>
    <row r="61505" spans="25:25" x14ac:dyDescent="0.2">
      <c r="Y61505" s="97"/>
    </row>
    <row r="61506" spans="25:25" x14ac:dyDescent="0.2">
      <c r="Y61506" s="97"/>
    </row>
    <row r="61507" spans="25:25" x14ac:dyDescent="0.2">
      <c r="Y61507" s="97"/>
    </row>
    <row r="61508" spans="25:25" x14ac:dyDescent="0.2">
      <c r="Y61508" s="97"/>
    </row>
    <row r="61509" spans="25:25" x14ac:dyDescent="0.2">
      <c r="Y61509" s="97"/>
    </row>
    <row r="61510" spans="25:25" x14ac:dyDescent="0.2">
      <c r="Y61510" s="97"/>
    </row>
    <row r="61511" spans="25:25" x14ac:dyDescent="0.2">
      <c r="Y61511" s="97"/>
    </row>
    <row r="61512" spans="25:25" x14ac:dyDescent="0.2">
      <c r="Y61512" s="97"/>
    </row>
    <row r="61513" spans="25:25" x14ac:dyDescent="0.2">
      <c r="Y61513" s="97"/>
    </row>
    <row r="61514" spans="25:25" x14ac:dyDescent="0.2">
      <c r="Y61514" s="97"/>
    </row>
    <row r="61515" spans="25:25" x14ac:dyDescent="0.2">
      <c r="Y61515" s="97"/>
    </row>
    <row r="61516" spans="25:25" x14ac:dyDescent="0.2">
      <c r="Y61516" s="97"/>
    </row>
    <row r="61517" spans="25:25" x14ac:dyDescent="0.2">
      <c r="Y61517" s="97"/>
    </row>
    <row r="61518" spans="25:25" x14ac:dyDescent="0.2">
      <c r="Y61518" s="97"/>
    </row>
    <row r="61519" spans="25:25" x14ac:dyDescent="0.2">
      <c r="Y61519" s="97"/>
    </row>
    <row r="61520" spans="25:25" x14ac:dyDescent="0.2">
      <c r="Y61520" s="97"/>
    </row>
    <row r="61521" spans="25:25" x14ac:dyDescent="0.2">
      <c r="Y61521" s="97"/>
    </row>
    <row r="61522" spans="25:25" x14ac:dyDescent="0.2">
      <c r="Y61522" s="97"/>
    </row>
    <row r="61523" spans="25:25" x14ac:dyDescent="0.2">
      <c r="Y61523" s="97"/>
    </row>
    <row r="61524" spans="25:25" x14ac:dyDescent="0.2">
      <c r="Y61524" s="97"/>
    </row>
    <row r="61525" spans="25:25" x14ac:dyDescent="0.2">
      <c r="Y61525" s="97"/>
    </row>
    <row r="61526" spans="25:25" x14ac:dyDescent="0.2">
      <c r="Y61526" s="97"/>
    </row>
    <row r="61527" spans="25:25" x14ac:dyDescent="0.2">
      <c r="Y61527" s="97"/>
    </row>
    <row r="61528" spans="25:25" x14ac:dyDescent="0.2">
      <c r="Y61528" s="97"/>
    </row>
    <row r="61529" spans="25:25" x14ac:dyDescent="0.2">
      <c r="Y61529" s="97"/>
    </row>
    <row r="61530" spans="25:25" x14ac:dyDescent="0.2">
      <c r="Y61530" s="97"/>
    </row>
    <row r="61531" spans="25:25" x14ac:dyDescent="0.2">
      <c r="Y61531" s="97"/>
    </row>
    <row r="61532" spans="25:25" x14ac:dyDescent="0.2">
      <c r="Y61532" s="97"/>
    </row>
    <row r="61533" spans="25:25" x14ac:dyDescent="0.2">
      <c r="Y61533" s="97"/>
    </row>
    <row r="61534" spans="25:25" x14ac:dyDescent="0.2">
      <c r="Y61534" s="97"/>
    </row>
    <row r="61535" spans="25:25" x14ac:dyDescent="0.2">
      <c r="Y61535" s="97"/>
    </row>
    <row r="61536" spans="25:25" x14ac:dyDescent="0.2">
      <c r="Y61536" s="97"/>
    </row>
    <row r="61537" spans="25:25" x14ac:dyDescent="0.2">
      <c r="Y61537" s="97"/>
    </row>
    <row r="61538" spans="25:25" x14ac:dyDescent="0.2">
      <c r="Y61538" s="97"/>
    </row>
    <row r="61539" spans="25:25" x14ac:dyDescent="0.2">
      <c r="Y61539" s="97"/>
    </row>
    <row r="61540" spans="25:25" x14ac:dyDescent="0.2">
      <c r="Y61540" s="97"/>
    </row>
    <row r="61541" spans="25:25" x14ac:dyDescent="0.2">
      <c r="Y61541" s="97"/>
    </row>
    <row r="61542" spans="25:25" x14ac:dyDescent="0.2">
      <c r="Y61542" s="97"/>
    </row>
    <row r="61543" spans="25:25" x14ac:dyDescent="0.2">
      <c r="Y61543" s="97"/>
    </row>
    <row r="61544" spans="25:25" x14ac:dyDescent="0.2">
      <c r="Y61544" s="97"/>
    </row>
    <row r="61545" spans="25:25" x14ac:dyDescent="0.2">
      <c r="Y61545" s="97"/>
    </row>
    <row r="61546" spans="25:25" x14ac:dyDescent="0.2">
      <c r="Y61546" s="97"/>
    </row>
    <row r="61547" spans="25:25" x14ac:dyDescent="0.2">
      <c r="Y61547" s="97"/>
    </row>
    <row r="61548" spans="25:25" x14ac:dyDescent="0.2">
      <c r="Y61548" s="97"/>
    </row>
    <row r="61549" spans="25:25" x14ac:dyDescent="0.2">
      <c r="Y61549" s="97"/>
    </row>
    <row r="61550" spans="25:25" x14ac:dyDescent="0.2">
      <c r="Y61550" s="97"/>
    </row>
    <row r="61551" spans="25:25" x14ac:dyDescent="0.2">
      <c r="Y61551" s="97"/>
    </row>
    <row r="61552" spans="25:25" x14ac:dyDescent="0.2">
      <c r="Y61552" s="97"/>
    </row>
    <row r="61553" spans="25:25" x14ac:dyDescent="0.2">
      <c r="Y61553" s="97"/>
    </row>
    <row r="61554" spans="25:25" x14ac:dyDescent="0.2">
      <c r="Y61554" s="97"/>
    </row>
    <row r="61555" spans="25:25" x14ac:dyDescent="0.2">
      <c r="Y61555" s="97"/>
    </row>
    <row r="61556" spans="25:25" x14ac:dyDescent="0.2">
      <c r="Y61556" s="97"/>
    </row>
    <row r="61557" spans="25:25" x14ac:dyDescent="0.2">
      <c r="Y61557" s="97"/>
    </row>
    <row r="61558" spans="25:25" x14ac:dyDescent="0.2">
      <c r="Y61558" s="97"/>
    </row>
    <row r="61559" spans="25:25" x14ac:dyDescent="0.2">
      <c r="Y61559" s="97"/>
    </row>
    <row r="61560" spans="25:25" x14ac:dyDescent="0.2">
      <c r="Y61560" s="97"/>
    </row>
    <row r="61561" spans="25:25" x14ac:dyDescent="0.2">
      <c r="Y61561" s="97"/>
    </row>
    <row r="61562" spans="25:25" x14ac:dyDescent="0.2">
      <c r="Y61562" s="97"/>
    </row>
    <row r="61563" spans="25:25" x14ac:dyDescent="0.2">
      <c r="Y61563" s="97"/>
    </row>
    <row r="61564" spans="25:25" x14ac:dyDescent="0.2">
      <c r="Y61564" s="97"/>
    </row>
    <row r="61565" spans="25:25" x14ac:dyDescent="0.2">
      <c r="Y61565" s="97"/>
    </row>
    <row r="61566" spans="25:25" x14ac:dyDescent="0.2">
      <c r="Y61566" s="97"/>
    </row>
    <row r="61567" spans="25:25" x14ac:dyDescent="0.2">
      <c r="Y61567" s="97"/>
    </row>
    <row r="61568" spans="25:25" x14ac:dyDescent="0.2">
      <c r="Y61568" s="97"/>
    </row>
    <row r="61569" spans="25:25" x14ac:dyDescent="0.2">
      <c r="Y61569" s="97"/>
    </row>
    <row r="61570" spans="25:25" x14ac:dyDescent="0.2">
      <c r="Y61570" s="97"/>
    </row>
    <row r="61571" spans="25:25" x14ac:dyDescent="0.2">
      <c r="Y61571" s="97"/>
    </row>
    <row r="61572" spans="25:25" x14ac:dyDescent="0.2">
      <c r="Y61572" s="97"/>
    </row>
    <row r="61573" spans="25:25" x14ac:dyDescent="0.2">
      <c r="Y61573" s="97"/>
    </row>
    <row r="61574" spans="25:25" x14ac:dyDescent="0.2">
      <c r="Y61574" s="97"/>
    </row>
    <row r="61575" spans="25:25" x14ac:dyDescent="0.2">
      <c r="Y61575" s="97"/>
    </row>
    <row r="61576" spans="25:25" x14ac:dyDescent="0.2">
      <c r="Y61576" s="97"/>
    </row>
    <row r="61577" spans="25:25" x14ac:dyDescent="0.2">
      <c r="Y61577" s="97"/>
    </row>
    <row r="61578" spans="25:25" x14ac:dyDescent="0.2">
      <c r="Y61578" s="97"/>
    </row>
    <row r="61579" spans="25:25" x14ac:dyDescent="0.2">
      <c r="Y61579" s="97"/>
    </row>
    <row r="61580" spans="25:25" x14ac:dyDescent="0.2">
      <c r="Y61580" s="97"/>
    </row>
    <row r="61581" spans="25:25" x14ac:dyDescent="0.2">
      <c r="Y61581" s="97"/>
    </row>
    <row r="61582" spans="25:25" x14ac:dyDescent="0.2">
      <c r="Y61582" s="97"/>
    </row>
    <row r="61583" spans="25:25" x14ac:dyDescent="0.2">
      <c r="Y61583" s="97"/>
    </row>
    <row r="61584" spans="25:25" x14ac:dyDescent="0.2">
      <c r="Y61584" s="97"/>
    </row>
    <row r="61585" spans="25:25" x14ac:dyDescent="0.2">
      <c r="Y61585" s="97"/>
    </row>
    <row r="61586" spans="25:25" x14ac:dyDescent="0.2">
      <c r="Y61586" s="97"/>
    </row>
    <row r="61587" spans="25:25" x14ac:dyDescent="0.2">
      <c r="Y61587" s="97"/>
    </row>
    <row r="61588" spans="25:25" x14ac:dyDescent="0.2">
      <c r="Y61588" s="97"/>
    </row>
    <row r="61589" spans="25:25" x14ac:dyDescent="0.2">
      <c r="Y61589" s="97"/>
    </row>
    <row r="61590" spans="25:25" x14ac:dyDescent="0.2">
      <c r="Y61590" s="97"/>
    </row>
    <row r="61591" spans="25:25" x14ac:dyDescent="0.2">
      <c r="Y61591" s="97"/>
    </row>
    <row r="61592" spans="25:25" x14ac:dyDescent="0.2">
      <c r="Y61592" s="97"/>
    </row>
    <row r="61593" spans="25:25" x14ac:dyDescent="0.2">
      <c r="Y61593" s="97"/>
    </row>
    <row r="61594" spans="25:25" x14ac:dyDescent="0.2">
      <c r="Y61594" s="97"/>
    </row>
    <row r="61595" spans="25:25" x14ac:dyDescent="0.2">
      <c r="Y61595" s="97"/>
    </row>
    <row r="61596" spans="25:25" x14ac:dyDescent="0.2">
      <c r="Y61596" s="97"/>
    </row>
    <row r="61597" spans="25:25" x14ac:dyDescent="0.2">
      <c r="Y61597" s="97"/>
    </row>
    <row r="61598" spans="25:25" x14ac:dyDescent="0.2">
      <c r="Y61598" s="97"/>
    </row>
    <row r="61599" spans="25:25" x14ac:dyDescent="0.2">
      <c r="Y61599" s="97"/>
    </row>
    <row r="61600" spans="25:25" x14ac:dyDescent="0.2">
      <c r="Y61600" s="97"/>
    </row>
    <row r="61601" spans="25:25" x14ac:dyDescent="0.2">
      <c r="Y61601" s="97"/>
    </row>
    <row r="61602" spans="25:25" x14ac:dyDescent="0.2">
      <c r="Y61602" s="97"/>
    </row>
    <row r="61603" spans="25:25" x14ac:dyDescent="0.2">
      <c r="Y61603" s="97"/>
    </row>
    <row r="61604" spans="25:25" x14ac:dyDescent="0.2">
      <c r="Y61604" s="97"/>
    </row>
    <row r="61605" spans="25:25" x14ac:dyDescent="0.2">
      <c r="Y61605" s="97"/>
    </row>
    <row r="61606" spans="25:25" x14ac:dyDescent="0.2">
      <c r="Y61606" s="97"/>
    </row>
    <row r="61607" spans="25:25" x14ac:dyDescent="0.2">
      <c r="Y61607" s="97"/>
    </row>
    <row r="61608" spans="25:25" x14ac:dyDescent="0.2">
      <c r="Y61608" s="97"/>
    </row>
    <row r="61609" spans="25:25" x14ac:dyDescent="0.2">
      <c r="Y61609" s="97"/>
    </row>
    <row r="61610" spans="25:25" x14ac:dyDescent="0.2">
      <c r="Y61610" s="97"/>
    </row>
    <row r="61611" spans="25:25" x14ac:dyDescent="0.2">
      <c r="Y61611" s="97"/>
    </row>
    <row r="61612" spans="25:25" x14ac:dyDescent="0.2">
      <c r="Y61612" s="97"/>
    </row>
    <row r="61613" spans="25:25" x14ac:dyDescent="0.2">
      <c r="Y61613" s="97"/>
    </row>
    <row r="61614" spans="25:25" x14ac:dyDescent="0.2">
      <c r="Y61614" s="97"/>
    </row>
    <row r="61615" spans="25:25" x14ac:dyDescent="0.2">
      <c r="Y61615" s="97"/>
    </row>
    <row r="61616" spans="25:25" x14ac:dyDescent="0.2">
      <c r="Y61616" s="97"/>
    </row>
    <row r="61617" spans="25:25" x14ac:dyDescent="0.2">
      <c r="Y61617" s="97"/>
    </row>
    <row r="61618" spans="25:25" x14ac:dyDescent="0.2">
      <c r="Y61618" s="97"/>
    </row>
    <row r="61619" spans="25:25" x14ac:dyDescent="0.2">
      <c r="Y61619" s="97"/>
    </row>
    <row r="61620" spans="25:25" x14ac:dyDescent="0.2">
      <c r="Y61620" s="97"/>
    </row>
    <row r="61621" spans="25:25" x14ac:dyDescent="0.2">
      <c r="Y61621" s="97"/>
    </row>
    <row r="61622" spans="25:25" x14ac:dyDescent="0.2">
      <c r="Y61622" s="97"/>
    </row>
    <row r="61623" spans="25:25" x14ac:dyDescent="0.2">
      <c r="Y61623" s="97"/>
    </row>
    <row r="61624" spans="25:25" x14ac:dyDescent="0.2">
      <c r="Y61624" s="97"/>
    </row>
    <row r="61625" spans="25:25" x14ac:dyDescent="0.2">
      <c r="Y61625" s="97"/>
    </row>
    <row r="61626" spans="25:25" x14ac:dyDescent="0.2">
      <c r="Y61626" s="97"/>
    </row>
    <row r="61627" spans="25:25" x14ac:dyDescent="0.2">
      <c r="Y61627" s="97"/>
    </row>
    <row r="61628" spans="25:25" x14ac:dyDescent="0.2">
      <c r="Y61628" s="97"/>
    </row>
    <row r="61629" spans="25:25" x14ac:dyDescent="0.2">
      <c r="Y61629" s="97"/>
    </row>
    <row r="61630" spans="25:25" x14ac:dyDescent="0.2">
      <c r="Y61630" s="97"/>
    </row>
    <row r="61631" spans="25:25" x14ac:dyDescent="0.2">
      <c r="Y61631" s="97"/>
    </row>
    <row r="61632" spans="25:25" x14ac:dyDescent="0.2">
      <c r="Y61632" s="97"/>
    </row>
    <row r="61633" spans="25:25" x14ac:dyDescent="0.2">
      <c r="Y61633" s="97"/>
    </row>
    <row r="61634" spans="25:25" x14ac:dyDescent="0.2">
      <c r="Y61634" s="97"/>
    </row>
    <row r="61635" spans="25:25" x14ac:dyDescent="0.2">
      <c r="Y61635" s="97"/>
    </row>
    <row r="61636" spans="25:25" x14ac:dyDescent="0.2">
      <c r="Y61636" s="97"/>
    </row>
    <row r="61637" spans="25:25" x14ac:dyDescent="0.2">
      <c r="Y61637" s="97"/>
    </row>
    <row r="61638" spans="25:25" x14ac:dyDescent="0.2">
      <c r="Y61638" s="97"/>
    </row>
    <row r="61639" spans="25:25" x14ac:dyDescent="0.2">
      <c r="Y61639" s="97"/>
    </row>
    <row r="61640" spans="25:25" x14ac:dyDescent="0.2">
      <c r="Y61640" s="97"/>
    </row>
    <row r="61641" spans="25:25" x14ac:dyDescent="0.2">
      <c r="Y61641" s="97"/>
    </row>
    <row r="61642" spans="25:25" x14ac:dyDescent="0.2">
      <c r="Y61642" s="97"/>
    </row>
    <row r="61643" spans="25:25" x14ac:dyDescent="0.2">
      <c r="Y61643" s="97"/>
    </row>
    <row r="61644" spans="25:25" x14ac:dyDescent="0.2">
      <c r="Y61644" s="97"/>
    </row>
    <row r="61645" spans="25:25" x14ac:dyDescent="0.2">
      <c r="Y61645" s="97"/>
    </row>
    <row r="61646" spans="25:25" x14ac:dyDescent="0.2">
      <c r="Y61646" s="97"/>
    </row>
    <row r="61647" spans="25:25" x14ac:dyDescent="0.2">
      <c r="Y61647" s="97"/>
    </row>
    <row r="61648" spans="25:25" x14ac:dyDescent="0.2">
      <c r="Y61648" s="97"/>
    </row>
    <row r="61649" spans="25:25" x14ac:dyDescent="0.2">
      <c r="Y61649" s="97"/>
    </row>
    <row r="61650" spans="25:25" x14ac:dyDescent="0.2">
      <c r="Y61650" s="97"/>
    </row>
    <row r="61651" spans="25:25" x14ac:dyDescent="0.2">
      <c r="Y61651" s="97"/>
    </row>
    <row r="61652" spans="25:25" x14ac:dyDescent="0.2">
      <c r="Y61652" s="97"/>
    </row>
    <row r="61653" spans="25:25" x14ac:dyDescent="0.2">
      <c r="Y61653" s="97"/>
    </row>
    <row r="61654" spans="25:25" x14ac:dyDescent="0.2">
      <c r="Y61654" s="97"/>
    </row>
    <row r="61655" spans="25:25" x14ac:dyDescent="0.2">
      <c r="Y61655" s="97"/>
    </row>
    <row r="61656" spans="25:25" x14ac:dyDescent="0.2">
      <c r="Y61656" s="97"/>
    </row>
    <row r="61657" spans="25:25" x14ac:dyDescent="0.2">
      <c r="Y61657" s="97"/>
    </row>
    <row r="61658" spans="25:25" x14ac:dyDescent="0.2">
      <c r="Y61658" s="97"/>
    </row>
    <row r="61659" spans="25:25" x14ac:dyDescent="0.2">
      <c r="Y61659" s="97"/>
    </row>
    <row r="61660" spans="25:25" x14ac:dyDescent="0.2">
      <c r="Y61660" s="97"/>
    </row>
    <row r="61661" spans="25:25" x14ac:dyDescent="0.2">
      <c r="Y61661" s="97"/>
    </row>
    <row r="61662" spans="25:25" x14ac:dyDescent="0.2">
      <c r="Y61662" s="97"/>
    </row>
    <row r="61663" spans="25:25" x14ac:dyDescent="0.2">
      <c r="Y61663" s="97"/>
    </row>
    <row r="61664" spans="25:25" x14ac:dyDescent="0.2">
      <c r="Y61664" s="97"/>
    </row>
    <row r="61665" spans="25:25" x14ac:dyDescent="0.2">
      <c r="Y61665" s="97"/>
    </row>
    <row r="61666" spans="25:25" x14ac:dyDescent="0.2">
      <c r="Y61666" s="97"/>
    </row>
    <row r="61667" spans="25:25" x14ac:dyDescent="0.2">
      <c r="Y61667" s="97"/>
    </row>
    <row r="61668" spans="25:25" x14ac:dyDescent="0.2">
      <c r="Y61668" s="97"/>
    </row>
    <row r="61669" spans="25:25" x14ac:dyDescent="0.2">
      <c r="Y61669" s="97"/>
    </row>
    <row r="61670" spans="25:25" x14ac:dyDescent="0.2">
      <c r="Y61670" s="97"/>
    </row>
    <row r="61671" spans="25:25" x14ac:dyDescent="0.2">
      <c r="Y61671" s="97"/>
    </row>
    <row r="61672" spans="25:25" x14ac:dyDescent="0.2">
      <c r="Y61672" s="97"/>
    </row>
    <row r="61673" spans="25:25" x14ac:dyDescent="0.2">
      <c r="Y61673" s="97"/>
    </row>
    <row r="61674" spans="25:25" x14ac:dyDescent="0.2">
      <c r="Y61674" s="97"/>
    </row>
    <row r="61675" spans="25:25" x14ac:dyDescent="0.2">
      <c r="Y61675" s="97"/>
    </row>
    <row r="61676" spans="25:25" x14ac:dyDescent="0.2">
      <c r="Y61676" s="97"/>
    </row>
    <row r="61677" spans="25:25" x14ac:dyDescent="0.2">
      <c r="Y61677" s="97"/>
    </row>
    <row r="61678" spans="25:25" x14ac:dyDescent="0.2">
      <c r="Y61678" s="97"/>
    </row>
    <row r="61679" spans="25:25" x14ac:dyDescent="0.2">
      <c r="Y61679" s="97"/>
    </row>
    <row r="61680" spans="25:25" x14ac:dyDescent="0.2">
      <c r="Y61680" s="97"/>
    </row>
    <row r="61681" spans="25:25" x14ac:dyDescent="0.2">
      <c r="Y61681" s="97"/>
    </row>
    <row r="61682" spans="25:25" x14ac:dyDescent="0.2">
      <c r="Y61682" s="97"/>
    </row>
    <row r="61683" spans="25:25" x14ac:dyDescent="0.2">
      <c r="Y61683" s="97"/>
    </row>
    <row r="61684" spans="25:25" x14ac:dyDescent="0.2">
      <c r="Y61684" s="97"/>
    </row>
    <row r="61685" spans="25:25" x14ac:dyDescent="0.2">
      <c r="Y61685" s="97"/>
    </row>
    <row r="61686" spans="25:25" x14ac:dyDescent="0.2">
      <c r="Y61686" s="97"/>
    </row>
    <row r="61687" spans="25:25" x14ac:dyDescent="0.2">
      <c r="Y61687" s="97"/>
    </row>
    <row r="61688" spans="25:25" x14ac:dyDescent="0.2">
      <c r="Y61688" s="97"/>
    </row>
    <row r="61689" spans="25:25" x14ac:dyDescent="0.2">
      <c r="Y61689" s="97"/>
    </row>
    <row r="61690" spans="25:25" x14ac:dyDescent="0.2">
      <c r="Y61690" s="97"/>
    </row>
    <row r="61691" spans="25:25" x14ac:dyDescent="0.2">
      <c r="Y61691" s="97"/>
    </row>
    <row r="61692" spans="25:25" x14ac:dyDescent="0.2">
      <c r="Y61692" s="97"/>
    </row>
    <row r="61693" spans="25:25" x14ac:dyDescent="0.2">
      <c r="Y61693" s="97"/>
    </row>
    <row r="61694" spans="25:25" x14ac:dyDescent="0.2">
      <c r="Y61694" s="97"/>
    </row>
    <row r="61695" spans="25:25" x14ac:dyDescent="0.2">
      <c r="Y61695" s="97"/>
    </row>
    <row r="61696" spans="25:25" x14ac:dyDescent="0.2">
      <c r="Y61696" s="97"/>
    </row>
    <row r="61697" spans="25:25" x14ac:dyDescent="0.2">
      <c r="Y61697" s="97"/>
    </row>
    <row r="61698" spans="25:25" x14ac:dyDescent="0.2">
      <c r="Y61698" s="97"/>
    </row>
    <row r="61699" spans="25:25" x14ac:dyDescent="0.2">
      <c r="Y61699" s="97"/>
    </row>
    <row r="61700" spans="25:25" x14ac:dyDescent="0.2">
      <c r="Y61700" s="97"/>
    </row>
    <row r="61701" spans="25:25" x14ac:dyDescent="0.2">
      <c r="Y61701" s="97"/>
    </row>
    <row r="61702" spans="25:25" x14ac:dyDescent="0.2">
      <c r="Y61702" s="97"/>
    </row>
    <row r="61703" spans="25:25" x14ac:dyDescent="0.2">
      <c r="Y61703" s="97"/>
    </row>
    <row r="61704" spans="25:25" x14ac:dyDescent="0.2">
      <c r="Y61704" s="97"/>
    </row>
    <row r="61705" spans="25:25" x14ac:dyDescent="0.2">
      <c r="Y61705" s="97"/>
    </row>
    <row r="61706" spans="25:25" x14ac:dyDescent="0.2">
      <c r="Y61706" s="97"/>
    </row>
    <row r="61707" spans="25:25" x14ac:dyDescent="0.2">
      <c r="Y61707" s="97"/>
    </row>
    <row r="61708" spans="25:25" x14ac:dyDescent="0.2">
      <c r="Y61708" s="97"/>
    </row>
    <row r="61709" spans="25:25" x14ac:dyDescent="0.2">
      <c r="Y61709" s="97"/>
    </row>
    <row r="61710" spans="25:25" x14ac:dyDescent="0.2">
      <c r="Y61710" s="97"/>
    </row>
    <row r="61711" spans="25:25" x14ac:dyDescent="0.2">
      <c r="Y61711" s="97"/>
    </row>
    <row r="61712" spans="25:25" x14ac:dyDescent="0.2">
      <c r="Y61712" s="97"/>
    </row>
    <row r="61713" spans="25:25" x14ac:dyDescent="0.2">
      <c r="Y61713" s="97"/>
    </row>
    <row r="61714" spans="25:25" x14ac:dyDescent="0.2">
      <c r="Y61714" s="97"/>
    </row>
    <row r="61715" spans="25:25" x14ac:dyDescent="0.2">
      <c r="Y61715" s="97"/>
    </row>
    <row r="61716" spans="25:25" x14ac:dyDescent="0.2">
      <c r="Y61716" s="97"/>
    </row>
    <row r="61717" spans="25:25" x14ac:dyDescent="0.2">
      <c r="Y61717" s="97"/>
    </row>
    <row r="61718" spans="25:25" x14ac:dyDescent="0.2">
      <c r="Y61718" s="97"/>
    </row>
    <row r="61719" spans="25:25" x14ac:dyDescent="0.2">
      <c r="Y61719" s="97"/>
    </row>
    <row r="61720" spans="25:25" x14ac:dyDescent="0.2">
      <c r="Y61720" s="97"/>
    </row>
    <row r="61721" spans="25:25" x14ac:dyDescent="0.2">
      <c r="Y61721" s="97"/>
    </row>
    <row r="61722" spans="25:25" x14ac:dyDescent="0.2">
      <c r="Y61722" s="97"/>
    </row>
    <row r="61723" spans="25:25" x14ac:dyDescent="0.2">
      <c r="Y61723" s="97"/>
    </row>
    <row r="61724" spans="25:25" x14ac:dyDescent="0.2">
      <c r="Y61724" s="97"/>
    </row>
    <row r="61725" spans="25:25" x14ac:dyDescent="0.2">
      <c r="Y61725" s="97"/>
    </row>
    <row r="61726" spans="25:25" x14ac:dyDescent="0.2">
      <c r="Y61726" s="97"/>
    </row>
    <row r="61727" spans="25:25" x14ac:dyDescent="0.2">
      <c r="Y61727" s="97"/>
    </row>
    <row r="61728" spans="25:25" x14ac:dyDescent="0.2">
      <c r="Y61728" s="97"/>
    </row>
    <row r="61729" spans="25:25" x14ac:dyDescent="0.2">
      <c r="Y61729" s="97"/>
    </row>
    <row r="61730" spans="25:25" x14ac:dyDescent="0.2">
      <c r="Y61730" s="97"/>
    </row>
    <row r="61731" spans="25:25" x14ac:dyDescent="0.2">
      <c r="Y61731" s="97"/>
    </row>
    <row r="61732" spans="25:25" x14ac:dyDescent="0.2">
      <c r="Y61732" s="97"/>
    </row>
    <row r="61733" spans="25:25" x14ac:dyDescent="0.2">
      <c r="Y61733" s="97"/>
    </row>
    <row r="61734" spans="25:25" x14ac:dyDescent="0.2">
      <c r="Y61734" s="97"/>
    </row>
    <row r="61735" spans="25:25" x14ac:dyDescent="0.2">
      <c r="Y61735" s="97"/>
    </row>
    <row r="61736" spans="25:25" x14ac:dyDescent="0.2">
      <c r="Y61736" s="97"/>
    </row>
    <row r="61737" spans="25:25" x14ac:dyDescent="0.2">
      <c r="Y61737" s="97"/>
    </row>
    <row r="61738" spans="25:25" x14ac:dyDescent="0.2">
      <c r="Y61738" s="97"/>
    </row>
    <row r="61739" spans="25:25" x14ac:dyDescent="0.2">
      <c r="Y61739" s="97"/>
    </row>
    <row r="61740" spans="25:25" x14ac:dyDescent="0.2">
      <c r="Y61740" s="97"/>
    </row>
    <row r="61741" spans="25:25" x14ac:dyDescent="0.2">
      <c r="Y61741" s="97"/>
    </row>
    <row r="61742" spans="25:25" x14ac:dyDescent="0.2">
      <c r="Y61742" s="97"/>
    </row>
    <row r="61743" spans="25:25" x14ac:dyDescent="0.2">
      <c r="Y61743" s="97"/>
    </row>
    <row r="61744" spans="25:25" x14ac:dyDescent="0.2">
      <c r="Y61744" s="97"/>
    </row>
    <row r="61745" spans="25:25" x14ac:dyDescent="0.2">
      <c r="Y61745" s="97"/>
    </row>
    <row r="61746" spans="25:25" x14ac:dyDescent="0.2">
      <c r="Y61746" s="97"/>
    </row>
    <row r="61747" spans="25:25" x14ac:dyDescent="0.2">
      <c r="Y61747" s="97"/>
    </row>
    <row r="61748" spans="25:25" x14ac:dyDescent="0.2">
      <c r="Y61748" s="97"/>
    </row>
    <row r="61749" spans="25:25" x14ac:dyDescent="0.2">
      <c r="Y61749" s="97"/>
    </row>
    <row r="61750" spans="25:25" x14ac:dyDescent="0.2">
      <c r="Y61750" s="97"/>
    </row>
    <row r="61751" spans="25:25" x14ac:dyDescent="0.2">
      <c r="Y61751" s="97"/>
    </row>
    <row r="61752" spans="25:25" x14ac:dyDescent="0.2">
      <c r="Y61752" s="97"/>
    </row>
    <row r="61753" spans="25:25" x14ac:dyDescent="0.2">
      <c r="Y61753" s="97"/>
    </row>
    <row r="61754" spans="25:25" x14ac:dyDescent="0.2">
      <c r="Y61754" s="97"/>
    </row>
    <row r="61755" spans="25:25" x14ac:dyDescent="0.2">
      <c r="Y61755" s="97"/>
    </row>
    <row r="61756" spans="25:25" x14ac:dyDescent="0.2">
      <c r="Y61756" s="97"/>
    </row>
    <row r="61757" spans="25:25" x14ac:dyDescent="0.2">
      <c r="Y61757" s="97"/>
    </row>
    <row r="61758" spans="25:25" x14ac:dyDescent="0.2">
      <c r="Y61758" s="97"/>
    </row>
    <row r="61759" spans="25:25" x14ac:dyDescent="0.2">
      <c r="Y61759" s="97"/>
    </row>
    <row r="61760" spans="25:25" x14ac:dyDescent="0.2">
      <c r="Y61760" s="97"/>
    </row>
    <row r="61761" spans="25:25" x14ac:dyDescent="0.2">
      <c r="Y61761" s="97"/>
    </row>
    <row r="61762" spans="25:25" x14ac:dyDescent="0.2">
      <c r="Y61762" s="97"/>
    </row>
    <row r="61763" spans="25:25" x14ac:dyDescent="0.2">
      <c r="Y61763" s="97"/>
    </row>
    <row r="61764" spans="25:25" x14ac:dyDescent="0.2">
      <c r="Y61764" s="97"/>
    </row>
    <row r="61765" spans="25:25" x14ac:dyDescent="0.2">
      <c r="Y61765" s="97"/>
    </row>
    <row r="61766" spans="25:25" x14ac:dyDescent="0.2">
      <c r="Y61766" s="97"/>
    </row>
    <row r="61767" spans="25:25" x14ac:dyDescent="0.2">
      <c r="Y61767" s="97"/>
    </row>
    <row r="61768" spans="25:25" x14ac:dyDescent="0.2">
      <c r="Y61768" s="97"/>
    </row>
    <row r="61769" spans="25:25" x14ac:dyDescent="0.2">
      <c r="Y61769" s="97"/>
    </row>
    <row r="61770" spans="25:25" x14ac:dyDescent="0.2">
      <c r="Y61770" s="97"/>
    </row>
    <row r="61771" spans="25:25" x14ac:dyDescent="0.2">
      <c r="Y61771" s="97"/>
    </row>
    <row r="61772" spans="25:25" x14ac:dyDescent="0.2">
      <c r="Y61772" s="97"/>
    </row>
    <row r="61773" spans="25:25" x14ac:dyDescent="0.2">
      <c r="Y61773" s="97"/>
    </row>
    <row r="61774" spans="25:25" x14ac:dyDescent="0.2">
      <c r="Y61774" s="97"/>
    </row>
    <row r="61775" spans="25:25" x14ac:dyDescent="0.2">
      <c r="Y61775" s="97"/>
    </row>
    <row r="61776" spans="25:25" x14ac:dyDescent="0.2">
      <c r="Y61776" s="97"/>
    </row>
    <row r="61777" spans="25:25" x14ac:dyDescent="0.2">
      <c r="Y61777" s="97"/>
    </row>
    <row r="61778" spans="25:25" x14ac:dyDescent="0.2">
      <c r="Y61778" s="97"/>
    </row>
    <row r="61779" spans="25:25" x14ac:dyDescent="0.2">
      <c r="Y61779" s="97"/>
    </row>
    <row r="61780" spans="25:25" x14ac:dyDescent="0.2">
      <c r="Y61780" s="97"/>
    </row>
    <row r="61781" spans="25:25" x14ac:dyDescent="0.2">
      <c r="Y61781" s="97"/>
    </row>
    <row r="61782" spans="25:25" x14ac:dyDescent="0.2">
      <c r="Y61782" s="97"/>
    </row>
    <row r="61783" spans="25:25" x14ac:dyDescent="0.2">
      <c r="Y61783" s="97"/>
    </row>
    <row r="61784" spans="25:25" x14ac:dyDescent="0.2">
      <c r="Y61784" s="97"/>
    </row>
    <row r="61785" spans="25:25" x14ac:dyDescent="0.2">
      <c r="Y61785" s="97"/>
    </row>
    <row r="61786" spans="25:25" x14ac:dyDescent="0.2">
      <c r="Y61786" s="97"/>
    </row>
    <row r="61787" spans="25:25" x14ac:dyDescent="0.2">
      <c r="Y61787" s="97"/>
    </row>
    <row r="61788" spans="25:25" x14ac:dyDescent="0.2">
      <c r="Y61788" s="97"/>
    </row>
    <row r="61789" spans="25:25" x14ac:dyDescent="0.2">
      <c r="Y61789" s="97"/>
    </row>
    <row r="61790" spans="25:25" x14ac:dyDescent="0.2">
      <c r="Y61790" s="97"/>
    </row>
    <row r="61791" spans="25:25" x14ac:dyDescent="0.2">
      <c r="Y61791" s="97"/>
    </row>
    <row r="61792" spans="25:25" x14ac:dyDescent="0.2">
      <c r="Y61792" s="97"/>
    </row>
    <row r="61793" spans="25:25" x14ac:dyDescent="0.2">
      <c r="Y61793" s="97"/>
    </row>
    <row r="61794" spans="25:25" x14ac:dyDescent="0.2">
      <c r="Y61794" s="97"/>
    </row>
    <row r="61795" spans="25:25" x14ac:dyDescent="0.2">
      <c r="Y61795" s="97"/>
    </row>
    <row r="61796" spans="25:25" x14ac:dyDescent="0.2">
      <c r="Y61796" s="97"/>
    </row>
    <row r="61797" spans="25:25" x14ac:dyDescent="0.2">
      <c r="Y61797" s="97"/>
    </row>
    <row r="61798" spans="25:25" x14ac:dyDescent="0.2">
      <c r="Y61798" s="97"/>
    </row>
    <row r="61799" spans="25:25" x14ac:dyDescent="0.2">
      <c r="Y61799" s="97"/>
    </row>
    <row r="61800" spans="25:25" x14ac:dyDescent="0.2">
      <c r="Y61800" s="97"/>
    </row>
    <row r="61801" spans="25:25" x14ac:dyDescent="0.2">
      <c r="Y61801" s="97"/>
    </row>
    <row r="61802" spans="25:25" x14ac:dyDescent="0.2">
      <c r="Y61802" s="97"/>
    </row>
    <row r="61803" spans="25:25" x14ac:dyDescent="0.2">
      <c r="Y61803" s="97"/>
    </row>
    <row r="61804" spans="25:25" x14ac:dyDescent="0.2">
      <c r="Y61804" s="97"/>
    </row>
    <row r="61805" spans="25:25" x14ac:dyDescent="0.2">
      <c r="Y61805" s="97"/>
    </row>
    <row r="61806" spans="25:25" x14ac:dyDescent="0.2">
      <c r="Y61806" s="97"/>
    </row>
    <row r="61807" spans="25:25" x14ac:dyDescent="0.2">
      <c r="Y61807" s="97"/>
    </row>
    <row r="61808" spans="25:25" x14ac:dyDescent="0.2">
      <c r="Y61808" s="97"/>
    </row>
    <row r="61809" spans="25:25" x14ac:dyDescent="0.2">
      <c r="Y61809" s="97"/>
    </row>
    <row r="61810" spans="25:25" x14ac:dyDescent="0.2">
      <c r="Y61810" s="97"/>
    </row>
    <row r="61811" spans="25:25" x14ac:dyDescent="0.2">
      <c r="Y61811" s="97"/>
    </row>
    <row r="61812" spans="25:25" x14ac:dyDescent="0.2">
      <c r="Y61812" s="97"/>
    </row>
    <row r="61813" spans="25:25" x14ac:dyDescent="0.2">
      <c r="Y61813" s="97"/>
    </row>
    <row r="61814" spans="25:25" x14ac:dyDescent="0.2">
      <c r="Y61814" s="97"/>
    </row>
    <row r="61815" spans="25:25" x14ac:dyDescent="0.2">
      <c r="Y61815" s="97"/>
    </row>
    <row r="61816" spans="25:25" x14ac:dyDescent="0.2">
      <c r="Y61816" s="97"/>
    </row>
    <row r="61817" spans="25:25" x14ac:dyDescent="0.2">
      <c r="Y61817" s="97"/>
    </row>
    <row r="61818" spans="25:25" x14ac:dyDescent="0.2">
      <c r="Y61818" s="97"/>
    </row>
    <row r="61819" spans="25:25" x14ac:dyDescent="0.2">
      <c r="Y61819" s="97"/>
    </row>
    <row r="61820" spans="25:25" x14ac:dyDescent="0.2">
      <c r="Y61820" s="97"/>
    </row>
    <row r="61821" spans="25:25" x14ac:dyDescent="0.2">
      <c r="Y61821" s="97"/>
    </row>
    <row r="61822" spans="25:25" x14ac:dyDescent="0.2">
      <c r="Y61822" s="97"/>
    </row>
    <row r="61823" spans="25:25" x14ac:dyDescent="0.2">
      <c r="Y61823" s="97"/>
    </row>
    <row r="61824" spans="25:25" x14ac:dyDescent="0.2">
      <c r="Y61824" s="97"/>
    </row>
    <row r="61825" spans="25:25" x14ac:dyDescent="0.2">
      <c r="Y61825" s="97"/>
    </row>
    <row r="61826" spans="25:25" x14ac:dyDescent="0.2">
      <c r="Y61826" s="97"/>
    </row>
    <row r="61827" spans="25:25" x14ac:dyDescent="0.2">
      <c r="Y61827" s="97"/>
    </row>
    <row r="61828" spans="25:25" x14ac:dyDescent="0.2">
      <c r="Y61828" s="97"/>
    </row>
    <row r="61829" spans="25:25" x14ac:dyDescent="0.2">
      <c r="Y61829" s="97"/>
    </row>
    <row r="61830" spans="25:25" x14ac:dyDescent="0.2">
      <c r="Y61830" s="97"/>
    </row>
    <row r="61831" spans="25:25" x14ac:dyDescent="0.2">
      <c r="Y61831" s="97"/>
    </row>
    <row r="61832" spans="25:25" x14ac:dyDescent="0.2">
      <c r="Y61832" s="97"/>
    </row>
    <row r="61833" spans="25:25" x14ac:dyDescent="0.2">
      <c r="Y61833" s="97"/>
    </row>
    <row r="61834" spans="25:25" x14ac:dyDescent="0.2">
      <c r="Y61834" s="97"/>
    </row>
    <row r="61835" spans="25:25" x14ac:dyDescent="0.2">
      <c r="Y61835" s="97"/>
    </row>
    <row r="61836" spans="25:25" x14ac:dyDescent="0.2">
      <c r="Y61836" s="97"/>
    </row>
    <row r="61837" spans="25:25" x14ac:dyDescent="0.2">
      <c r="Y61837" s="97"/>
    </row>
    <row r="61838" spans="25:25" x14ac:dyDescent="0.2">
      <c r="Y61838" s="97"/>
    </row>
    <row r="61839" spans="25:25" x14ac:dyDescent="0.2">
      <c r="Y61839" s="97"/>
    </row>
    <row r="61840" spans="25:25" x14ac:dyDescent="0.2">
      <c r="Y61840" s="97"/>
    </row>
    <row r="61841" spans="25:25" x14ac:dyDescent="0.2">
      <c r="Y61841" s="97"/>
    </row>
    <row r="61842" spans="25:25" x14ac:dyDescent="0.2">
      <c r="Y61842" s="97"/>
    </row>
    <row r="61843" spans="25:25" x14ac:dyDescent="0.2">
      <c r="Y61843" s="97"/>
    </row>
    <row r="61844" spans="25:25" x14ac:dyDescent="0.2">
      <c r="Y61844" s="97"/>
    </row>
    <row r="61845" spans="25:25" x14ac:dyDescent="0.2">
      <c r="Y61845" s="97"/>
    </row>
    <row r="61846" spans="25:25" x14ac:dyDescent="0.2">
      <c r="Y61846" s="97"/>
    </row>
    <row r="61847" spans="25:25" x14ac:dyDescent="0.2">
      <c r="Y61847" s="97"/>
    </row>
    <row r="61848" spans="25:25" x14ac:dyDescent="0.2">
      <c r="Y61848" s="97"/>
    </row>
    <row r="61849" spans="25:25" x14ac:dyDescent="0.2">
      <c r="Y61849" s="97"/>
    </row>
    <row r="61850" spans="25:25" x14ac:dyDescent="0.2">
      <c r="Y61850" s="97"/>
    </row>
    <row r="61851" spans="25:25" x14ac:dyDescent="0.2">
      <c r="Y61851" s="97"/>
    </row>
    <row r="61852" spans="25:25" x14ac:dyDescent="0.2">
      <c r="Y61852" s="97"/>
    </row>
    <row r="61853" spans="25:25" x14ac:dyDescent="0.2">
      <c r="Y61853" s="97"/>
    </row>
    <row r="61854" spans="25:25" x14ac:dyDescent="0.2">
      <c r="Y61854" s="97"/>
    </row>
    <row r="61855" spans="25:25" x14ac:dyDescent="0.2">
      <c r="Y61855" s="97"/>
    </row>
    <row r="61856" spans="25:25" x14ac:dyDescent="0.2">
      <c r="Y61856" s="97"/>
    </row>
    <row r="61857" spans="25:25" x14ac:dyDescent="0.2">
      <c r="Y61857" s="97"/>
    </row>
    <row r="61858" spans="25:25" x14ac:dyDescent="0.2">
      <c r="Y61858" s="97"/>
    </row>
    <row r="61859" spans="25:25" x14ac:dyDescent="0.2">
      <c r="Y61859" s="97"/>
    </row>
    <row r="61860" spans="25:25" x14ac:dyDescent="0.2">
      <c r="Y61860" s="97"/>
    </row>
    <row r="61861" spans="25:25" x14ac:dyDescent="0.2">
      <c r="Y61861" s="97"/>
    </row>
    <row r="61862" spans="25:25" x14ac:dyDescent="0.2">
      <c r="Y61862" s="97"/>
    </row>
    <row r="61863" spans="25:25" x14ac:dyDescent="0.2">
      <c r="Y61863" s="97"/>
    </row>
    <row r="61864" spans="25:25" x14ac:dyDescent="0.2">
      <c r="Y61864" s="97"/>
    </row>
    <row r="61865" spans="25:25" x14ac:dyDescent="0.2">
      <c r="Y61865" s="97"/>
    </row>
    <row r="61866" spans="25:25" x14ac:dyDescent="0.2">
      <c r="Y61866" s="97"/>
    </row>
    <row r="61867" spans="25:25" x14ac:dyDescent="0.2">
      <c r="Y61867" s="97"/>
    </row>
    <row r="61868" spans="25:25" x14ac:dyDescent="0.2">
      <c r="Y61868" s="97"/>
    </row>
    <row r="61869" spans="25:25" x14ac:dyDescent="0.2">
      <c r="Y61869" s="97"/>
    </row>
    <row r="61870" spans="25:25" x14ac:dyDescent="0.2">
      <c r="Y61870" s="97"/>
    </row>
    <row r="61871" spans="25:25" x14ac:dyDescent="0.2">
      <c r="Y61871" s="97"/>
    </row>
    <row r="61872" spans="25:25" x14ac:dyDescent="0.2">
      <c r="Y61872" s="97"/>
    </row>
    <row r="61873" spans="25:25" x14ac:dyDescent="0.2">
      <c r="Y61873" s="97"/>
    </row>
    <row r="61874" spans="25:25" x14ac:dyDescent="0.2">
      <c r="Y61874" s="97"/>
    </row>
    <row r="61875" spans="25:25" x14ac:dyDescent="0.2">
      <c r="Y61875" s="97"/>
    </row>
    <row r="61876" spans="25:25" x14ac:dyDescent="0.2">
      <c r="Y61876" s="97"/>
    </row>
    <row r="61877" spans="25:25" x14ac:dyDescent="0.2">
      <c r="Y61877" s="97"/>
    </row>
    <row r="61878" spans="25:25" x14ac:dyDescent="0.2">
      <c r="Y61878" s="97"/>
    </row>
    <row r="61879" spans="25:25" x14ac:dyDescent="0.2">
      <c r="Y61879" s="97"/>
    </row>
    <row r="61880" spans="25:25" x14ac:dyDescent="0.2">
      <c r="Y61880" s="97"/>
    </row>
    <row r="61881" spans="25:25" x14ac:dyDescent="0.2">
      <c r="Y61881" s="97"/>
    </row>
    <row r="61882" spans="25:25" x14ac:dyDescent="0.2">
      <c r="Y61882" s="97"/>
    </row>
    <row r="61883" spans="25:25" x14ac:dyDescent="0.2">
      <c r="Y61883" s="97"/>
    </row>
    <row r="61884" spans="25:25" x14ac:dyDescent="0.2">
      <c r="Y61884" s="97"/>
    </row>
    <row r="61885" spans="25:25" x14ac:dyDescent="0.2">
      <c r="Y61885" s="97"/>
    </row>
    <row r="61886" spans="25:25" x14ac:dyDescent="0.2">
      <c r="Y61886" s="97"/>
    </row>
    <row r="61887" spans="25:25" x14ac:dyDescent="0.2">
      <c r="Y61887" s="97"/>
    </row>
    <row r="61888" spans="25:25" x14ac:dyDescent="0.2">
      <c r="Y61888" s="97"/>
    </row>
    <row r="61889" spans="25:25" x14ac:dyDescent="0.2">
      <c r="Y61889" s="97"/>
    </row>
    <row r="61890" spans="25:25" x14ac:dyDescent="0.2">
      <c r="Y61890" s="97"/>
    </row>
    <row r="61891" spans="25:25" x14ac:dyDescent="0.2">
      <c r="Y61891" s="97"/>
    </row>
    <row r="61892" spans="25:25" x14ac:dyDescent="0.2">
      <c r="Y61892" s="97"/>
    </row>
    <row r="61893" spans="25:25" x14ac:dyDescent="0.2">
      <c r="Y61893" s="97"/>
    </row>
    <row r="61894" spans="25:25" x14ac:dyDescent="0.2">
      <c r="Y61894" s="97"/>
    </row>
    <row r="61895" spans="25:25" x14ac:dyDescent="0.2">
      <c r="Y61895" s="97"/>
    </row>
    <row r="61896" spans="25:25" x14ac:dyDescent="0.2">
      <c r="Y61896" s="97"/>
    </row>
    <row r="61897" spans="25:25" x14ac:dyDescent="0.2">
      <c r="Y61897" s="97"/>
    </row>
    <row r="61898" spans="25:25" x14ac:dyDescent="0.2">
      <c r="Y61898" s="97"/>
    </row>
    <row r="61899" spans="25:25" x14ac:dyDescent="0.2">
      <c r="Y61899" s="97"/>
    </row>
    <row r="61900" spans="25:25" x14ac:dyDescent="0.2">
      <c r="Y61900" s="97"/>
    </row>
    <row r="61901" spans="25:25" x14ac:dyDescent="0.2">
      <c r="Y61901" s="97"/>
    </row>
    <row r="61902" spans="25:25" x14ac:dyDescent="0.2">
      <c r="Y61902" s="97"/>
    </row>
    <row r="61903" spans="25:25" x14ac:dyDescent="0.2">
      <c r="Y61903" s="97"/>
    </row>
    <row r="61904" spans="25:25" x14ac:dyDescent="0.2">
      <c r="Y61904" s="97"/>
    </row>
    <row r="61905" spans="25:25" x14ac:dyDescent="0.2">
      <c r="Y61905" s="97"/>
    </row>
    <row r="61906" spans="25:25" x14ac:dyDescent="0.2">
      <c r="Y61906" s="97"/>
    </row>
    <row r="61907" spans="25:25" x14ac:dyDescent="0.2">
      <c r="Y61907" s="97"/>
    </row>
    <row r="61908" spans="25:25" x14ac:dyDescent="0.2">
      <c r="Y61908" s="97"/>
    </row>
    <row r="61909" spans="25:25" x14ac:dyDescent="0.2">
      <c r="Y61909" s="97"/>
    </row>
    <row r="61910" spans="25:25" x14ac:dyDescent="0.2">
      <c r="Y61910" s="97"/>
    </row>
    <row r="61911" spans="25:25" x14ac:dyDescent="0.2">
      <c r="Y61911" s="97"/>
    </row>
    <row r="61912" spans="25:25" x14ac:dyDescent="0.2">
      <c r="Y61912" s="97"/>
    </row>
    <row r="61913" spans="25:25" x14ac:dyDescent="0.2">
      <c r="Y61913" s="97"/>
    </row>
    <row r="61914" spans="25:25" x14ac:dyDescent="0.2">
      <c r="Y61914" s="97"/>
    </row>
    <row r="61915" spans="25:25" x14ac:dyDescent="0.2">
      <c r="Y61915" s="97"/>
    </row>
    <row r="61916" spans="25:25" x14ac:dyDescent="0.2">
      <c r="Y61916" s="97"/>
    </row>
    <row r="61917" spans="25:25" x14ac:dyDescent="0.2">
      <c r="Y61917" s="97"/>
    </row>
    <row r="61918" spans="25:25" x14ac:dyDescent="0.2">
      <c r="Y61918" s="97"/>
    </row>
    <row r="61919" spans="25:25" x14ac:dyDescent="0.2">
      <c r="Y61919" s="97"/>
    </row>
    <row r="61920" spans="25:25" x14ac:dyDescent="0.2">
      <c r="Y61920" s="97"/>
    </row>
    <row r="61921" spans="25:25" x14ac:dyDescent="0.2">
      <c r="Y61921" s="97"/>
    </row>
    <row r="61922" spans="25:25" x14ac:dyDescent="0.2">
      <c r="Y61922" s="97"/>
    </row>
    <row r="61923" spans="25:25" x14ac:dyDescent="0.2">
      <c r="Y61923" s="97"/>
    </row>
    <row r="61924" spans="25:25" x14ac:dyDescent="0.2">
      <c r="Y61924" s="97"/>
    </row>
    <row r="61925" spans="25:25" x14ac:dyDescent="0.2">
      <c r="Y61925" s="97"/>
    </row>
    <row r="61926" spans="25:25" x14ac:dyDescent="0.2">
      <c r="Y61926" s="97"/>
    </row>
    <row r="61927" spans="25:25" x14ac:dyDescent="0.2">
      <c r="Y61927" s="97"/>
    </row>
    <row r="61928" spans="25:25" x14ac:dyDescent="0.2">
      <c r="Y61928" s="97"/>
    </row>
    <row r="61929" spans="25:25" x14ac:dyDescent="0.2">
      <c r="Y61929" s="97"/>
    </row>
    <row r="61930" spans="25:25" x14ac:dyDescent="0.2">
      <c r="Y61930" s="97"/>
    </row>
    <row r="61931" spans="25:25" x14ac:dyDescent="0.2">
      <c r="Y61931" s="97"/>
    </row>
    <row r="61932" spans="25:25" x14ac:dyDescent="0.2">
      <c r="Y61932" s="97"/>
    </row>
    <row r="61933" spans="25:25" x14ac:dyDescent="0.2">
      <c r="Y61933" s="97"/>
    </row>
    <row r="61934" spans="25:25" x14ac:dyDescent="0.2">
      <c r="Y61934" s="97"/>
    </row>
    <row r="61935" spans="25:25" x14ac:dyDescent="0.2">
      <c r="Y61935" s="97"/>
    </row>
    <row r="61936" spans="25:25" x14ac:dyDescent="0.2">
      <c r="Y61936" s="97"/>
    </row>
    <row r="61937" spans="25:25" x14ac:dyDescent="0.2">
      <c r="Y61937" s="97"/>
    </row>
    <row r="61938" spans="25:25" x14ac:dyDescent="0.2">
      <c r="Y61938" s="97"/>
    </row>
    <row r="61939" spans="25:25" x14ac:dyDescent="0.2">
      <c r="Y61939" s="97"/>
    </row>
    <row r="61940" spans="25:25" x14ac:dyDescent="0.2">
      <c r="Y61940" s="97"/>
    </row>
    <row r="61941" spans="25:25" x14ac:dyDescent="0.2">
      <c r="Y61941" s="97"/>
    </row>
    <row r="61942" spans="25:25" x14ac:dyDescent="0.2">
      <c r="Y61942" s="97"/>
    </row>
    <row r="61943" spans="25:25" x14ac:dyDescent="0.2">
      <c r="Y61943" s="97"/>
    </row>
    <row r="61944" spans="25:25" x14ac:dyDescent="0.2">
      <c r="Y61944" s="97"/>
    </row>
    <row r="61945" spans="25:25" x14ac:dyDescent="0.2">
      <c r="Y61945" s="97"/>
    </row>
    <row r="61946" spans="25:25" x14ac:dyDescent="0.2">
      <c r="Y61946" s="97"/>
    </row>
    <row r="61947" spans="25:25" x14ac:dyDescent="0.2">
      <c r="Y61947" s="97"/>
    </row>
    <row r="61948" spans="25:25" x14ac:dyDescent="0.2">
      <c r="Y61948" s="97"/>
    </row>
    <row r="61949" spans="25:25" x14ac:dyDescent="0.2">
      <c r="Y61949" s="97"/>
    </row>
    <row r="61950" spans="25:25" x14ac:dyDescent="0.2">
      <c r="Y61950" s="97"/>
    </row>
    <row r="61951" spans="25:25" x14ac:dyDescent="0.2">
      <c r="Y61951" s="97"/>
    </row>
    <row r="61952" spans="25:25" x14ac:dyDescent="0.2">
      <c r="Y61952" s="97"/>
    </row>
    <row r="61953" spans="25:25" x14ac:dyDescent="0.2">
      <c r="Y61953" s="97"/>
    </row>
    <row r="61954" spans="25:25" x14ac:dyDescent="0.2">
      <c r="Y61954" s="97"/>
    </row>
    <row r="61955" spans="25:25" x14ac:dyDescent="0.2">
      <c r="Y61955" s="97"/>
    </row>
    <row r="61956" spans="25:25" x14ac:dyDescent="0.2">
      <c r="Y61956" s="97"/>
    </row>
    <row r="61957" spans="25:25" x14ac:dyDescent="0.2">
      <c r="Y61957" s="97"/>
    </row>
    <row r="61958" spans="25:25" x14ac:dyDescent="0.2">
      <c r="Y61958" s="97"/>
    </row>
    <row r="61959" spans="25:25" x14ac:dyDescent="0.2">
      <c r="Y61959" s="97"/>
    </row>
    <row r="61960" spans="25:25" x14ac:dyDescent="0.2">
      <c r="Y61960" s="97"/>
    </row>
    <row r="61961" spans="25:25" x14ac:dyDescent="0.2">
      <c r="Y61961" s="97"/>
    </row>
    <row r="61962" spans="25:25" x14ac:dyDescent="0.2">
      <c r="Y61962" s="97"/>
    </row>
    <row r="61963" spans="25:25" x14ac:dyDescent="0.2">
      <c r="Y61963" s="97"/>
    </row>
    <row r="61964" spans="25:25" x14ac:dyDescent="0.2">
      <c r="Y61964" s="97"/>
    </row>
    <row r="61965" spans="25:25" x14ac:dyDescent="0.2">
      <c r="Y61965" s="97"/>
    </row>
    <row r="61966" spans="25:25" x14ac:dyDescent="0.2">
      <c r="Y61966" s="97"/>
    </row>
    <row r="61967" spans="25:25" x14ac:dyDescent="0.2">
      <c r="Y61967" s="97"/>
    </row>
    <row r="61968" spans="25:25" x14ac:dyDescent="0.2">
      <c r="Y61968" s="97"/>
    </row>
    <row r="61969" spans="25:25" x14ac:dyDescent="0.2">
      <c r="Y61969" s="97"/>
    </row>
    <row r="61970" spans="25:25" x14ac:dyDescent="0.2">
      <c r="Y61970" s="97"/>
    </row>
    <row r="61971" spans="25:25" x14ac:dyDescent="0.2">
      <c r="Y61971" s="97"/>
    </row>
    <row r="61972" spans="25:25" x14ac:dyDescent="0.2">
      <c r="Y61972" s="97"/>
    </row>
    <row r="61973" spans="25:25" x14ac:dyDescent="0.2">
      <c r="Y61973" s="97"/>
    </row>
    <row r="61974" spans="25:25" x14ac:dyDescent="0.2">
      <c r="Y61974" s="97"/>
    </row>
    <row r="61975" spans="25:25" x14ac:dyDescent="0.2">
      <c r="Y61975" s="97"/>
    </row>
    <row r="61976" spans="25:25" x14ac:dyDescent="0.2">
      <c r="Y61976" s="97"/>
    </row>
    <row r="61977" spans="25:25" x14ac:dyDescent="0.2">
      <c r="Y61977" s="97"/>
    </row>
    <row r="61978" spans="25:25" x14ac:dyDescent="0.2">
      <c r="Y61978" s="97"/>
    </row>
    <row r="61979" spans="25:25" x14ac:dyDescent="0.2">
      <c r="Y61979" s="97"/>
    </row>
    <row r="61980" spans="25:25" x14ac:dyDescent="0.2">
      <c r="Y61980" s="97"/>
    </row>
    <row r="61981" spans="25:25" x14ac:dyDescent="0.2">
      <c r="Y61981" s="97"/>
    </row>
    <row r="61982" spans="25:25" x14ac:dyDescent="0.2">
      <c r="Y61982" s="97"/>
    </row>
    <row r="61983" spans="25:25" x14ac:dyDescent="0.2">
      <c r="Y61983" s="97"/>
    </row>
    <row r="61984" spans="25:25" x14ac:dyDescent="0.2">
      <c r="Y61984" s="97"/>
    </row>
    <row r="61985" spans="25:25" x14ac:dyDescent="0.2">
      <c r="Y61985" s="97"/>
    </row>
    <row r="61986" spans="25:25" x14ac:dyDescent="0.2">
      <c r="Y61986" s="97"/>
    </row>
    <row r="61987" spans="25:25" x14ac:dyDescent="0.2">
      <c r="Y61987" s="97"/>
    </row>
    <row r="61988" spans="25:25" x14ac:dyDescent="0.2">
      <c r="Y61988" s="97"/>
    </row>
    <row r="61989" spans="25:25" x14ac:dyDescent="0.2">
      <c r="Y61989" s="97"/>
    </row>
    <row r="61990" spans="25:25" x14ac:dyDescent="0.2">
      <c r="Y61990" s="97"/>
    </row>
    <row r="61991" spans="25:25" x14ac:dyDescent="0.2">
      <c r="Y61991" s="97"/>
    </row>
    <row r="61992" spans="25:25" x14ac:dyDescent="0.2">
      <c r="Y61992" s="97"/>
    </row>
    <row r="61993" spans="25:25" x14ac:dyDescent="0.2">
      <c r="Y61993" s="97"/>
    </row>
    <row r="61994" spans="25:25" x14ac:dyDescent="0.2">
      <c r="Y61994" s="97"/>
    </row>
    <row r="61995" spans="25:25" x14ac:dyDescent="0.2">
      <c r="Y61995" s="97"/>
    </row>
    <row r="61996" spans="25:25" x14ac:dyDescent="0.2">
      <c r="Y61996" s="97"/>
    </row>
    <row r="61997" spans="25:25" x14ac:dyDescent="0.2">
      <c r="Y61997" s="97"/>
    </row>
    <row r="61998" spans="25:25" x14ac:dyDescent="0.2">
      <c r="Y61998" s="97"/>
    </row>
    <row r="61999" spans="25:25" x14ac:dyDescent="0.2">
      <c r="Y61999" s="97"/>
    </row>
    <row r="62000" spans="25:25" x14ac:dyDescent="0.2">
      <c r="Y62000" s="97"/>
    </row>
    <row r="62001" spans="25:25" x14ac:dyDescent="0.2">
      <c r="Y62001" s="97"/>
    </row>
    <row r="62002" spans="25:25" x14ac:dyDescent="0.2">
      <c r="Y62002" s="97"/>
    </row>
    <row r="62003" spans="25:25" x14ac:dyDescent="0.2">
      <c r="Y62003" s="97"/>
    </row>
    <row r="62004" spans="25:25" x14ac:dyDescent="0.2">
      <c r="Y62004" s="97"/>
    </row>
    <row r="62005" spans="25:25" x14ac:dyDescent="0.2">
      <c r="Y62005" s="97"/>
    </row>
    <row r="62006" spans="25:25" x14ac:dyDescent="0.2">
      <c r="Y62006" s="97"/>
    </row>
    <row r="62007" spans="25:25" x14ac:dyDescent="0.2">
      <c r="Y62007" s="97"/>
    </row>
    <row r="62008" spans="25:25" x14ac:dyDescent="0.2">
      <c r="Y62008" s="97"/>
    </row>
    <row r="62009" spans="25:25" x14ac:dyDescent="0.2">
      <c r="Y62009" s="97"/>
    </row>
    <row r="62010" spans="25:25" x14ac:dyDescent="0.2">
      <c r="Y62010" s="97"/>
    </row>
    <row r="62011" spans="25:25" x14ac:dyDescent="0.2">
      <c r="Y62011" s="97"/>
    </row>
    <row r="62012" spans="25:25" x14ac:dyDescent="0.2">
      <c r="Y62012" s="97"/>
    </row>
    <row r="62013" spans="25:25" x14ac:dyDescent="0.2">
      <c r="Y62013" s="97"/>
    </row>
    <row r="62014" spans="25:25" x14ac:dyDescent="0.2">
      <c r="Y62014" s="97"/>
    </row>
    <row r="62015" spans="25:25" x14ac:dyDescent="0.2">
      <c r="Y62015" s="97"/>
    </row>
    <row r="62016" spans="25:25" x14ac:dyDescent="0.2">
      <c r="Y62016" s="97"/>
    </row>
    <row r="62017" spans="25:25" x14ac:dyDescent="0.2">
      <c r="Y62017" s="97"/>
    </row>
    <row r="62018" spans="25:25" x14ac:dyDescent="0.2">
      <c r="Y62018" s="97"/>
    </row>
    <row r="62019" spans="25:25" x14ac:dyDescent="0.2">
      <c r="Y62019" s="97"/>
    </row>
    <row r="62020" spans="25:25" x14ac:dyDescent="0.2">
      <c r="Y62020" s="97"/>
    </row>
    <row r="62021" spans="25:25" x14ac:dyDescent="0.2">
      <c r="Y62021" s="97"/>
    </row>
    <row r="62022" spans="25:25" x14ac:dyDescent="0.2">
      <c r="Y62022" s="97"/>
    </row>
    <row r="62023" spans="25:25" x14ac:dyDescent="0.2">
      <c r="Y62023" s="97"/>
    </row>
    <row r="62024" spans="25:25" x14ac:dyDescent="0.2">
      <c r="Y62024" s="97"/>
    </row>
    <row r="62025" spans="25:25" x14ac:dyDescent="0.2">
      <c r="Y62025" s="97"/>
    </row>
    <row r="62026" spans="25:25" x14ac:dyDescent="0.2">
      <c r="Y62026" s="97"/>
    </row>
    <row r="62027" spans="25:25" x14ac:dyDescent="0.2">
      <c r="Y62027" s="97"/>
    </row>
    <row r="62028" spans="25:25" x14ac:dyDescent="0.2">
      <c r="Y62028" s="97"/>
    </row>
    <row r="62029" spans="25:25" x14ac:dyDescent="0.2">
      <c r="Y62029" s="97"/>
    </row>
    <row r="62030" spans="25:25" x14ac:dyDescent="0.2">
      <c r="Y62030" s="97"/>
    </row>
    <row r="62031" spans="25:25" x14ac:dyDescent="0.2">
      <c r="Y62031" s="97"/>
    </row>
    <row r="62032" spans="25:25" x14ac:dyDescent="0.2">
      <c r="Y62032" s="97"/>
    </row>
    <row r="62033" spans="25:25" x14ac:dyDescent="0.2">
      <c r="Y62033" s="97"/>
    </row>
    <row r="62034" spans="25:25" x14ac:dyDescent="0.2">
      <c r="Y62034" s="97"/>
    </row>
    <row r="62035" spans="25:25" x14ac:dyDescent="0.2">
      <c r="Y62035" s="97"/>
    </row>
    <row r="62036" spans="25:25" x14ac:dyDescent="0.2">
      <c r="Y62036" s="97"/>
    </row>
    <row r="62037" spans="25:25" x14ac:dyDescent="0.2">
      <c r="Y62037" s="97"/>
    </row>
    <row r="62038" spans="25:25" x14ac:dyDescent="0.2">
      <c r="Y62038" s="97"/>
    </row>
    <row r="62039" spans="25:25" x14ac:dyDescent="0.2">
      <c r="Y62039" s="97"/>
    </row>
    <row r="62040" spans="25:25" x14ac:dyDescent="0.2">
      <c r="Y62040" s="97"/>
    </row>
    <row r="62041" spans="25:25" x14ac:dyDescent="0.2">
      <c r="Y62041" s="97"/>
    </row>
    <row r="62042" spans="25:25" x14ac:dyDescent="0.2">
      <c r="Y62042" s="97"/>
    </row>
    <row r="62043" spans="25:25" x14ac:dyDescent="0.2">
      <c r="Y62043" s="97"/>
    </row>
    <row r="62044" spans="25:25" x14ac:dyDescent="0.2">
      <c r="Y62044" s="97"/>
    </row>
    <row r="62045" spans="25:25" x14ac:dyDescent="0.2">
      <c r="Y62045" s="97"/>
    </row>
    <row r="62046" spans="25:25" x14ac:dyDescent="0.2">
      <c r="Y62046" s="97"/>
    </row>
    <row r="62047" spans="25:25" x14ac:dyDescent="0.2">
      <c r="Y62047" s="97"/>
    </row>
    <row r="62048" spans="25:25" x14ac:dyDescent="0.2">
      <c r="Y62048" s="97"/>
    </row>
    <row r="62049" spans="25:25" x14ac:dyDescent="0.2">
      <c r="Y62049" s="97"/>
    </row>
    <row r="62050" spans="25:25" x14ac:dyDescent="0.2">
      <c r="Y62050" s="97"/>
    </row>
    <row r="62051" spans="25:25" x14ac:dyDescent="0.2">
      <c r="Y62051" s="97"/>
    </row>
    <row r="62052" spans="25:25" x14ac:dyDescent="0.2">
      <c r="Y62052" s="97"/>
    </row>
    <row r="62053" spans="25:25" x14ac:dyDescent="0.2">
      <c r="Y62053" s="97"/>
    </row>
    <row r="62054" spans="25:25" x14ac:dyDescent="0.2">
      <c r="Y62054" s="97"/>
    </row>
    <row r="62055" spans="25:25" x14ac:dyDescent="0.2">
      <c r="Y62055" s="97"/>
    </row>
    <row r="62056" spans="25:25" x14ac:dyDescent="0.2">
      <c r="Y62056" s="97"/>
    </row>
    <row r="62057" spans="25:25" x14ac:dyDescent="0.2">
      <c r="Y62057" s="97"/>
    </row>
    <row r="62058" spans="25:25" x14ac:dyDescent="0.2">
      <c r="Y62058" s="97"/>
    </row>
    <row r="62059" spans="25:25" x14ac:dyDescent="0.2">
      <c r="Y62059" s="97"/>
    </row>
    <row r="62060" spans="25:25" x14ac:dyDescent="0.2">
      <c r="Y62060" s="97"/>
    </row>
    <row r="62061" spans="25:25" x14ac:dyDescent="0.2">
      <c r="Y62061" s="97"/>
    </row>
    <row r="62062" spans="25:25" x14ac:dyDescent="0.2">
      <c r="Y62062" s="97"/>
    </row>
    <row r="62063" spans="25:25" x14ac:dyDescent="0.2">
      <c r="Y62063" s="97"/>
    </row>
    <row r="62064" spans="25:25" x14ac:dyDescent="0.2">
      <c r="Y62064" s="97"/>
    </row>
    <row r="62065" spans="25:25" x14ac:dyDescent="0.2">
      <c r="Y62065" s="97"/>
    </row>
    <row r="62066" spans="25:25" x14ac:dyDescent="0.2">
      <c r="Y62066" s="97"/>
    </row>
    <row r="62067" spans="25:25" x14ac:dyDescent="0.2">
      <c r="Y62067" s="97"/>
    </row>
    <row r="62068" spans="25:25" x14ac:dyDescent="0.2">
      <c r="Y62068" s="97"/>
    </row>
    <row r="62069" spans="25:25" x14ac:dyDescent="0.2">
      <c r="Y62069" s="97"/>
    </row>
    <row r="62070" spans="25:25" x14ac:dyDescent="0.2">
      <c r="Y62070" s="97"/>
    </row>
    <row r="62071" spans="25:25" x14ac:dyDescent="0.2">
      <c r="Y62071" s="97"/>
    </row>
    <row r="62072" spans="25:25" x14ac:dyDescent="0.2">
      <c r="Y62072" s="97"/>
    </row>
    <row r="62073" spans="25:25" x14ac:dyDescent="0.2">
      <c r="Y62073" s="97"/>
    </row>
    <row r="62074" spans="25:25" x14ac:dyDescent="0.2">
      <c r="Y62074" s="97"/>
    </row>
    <row r="62075" spans="25:25" x14ac:dyDescent="0.2">
      <c r="Y62075" s="97"/>
    </row>
    <row r="62076" spans="25:25" x14ac:dyDescent="0.2">
      <c r="Y62076" s="97"/>
    </row>
    <row r="62077" spans="25:25" x14ac:dyDescent="0.2">
      <c r="Y62077" s="97"/>
    </row>
    <row r="62078" spans="25:25" x14ac:dyDescent="0.2">
      <c r="Y62078" s="97"/>
    </row>
    <row r="62079" spans="25:25" x14ac:dyDescent="0.2">
      <c r="Y62079" s="97"/>
    </row>
    <row r="62080" spans="25:25" x14ac:dyDescent="0.2">
      <c r="Y62080" s="97"/>
    </row>
    <row r="62081" spans="25:25" x14ac:dyDescent="0.2">
      <c r="Y62081" s="97"/>
    </row>
    <row r="62082" spans="25:25" x14ac:dyDescent="0.2">
      <c r="Y62082" s="97"/>
    </row>
    <row r="62083" spans="25:25" x14ac:dyDescent="0.2">
      <c r="Y62083" s="97"/>
    </row>
    <row r="62084" spans="25:25" x14ac:dyDescent="0.2">
      <c r="Y62084" s="97"/>
    </row>
    <row r="62085" spans="25:25" x14ac:dyDescent="0.2">
      <c r="Y62085" s="97"/>
    </row>
    <row r="62086" spans="25:25" x14ac:dyDescent="0.2">
      <c r="Y62086" s="97"/>
    </row>
    <row r="62087" spans="25:25" x14ac:dyDescent="0.2">
      <c r="Y62087" s="97"/>
    </row>
    <row r="62088" spans="25:25" x14ac:dyDescent="0.2">
      <c r="Y62088" s="97"/>
    </row>
    <row r="62089" spans="25:25" x14ac:dyDescent="0.2">
      <c r="Y62089" s="97"/>
    </row>
    <row r="62090" spans="25:25" x14ac:dyDescent="0.2">
      <c r="Y62090" s="97"/>
    </row>
    <row r="62091" spans="25:25" x14ac:dyDescent="0.2">
      <c r="Y62091" s="97"/>
    </row>
    <row r="62092" spans="25:25" x14ac:dyDescent="0.2">
      <c r="Y62092" s="97"/>
    </row>
    <row r="62093" spans="25:25" x14ac:dyDescent="0.2">
      <c r="Y62093" s="97"/>
    </row>
    <row r="62094" spans="25:25" x14ac:dyDescent="0.2">
      <c r="Y62094" s="97"/>
    </row>
    <row r="62095" spans="25:25" x14ac:dyDescent="0.2">
      <c r="Y62095" s="97"/>
    </row>
    <row r="62096" spans="25:25" x14ac:dyDescent="0.2">
      <c r="Y62096" s="97"/>
    </row>
    <row r="62097" spans="25:25" x14ac:dyDescent="0.2">
      <c r="Y62097" s="97"/>
    </row>
    <row r="62098" spans="25:25" x14ac:dyDescent="0.2">
      <c r="Y62098" s="97"/>
    </row>
    <row r="62099" spans="25:25" x14ac:dyDescent="0.2">
      <c r="Y62099" s="97"/>
    </row>
    <row r="62100" spans="25:25" x14ac:dyDescent="0.2">
      <c r="Y62100" s="97"/>
    </row>
    <row r="62101" spans="25:25" x14ac:dyDescent="0.2">
      <c r="Y62101" s="97"/>
    </row>
    <row r="62102" spans="25:25" x14ac:dyDescent="0.2">
      <c r="Y62102" s="97"/>
    </row>
    <row r="62103" spans="25:25" x14ac:dyDescent="0.2">
      <c r="Y62103" s="97"/>
    </row>
    <row r="62104" spans="25:25" x14ac:dyDescent="0.2">
      <c r="Y62104" s="97"/>
    </row>
    <row r="62105" spans="25:25" x14ac:dyDescent="0.2">
      <c r="Y62105" s="97"/>
    </row>
    <row r="62106" spans="25:25" x14ac:dyDescent="0.2">
      <c r="Y62106" s="97"/>
    </row>
    <row r="62107" spans="25:25" x14ac:dyDescent="0.2">
      <c r="Y62107" s="97"/>
    </row>
    <row r="62108" spans="25:25" x14ac:dyDescent="0.2">
      <c r="Y62108" s="97"/>
    </row>
    <row r="62109" spans="25:25" x14ac:dyDescent="0.2">
      <c r="Y62109" s="97"/>
    </row>
    <row r="62110" spans="25:25" x14ac:dyDescent="0.2">
      <c r="Y62110" s="97"/>
    </row>
    <row r="62111" spans="25:25" x14ac:dyDescent="0.2">
      <c r="Y62111" s="97"/>
    </row>
    <row r="62112" spans="25:25" x14ac:dyDescent="0.2">
      <c r="Y62112" s="97"/>
    </row>
    <row r="62113" spans="25:25" x14ac:dyDescent="0.2">
      <c r="Y62113" s="97"/>
    </row>
    <row r="62114" spans="25:25" x14ac:dyDescent="0.2">
      <c r="Y62114" s="97"/>
    </row>
    <row r="62115" spans="25:25" x14ac:dyDescent="0.2">
      <c r="Y62115" s="97"/>
    </row>
    <row r="62116" spans="25:25" x14ac:dyDescent="0.2">
      <c r="Y62116" s="97"/>
    </row>
    <row r="62117" spans="25:25" x14ac:dyDescent="0.2">
      <c r="Y62117" s="97"/>
    </row>
    <row r="62118" spans="25:25" x14ac:dyDescent="0.2">
      <c r="Y62118" s="97"/>
    </row>
    <row r="62119" spans="25:25" x14ac:dyDescent="0.2">
      <c r="Y62119" s="97"/>
    </row>
    <row r="62120" spans="25:25" x14ac:dyDescent="0.2">
      <c r="Y62120" s="97"/>
    </row>
    <row r="62121" spans="25:25" x14ac:dyDescent="0.2">
      <c r="Y62121" s="97"/>
    </row>
    <row r="62122" spans="25:25" x14ac:dyDescent="0.2">
      <c r="Y62122" s="97"/>
    </row>
    <row r="62123" spans="25:25" x14ac:dyDescent="0.2">
      <c r="Y62123" s="97"/>
    </row>
    <row r="62124" spans="25:25" x14ac:dyDescent="0.2">
      <c r="Y62124" s="97"/>
    </row>
    <row r="62125" spans="25:25" x14ac:dyDescent="0.2">
      <c r="Y62125" s="97"/>
    </row>
    <row r="62126" spans="25:25" x14ac:dyDescent="0.2">
      <c r="Y62126" s="97"/>
    </row>
    <row r="62127" spans="25:25" x14ac:dyDescent="0.2">
      <c r="Y62127" s="97"/>
    </row>
    <row r="62128" spans="25:25" x14ac:dyDescent="0.2">
      <c r="Y62128" s="97"/>
    </row>
    <row r="62129" spans="25:25" x14ac:dyDescent="0.2">
      <c r="Y62129" s="97"/>
    </row>
    <row r="62130" spans="25:25" x14ac:dyDescent="0.2">
      <c r="Y62130" s="97"/>
    </row>
    <row r="62131" spans="25:25" x14ac:dyDescent="0.2">
      <c r="Y62131" s="97"/>
    </row>
    <row r="62132" spans="25:25" x14ac:dyDescent="0.2">
      <c r="Y62132" s="97"/>
    </row>
    <row r="62133" spans="25:25" x14ac:dyDescent="0.2">
      <c r="Y62133" s="97"/>
    </row>
    <row r="62134" spans="25:25" x14ac:dyDescent="0.2">
      <c r="Y62134" s="97"/>
    </row>
    <row r="62135" spans="25:25" x14ac:dyDescent="0.2">
      <c r="Y62135" s="97"/>
    </row>
    <row r="62136" spans="25:25" x14ac:dyDescent="0.2">
      <c r="Y62136" s="97"/>
    </row>
    <row r="62137" spans="25:25" x14ac:dyDescent="0.2">
      <c r="Y62137" s="97"/>
    </row>
    <row r="62138" spans="25:25" x14ac:dyDescent="0.2">
      <c r="Y62138" s="97"/>
    </row>
    <row r="62139" spans="25:25" x14ac:dyDescent="0.2">
      <c r="Y62139" s="97"/>
    </row>
    <row r="62140" spans="25:25" x14ac:dyDescent="0.2">
      <c r="Y62140" s="97"/>
    </row>
    <row r="62141" spans="25:25" x14ac:dyDescent="0.2">
      <c r="Y62141" s="97"/>
    </row>
    <row r="62142" spans="25:25" x14ac:dyDescent="0.2">
      <c r="Y62142" s="97"/>
    </row>
    <row r="62143" spans="25:25" x14ac:dyDescent="0.2">
      <c r="Y62143" s="97"/>
    </row>
    <row r="62144" spans="25:25" x14ac:dyDescent="0.2">
      <c r="Y62144" s="97"/>
    </row>
    <row r="62145" spans="25:25" x14ac:dyDescent="0.2">
      <c r="Y62145" s="97"/>
    </row>
    <row r="62146" spans="25:25" x14ac:dyDescent="0.2">
      <c r="Y62146" s="97"/>
    </row>
    <row r="62147" spans="25:25" x14ac:dyDescent="0.2">
      <c r="Y62147" s="97"/>
    </row>
    <row r="62148" spans="25:25" x14ac:dyDescent="0.2">
      <c r="Y62148" s="97"/>
    </row>
    <row r="62149" spans="25:25" x14ac:dyDescent="0.2">
      <c r="Y62149" s="97"/>
    </row>
    <row r="62150" spans="25:25" x14ac:dyDescent="0.2">
      <c r="Y62150" s="97"/>
    </row>
    <row r="62151" spans="25:25" x14ac:dyDescent="0.2">
      <c r="Y62151" s="97"/>
    </row>
    <row r="62152" spans="25:25" x14ac:dyDescent="0.2">
      <c r="Y62152" s="97"/>
    </row>
    <row r="62153" spans="25:25" x14ac:dyDescent="0.2">
      <c r="Y62153" s="97"/>
    </row>
    <row r="62154" spans="25:25" x14ac:dyDescent="0.2">
      <c r="Y62154" s="97"/>
    </row>
    <row r="62155" spans="25:25" x14ac:dyDescent="0.2">
      <c r="Y62155" s="97"/>
    </row>
    <row r="62156" spans="25:25" x14ac:dyDescent="0.2">
      <c r="Y62156" s="97"/>
    </row>
    <row r="62157" spans="25:25" x14ac:dyDescent="0.2">
      <c r="Y62157" s="97"/>
    </row>
    <row r="62158" spans="25:25" x14ac:dyDescent="0.2">
      <c r="Y62158" s="97"/>
    </row>
    <row r="62159" spans="25:25" x14ac:dyDescent="0.2">
      <c r="Y62159" s="97"/>
    </row>
    <row r="62160" spans="25:25" x14ac:dyDescent="0.2">
      <c r="Y62160" s="97"/>
    </row>
    <row r="62161" spans="25:25" x14ac:dyDescent="0.2">
      <c r="Y62161" s="97"/>
    </row>
    <row r="62162" spans="25:25" x14ac:dyDescent="0.2">
      <c r="Y62162" s="97"/>
    </row>
    <row r="62163" spans="25:25" x14ac:dyDescent="0.2">
      <c r="Y62163" s="97"/>
    </row>
    <row r="62164" spans="25:25" x14ac:dyDescent="0.2">
      <c r="Y62164" s="97"/>
    </row>
    <row r="62165" spans="25:25" x14ac:dyDescent="0.2">
      <c r="Y62165" s="97"/>
    </row>
    <row r="62166" spans="25:25" x14ac:dyDescent="0.2">
      <c r="Y62166" s="97"/>
    </row>
    <row r="62167" spans="25:25" x14ac:dyDescent="0.2">
      <c r="Y62167" s="97"/>
    </row>
    <row r="62168" spans="25:25" x14ac:dyDescent="0.2">
      <c r="Y62168" s="97"/>
    </row>
    <row r="62169" spans="25:25" x14ac:dyDescent="0.2">
      <c r="Y62169" s="97"/>
    </row>
    <row r="62170" spans="25:25" x14ac:dyDescent="0.2">
      <c r="Y62170" s="97"/>
    </row>
    <row r="62171" spans="25:25" x14ac:dyDescent="0.2">
      <c r="Y62171" s="97"/>
    </row>
    <row r="62172" spans="25:25" x14ac:dyDescent="0.2">
      <c r="Y62172" s="97"/>
    </row>
    <row r="62173" spans="25:25" x14ac:dyDescent="0.2">
      <c r="Y62173" s="97"/>
    </row>
    <row r="62174" spans="25:25" x14ac:dyDescent="0.2">
      <c r="Y62174" s="97"/>
    </row>
    <row r="62175" spans="25:25" x14ac:dyDescent="0.2">
      <c r="Y62175" s="97"/>
    </row>
    <row r="62176" spans="25:25" x14ac:dyDescent="0.2">
      <c r="Y62176" s="97"/>
    </row>
    <row r="62177" spans="25:25" x14ac:dyDescent="0.2">
      <c r="Y62177" s="97"/>
    </row>
    <row r="62178" spans="25:25" x14ac:dyDescent="0.2">
      <c r="Y62178" s="97"/>
    </row>
    <row r="62179" spans="25:25" x14ac:dyDescent="0.2">
      <c r="Y62179" s="97"/>
    </row>
    <row r="62180" spans="25:25" x14ac:dyDescent="0.2">
      <c r="Y62180" s="97"/>
    </row>
    <row r="62181" spans="25:25" x14ac:dyDescent="0.2">
      <c r="Y62181" s="97"/>
    </row>
    <row r="62182" spans="25:25" x14ac:dyDescent="0.2">
      <c r="Y62182" s="97"/>
    </row>
    <row r="62183" spans="25:25" x14ac:dyDescent="0.2">
      <c r="Y62183" s="97"/>
    </row>
    <row r="62184" spans="25:25" x14ac:dyDescent="0.2">
      <c r="Y62184" s="97"/>
    </row>
    <row r="62185" spans="25:25" x14ac:dyDescent="0.2">
      <c r="Y62185" s="97"/>
    </row>
    <row r="62186" spans="25:25" x14ac:dyDescent="0.2">
      <c r="Y62186" s="97"/>
    </row>
    <row r="62187" spans="25:25" x14ac:dyDescent="0.2">
      <c r="Y62187" s="97"/>
    </row>
    <row r="62188" spans="25:25" x14ac:dyDescent="0.2">
      <c r="Y62188" s="97"/>
    </row>
    <row r="62189" spans="25:25" x14ac:dyDescent="0.2">
      <c r="Y62189" s="97"/>
    </row>
    <row r="62190" spans="25:25" x14ac:dyDescent="0.2">
      <c r="Y62190" s="97"/>
    </row>
    <row r="62191" spans="25:25" x14ac:dyDescent="0.2">
      <c r="Y62191" s="97"/>
    </row>
    <row r="62192" spans="25:25" x14ac:dyDescent="0.2">
      <c r="Y62192" s="97"/>
    </row>
    <row r="62193" spans="25:25" x14ac:dyDescent="0.2">
      <c r="Y62193" s="97"/>
    </row>
    <row r="62194" spans="25:25" x14ac:dyDescent="0.2">
      <c r="Y62194" s="97"/>
    </row>
    <row r="62195" spans="25:25" x14ac:dyDescent="0.2">
      <c r="Y62195" s="97"/>
    </row>
    <row r="62196" spans="25:25" x14ac:dyDescent="0.2">
      <c r="Y62196" s="97"/>
    </row>
    <row r="62197" spans="25:25" x14ac:dyDescent="0.2">
      <c r="Y62197" s="97"/>
    </row>
    <row r="62198" spans="25:25" x14ac:dyDescent="0.2">
      <c r="Y62198" s="97"/>
    </row>
    <row r="62199" spans="25:25" x14ac:dyDescent="0.2">
      <c r="Y62199" s="97"/>
    </row>
    <row r="62200" spans="25:25" x14ac:dyDescent="0.2">
      <c r="Y62200" s="97"/>
    </row>
    <row r="62201" spans="25:25" x14ac:dyDescent="0.2">
      <c r="Y62201" s="97"/>
    </row>
    <row r="62202" spans="25:25" x14ac:dyDescent="0.2">
      <c r="Y62202" s="97"/>
    </row>
    <row r="62203" spans="25:25" x14ac:dyDescent="0.2">
      <c r="Y62203" s="97"/>
    </row>
    <row r="62204" spans="25:25" x14ac:dyDescent="0.2">
      <c r="Y62204" s="97"/>
    </row>
    <row r="62205" spans="25:25" x14ac:dyDescent="0.2">
      <c r="Y62205" s="97"/>
    </row>
    <row r="62206" spans="25:25" x14ac:dyDescent="0.2">
      <c r="Y62206" s="97"/>
    </row>
    <row r="62207" spans="25:25" x14ac:dyDescent="0.2">
      <c r="Y62207" s="97"/>
    </row>
    <row r="62208" spans="25:25" x14ac:dyDescent="0.2">
      <c r="Y62208" s="97"/>
    </row>
    <row r="62209" spans="25:25" x14ac:dyDescent="0.2">
      <c r="Y62209" s="97"/>
    </row>
    <row r="62210" spans="25:25" x14ac:dyDescent="0.2">
      <c r="Y62210" s="97"/>
    </row>
    <row r="62211" spans="25:25" x14ac:dyDescent="0.2">
      <c r="Y62211" s="97"/>
    </row>
    <row r="62212" spans="25:25" x14ac:dyDescent="0.2">
      <c r="Y62212" s="97"/>
    </row>
    <row r="62213" spans="25:25" x14ac:dyDescent="0.2">
      <c r="Y62213" s="97"/>
    </row>
    <row r="62214" spans="25:25" x14ac:dyDescent="0.2">
      <c r="Y62214" s="97"/>
    </row>
    <row r="62215" spans="25:25" x14ac:dyDescent="0.2">
      <c r="Y62215" s="97"/>
    </row>
    <row r="62216" spans="25:25" x14ac:dyDescent="0.2">
      <c r="Y62216" s="97"/>
    </row>
    <row r="62217" spans="25:25" x14ac:dyDescent="0.2">
      <c r="Y62217" s="97"/>
    </row>
    <row r="62218" spans="25:25" x14ac:dyDescent="0.2">
      <c r="Y62218" s="97"/>
    </row>
    <row r="62219" spans="25:25" x14ac:dyDescent="0.2">
      <c r="Y62219" s="97"/>
    </row>
    <row r="62220" spans="25:25" x14ac:dyDescent="0.2">
      <c r="Y62220" s="97"/>
    </row>
    <row r="62221" spans="25:25" x14ac:dyDescent="0.2">
      <c r="Y62221" s="97"/>
    </row>
    <row r="62222" spans="25:25" x14ac:dyDescent="0.2">
      <c r="Y62222" s="97"/>
    </row>
    <row r="62223" spans="25:25" x14ac:dyDescent="0.2">
      <c r="Y62223" s="97"/>
    </row>
    <row r="62224" spans="25:25" x14ac:dyDescent="0.2">
      <c r="Y62224" s="97"/>
    </row>
    <row r="62225" spans="25:25" x14ac:dyDescent="0.2">
      <c r="Y62225" s="97"/>
    </row>
    <row r="62226" spans="25:25" x14ac:dyDescent="0.2">
      <c r="Y62226" s="97"/>
    </row>
    <row r="62227" spans="25:25" x14ac:dyDescent="0.2">
      <c r="Y62227" s="97"/>
    </row>
    <row r="62228" spans="25:25" x14ac:dyDescent="0.2">
      <c r="Y62228" s="97"/>
    </row>
    <row r="62229" spans="25:25" x14ac:dyDescent="0.2">
      <c r="Y62229" s="97"/>
    </row>
    <row r="62230" spans="25:25" x14ac:dyDescent="0.2">
      <c r="Y62230" s="97"/>
    </row>
    <row r="62231" spans="25:25" x14ac:dyDescent="0.2">
      <c r="Y62231" s="97"/>
    </row>
    <row r="62232" spans="25:25" x14ac:dyDescent="0.2">
      <c r="Y62232" s="97"/>
    </row>
    <row r="62233" spans="25:25" x14ac:dyDescent="0.2">
      <c r="Y62233" s="97"/>
    </row>
    <row r="62234" spans="25:25" x14ac:dyDescent="0.2">
      <c r="Y62234" s="97"/>
    </row>
    <row r="62235" spans="25:25" x14ac:dyDescent="0.2">
      <c r="Y62235" s="97"/>
    </row>
    <row r="62236" spans="25:25" x14ac:dyDescent="0.2">
      <c r="Y62236" s="97"/>
    </row>
    <row r="62237" spans="25:25" x14ac:dyDescent="0.2">
      <c r="Y62237" s="97"/>
    </row>
    <row r="62238" spans="25:25" x14ac:dyDescent="0.2">
      <c r="Y62238" s="97"/>
    </row>
    <row r="62239" spans="25:25" x14ac:dyDescent="0.2">
      <c r="Y62239" s="97"/>
    </row>
    <row r="62240" spans="25:25" x14ac:dyDescent="0.2">
      <c r="Y62240" s="97"/>
    </row>
    <row r="62241" spans="25:25" x14ac:dyDescent="0.2">
      <c r="Y62241" s="97"/>
    </row>
    <row r="62242" spans="25:25" x14ac:dyDescent="0.2">
      <c r="Y62242" s="97"/>
    </row>
    <row r="62243" spans="25:25" x14ac:dyDescent="0.2">
      <c r="Y62243" s="97"/>
    </row>
    <row r="62244" spans="25:25" x14ac:dyDescent="0.2">
      <c r="Y62244" s="97"/>
    </row>
    <row r="62245" spans="25:25" x14ac:dyDescent="0.2">
      <c r="Y62245" s="97"/>
    </row>
    <row r="62246" spans="25:25" x14ac:dyDescent="0.2">
      <c r="Y62246" s="97"/>
    </row>
    <row r="62247" spans="25:25" x14ac:dyDescent="0.2">
      <c r="Y62247" s="97"/>
    </row>
    <row r="62248" spans="25:25" x14ac:dyDescent="0.2">
      <c r="Y62248" s="97"/>
    </row>
    <row r="62249" spans="25:25" x14ac:dyDescent="0.2">
      <c r="Y62249" s="97"/>
    </row>
    <row r="62250" spans="25:25" x14ac:dyDescent="0.2">
      <c r="Y62250" s="97"/>
    </row>
    <row r="62251" spans="25:25" x14ac:dyDescent="0.2">
      <c r="Y62251" s="97"/>
    </row>
    <row r="62252" spans="25:25" x14ac:dyDescent="0.2">
      <c r="Y62252" s="97"/>
    </row>
    <row r="62253" spans="25:25" x14ac:dyDescent="0.2">
      <c r="Y62253" s="97"/>
    </row>
    <row r="62254" spans="25:25" x14ac:dyDescent="0.2">
      <c r="Y62254" s="97"/>
    </row>
    <row r="62255" spans="25:25" x14ac:dyDescent="0.2">
      <c r="Y62255" s="97"/>
    </row>
    <row r="62256" spans="25:25" x14ac:dyDescent="0.2">
      <c r="Y62256" s="97"/>
    </row>
    <row r="62257" spans="25:25" x14ac:dyDescent="0.2">
      <c r="Y62257" s="97"/>
    </row>
    <row r="62258" spans="25:25" x14ac:dyDescent="0.2">
      <c r="Y62258" s="97"/>
    </row>
    <row r="62259" spans="25:25" x14ac:dyDescent="0.2">
      <c r="Y62259" s="97"/>
    </row>
    <row r="62260" spans="25:25" x14ac:dyDescent="0.2">
      <c r="Y62260" s="97"/>
    </row>
    <row r="62261" spans="25:25" x14ac:dyDescent="0.2">
      <c r="Y62261" s="97"/>
    </row>
    <row r="62262" spans="25:25" x14ac:dyDescent="0.2">
      <c r="Y62262" s="97"/>
    </row>
    <row r="62263" spans="25:25" x14ac:dyDescent="0.2">
      <c r="Y62263" s="97"/>
    </row>
    <row r="62264" spans="25:25" x14ac:dyDescent="0.2">
      <c r="Y62264" s="97"/>
    </row>
    <row r="62265" spans="25:25" x14ac:dyDescent="0.2">
      <c r="Y62265" s="97"/>
    </row>
    <row r="62266" spans="25:25" x14ac:dyDescent="0.2">
      <c r="Y62266" s="97"/>
    </row>
    <row r="62267" spans="25:25" x14ac:dyDescent="0.2">
      <c r="Y62267" s="97"/>
    </row>
    <row r="62268" spans="25:25" x14ac:dyDescent="0.2">
      <c r="Y62268" s="97"/>
    </row>
    <row r="62269" spans="25:25" x14ac:dyDescent="0.2">
      <c r="Y62269" s="97"/>
    </row>
    <row r="62270" spans="25:25" x14ac:dyDescent="0.2">
      <c r="Y62270" s="97"/>
    </row>
    <row r="62271" spans="25:25" x14ac:dyDescent="0.2">
      <c r="Y62271" s="97"/>
    </row>
    <row r="62272" spans="25:25" x14ac:dyDescent="0.2">
      <c r="Y62272" s="97"/>
    </row>
    <row r="62273" spans="25:25" x14ac:dyDescent="0.2">
      <c r="Y62273" s="97"/>
    </row>
    <row r="62274" spans="25:25" x14ac:dyDescent="0.2">
      <c r="Y62274" s="97"/>
    </row>
    <row r="62275" spans="25:25" x14ac:dyDescent="0.2">
      <c r="Y62275" s="97"/>
    </row>
    <row r="62276" spans="25:25" x14ac:dyDescent="0.2">
      <c r="Y62276" s="97"/>
    </row>
    <row r="62277" spans="25:25" x14ac:dyDescent="0.2">
      <c r="Y62277" s="97"/>
    </row>
    <row r="62278" spans="25:25" x14ac:dyDescent="0.2">
      <c r="Y62278" s="97"/>
    </row>
    <row r="62279" spans="25:25" x14ac:dyDescent="0.2">
      <c r="Y62279" s="97"/>
    </row>
    <row r="62280" spans="25:25" x14ac:dyDescent="0.2">
      <c r="Y62280" s="97"/>
    </row>
    <row r="62281" spans="25:25" x14ac:dyDescent="0.2">
      <c r="Y62281" s="97"/>
    </row>
    <row r="62282" spans="25:25" x14ac:dyDescent="0.2">
      <c r="Y62282" s="97"/>
    </row>
    <row r="62283" spans="25:25" x14ac:dyDescent="0.2">
      <c r="Y62283" s="97"/>
    </row>
    <row r="62284" spans="25:25" x14ac:dyDescent="0.2">
      <c r="Y62284" s="97"/>
    </row>
    <row r="62285" spans="25:25" x14ac:dyDescent="0.2">
      <c r="Y62285" s="97"/>
    </row>
    <row r="62286" spans="25:25" x14ac:dyDescent="0.2">
      <c r="Y62286" s="97"/>
    </row>
    <row r="62287" spans="25:25" x14ac:dyDescent="0.2">
      <c r="Y62287" s="97"/>
    </row>
    <row r="62288" spans="25:25" x14ac:dyDescent="0.2">
      <c r="Y62288" s="97"/>
    </row>
    <row r="62289" spans="25:25" x14ac:dyDescent="0.2">
      <c r="Y62289" s="97"/>
    </row>
    <row r="62290" spans="25:25" x14ac:dyDescent="0.2">
      <c r="Y62290" s="97"/>
    </row>
    <row r="62291" spans="25:25" x14ac:dyDescent="0.2">
      <c r="Y62291" s="97"/>
    </row>
    <row r="62292" spans="25:25" x14ac:dyDescent="0.2">
      <c r="Y62292" s="97"/>
    </row>
    <row r="62293" spans="25:25" x14ac:dyDescent="0.2">
      <c r="Y62293" s="97"/>
    </row>
    <row r="62294" spans="25:25" x14ac:dyDescent="0.2">
      <c r="Y62294" s="97"/>
    </row>
    <row r="62295" spans="25:25" x14ac:dyDescent="0.2">
      <c r="Y62295" s="97"/>
    </row>
    <row r="62296" spans="25:25" x14ac:dyDescent="0.2">
      <c r="Y62296" s="97"/>
    </row>
    <row r="62297" spans="25:25" x14ac:dyDescent="0.2">
      <c r="Y62297" s="97"/>
    </row>
    <row r="62298" spans="25:25" x14ac:dyDescent="0.2">
      <c r="Y62298" s="97"/>
    </row>
    <row r="62299" spans="25:25" x14ac:dyDescent="0.2">
      <c r="Y62299" s="97"/>
    </row>
    <row r="62300" spans="25:25" x14ac:dyDescent="0.2">
      <c r="Y62300" s="97"/>
    </row>
    <row r="62301" spans="25:25" x14ac:dyDescent="0.2">
      <c r="Y62301" s="97"/>
    </row>
    <row r="62302" spans="25:25" x14ac:dyDescent="0.2">
      <c r="Y62302" s="97"/>
    </row>
    <row r="62303" spans="25:25" x14ac:dyDescent="0.2">
      <c r="Y62303" s="97"/>
    </row>
    <row r="62304" spans="25:25" x14ac:dyDescent="0.2">
      <c r="Y62304" s="97"/>
    </row>
    <row r="62305" spans="25:25" x14ac:dyDescent="0.2">
      <c r="Y62305" s="97"/>
    </row>
    <row r="62306" spans="25:25" x14ac:dyDescent="0.2">
      <c r="Y62306" s="97"/>
    </row>
    <row r="62307" spans="25:25" x14ac:dyDescent="0.2">
      <c r="Y62307" s="97"/>
    </row>
    <row r="62308" spans="25:25" x14ac:dyDescent="0.2">
      <c r="Y62308" s="97"/>
    </row>
    <row r="62309" spans="25:25" x14ac:dyDescent="0.2">
      <c r="Y62309" s="97"/>
    </row>
    <row r="62310" spans="25:25" x14ac:dyDescent="0.2">
      <c r="Y62310" s="97"/>
    </row>
    <row r="62311" spans="25:25" x14ac:dyDescent="0.2">
      <c r="Y62311" s="97"/>
    </row>
    <row r="62312" spans="25:25" x14ac:dyDescent="0.2">
      <c r="Y62312" s="97"/>
    </row>
    <row r="62313" spans="25:25" x14ac:dyDescent="0.2">
      <c r="Y62313" s="97"/>
    </row>
    <row r="62314" spans="25:25" x14ac:dyDescent="0.2">
      <c r="Y62314" s="97"/>
    </row>
    <row r="62315" spans="25:25" x14ac:dyDescent="0.2">
      <c r="Y62315" s="97"/>
    </row>
    <row r="62316" spans="25:25" x14ac:dyDescent="0.2">
      <c r="Y62316" s="97"/>
    </row>
    <row r="62317" spans="25:25" x14ac:dyDescent="0.2">
      <c r="Y62317" s="97"/>
    </row>
    <row r="62318" spans="25:25" x14ac:dyDescent="0.2">
      <c r="Y62318" s="97"/>
    </row>
    <row r="62319" spans="25:25" x14ac:dyDescent="0.2">
      <c r="Y62319" s="97"/>
    </row>
    <row r="62320" spans="25:25" x14ac:dyDescent="0.2">
      <c r="Y62320" s="97"/>
    </row>
    <row r="62321" spans="25:25" x14ac:dyDescent="0.2">
      <c r="Y62321" s="97"/>
    </row>
    <row r="62322" spans="25:25" x14ac:dyDescent="0.2">
      <c r="Y62322" s="97"/>
    </row>
    <row r="62323" spans="25:25" x14ac:dyDescent="0.2">
      <c r="Y62323" s="97"/>
    </row>
    <row r="62324" spans="25:25" x14ac:dyDescent="0.2">
      <c r="Y62324" s="97"/>
    </row>
    <row r="62325" spans="25:25" x14ac:dyDescent="0.2">
      <c r="Y62325" s="97"/>
    </row>
    <row r="62326" spans="25:25" x14ac:dyDescent="0.2">
      <c r="Y62326" s="97"/>
    </row>
    <row r="62327" spans="25:25" x14ac:dyDescent="0.2">
      <c r="Y62327" s="97"/>
    </row>
    <row r="62328" spans="25:25" x14ac:dyDescent="0.2">
      <c r="Y62328" s="97"/>
    </row>
    <row r="62329" spans="25:25" x14ac:dyDescent="0.2">
      <c r="Y62329" s="97"/>
    </row>
    <row r="62330" spans="25:25" x14ac:dyDescent="0.2">
      <c r="Y62330" s="97"/>
    </row>
    <row r="62331" spans="25:25" x14ac:dyDescent="0.2">
      <c r="Y62331" s="97"/>
    </row>
    <row r="62332" spans="25:25" x14ac:dyDescent="0.2">
      <c r="Y62332" s="97"/>
    </row>
    <row r="62333" spans="25:25" x14ac:dyDescent="0.2">
      <c r="Y62333" s="97"/>
    </row>
    <row r="62334" spans="25:25" x14ac:dyDescent="0.2">
      <c r="Y62334" s="97"/>
    </row>
    <row r="62335" spans="25:25" x14ac:dyDescent="0.2">
      <c r="Y62335" s="97"/>
    </row>
    <row r="62336" spans="25:25" x14ac:dyDescent="0.2">
      <c r="Y62336" s="97"/>
    </row>
    <row r="62337" spans="25:25" x14ac:dyDescent="0.2">
      <c r="Y62337" s="97"/>
    </row>
    <row r="62338" spans="25:25" x14ac:dyDescent="0.2">
      <c r="Y62338" s="97"/>
    </row>
    <row r="62339" spans="25:25" x14ac:dyDescent="0.2">
      <c r="Y62339" s="97"/>
    </row>
    <row r="62340" spans="25:25" x14ac:dyDescent="0.2">
      <c r="Y62340" s="97"/>
    </row>
    <row r="62341" spans="25:25" x14ac:dyDescent="0.2">
      <c r="Y62341" s="97"/>
    </row>
    <row r="62342" spans="25:25" x14ac:dyDescent="0.2">
      <c r="Y62342" s="97"/>
    </row>
    <row r="62343" spans="25:25" x14ac:dyDescent="0.2">
      <c r="Y62343" s="97"/>
    </row>
    <row r="62344" spans="25:25" x14ac:dyDescent="0.2">
      <c r="Y62344" s="97"/>
    </row>
    <row r="62345" spans="25:25" x14ac:dyDescent="0.2">
      <c r="Y62345" s="97"/>
    </row>
    <row r="62346" spans="25:25" x14ac:dyDescent="0.2">
      <c r="Y62346" s="97"/>
    </row>
    <row r="62347" spans="25:25" x14ac:dyDescent="0.2">
      <c r="Y62347" s="97"/>
    </row>
    <row r="62348" spans="25:25" x14ac:dyDescent="0.2">
      <c r="Y62348" s="97"/>
    </row>
    <row r="62349" spans="25:25" x14ac:dyDescent="0.2">
      <c r="Y62349" s="97"/>
    </row>
    <row r="62350" spans="25:25" x14ac:dyDescent="0.2">
      <c r="Y62350" s="97"/>
    </row>
    <row r="62351" spans="25:25" x14ac:dyDescent="0.2">
      <c r="Y62351" s="97"/>
    </row>
    <row r="62352" spans="25:25" x14ac:dyDescent="0.2">
      <c r="Y62352" s="97"/>
    </row>
    <row r="62353" spans="25:25" x14ac:dyDescent="0.2">
      <c r="Y62353" s="97"/>
    </row>
    <row r="62354" spans="25:25" x14ac:dyDescent="0.2">
      <c r="Y62354" s="97"/>
    </row>
    <row r="62355" spans="25:25" x14ac:dyDescent="0.2">
      <c r="Y62355" s="97"/>
    </row>
    <row r="62356" spans="25:25" x14ac:dyDescent="0.2">
      <c r="Y62356" s="97"/>
    </row>
    <row r="62357" spans="25:25" x14ac:dyDescent="0.2">
      <c r="Y62357" s="97"/>
    </row>
    <row r="62358" spans="25:25" x14ac:dyDescent="0.2">
      <c r="Y62358" s="97"/>
    </row>
    <row r="62359" spans="25:25" x14ac:dyDescent="0.2">
      <c r="Y62359" s="97"/>
    </row>
    <row r="62360" spans="25:25" x14ac:dyDescent="0.2">
      <c r="Y62360" s="97"/>
    </row>
    <row r="62361" spans="25:25" x14ac:dyDescent="0.2">
      <c r="Y62361" s="97"/>
    </row>
    <row r="62362" spans="25:25" x14ac:dyDescent="0.2">
      <c r="Y62362" s="97"/>
    </row>
    <row r="62363" spans="25:25" x14ac:dyDescent="0.2">
      <c r="Y62363" s="97"/>
    </row>
    <row r="62364" spans="25:25" x14ac:dyDescent="0.2">
      <c r="Y62364" s="97"/>
    </row>
    <row r="62365" spans="25:25" x14ac:dyDescent="0.2">
      <c r="Y62365" s="97"/>
    </row>
    <row r="62366" spans="25:25" x14ac:dyDescent="0.2">
      <c r="Y62366" s="97"/>
    </row>
    <row r="62367" spans="25:25" x14ac:dyDescent="0.2">
      <c r="Y62367" s="97"/>
    </row>
    <row r="62368" spans="25:25" x14ac:dyDescent="0.2">
      <c r="Y62368" s="97"/>
    </row>
    <row r="62369" spans="25:25" x14ac:dyDescent="0.2">
      <c r="Y62369" s="97"/>
    </row>
    <row r="62370" spans="25:25" x14ac:dyDescent="0.2">
      <c r="Y62370" s="97"/>
    </row>
    <row r="62371" spans="25:25" x14ac:dyDescent="0.2">
      <c r="Y62371" s="97"/>
    </row>
    <row r="62372" spans="25:25" x14ac:dyDescent="0.2">
      <c r="Y62372" s="97"/>
    </row>
    <row r="62373" spans="25:25" x14ac:dyDescent="0.2">
      <c r="Y62373" s="97"/>
    </row>
    <row r="62374" spans="25:25" x14ac:dyDescent="0.2">
      <c r="Y62374" s="97"/>
    </row>
    <row r="62375" spans="25:25" x14ac:dyDescent="0.2">
      <c r="Y62375" s="97"/>
    </row>
    <row r="62376" spans="25:25" x14ac:dyDescent="0.2">
      <c r="Y62376" s="97"/>
    </row>
    <row r="62377" spans="25:25" x14ac:dyDescent="0.2">
      <c r="Y62377" s="97"/>
    </row>
    <row r="62378" spans="25:25" x14ac:dyDescent="0.2">
      <c r="Y62378" s="97"/>
    </row>
    <row r="62379" spans="25:25" x14ac:dyDescent="0.2">
      <c r="Y62379" s="97"/>
    </row>
    <row r="62380" spans="25:25" x14ac:dyDescent="0.2">
      <c r="Y62380" s="97"/>
    </row>
    <row r="62381" spans="25:25" x14ac:dyDescent="0.2">
      <c r="Y62381" s="97"/>
    </row>
    <row r="62382" spans="25:25" x14ac:dyDescent="0.2">
      <c r="Y62382" s="97"/>
    </row>
    <row r="62383" spans="25:25" x14ac:dyDescent="0.2">
      <c r="Y62383" s="97"/>
    </row>
    <row r="62384" spans="25:25" x14ac:dyDescent="0.2">
      <c r="Y62384" s="97"/>
    </row>
    <row r="62385" spans="25:25" x14ac:dyDescent="0.2">
      <c r="Y62385" s="97"/>
    </row>
    <row r="62386" spans="25:25" x14ac:dyDescent="0.2">
      <c r="Y62386" s="97"/>
    </row>
    <row r="62387" spans="25:25" x14ac:dyDescent="0.2">
      <c r="Y62387" s="97"/>
    </row>
    <row r="62388" spans="25:25" x14ac:dyDescent="0.2">
      <c r="Y62388" s="97"/>
    </row>
    <row r="62389" spans="25:25" x14ac:dyDescent="0.2">
      <c r="Y62389" s="97"/>
    </row>
    <row r="62390" spans="25:25" x14ac:dyDescent="0.2">
      <c r="Y62390" s="97"/>
    </row>
    <row r="62391" spans="25:25" x14ac:dyDescent="0.2">
      <c r="Y62391" s="97"/>
    </row>
    <row r="62392" spans="25:25" x14ac:dyDescent="0.2">
      <c r="Y62392" s="97"/>
    </row>
    <row r="62393" spans="25:25" x14ac:dyDescent="0.2">
      <c r="Y62393" s="97"/>
    </row>
    <row r="62394" spans="25:25" x14ac:dyDescent="0.2">
      <c r="Y62394" s="97"/>
    </row>
    <row r="62395" spans="25:25" x14ac:dyDescent="0.2">
      <c r="Y62395" s="97"/>
    </row>
    <row r="62396" spans="25:25" x14ac:dyDescent="0.2">
      <c r="Y62396" s="97"/>
    </row>
    <row r="62397" spans="25:25" x14ac:dyDescent="0.2">
      <c r="Y62397" s="97"/>
    </row>
    <row r="62398" spans="25:25" x14ac:dyDescent="0.2">
      <c r="Y62398" s="97"/>
    </row>
    <row r="62399" spans="25:25" x14ac:dyDescent="0.2">
      <c r="Y62399" s="97"/>
    </row>
    <row r="62400" spans="25:25" x14ac:dyDescent="0.2">
      <c r="Y62400" s="97"/>
    </row>
    <row r="62401" spans="25:25" x14ac:dyDescent="0.2">
      <c r="Y62401" s="97"/>
    </row>
    <row r="62402" spans="25:25" x14ac:dyDescent="0.2">
      <c r="Y62402" s="97"/>
    </row>
    <row r="62403" spans="25:25" x14ac:dyDescent="0.2">
      <c r="Y62403" s="97"/>
    </row>
    <row r="62404" spans="25:25" x14ac:dyDescent="0.2">
      <c r="Y62404" s="97"/>
    </row>
    <row r="62405" spans="25:25" x14ac:dyDescent="0.2">
      <c r="Y62405" s="97"/>
    </row>
    <row r="62406" spans="25:25" x14ac:dyDescent="0.2">
      <c r="Y62406" s="97"/>
    </row>
    <row r="62407" spans="25:25" x14ac:dyDescent="0.2">
      <c r="Y62407" s="97"/>
    </row>
    <row r="62408" spans="25:25" x14ac:dyDescent="0.2">
      <c r="Y62408" s="97"/>
    </row>
    <row r="62409" spans="25:25" x14ac:dyDescent="0.2">
      <c r="Y62409" s="97"/>
    </row>
    <row r="62410" spans="25:25" x14ac:dyDescent="0.2">
      <c r="Y62410" s="97"/>
    </row>
    <row r="62411" spans="25:25" x14ac:dyDescent="0.2">
      <c r="Y62411" s="97"/>
    </row>
    <row r="62412" spans="25:25" x14ac:dyDescent="0.2">
      <c r="Y62412" s="97"/>
    </row>
    <row r="62413" spans="25:25" x14ac:dyDescent="0.2">
      <c r="Y62413" s="97"/>
    </row>
    <row r="62414" spans="25:25" x14ac:dyDescent="0.2">
      <c r="Y62414" s="97"/>
    </row>
    <row r="62415" spans="25:25" x14ac:dyDescent="0.2">
      <c r="Y62415" s="97"/>
    </row>
    <row r="62416" spans="25:25" x14ac:dyDescent="0.2">
      <c r="Y62416" s="97"/>
    </row>
    <row r="62417" spans="25:25" x14ac:dyDescent="0.2">
      <c r="Y62417" s="97"/>
    </row>
    <row r="62418" spans="25:25" x14ac:dyDescent="0.2">
      <c r="Y62418" s="97"/>
    </row>
    <row r="62419" spans="25:25" x14ac:dyDescent="0.2">
      <c r="Y62419" s="97"/>
    </row>
    <row r="62420" spans="25:25" x14ac:dyDescent="0.2">
      <c r="Y62420" s="97"/>
    </row>
    <row r="62421" spans="25:25" x14ac:dyDescent="0.2">
      <c r="Y62421" s="97"/>
    </row>
    <row r="62422" spans="25:25" x14ac:dyDescent="0.2">
      <c r="Y62422" s="97"/>
    </row>
    <row r="62423" spans="25:25" x14ac:dyDescent="0.2">
      <c r="Y62423" s="97"/>
    </row>
    <row r="62424" spans="25:25" x14ac:dyDescent="0.2">
      <c r="Y62424" s="97"/>
    </row>
    <row r="62425" spans="25:25" x14ac:dyDescent="0.2">
      <c r="Y62425" s="97"/>
    </row>
    <row r="62426" spans="25:25" x14ac:dyDescent="0.2">
      <c r="Y62426" s="97"/>
    </row>
    <row r="62427" spans="25:25" x14ac:dyDescent="0.2">
      <c r="Y62427" s="97"/>
    </row>
    <row r="62428" spans="25:25" x14ac:dyDescent="0.2">
      <c r="Y62428" s="97"/>
    </row>
    <row r="62429" spans="25:25" x14ac:dyDescent="0.2">
      <c r="Y62429" s="97"/>
    </row>
    <row r="62430" spans="25:25" x14ac:dyDescent="0.2">
      <c r="Y62430" s="97"/>
    </row>
    <row r="62431" spans="25:25" x14ac:dyDescent="0.2">
      <c r="Y62431" s="97"/>
    </row>
    <row r="62432" spans="25:25" x14ac:dyDescent="0.2">
      <c r="Y62432" s="97"/>
    </row>
    <row r="62433" spans="25:25" x14ac:dyDescent="0.2">
      <c r="Y62433" s="97"/>
    </row>
    <row r="62434" spans="25:25" x14ac:dyDescent="0.2">
      <c r="Y62434" s="97"/>
    </row>
    <row r="62435" spans="25:25" x14ac:dyDescent="0.2">
      <c r="Y62435" s="97"/>
    </row>
    <row r="62436" spans="25:25" x14ac:dyDescent="0.2">
      <c r="Y62436" s="97"/>
    </row>
    <row r="62437" spans="25:25" x14ac:dyDescent="0.2">
      <c r="Y62437" s="97"/>
    </row>
    <row r="62438" spans="25:25" x14ac:dyDescent="0.2">
      <c r="Y62438" s="97"/>
    </row>
    <row r="62439" spans="25:25" x14ac:dyDescent="0.2">
      <c r="Y62439" s="97"/>
    </row>
    <row r="62440" spans="25:25" x14ac:dyDescent="0.2">
      <c r="Y62440" s="97"/>
    </row>
    <row r="62441" spans="25:25" x14ac:dyDescent="0.2">
      <c r="Y62441" s="97"/>
    </row>
    <row r="62442" spans="25:25" x14ac:dyDescent="0.2">
      <c r="Y62442" s="97"/>
    </row>
    <row r="62443" spans="25:25" x14ac:dyDescent="0.2">
      <c r="Y62443" s="97"/>
    </row>
    <row r="62444" spans="25:25" x14ac:dyDescent="0.2">
      <c r="Y62444" s="97"/>
    </row>
    <row r="62445" spans="25:25" x14ac:dyDescent="0.2">
      <c r="Y62445" s="97"/>
    </row>
    <row r="62446" spans="25:25" x14ac:dyDescent="0.2">
      <c r="Y62446" s="97"/>
    </row>
    <row r="62447" spans="25:25" x14ac:dyDescent="0.2">
      <c r="Y62447" s="97"/>
    </row>
    <row r="62448" spans="25:25" x14ac:dyDescent="0.2">
      <c r="Y62448" s="97"/>
    </row>
    <row r="62449" spans="25:25" x14ac:dyDescent="0.2">
      <c r="Y62449" s="97"/>
    </row>
    <row r="62450" spans="25:25" x14ac:dyDescent="0.2">
      <c r="Y62450" s="97"/>
    </row>
    <row r="62451" spans="25:25" x14ac:dyDescent="0.2">
      <c r="Y62451" s="97"/>
    </row>
    <row r="62452" spans="25:25" x14ac:dyDescent="0.2">
      <c r="Y62452" s="97"/>
    </row>
    <row r="62453" spans="25:25" x14ac:dyDescent="0.2">
      <c r="Y62453" s="97"/>
    </row>
    <row r="62454" spans="25:25" x14ac:dyDescent="0.2">
      <c r="Y62454" s="97"/>
    </row>
    <row r="62455" spans="25:25" x14ac:dyDescent="0.2">
      <c r="Y62455" s="97"/>
    </row>
    <row r="62456" spans="25:25" x14ac:dyDescent="0.2">
      <c r="Y62456" s="97"/>
    </row>
    <row r="62457" spans="25:25" x14ac:dyDescent="0.2">
      <c r="Y62457" s="97"/>
    </row>
    <row r="62458" spans="25:25" x14ac:dyDescent="0.2">
      <c r="Y62458" s="97"/>
    </row>
    <row r="62459" spans="25:25" x14ac:dyDescent="0.2">
      <c r="Y62459" s="97"/>
    </row>
    <row r="62460" spans="25:25" x14ac:dyDescent="0.2">
      <c r="Y62460" s="97"/>
    </row>
    <row r="62461" spans="25:25" x14ac:dyDescent="0.2">
      <c r="Y62461" s="97"/>
    </row>
    <row r="62462" spans="25:25" x14ac:dyDescent="0.2">
      <c r="Y62462" s="97"/>
    </row>
    <row r="62463" spans="25:25" x14ac:dyDescent="0.2">
      <c r="Y62463" s="97"/>
    </row>
    <row r="62464" spans="25:25" x14ac:dyDescent="0.2">
      <c r="Y62464" s="97"/>
    </row>
    <row r="62465" spans="25:25" x14ac:dyDescent="0.2">
      <c r="Y62465" s="97"/>
    </row>
    <row r="62466" spans="25:25" x14ac:dyDescent="0.2">
      <c r="Y62466" s="97"/>
    </row>
    <row r="62467" spans="25:25" x14ac:dyDescent="0.2">
      <c r="Y62467" s="97"/>
    </row>
    <row r="62468" spans="25:25" x14ac:dyDescent="0.2">
      <c r="Y62468" s="97"/>
    </row>
    <row r="62469" spans="25:25" x14ac:dyDescent="0.2">
      <c r="Y62469" s="97"/>
    </row>
    <row r="62470" spans="25:25" x14ac:dyDescent="0.2">
      <c r="Y62470" s="97"/>
    </row>
    <row r="62471" spans="25:25" x14ac:dyDescent="0.2">
      <c r="Y62471" s="97"/>
    </row>
    <row r="62472" spans="25:25" x14ac:dyDescent="0.2">
      <c r="Y62472" s="97"/>
    </row>
    <row r="62473" spans="25:25" x14ac:dyDescent="0.2">
      <c r="Y62473" s="97"/>
    </row>
    <row r="62474" spans="25:25" x14ac:dyDescent="0.2">
      <c r="Y62474" s="97"/>
    </row>
    <row r="62475" spans="25:25" x14ac:dyDescent="0.2">
      <c r="Y62475" s="97"/>
    </row>
    <row r="62476" spans="25:25" x14ac:dyDescent="0.2">
      <c r="Y62476" s="97"/>
    </row>
    <row r="62477" spans="25:25" x14ac:dyDescent="0.2">
      <c r="Y62477" s="97"/>
    </row>
    <row r="62478" spans="25:25" x14ac:dyDescent="0.2">
      <c r="Y62478" s="97"/>
    </row>
    <row r="62479" spans="25:25" x14ac:dyDescent="0.2">
      <c r="Y62479" s="97"/>
    </row>
    <row r="62480" spans="25:25" x14ac:dyDescent="0.2">
      <c r="Y62480" s="97"/>
    </row>
    <row r="62481" spans="25:25" x14ac:dyDescent="0.2">
      <c r="Y62481" s="97"/>
    </row>
    <row r="62482" spans="25:25" x14ac:dyDescent="0.2">
      <c r="Y62482" s="97"/>
    </row>
    <row r="62483" spans="25:25" x14ac:dyDescent="0.2">
      <c r="Y62483" s="97"/>
    </row>
    <row r="62484" spans="25:25" x14ac:dyDescent="0.2">
      <c r="Y62484" s="97"/>
    </row>
    <row r="62485" spans="25:25" x14ac:dyDescent="0.2">
      <c r="Y62485" s="97"/>
    </row>
    <row r="62486" spans="25:25" x14ac:dyDescent="0.2">
      <c r="Y62486" s="97"/>
    </row>
    <row r="62487" spans="25:25" x14ac:dyDescent="0.2">
      <c r="Y62487" s="97"/>
    </row>
    <row r="62488" spans="25:25" x14ac:dyDescent="0.2">
      <c r="Y62488" s="97"/>
    </row>
    <row r="62489" spans="25:25" x14ac:dyDescent="0.2">
      <c r="Y62489" s="97"/>
    </row>
    <row r="62490" spans="25:25" x14ac:dyDescent="0.2">
      <c r="Y62490" s="97"/>
    </row>
    <row r="62491" spans="25:25" x14ac:dyDescent="0.2">
      <c r="Y62491" s="97"/>
    </row>
    <row r="62492" spans="25:25" x14ac:dyDescent="0.2">
      <c r="Y62492" s="97"/>
    </row>
    <row r="62493" spans="25:25" x14ac:dyDescent="0.2">
      <c r="Y62493" s="97"/>
    </row>
    <row r="62494" spans="25:25" x14ac:dyDescent="0.2">
      <c r="Y62494" s="97"/>
    </row>
    <row r="62495" spans="25:25" x14ac:dyDescent="0.2">
      <c r="Y62495" s="97"/>
    </row>
    <row r="62496" spans="25:25" x14ac:dyDescent="0.2">
      <c r="Y62496" s="97"/>
    </row>
    <row r="62497" spans="25:25" x14ac:dyDescent="0.2">
      <c r="Y62497" s="97"/>
    </row>
    <row r="62498" spans="25:25" x14ac:dyDescent="0.2">
      <c r="Y62498" s="97"/>
    </row>
    <row r="62499" spans="25:25" x14ac:dyDescent="0.2">
      <c r="Y62499" s="97"/>
    </row>
    <row r="62500" spans="25:25" x14ac:dyDescent="0.2">
      <c r="Y62500" s="97"/>
    </row>
    <row r="62501" spans="25:25" x14ac:dyDescent="0.2">
      <c r="Y62501" s="97"/>
    </row>
    <row r="62502" spans="25:25" x14ac:dyDescent="0.2">
      <c r="Y62502" s="97"/>
    </row>
    <row r="62503" spans="25:25" x14ac:dyDescent="0.2">
      <c r="Y62503" s="97"/>
    </row>
    <row r="62504" spans="25:25" x14ac:dyDescent="0.2">
      <c r="Y62504" s="97"/>
    </row>
    <row r="62505" spans="25:25" x14ac:dyDescent="0.2">
      <c r="Y62505" s="97"/>
    </row>
    <row r="62506" spans="25:25" x14ac:dyDescent="0.2">
      <c r="Y62506" s="97"/>
    </row>
    <row r="62507" spans="25:25" x14ac:dyDescent="0.2">
      <c r="Y62507" s="97"/>
    </row>
    <row r="62508" spans="25:25" x14ac:dyDescent="0.2">
      <c r="Y62508" s="97"/>
    </row>
    <row r="62509" spans="25:25" x14ac:dyDescent="0.2">
      <c r="Y62509" s="97"/>
    </row>
    <row r="62510" spans="25:25" x14ac:dyDescent="0.2">
      <c r="Y62510" s="97"/>
    </row>
    <row r="62511" spans="25:25" x14ac:dyDescent="0.2">
      <c r="Y62511" s="97"/>
    </row>
    <row r="62512" spans="25:25" x14ac:dyDescent="0.2">
      <c r="Y62512" s="97"/>
    </row>
    <row r="62513" spans="25:25" x14ac:dyDescent="0.2">
      <c r="Y62513" s="97"/>
    </row>
    <row r="62514" spans="25:25" x14ac:dyDescent="0.2">
      <c r="Y62514" s="97"/>
    </row>
    <row r="62515" spans="25:25" x14ac:dyDescent="0.2">
      <c r="Y62515" s="97"/>
    </row>
    <row r="62516" spans="25:25" x14ac:dyDescent="0.2">
      <c r="Y62516" s="97"/>
    </row>
    <row r="62517" spans="25:25" x14ac:dyDescent="0.2">
      <c r="Y62517" s="97"/>
    </row>
    <row r="62518" spans="25:25" x14ac:dyDescent="0.2">
      <c r="Y62518" s="97"/>
    </row>
    <row r="62519" spans="25:25" x14ac:dyDescent="0.2">
      <c r="Y62519" s="97"/>
    </row>
    <row r="62520" spans="25:25" x14ac:dyDescent="0.2">
      <c r="Y62520" s="97"/>
    </row>
    <row r="62521" spans="25:25" x14ac:dyDescent="0.2">
      <c r="Y62521" s="97"/>
    </row>
    <row r="62522" spans="25:25" x14ac:dyDescent="0.2">
      <c r="Y62522" s="97"/>
    </row>
    <row r="62523" spans="25:25" x14ac:dyDescent="0.2">
      <c r="Y62523" s="97"/>
    </row>
    <row r="62524" spans="25:25" x14ac:dyDescent="0.2">
      <c r="Y62524" s="97"/>
    </row>
    <row r="62525" spans="25:25" x14ac:dyDescent="0.2">
      <c r="Y62525" s="97"/>
    </row>
    <row r="62526" spans="25:25" x14ac:dyDescent="0.2">
      <c r="Y62526" s="97"/>
    </row>
    <row r="62527" spans="25:25" x14ac:dyDescent="0.2">
      <c r="Y62527" s="97"/>
    </row>
    <row r="62528" spans="25:25" x14ac:dyDescent="0.2">
      <c r="Y62528" s="97"/>
    </row>
    <row r="62529" spans="25:25" x14ac:dyDescent="0.2">
      <c r="Y62529" s="97"/>
    </row>
    <row r="62530" spans="25:25" x14ac:dyDescent="0.2">
      <c r="Y62530" s="97"/>
    </row>
    <row r="62531" spans="25:25" x14ac:dyDescent="0.2">
      <c r="Y62531" s="97"/>
    </row>
    <row r="62532" spans="25:25" x14ac:dyDescent="0.2">
      <c r="Y62532" s="97"/>
    </row>
    <row r="62533" spans="25:25" x14ac:dyDescent="0.2">
      <c r="Y62533" s="97"/>
    </row>
    <row r="62534" spans="25:25" x14ac:dyDescent="0.2">
      <c r="Y62534" s="97"/>
    </row>
    <row r="62535" spans="25:25" x14ac:dyDescent="0.2">
      <c r="Y62535" s="97"/>
    </row>
    <row r="62536" spans="25:25" x14ac:dyDescent="0.2">
      <c r="Y62536" s="97"/>
    </row>
    <row r="62537" spans="25:25" x14ac:dyDescent="0.2">
      <c r="Y62537" s="97"/>
    </row>
    <row r="62538" spans="25:25" x14ac:dyDescent="0.2">
      <c r="Y62538" s="97"/>
    </row>
    <row r="62539" spans="25:25" x14ac:dyDescent="0.2">
      <c r="Y62539" s="97"/>
    </row>
    <row r="62540" spans="25:25" x14ac:dyDescent="0.2">
      <c r="Y62540" s="97"/>
    </row>
    <row r="62541" spans="25:25" x14ac:dyDescent="0.2">
      <c r="Y62541" s="97"/>
    </row>
    <row r="62542" spans="25:25" x14ac:dyDescent="0.2">
      <c r="Y62542" s="97"/>
    </row>
    <row r="62543" spans="25:25" x14ac:dyDescent="0.2">
      <c r="Y62543" s="97"/>
    </row>
    <row r="62544" spans="25:25" x14ac:dyDescent="0.2">
      <c r="Y62544" s="97"/>
    </row>
    <row r="62545" spans="25:25" x14ac:dyDescent="0.2">
      <c r="Y62545" s="97"/>
    </row>
    <row r="62546" spans="25:25" x14ac:dyDescent="0.2">
      <c r="Y62546" s="97"/>
    </row>
    <row r="62547" spans="25:25" x14ac:dyDescent="0.2">
      <c r="Y62547" s="97"/>
    </row>
    <row r="62548" spans="25:25" x14ac:dyDescent="0.2">
      <c r="Y62548" s="97"/>
    </row>
    <row r="62549" spans="25:25" x14ac:dyDescent="0.2">
      <c r="Y62549" s="97"/>
    </row>
    <row r="62550" spans="25:25" x14ac:dyDescent="0.2">
      <c r="Y62550" s="97"/>
    </row>
    <row r="62551" spans="25:25" x14ac:dyDescent="0.2">
      <c r="Y62551" s="97"/>
    </row>
    <row r="62552" spans="25:25" x14ac:dyDescent="0.2">
      <c r="Y62552" s="97"/>
    </row>
    <row r="62553" spans="25:25" x14ac:dyDescent="0.2">
      <c r="Y62553" s="97"/>
    </row>
    <row r="62554" spans="25:25" x14ac:dyDescent="0.2">
      <c r="Y62554" s="97"/>
    </row>
    <row r="62555" spans="25:25" x14ac:dyDescent="0.2">
      <c r="Y62555" s="97"/>
    </row>
    <row r="62556" spans="25:25" x14ac:dyDescent="0.2">
      <c r="Y62556" s="97"/>
    </row>
    <row r="62557" spans="25:25" x14ac:dyDescent="0.2">
      <c r="Y62557" s="97"/>
    </row>
    <row r="62558" spans="25:25" x14ac:dyDescent="0.2">
      <c r="Y62558" s="97"/>
    </row>
    <row r="62559" spans="25:25" x14ac:dyDescent="0.2">
      <c r="Y62559" s="97"/>
    </row>
    <row r="62560" spans="25:25" x14ac:dyDescent="0.2">
      <c r="Y62560" s="97"/>
    </row>
    <row r="62561" spans="25:25" x14ac:dyDescent="0.2">
      <c r="Y62561" s="97"/>
    </row>
    <row r="62562" spans="25:25" x14ac:dyDescent="0.2">
      <c r="Y62562" s="97"/>
    </row>
    <row r="62563" spans="25:25" x14ac:dyDescent="0.2">
      <c r="Y62563" s="97"/>
    </row>
    <row r="62564" spans="25:25" x14ac:dyDescent="0.2">
      <c r="Y62564" s="97"/>
    </row>
    <row r="62565" spans="25:25" x14ac:dyDescent="0.2">
      <c r="Y62565" s="97"/>
    </row>
    <row r="62566" spans="25:25" x14ac:dyDescent="0.2">
      <c r="Y62566" s="97"/>
    </row>
    <row r="62567" spans="25:25" x14ac:dyDescent="0.2">
      <c r="Y62567" s="97"/>
    </row>
    <row r="62568" spans="25:25" x14ac:dyDescent="0.2">
      <c r="Y62568" s="97"/>
    </row>
    <row r="62569" spans="25:25" x14ac:dyDescent="0.2">
      <c r="Y62569" s="97"/>
    </row>
    <row r="62570" spans="25:25" x14ac:dyDescent="0.2">
      <c r="Y62570" s="97"/>
    </row>
    <row r="62571" spans="25:25" x14ac:dyDescent="0.2">
      <c r="Y62571" s="97"/>
    </row>
    <row r="62572" spans="25:25" x14ac:dyDescent="0.2">
      <c r="Y62572" s="97"/>
    </row>
    <row r="62573" spans="25:25" x14ac:dyDescent="0.2">
      <c r="Y62573" s="97"/>
    </row>
    <row r="62574" spans="25:25" x14ac:dyDescent="0.2">
      <c r="Y62574" s="97"/>
    </row>
    <row r="62575" spans="25:25" x14ac:dyDescent="0.2">
      <c r="Y62575" s="97"/>
    </row>
    <row r="62576" spans="25:25" x14ac:dyDescent="0.2">
      <c r="Y62576" s="97"/>
    </row>
    <row r="62577" spans="25:25" x14ac:dyDescent="0.2">
      <c r="Y62577" s="97"/>
    </row>
    <row r="62578" spans="25:25" x14ac:dyDescent="0.2">
      <c r="Y62578" s="97"/>
    </row>
    <row r="62579" spans="25:25" x14ac:dyDescent="0.2">
      <c r="Y62579" s="97"/>
    </row>
    <row r="62580" spans="25:25" x14ac:dyDescent="0.2">
      <c r="Y62580" s="97"/>
    </row>
    <row r="62581" spans="25:25" x14ac:dyDescent="0.2">
      <c r="Y62581" s="97"/>
    </row>
    <row r="62582" spans="25:25" x14ac:dyDescent="0.2">
      <c r="Y62582" s="97"/>
    </row>
    <row r="62583" spans="25:25" x14ac:dyDescent="0.2">
      <c r="Y62583" s="97"/>
    </row>
    <row r="62584" spans="25:25" x14ac:dyDescent="0.2">
      <c r="Y62584" s="97"/>
    </row>
    <row r="62585" spans="25:25" x14ac:dyDescent="0.2">
      <c r="Y62585" s="97"/>
    </row>
    <row r="62586" spans="25:25" x14ac:dyDescent="0.2">
      <c r="Y62586" s="97"/>
    </row>
    <row r="62587" spans="25:25" x14ac:dyDescent="0.2">
      <c r="Y62587" s="97"/>
    </row>
    <row r="62588" spans="25:25" x14ac:dyDescent="0.2">
      <c r="Y62588" s="97"/>
    </row>
    <row r="62589" spans="25:25" x14ac:dyDescent="0.2">
      <c r="Y62589" s="97"/>
    </row>
    <row r="62590" spans="25:25" x14ac:dyDescent="0.2">
      <c r="Y62590" s="97"/>
    </row>
    <row r="62591" spans="25:25" x14ac:dyDescent="0.2">
      <c r="Y62591" s="97"/>
    </row>
    <row r="62592" spans="25:25" x14ac:dyDescent="0.2">
      <c r="Y62592" s="97"/>
    </row>
    <row r="62593" spans="25:25" x14ac:dyDescent="0.2">
      <c r="Y62593" s="97"/>
    </row>
    <row r="62594" spans="25:25" x14ac:dyDescent="0.2">
      <c r="Y62594" s="97"/>
    </row>
    <row r="62595" spans="25:25" x14ac:dyDescent="0.2">
      <c r="Y62595" s="97"/>
    </row>
    <row r="62596" spans="25:25" x14ac:dyDescent="0.2">
      <c r="Y62596" s="97"/>
    </row>
    <row r="62597" spans="25:25" x14ac:dyDescent="0.2">
      <c r="Y62597" s="97"/>
    </row>
    <row r="62598" spans="25:25" x14ac:dyDescent="0.2">
      <c r="Y62598" s="97"/>
    </row>
    <row r="62599" spans="25:25" x14ac:dyDescent="0.2">
      <c r="Y62599" s="97"/>
    </row>
    <row r="62600" spans="25:25" x14ac:dyDescent="0.2">
      <c r="Y62600" s="97"/>
    </row>
    <row r="62601" spans="25:25" x14ac:dyDescent="0.2">
      <c r="Y62601" s="97"/>
    </row>
    <row r="62602" spans="25:25" x14ac:dyDescent="0.2">
      <c r="Y62602" s="97"/>
    </row>
    <row r="62603" spans="25:25" x14ac:dyDescent="0.2">
      <c r="Y62603" s="97"/>
    </row>
    <row r="62604" spans="25:25" x14ac:dyDescent="0.2">
      <c r="Y62604" s="97"/>
    </row>
    <row r="62605" spans="25:25" x14ac:dyDescent="0.2">
      <c r="Y62605" s="97"/>
    </row>
    <row r="62606" spans="25:25" x14ac:dyDescent="0.2">
      <c r="Y62606" s="97"/>
    </row>
    <row r="62607" spans="25:25" x14ac:dyDescent="0.2">
      <c r="Y62607" s="97"/>
    </row>
    <row r="62608" spans="25:25" x14ac:dyDescent="0.2">
      <c r="Y62608" s="97"/>
    </row>
    <row r="62609" spans="25:25" x14ac:dyDescent="0.2">
      <c r="Y62609" s="97"/>
    </row>
    <row r="62610" spans="25:25" x14ac:dyDescent="0.2">
      <c r="Y62610" s="97"/>
    </row>
    <row r="62611" spans="25:25" x14ac:dyDescent="0.2">
      <c r="Y62611" s="97"/>
    </row>
    <row r="62612" spans="25:25" x14ac:dyDescent="0.2">
      <c r="Y62612" s="97"/>
    </row>
    <row r="62613" spans="25:25" x14ac:dyDescent="0.2">
      <c r="Y62613" s="97"/>
    </row>
    <row r="62614" spans="25:25" x14ac:dyDescent="0.2">
      <c r="Y62614" s="97"/>
    </row>
    <row r="62615" spans="25:25" x14ac:dyDescent="0.2">
      <c r="Y62615" s="97"/>
    </row>
    <row r="62616" spans="25:25" x14ac:dyDescent="0.2">
      <c r="Y62616" s="97"/>
    </row>
    <row r="62617" spans="25:25" x14ac:dyDescent="0.2">
      <c r="Y62617" s="97"/>
    </row>
    <row r="62618" spans="25:25" x14ac:dyDescent="0.2">
      <c r="Y62618" s="97"/>
    </row>
    <row r="62619" spans="25:25" x14ac:dyDescent="0.2">
      <c r="Y62619" s="97"/>
    </row>
    <row r="62620" spans="25:25" x14ac:dyDescent="0.2">
      <c r="Y62620" s="97"/>
    </row>
    <row r="62621" spans="25:25" x14ac:dyDescent="0.2">
      <c r="Y62621" s="97"/>
    </row>
    <row r="62622" spans="25:25" x14ac:dyDescent="0.2">
      <c r="Y62622" s="97"/>
    </row>
    <row r="62623" spans="25:25" x14ac:dyDescent="0.2">
      <c r="Y62623" s="97"/>
    </row>
    <row r="62624" spans="25:25" x14ac:dyDescent="0.2">
      <c r="Y62624" s="97"/>
    </row>
    <row r="62625" spans="25:25" x14ac:dyDescent="0.2">
      <c r="Y62625" s="97"/>
    </row>
    <row r="62626" spans="25:25" x14ac:dyDescent="0.2">
      <c r="Y62626" s="97"/>
    </row>
    <row r="62627" spans="25:25" x14ac:dyDescent="0.2">
      <c r="Y62627" s="97"/>
    </row>
    <row r="62628" spans="25:25" x14ac:dyDescent="0.2">
      <c r="Y62628" s="97"/>
    </row>
    <row r="62629" spans="25:25" x14ac:dyDescent="0.2">
      <c r="Y62629" s="97"/>
    </row>
    <row r="62630" spans="25:25" x14ac:dyDescent="0.2">
      <c r="Y62630" s="97"/>
    </row>
    <row r="62631" spans="25:25" x14ac:dyDescent="0.2">
      <c r="Y62631" s="97"/>
    </row>
    <row r="62632" spans="25:25" x14ac:dyDescent="0.2">
      <c r="Y62632" s="97"/>
    </row>
    <row r="62633" spans="25:25" x14ac:dyDescent="0.2">
      <c r="Y62633" s="97"/>
    </row>
    <row r="62634" spans="25:25" x14ac:dyDescent="0.2">
      <c r="Y62634" s="97"/>
    </row>
    <row r="62635" spans="25:25" x14ac:dyDescent="0.2">
      <c r="Y62635" s="97"/>
    </row>
    <row r="62636" spans="25:25" x14ac:dyDescent="0.2">
      <c r="Y62636" s="97"/>
    </row>
    <row r="62637" spans="25:25" x14ac:dyDescent="0.2">
      <c r="Y62637" s="97"/>
    </row>
    <row r="62638" spans="25:25" x14ac:dyDescent="0.2">
      <c r="Y62638" s="97"/>
    </row>
    <row r="62639" spans="25:25" x14ac:dyDescent="0.2">
      <c r="Y62639" s="97"/>
    </row>
    <row r="62640" spans="25:25" x14ac:dyDescent="0.2">
      <c r="Y62640" s="97"/>
    </row>
    <row r="62641" spans="25:25" x14ac:dyDescent="0.2">
      <c r="Y62641" s="97"/>
    </row>
    <row r="62642" spans="25:25" x14ac:dyDescent="0.2">
      <c r="Y62642" s="97"/>
    </row>
    <row r="62643" spans="25:25" x14ac:dyDescent="0.2">
      <c r="Y62643" s="97"/>
    </row>
    <row r="62644" spans="25:25" x14ac:dyDescent="0.2">
      <c r="Y62644" s="97"/>
    </row>
    <row r="62645" spans="25:25" x14ac:dyDescent="0.2">
      <c r="Y62645" s="97"/>
    </row>
    <row r="62646" spans="25:25" x14ac:dyDescent="0.2">
      <c r="Y62646" s="97"/>
    </row>
    <row r="62647" spans="25:25" x14ac:dyDescent="0.2">
      <c r="Y62647" s="97"/>
    </row>
    <row r="62648" spans="25:25" x14ac:dyDescent="0.2">
      <c r="Y62648" s="97"/>
    </row>
    <row r="62649" spans="25:25" x14ac:dyDescent="0.2">
      <c r="Y62649" s="97"/>
    </row>
    <row r="62650" spans="25:25" x14ac:dyDescent="0.2">
      <c r="Y62650" s="97"/>
    </row>
    <row r="62651" spans="25:25" x14ac:dyDescent="0.2">
      <c r="Y62651" s="97"/>
    </row>
    <row r="62652" spans="25:25" x14ac:dyDescent="0.2">
      <c r="Y62652" s="97"/>
    </row>
    <row r="62653" spans="25:25" x14ac:dyDescent="0.2">
      <c r="Y62653" s="97"/>
    </row>
    <row r="62654" spans="25:25" x14ac:dyDescent="0.2">
      <c r="Y62654" s="97"/>
    </row>
    <row r="62655" spans="25:25" x14ac:dyDescent="0.2">
      <c r="Y62655" s="97"/>
    </row>
    <row r="62656" spans="25:25" x14ac:dyDescent="0.2">
      <c r="Y62656" s="97"/>
    </row>
    <row r="62657" spans="25:25" x14ac:dyDescent="0.2">
      <c r="Y62657" s="97"/>
    </row>
    <row r="62658" spans="25:25" x14ac:dyDescent="0.2">
      <c r="Y62658" s="97"/>
    </row>
    <row r="62659" spans="25:25" x14ac:dyDescent="0.2">
      <c r="Y62659" s="97"/>
    </row>
    <row r="62660" spans="25:25" x14ac:dyDescent="0.2">
      <c r="Y62660" s="97"/>
    </row>
    <row r="62661" spans="25:25" x14ac:dyDescent="0.2">
      <c r="Y62661" s="97"/>
    </row>
    <row r="62662" spans="25:25" x14ac:dyDescent="0.2">
      <c r="Y62662" s="97"/>
    </row>
    <row r="62663" spans="25:25" x14ac:dyDescent="0.2">
      <c r="Y62663" s="97"/>
    </row>
    <row r="62664" spans="25:25" x14ac:dyDescent="0.2">
      <c r="Y62664" s="97"/>
    </row>
    <row r="62665" spans="25:25" x14ac:dyDescent="0.2">
      <c r="Y62665" s="97"/>
    </row>
    <row r="62666" spans="25:25" x14ac:dyDescent="0.2">
      <c r="Y62666" s="97"/>
    </row>
    <row r="62667" spans="25:25" x14ac:dyDescent="0.2">
      <c r="Y62667" s="97"/>
    </row>
    <row r="62668" spans="25:25" x14ac:dyDescent="0.2">
      <c r="Y62668" s="97"/>
    </row>
    <row r="62669" spans="25:25" x14ac:dyDescent="0.2">
      <c r="Y62669" s="97"/>
    </row>
    <row r="62670" spans="25:25" x14ac:dyDescent="0.2">
      <c r="Y62670" s="97"/>
    </row>
    <row r="62671" spans="25:25" x14ac:dyDescent="0.2">
      <c r="Y62671" s="97"/>
    </row>
    <row r="62672" spans="25:25" x14ac:dyDescent="0.2">
      <c r="Y62672" s="97"/>
    </row>
    <row r="62673" spans="25:25" x14ac:dyDescent="0.2">
      <c r="Y62673" s="97"/>
    </row>
    <row r="62674" spans="25:25" x14ac:dyDescent="0.2">
      <c r="Y62674" s="97"/>
    </row>
    <row r="62675" spans="25:25" x14ac:dyDescent="0.2">
      <c r="Y62675" s="97"/>
    </row>
    <row r="62676" spans="25:25" x14ac:dyDescent="0.2">
      <c r="Y62676" s="97"/>
    </row>
    <row r="62677" spans="25:25" x14ac:dyDescent="0.2">
      <c r="Y62677" s="97"/>
    </row>
    <row r="62678" spans="25:25" x14ac:dyDescent="0.2">
      <c r="Y62678" s="97"/>
    </row>
    <row r="62679" spans="25:25" x14ac:dyDescent="0.2">
      <c r="Y62679" s="97"/>
    </row>
    <row r="62680" spans="25:25" x14ac:dyDescent="0.2">
      <c r="Y62680" s="97"/>
    </row>
    <row r="62681" spans="25:25" x14ac:dyDescent="0.2">
      <c r="Y62681" s="97"/>
    </row>
    <row r="62682" spans="25:25" x14ac:dyDescent="0.2">
      <c r="Y62682" s="97"/>
    </row>
    <row r="62683" spans="25:25" x14ac:dyDescent="0.2">
      <c r="Y62683" s="97"/>
    </row>
    <row r="62684" spans="25:25" x14ac:dyDescent="0.2">
      <c r="Y62684" s="97"/>
    </row>
    <row r="62685" spans="25:25" x14ac:dyDescent="0.2">
      <c r="Y62685" s="97"/>
    </row>
    <row r="62686" spans="25:25" x14ac:dyDescent="0.2">
      <c r="Y62686" s="97"/>
    </row>
    <row r="62687" spans="25:25" x14ac:dyDescent="0.2">
      <c r="Y62687" s="97"/>
    </row>
    <row r="62688" spans="25:25" x14ac:dyDescent="0.2">
      <c r="Y62688" s="97"/>
    </row>
    <row r="62689" spans="25:25" x14ac:dyDescent="0.2">
      <c r="Y62689" s="97"/>
    </row>
    <row r="62690" spans="25:25" x14ac:dyDescent="0.2">
      <c r="Y62690" s="97"/>
    </row>
    <row r="62691" spans="25:25" x14ac:dyDescent="0.2">
      <c r="Y62691" s="97"/>
    </row>
    <row r="62692" spans="25:25" x14ac:dyDescent="0.2">
      <c r="Y62692" s="97"/>
    </row>
    <row r="62693" spans="25:25" x14ac:dyDescent="0.2">
      <c r="Y62693" s="97"/>
    </row>
    <row r="62694" spans="25:25" x14ac:dyDescent="0.2">
      <c r="Y62694" s="97"/>
    </row>
    <row r="62695" spans="25:25" x14ac:dyDescent="0.2">
      <c r="Y62695" s="97"/>
    </row>
    <row r="62696" spans="25:25" x14ac:dyDescent="0.2">
      <c r="Y62696" s="97"/>
    </row>
    <row r="62697" spans="25:25" x14ac:dyDescent="0.2">
      <c r="Y62697" s="97"/>
    </row>
    <row r="62698" spans="25:25" x14ac:dyDescent="0.2">
      <c r="Y62698" s="97"/>
    </row>
    <row r="62699" spans="25:25" x14ac:dyDescent="0.2">
      <c r="Y62699" s="97"/>
    </row>
    <row r="62700" spans="25:25" x14ac:dyDescent="0.2">
      <c r="Y62700" s="97"/>
    </row>
    <row r="62701" spans="25:25" x14ac:dyDescent="0.2">
      <c r="Y62701" s="97"/>
    </row>
    <row r="62702" spans="25:25" x14ac:dyDescent="0.2">
      <c r="Y62702" s="97"/>
    </row>
    <row r="62703" spans="25:25" x14ac:dyDescent="0.2">
      <c r="Y62703" s="97"/>
    </row>
    <row r="62704" spans="25:25" x14ac:dyDescent="0.2">
      <c r="Y62704" s="97"/>
    </row>
    <row r="62705" spans="25:25" x14ac:dyDescent="0.2">
      <c r="Y62705" s="97"/>
    </row>
    <row r="62706" spans="25:25" x14ac:dyDescent="0.2">
      <c r="Y62706" s="97"/>
    </row>
    <row r="62707" spans="25:25" x14ac:dyDescent="0.2">
      <c r="Y62707" s="97"/>
    </row>
    <row r="62708" spans="25:25" x14ac:dyDescent="0.2">
      <c r="Y62708" s="97"/>
    </row>
    <row r="62709" spans="25:25" x14ac:dyDescent="0.2">
      <c r="Y62709" s="97"/>
    </row>
    <row r="62710" spans="25:25" x14ac:dyDescent="0.2">
      <c r="Y62710" s="97"/>
    </row>
    <row r="62711" spans="25:25" x14ac:dyDescent="0.2">
      <c r="Y62711" s="97"/>
    </row>
    <row r="62712" spans="25:25" x14ac:dyDescent="0.2">
      <c r="Y62712" s="97"/>
    </row>
    <row r="62713" spans="25:25" x14ac:dyDescent="0.2">
      <c r="Y62713" s="97"/>
    </row>
    <row r="62714" spans="25:25" x14ac:dyDescent="0.2">
      <c r="Y62714" s="97"/>
    </row>
    <row r="62715" spans="25:25" x14ac:dyDescent="0.2">
      <c r="Y62715" s="97"/>
    </row>
    <row r="62716" spans="25:25" x14ac:dyDescent="0.2">
      <c r="Y62716" s="97"/>
    </row>
    <row r="62717" spans="25:25" x14ac:dyDescent="0.2">
      <c r="Y62717" s="97"/>
    </row>
    <row r="62718" spans="25:25" x14ac:dyDescent="0.2">
      <c r="Y62718" s="97"/>
    </row>
    <row r="62719" spans="25:25" x14ac:dyDescent="0.2">
      <c r="Y62719" s="97"/>
    </row>
    <row r="62720" spans="25:25" x14ac:dyDescent="0.2">
      <c r="Y62720" s="97"/>
    </row>
    <row r="62721" spans="25:25" x14ac:dyDescent="0.2">
      <c r="Y62721" s="97"/>
    </row>
    <row r="62722" spans="25:25" x14ac:dyDescent="0.2">
      <c r="Y62722" s="97"/>
    </row>
    <row r="62723" spans="25:25" x14ac:dyDescent="0.2">
      <c r="Y62723" s="97"/>
    </row>
    <row r="62724" spans="25:25" x14ac:dyDescent="0.2">
      <c r="Y62724" s="97"/>
    </row>
    <row r="62725" spans="25:25" x14ac:dyDescent="0.2">
      <c r="Y62725" s="97"/>
    </row>
    <row r="62726" spans="25:25" x14ac:dyDescent="0.2">
      <c r="Y62726" s="97"/>
    </row>
    <row r="62727" spans="25:25" x14ac:dyDescent="0.2">
      <c r="Y62727" s="97"/>
    </row>
    <row r="62728" spans="25:25" x14ac:dyDescent="0.2">
      <c r="Y62728" s="97"/>
    </row>
    <row r="62729" spans="25:25" x14ac:dyDescent="0.2">
      <c r="Y62729" s="97"/>
    </row>
    <row r="62730" spans="25:25" x14ac:dyDescent="0.2">
      <c r="Y62730" s="97"/>
    </row>
    <row r="62731" spans="25:25" x14ac:dyDescent="0.2">
      <c r="Y62731" s="97"/>
    </row>
    <row r="62732" spans="25:25" x14ac:dyDescent="0.2">
      <c r="Y62732" s="97"/>
    </row>
    <row r="62733" spans="25:25" x14ac:dyDescent="0.2">
      <c r="Y62733" s="97"/>
    </row>
    <row r="62734" spans="25:25" x14ac:dyDescent="0.2">
      <c r="Y62734" s="97"/>
    </row>
    <row r="62735" spans="25:25" x14ac:dyDescent="0.2">
      <c r="Y62735" s="97"/>
    </row>
    <row r="62736" spans="25:25" x14ac:dyDescent="0.2">
      <c r="Y62736" s="97"/>
    </row>
    <row r="62737" spans="25:25" x14ac:dyDescent="0.2">
      <c r="Y62737" s="97"/>
    </row>
    <row r="62738" spans="25:25" x14ac:dyDescent="0.2">
      <c r="Y62738" s="97"/>
    </row>
    <row r="62739" spans="25:25" x14ac:dyDescent="0.2">
      <c r="Y62739" s="97"/>
    </row>
    <row r="62740" spans="25:25" x14ac:dyDescent="0.2">
      <c r="Y62740" s="97"/>
    </row>
    <row r="62741" spans="25:25" x14ac:dyDescent="0.2">
      <c r="Y62741" s="97"/>
    </row>
    <row r="62742" spans="25:25" x14ac:dyDescent="0.2">
      <c r="Y62742" s="97"/>
    </row>
    <row r="62743" spans="25:25" x14ac:dyDescent="0.2">
      <c r="Y62743" s="97"/>
    </row>
    <row r="62744" spans="25:25" x14ac:dyDescent="0.2">
      <c r="Y62744" s="97"/>
    </row>
    <row r="62745" spans="25:25" x14ac:dyDescent="0.2">
      <c r="Y62745" s="97"/>
    </row>
    <row r="62746" spans="25:25" x14ac:dyDescent="0.2">
      <c r="Y62746" s="97"/>
    </row>
    <row r="62747" spans="25:25" x14ac:dyDescent="0.2">
      <c r="Y62747" s="97"/>
    </row>
    <row r="62748" spans="25:25" x14ac:dyDescent="0.2">
      <c r="Y62748" s="97"/>
    </row>
    <row r="62749" spans="25:25" x14ac:dyDescent="0.2">
      <c r="Y62749" s="97"/>
    </row>
    <row r="62750" spans="25:25" x14ac:dyDescent="0.2">
      <c r="Y62750" s="97"/>
    </row>
    <row r="62751" spans="25:25" x14ac:dyDescent="0.2">
      <c r="Y62751" s="97"/>
    </row>
    <row r="62752" spans="25:25" x14ac:dyDescent="0.2">
      <c r="Y62752" s="97"/>
    </row>
    <row r="62753" spans="25:25" x14ac:dyDescent="0.2">
      <c r="Y62753" s="97"/>
    </row>
    <row r="62754" spans="25:25" x14ac:dyDescent="0.2">
      <c r="Y62754" s="97"/>
    </row>
    <row r="62755" spans="25:25" x14ac:dyDescent="0.2">
      <c r="Y62755" s="97"/>
    </row>
    <row r="62756" spans="25:25" x14ac:dyDescent="0.2">
      <c r="Y62756" s="97"/>
    </row>
    <row r="62757" spans="25:25" x14ac:dyDescent="0.2">
      <c r="Y62757" s="97"/>
    </row>
    <row r="62758" spans="25:25" x14ac:dyDescent="0.2">
      <c r="Y62758" s="97"/>
    </row>
    <row r="62759" spans="25:25" x14ac:dyDescent="0.2">
      <c r="Y62759" s="97"/>
    </row>
    <row r="62760" spans="25:25" x14ac:dyDescent="0.2">
      <c r="Y62760" s="97"/>
    </row>
    <row r="62761" spans="25:25" x14ac:dyDescent="0.2">
      <c r="Y62761" s="97"/>
    </row>
    <row r="62762" spans="25:25" x14ac:dyDescent="0.2">
      <c r="Y62762" s="97"/>
    </row>
    <row r="62763" spans="25:25" x14ac:dyDescent="0.2">
      <c r="Y62763" s="97"/>
    </row>
    <row r="62764" spans="25:25" x14ac:dyDescent="0.2">
      <c r="Y62764" s="97"/>
    </row>
    <row r="62765" spans="25:25" x14ac:dyDescent="0.2">
      <c r="Y62765" s="97"/>
    </row>
    <row r="62766" spans="25:25" x14ac:dyDescent="0.2">
      <c r="Y62766" s="97"/>
    </row>
    <row r="62767" spans="25:25" x14ac:dyDescent="0.2">
      <c r="Y62767" s="97"/>
    </row>
    <row r="62768" spans="25:25" x14ac:dyDescent="0.2">
      <c r="Y62768" s="97"/>
    </row>
    <row r="62769" spans="25:25" x14ac:dyDescent="0.2">
      <c r="Y62769" s="97"/>
    </row>
    <row r="62770" spans="25:25" x14ac:dyDescent="0.2">
      <c r="Y62770" s="97"/>
    </row>
    <row r="62771" spans="25:25" x14ac:dyDescent="0.2">
      <c r="Y62771" s="97"/>
    </row>
    <row r="62772" spans="25:25" x14ac:dyDescent="0.2">
      <c r="Y62772" s="97"/>
    </row>
    <row r="62773" spans="25:25" x14ac:dyDescent="0.2">
      <c r="Y62773" s="97"/>
    </row>
    <row r="62774" spans="25:25" x14ac:dyDescent="0.2">
      <c r="Y62774" s="97"/>
    </row>
    <row r="62775" spans="25:25" x14ac:dyDescent="0.2">
      <c r="Y62775" s="97"/>
    </row>
    <row r="62776" spans="25:25" x14ac:dyDescent="0.2">
      <c r="Y62776" s="97"/>
    </row>
    <row r="62777" spans="25:25" x14ac:dyDescent="0.2">
      <c r="Y62777" s="97"/>
    </row>
    <row r="62778" spans="25:25" x14ac:dyDescent="0.2">
      <c r="Y62778" s="97"/>
    </row>
    <row r="62779" spans="25:25" x14ac:dyDescent="0.2">
      <c r="Y62779" s="97"/>
    </row>
    <row r="62780" spans="25:25" x14ac:dyDescent="0.2">
      <c r="Y62780" s="97"/>
    </row>
    <row r="62781" spans="25:25" x14ac:dyDescent="0.2">
      <c r="Y62781" s="97"/>
    </row>
    <row r="62782" spans="25:25" x14ac:dyDescent="0.2">
      <c r="Y62782" s="97"/>
    </row>
    <row r="62783" spans="25:25" x14ac:dyDescent="0.2">
      <c r="Y62783" s="97"/>
    </row>
    <row r="62784" spans="25:25" x14ac:dyDescent="0.2">
      <c r="Y62784" s="97"/>
    </row>
    <row r="62785" spans="25:25" x14ac:dyDescent="0.2">
      <c r="Y62785" s="97"/>
    </row>
    <row r="62786" spans="25:25" x14ac:dyDescent="0.2">
      <c r="Y62786" s="97"/>
    </row>
    <row r="62787" spans="25:25" x14ac:dyDescent="0.2">
      <c r="Y62787" s="97"/>
    </row>
    <row r="62788" spans="25:25" x14ac:dyDescent="0.2">
      <c r="Y62788" s="97"/>
    </row>
    <row r="62789" spans="25:25" x14ac:dyDescent="0.2">
      <c r="Y62789" s="97"/>
    </row>
    <row r="62790" spans="25:25" x14ac:dyDescent="0.2">
      <c r="Y62790" s="97"/>
    </row>
    <row r="62791" spans="25:25" x14ac:dyDescent="0.2">
      <c r="Y62791" s="97"/>
    </row>
    <row r="62792" spans="25:25" x14ac:dyDescent="0.2">
      <c r="Y62792" s="97"/>
    </row>
    <row r="62793" spans="25:25" x14ac:dyDescent="0.2">
      <c r="Y62793" s="97"/>
    </row>
    <row r="62794" spans="25:25" x14ac:dyDescent="0.2">
      <c r="Y62794" s="97"/>
    </row>
    <row r="62795" spans="25:25" x14ac:dyDescent="0.2">
      <c r="Y62795" s="97"/>
    </row>
    <row r="62796" spans="25:25" x14ac:dyDescent="0.2">
      <c r="Y62796" s="97"/>
    </row>
    <row r="62797" spans="25:25" x14ac:dyDescent="0.2">
      <c r="Y62797" s="97"/>
    </row>
    <row r="62798" spans="25:25" x14ac:dyDescent="0.2">
      <c r="Y62798" s="97"/>
    </row>
    <row r="62799" spans="25:25" x14ac:dyDescent="0.2">
      <c r="Y62799" s="97"/>
    </row>
    <row r="62800" spans="25:25" x14ac:dyDescent="0.2">
      <c r="Y62800" s="97"/>
    </row>
    <row r="62801" spans="25:25" x14ac:dyDescent="0.2">
      <c r="Y62801" s="97"/>
    </row>
    <row r="62802" spans="25:25" x14ac:dyDescent="0.2">
      <c r="Y62802" s="97"/>
    </row>
    <row r="62803" spans="25:25" x14ac:dyDescent="0.2">
      <c r="Y62803" s="97"/>
    </row>
    <row r="62804" spans="25:25" x14ac:dyDescent="0.2">
      <c r="Y62804" s="97"/>
    </row>
    <row r="62805" spans="25:25" x14ac:dyDescent="0.2">
      <c r="Y62805" s="97"/>
    </row>
    <row r="62806" spans="25:25" x14ac:dyDescent="0.2">
      <c r="Y62806" s="97"/>
    </row>
    <row r="62807" spans="25:25" x14ac:dyDescent="0.2">
      <c r="Y62807" s="97"/>
    </row>
    <row r="62808" spans="25:25" x14ac:dyDescent="0.2">
      <c r="Y62808" s="97"/>
    </row>
    <row r="62809" spans="25:25" x14ac:dyDescent="0.2">
      <c r="Y62809" s="97"/>
    </row>
    <row r="62810" spans="25:25" x14ac:dyDescent="0.2">
      <c r="Y62810" s="97"/>
    </row>
    <row r="62811" spans="25:25" x14ac:dyDescent="0.2">
      <c r="Y62811" s="97"/>
    </row>
    <row r="62812" spans="25:25" x14ac:dyDescent="0.2">
      <c r="Y62812" s="97"/>
    </row>
    <row r="62813" spans="25:25" x14ac:dyDescent="0.2">
      <c r="Y62813" s="97"/>
    </row>
    <row r="62814" spans="25:25" x14ac:dyDescent="0.2">
      <c r="Y62814" s="97"/>
    </row>
    <row r="62815" spans="25:25" x14ac:dyDescent="0.2">
      <c r="Y62815" s="97"/>
    </row>
    <row r="62816" spans="25:25" x14ac:dyDescent="0.2">
      <c r="Y62816" s="97"/>
    </row>
    <row r="62817" spans="25:25" x14ac:dyDescent="0.2">
      <c r="Y62817" s="97"/>
    </row>
    <row r="62818" spans="25:25" x14ac:dyDescent="0.2">
      <c r="Y62818" s="97"/>
    </row>
    <row r="62819" spans="25:25" x14ac:dyDescent="0.2">
      <c r="Y62819" s="97"/>
    </row>
    <row r="62820" spans="25:25" x14ac:dyDescent="0.2">
      <c r="Y62820" s="97"/>
    </row>
    <row r="62821" spans="25:25" x14ac:dyDescent="0.2">
      <c r="Y62821" s="97"/>
    </row>
    <row r="62822" spans="25:25" x14ac:dyDescent="0.2">
      <c r="Y62822" s="97"/>
    </row>
    <row r="62823" spans="25:25" x14ac:dyDescent="0.2">
      <c r="Y62823" s="97"/>
    </row>
    <row r="62824" spans="25:25" x14ac:dyDescent="0.2">
      <c r="Y62824" s="97"/>
    </row>
    <row r="62825" spans="25:25" x14ac:dyDescent="0.2">
      <c r="Y62825" s="97"/>
    </row>
    <row r="62826" spans="25:25" x14ac:dyDescent="0.2">
      <c r="Y62826" s="97"/>
    </row>
    <row r="62827" spans="25:25" x14ac:dyDescent="0.2">
      <c r="Y62827" s="97"/>
    </row>
    <row r="62828" spans="25:25" x14ac:dyDescent="0.2">
      <c r="Y62828" s="97"/>
    </row>
    <row r="62829" spans="25:25" x14ac:dyDescent="0.2">
      <c r="Y62829" s="97"/>
    </row>
    <row r="62830" spans="25:25" x14ac:dyDescent="0.2">
      <c r="Y62830" s="97"/>
    </row>
    <row r="62831" spans="25:25" x14ac:dyDescent="0.2">
      <c r="Y62831" s="97"/>
    </row>
    <row r="62832" spans="25:25" x14ac:dyDescent="0.2">
      <c r="Y62832" s="97"/>
    </row>
    <row r="62833" spans="25:25" x14ac:dyDescent="0.2">
      <c r="Y62833" s="97"/>
    </row>
    <row r="62834" spans="25:25" x14ac:dyDescent="0.2">
      <c r="Y62834" s="97"/>
    </row>
    <row r="62835" spans="25:25" x14ac:dyDescent="0.2">
      <c r="Y62835" s="97"/>
    </row>
    <row r="62836" spans="25:25" x14ac:dyDescent="0.2">
      <c r="Y62836" s="97"/>
    </row>
    <row r="62837" spans="25:25" x14ac:dyDescent="0.2">
      <c r="Y62837" s="97"/>
    </row>
    <row r="62838" spans="25:25" x14ac:dyDescent="0.2">
      <c r="Y62838" s="97"/>
    </row>
    <row r="62839" spans="25:25" x14ac:dyDescent="0.2">
      <c r="Y62839" s="97"/>
    </row>
    <row r="62840" spans="25:25" x14ac:dyDescent="0.2">
      <c r="Y62840" s="97"/>
    </row>
    <row r="62841" spans="25:25" x14ac:dyDescent="0.2">
      <c r="Y62841" s="97"/>
    </row>
    <row r="62842" spans="25:25" x14ac:dyDescent="0.2">
      <c r="Y62842" s="97"/>
    </row>
    <row r="62843" spans="25:25" x14ac:dyDescent="0.2">
      <c r="Y62843" s="97"/>
    </row>
    <row r="62844" spans="25:25" x14ac:dyDescent="0.2">
      <c r="Y62844" s="97"/>
    </row>
    <row r="62845" spans="25:25" x14ac:dyDescent="0.2">
      <c r="Y62845" s="97"/>
    </row>
    <row r="62846" spans="25:25" x14ac:dyDescent="0.2">
      <c r="Y62846" s="97"/>
    </row>
    <row r="62847" spans="25:25" x14ac:dyDescent="0.2">
      <c r="Y62847" s="97"/>
    </row>
    <row r="62848" spans="25:25" x14ac:dyDescent="0.2">
      <c r="Y62848" s="97"/>
    </row>
    <row r="62849" spans="25:25" x14ac:dyDescent="0.2">
      <c r="Y62849" s="97"/>
    </row>
    <row r="62850" spans="25:25" x14ac:dyDescent="0.2">
      <c r="Y62850" s="97"/>
    </row>
    <row r="62851" spans="25:25" x14ac:dyDescent="0.2">
      <c r="Y62851" s="97"/>
    </row>
    <row r="62852" spans="25:25" x14ac:dyDescent="0.2">
      <c r="Y62852" s="97"/>
    </row>
    <row r="62853" spans="25:25" x14ac:dyDescent="0.2">
      <c r="Y62853" s="97"/>
    </row>
    <row r="62854" spans="25:25" x14ac:dyDescent="0.2">
      <c r="Y62854" s="97"/>
    </row>
    <row r="62855" spans="25:25" x14ac:dyDescent="0.2">
      <c r="Y62855" s="97"/>
    </row>
    <row r="62856" spans="25:25" x14ac:dyDescent="0.2">
      <c r="Y62856" s="97"/>
    </row>
    <row r="62857" spans="25:25" x14ac:dyDescent="0.2">
      <c r="Y62857" s="97"/>
    </row>
    <row r="62858" spans="25:25" x14ac:dyDescent="0.2">
      <c r="Y62858" s="97"/>
    </row>
    <row r="62859" spans="25:25" x14ac:dyDescent="0.2">
      <c r="Y62859" s="97"/>
    </row>
    <row r="62860" spans="25:25" x14ac:dyDescent="0.2">
      <c r="Y62860" s="97"/>
    </row>
    <row r="62861" spans="25:25" x14ac:dyDescent="0.2">
      <c r="Y62861" s="97"/>
    </row>
    <row r="62862" spans="25:25" x14ac:dyDescent="0.2">
      <c r="Y62862" s="97"/>
    </row>
    <row r="62863" spans="25:25" x14ac:dyDescent="0.2">
      <c r="Y62863" s="97"/>
    </row>
    <row r="62864" spans="25:25" x14ac:dyDescent="0.2">
      <c r="Y62864" s="97"/>
    </row>
    <row r="62865" spans="25:25" x14ac:dyDescent="0.2">
      <c r="Y62865" s="97"/>
    </row>
    <row r="62866" spans="25:25" x14ac:dyDescent="0.2">
      <c r="Y62866" s="97"/>
    </row>
    <row r="62867" spans="25:25" x14ac:dyDescent="0.2">
      <c r="Y62867" s="97"/>
    </row>
    <row r="62868" spans="25:25" x14ac:dyDescent="0.2">
      <c r="Y62868" s="97"/>
    </row>
    <row r="62869" spans="25:25" x14ac:dyDescent="0.2">
      <c r="Y62869" s="97"/>
    </row>
    <row r="62870" spans="25:25" x14ac:dyDescent="0.2">
      <c r="Y62870" s="97"/>
    </row>
    <row r="62871" spans="25:25" x14ac:dyDescent="0.2">
      <c r="Y62871" s="97"/>
    </row>
    <row r="62872" spans="25:25" x14ac:dyDescent="0.2">
      <c r="Y62872" s="97"/>
    </row>
    <row r="62873" spans="25:25" x14ac:dyDescent="0.2">
      <c r="Y62873" s="97"/>
    </row>
    <row r="62874" spans="25:25" x14ac:dyDescent="0.2">
      <c r="Y62874" s="97"/>
    </row>
    <row r="62875" spans="25:25" x14ac:dyDescent="0.2">
      <c r="Y62875" s="97"/>
    </row>
    <row r="62876" spans="25:25" x14ac:dyDescent="0.2">
      <c r="Y62876" s="97"/>
    </row>
    <row r="62877" spans="25:25" x14ac:dyDescent="0.2">
      <c r="Y62877" s="97"/>
    </row>
    <row r="62878" spans="25:25" x14ac:dyDescent="0.2">
      <c r="Y62878" s="97"/>
    </row>
    <row r="62879" spans="25:25" x14ac:dyDescent="0.2">
      <c r="Y62879" s="97"/>
    </row>
    <row r="62880" spans="25:25" x14ac:dyDescent="0.2">
      <c r="Y62880" s="97"/>
    </row>
    <row r="62881" spans="25:25" x14ac:dyDescent="0.2">
      <c r="Y62881" s="97"/>
    </row>
    <row r="62882" spans="25:25" x14ac:dyDescent="0.2">
      <c r="Y62882" s="97"/>
    </row>
    <row r="62883" spans="25:25" x14ac:dyDescent="0.2">
      <c r="Y62883" s="97"/>
    </row>
    <row r="62884" spans="25:25" x14ac:dyDescent="0.2">
      <c r="Y62884" s="97"/>
    </row>
    <row r="62885" spans="25:25" x14ac:dyDescent="0.2">
      <c r="Y62885" s="97"/>
    </row>
    <row r="62886" spans="25:25" x14ac:dyDescent="0.2">
      <c r="Y62886" s="97"/>
    </row>
    <row r="62887" spans="25:25" x14ac:dyDescent="0.2">
      <c r="Y62887" s="97"/>
    </row>
    <row r="62888" spans="25:25" x14ac:dyDescent="0.2">
      <c r="Y62888" s="97"/>
    </row>
    <row r="62889" spans="25:25" x14ac:dyDescent="0.2">
      <c r="Y62889" s="97"/>
    </row>
    <row r="62890" spans="25:25" x14ac:dyDescent="0.2">
      <c r="Y62890" s="97"/>
    </row>
    <row r="62891" spans="25:25" x14ac:dyDescent="0.2">
      <c r="Y62891" s="97"/>
    </row>
    <row r="62892" spans="25:25" x14ac:dyDescent="0.2">
      <c r="Y62892" s="97"/>
    </row>
    <row r="62893" spans="25:25" x14ac:dyDescent="0.2">
      <c r="Y62893" s="97"/>
    </row>
    <row r="62894" spans="25:25" x14ac:dyDescent="0.2">
      <c r="Y62894" s="97"/>
    </row>
    <row r="62895" spans="25:25" x14ac:dyDescent="0.2">
      <c r="Y62895" s="97"/>
    </row>
    <row r="62896" spans="25:25" x14ac:dyDescent="0.2">
      <c r="Y62896" s="97"/>
    </row>
    <row r="62897" spans="25:25" x14ac:dyDescent="0.2">
      <c r="Y62897" s="97"/>
    </row>
    <row r="62898" spans="25:25" x14ac:dyDescent="0.2">
      <c r="Y62898" s="97"/>
    </row>
    <row r="62899" spans="25:25" x14ac:dyDescent="0.2">
      <c r="Y62899" s="97"/>
    </row>
    <row r="62900" spans="25:25" x14ac:dyDescent="0.2">
      <c r="Y62900" s="97"/>
    </row>
    <row r="62901" spans="25:25" x14ac:dyDescent="0.2">
      <c r="Y62901" s="97"/>
    </row>
    <row r="62902" spans="25:25" x14ac:dyDescent="0.2">
      <c r="Y62902" s="97"/>
    </row>
    <row r="62903" spans="25:25" x14ac:dyDescent="0.2">
      <c r="Y62903" s="97"/>
    </row>
    <row r="62904" spans="25:25" x14ac:dyDescent="0.2">
      <c r="Y62904" s="97"/>
    </row>
    <row r="62905" spans="25:25" x14ac:dyDescent="0.2">
      <c r="Y62905" s="97"/>
    </row>
    <row r="62906" spans="25:25" x14ac:dyDescent="0.2">
      <c r="Y62906" s="97"/>
    </row>
    <row r="62907" spans="25:25" x14ac:dyDescent="0.2">
      <c r="Y62907" s="97"/>
    </row>
    <row r="62908" spans="25:25" x14ac:dyDescent="0.2">
      <c r="Y62908" s="97"/>
    </row>
    <row r="62909" spans="25:25" x14ac:dyDescent="0.2">
      <c r="Y62909" s="97"/>
    </row>
    <row r="62910" spans="25:25" x14ac:dyDescent="0.2">
      <c r="Y62910" s="97"/>
    </row>
    <row r="62911" spans="25:25" x14ac:dyDescent="0.2">
      <c r="Y62911" s="97"/>
    </row>
    <row r="62912" spans="25:25" x14ac:dyDescent="0.2">
      <c r="Y62912" s="97"/>
    </row>
    <row r="62913" spans="25:25" x14ac:dyDescent="0.2">
      <c r="Y62913" s="97"/>
    </row>
    <row r="62914" spans="25:25" x14ac:dyDescent="0.2">
      <c r="Y62914" s="97"/>
    </row>
    <row r="62915" spans="25:25" x14ac:dyDescent="0.2">
      <c r="Y62915" s="97"/>
    </row>
    <row r="62916" spans="25:25" x14ac:dyDescent="0.2">
      <c r="Y62916" s="97"/>
    </row>
    <row r="62917" spans="25:25" x14ac:dyDescent="0.2">
      <c r="Y62917" s="97"/>
    </row>
    <row r="62918" spans="25:25" x14ac:dyDescent="0.2">
      <c r="Y62918" s="97"/>
    </row>
    <row r="62919" spans="25:25" x14ac:dyDescent="0.2">
      <c r="Y62919" s="97"/>
    </row>
    <row r="62920" spans="25:25" x14ac:dyDescent="0.2">
      <c r="Y62920" s="97"/>
    </row>
    <row r="62921" spans="25:25" x14ac:dyDescent="0.2">
      <c r="Y62921" s="97"/>
    </row>
    <row r="62922" spans="25:25" x14ac:dyDescent="0.2">
      <c r="Y62922" s="97"/>
    </row>
    <row r="62923" spans="25:25" x14ac:dyDescent="0.2">
      <c r="Y62923" s="97"/>
    </row>
    <row r="62924" spans="25:25" x14ac:dyDescent="0.2">
      <c r="Y62924" s="97"/>
    </row>
    <row r="62925" spans="25:25" x14ac:dyDescent="0.2">
      <c r="Y62925" s="97"/>
    </row>
    <row r="62926" spans="25:25" x14ac:dyDescent="0.2">
      <c r="Y62926" s="97"/>
    </row>
    <row r="62927" spans="25:25" x14ac:dyDescent="0.2">
      <c r="Y62927" s="97"/>
    </row>
    <row r="62928" spans="25:25" x14ac:dyDescent="0.2">
      <c r="Y62928" s="97"/>
    </row>
    <row r="62929" spans="25:25" x14ac:dyDescent="0.2">
      <c r="Y62929" s="97"/>
    </row>
    <row r="62930" spans="25:25" x14ac:dyDescent="0.2">
      <c r="Y62930" s="97"/>
    </row>
    <row r="62931" spans="25:25" x14ac:dyDescent="0.2">
      <c r="Y62931" s="97"/>
    </row>
    <row r="62932" spans="25:25" x14ac:dyDescent="0.2">
      <c r="Y62932" s="97"/>
    </row>
    <row r="62933" spans="25:25" x14ac:dyDescent="0.2">
      <c r="Y62933" s="97"/>
    </row>
    <row r="62934" spans="25:25" x14ac:dyDescent="0.2">
      <c r="Y62934" s="97"/>
    </row>
    <row r="62935" spans="25:25" x14ac:dyDescent="0.2">
      <c r="Y62935" s="97"/>
    </row>
    <row r="62936" spans="25:25" x14ac:dyDescent="0.2">
      <c r="Y62936" s="97"/>
    </row>
    <row r="62937" spans="25:25" x14ac:dyDescent="0.2">
      <c r="Y62937" s="97"/>
    </row>
    <row r="62938" spans="25:25" x14ac:dyDescent="0.2">
      <c r="Y62938" s="97"/>
    </row>
    <row r="62939" spans="25:25" x14ac:dyDescent="0.2">
      <c r="Y62939" s="97"/>
    </row>
    <row r="62940" spans="25:25" x14ac:dyDescent="0.2">
      <c r="Y62940" s="97"/>
    </row>
    <row r="62941" spans="25:25" x14ac:dyDescent="0.2">
      <c r="Y62941" s="97"/>
    </row>
    <row r="62942" spans="25:25" x14ac:dyDescent="0.2">
      <c r="Y62942" s="97"/>
    </row>
    <row r="62943" spans="25:25" x14ac:dyDescent="0.2">
      <c r="Y62943" s="97"/>
    </row>
    <row r="62944" spans="25:25" x14ac:dyDescent="0.2">
      <c r="Y62944" s="97"/>
    </row>
    <row r="62945" spans="25:25" x14ac:dyDescent="0.2">
      <c r="Y62945" s="97"/>
    </row>
    <row r="62946" spans="25:25" x14ac:dyDescent="0.2">
      <c r="Y62946" s="97"/>
    </row>
    <row r="62947" spans="25:25" x14ac:dyDescent="0.2">
      <c r="Y62947" s="97"/>
    </row>
    <row r="62948" spans="25:25" x14ac:dyDescent="0.2">
      <c r="Y62948" s="97"/>
    </row>
    <row r="62949" spans="25:25" x14ac:dyDescent="0.2">
      <c r="Y62949" s="97"/>
    </row>
    <row r="62950" spans="25:25" x14ac:dyDescent="0.2">
      <c r="Y62950" s="97"/>
    </row>
    <row r="62951" spans="25:25" x14ac:dyDescent="0.2">
      <c r="Y62951" s="97"/>
    </row>
    <row r="62952" spans="25:25" x14ac:dyDescent="0.2">
      <c r="Y62952" s="97"/>
    </row>
    <row r="62953" spans="25:25" x14ac:dyDescent="0.2">
      <c r="Y62953" s="97"/>
    </row>
    <row r="62954" spans="25:25" x14ac:dyDescent="0.2">
      <c r="Y62954" s="97"/>
    </row>
    <row r="62955" spans="25:25" x14ac:dyDescent="0.2">
      <c r="Y62955" s="97"/>
    </row>
    <row r="62956" spans="25:25" x14ac:dyDescent="0.2">
      <c r="Y62956" s="97"/>
    </row>
    <row r="62957" spans="25:25" x14ac:dyDescent="0.2">
      <c r="Y62957" s="97"/>
    </row>
    <row r="62958" spans="25:25" x14ac:dyDescent="0.2">
      <c r="Y62958" s="97"/>
    </row>
    <row r="62959" spans="25:25" x14ac:dyDescent="0.2">
      <c r="Y62959" s="97"/>
    </row>
    <row r="62960" spans="25:25" x14ac:dyDescent="0.2">
      <c r="Y62960" s="97"/>
    </row>
    <row r="62961" spans="25:25" x14ac:dyDescent="0.2">
      <c r="Y62961" s="97"/>
    </row>
    <row r="62962" spans="25:25" x14ac:dyDescent="0.2">
      <c r="Y62962" s="97"/>
    </row>
    <row r="62963" spans="25:25" x14ac:dyDescent="0.2">
      <c r="Y62963" s="97"/>
    </row>
    <row r="62964" spans="25:25" x14ac:dyDescent="0.2">
      <c r="Y62964" s="97"/>
    </row>
    <row r="62965" spans="25:25" x14ac:dyDescent="0.2">
      <c r="Y62965" s="97"/>
    </row>
    <row r="62966" spans="25:25" x14ac:dyDescent="0.2">
      <c r="Y62966" s="97"/>
    </row>
    <row r="62967" spans="25:25" x14ac:dyDescent="0.2">
      <c r="Y62967" s="97"/>
    </row>
    <row r="62968" spans="25:25" x14ac:dyDescent="0.2">
      <c r="Y62968" s="97"/>
    </row>
    <row r="62969" spans="25:25" x14ac:dyDescent="0.2">
      <c r="Y62969" s="97"/>
    </row>
    <row r="62970" spans="25:25" x14ac:dyDescent="0.2">
      <c r="Y62970" s="97"/>
    </row>
    <row r="62971" spans="25:25" x14ac:dyDescent="0.2">
      <c r="Y62971" s="97"/>
    </row>
    <row r="62972" spans="25:25" x14ac:dyDescent="0.2">
      <c r="Y62972" s="97"/>
    </row>
    <row r="62973" spans="25:25" x14ac:dyDescent="0.2">
      <c r="Y62973" s="97"/>
    </row>
    <row r="62974" spans="25:25" x14ac:dyDescent="0.2">
      <c r="Y62974" s="97"/>
    </row>
    <row r="62975" spans="25:25" x14ac:dyDescent="0.2">
      <c r="Y62975" s="97"/>
    </row>
    <row r="62976" spans="25:25" x14ac:dyDescent="0.2">
      <c r="Y62976" s="97"/>
    </row>
    <row r="62977" spans="25:25" x14ac:dyDescent="0.2">
      <c r="Y62977" s="97"/>
    </row>
    <row r="62978" spans="25:25" x14ac:dyDescent="0.2">
      <c r="Y62978" s="97"/>
    </row>
    <row r="62979" spans="25:25" x14ac:dyDescent="0.2">
      <c r="Y62979" s="97"/>
    </row>
    <row r="62980" spans="25:25" x14ac:dyDescent="0.2">
      <c r="Y62980" s="97"/>
    </row>
    <row r="62981" spans="25:25" x14ac:dyDescent="0.2">
      <c r="Y62981" s="97"/>
    </row>
    <row r="62982" spans="25:25" x14ac:dyDescent="0.2">
      <c r="Y62982" s="97"/>
    </row>
    <row r="62983" spans="25:25" x14ac:dyDescent="0.2">
      <c r="Y62983" s="97"/>
    </row>
    <row r="62984" spans="25:25" x14ac:dyDescent="0.2">
      <c r="Y62984" s="97"/>
    </row>
    <row r="62985" spans="25:25" x14ac:dyDescent="0.2">
      <c r="Y62985" s="97"/>
    </row>
    <row r="62986" spans="25:25" x14ac:dyDescent="0.2">
      <c r="Y62986" s="97"/>
    </row>
    <row r="62987" spans="25:25" x14ac:dyDescent="0.2">
      <c r="Y62987" s="97"/>
    </row>
    <row r="62988" spans="25:25" x14ac:dyDescent="0.2">
      <c r="Y62988" s="97"/>
    </row>
    <row r="62989" spans="25:25" x14ac:dyDescent="0.2">
      <c r="Y62989" s="97"/>
    </row>
    <row r="62990" spans="25:25" x14ac:dyDescent="0.2">
      <c r="Y62990" s="97"/>
    </row>
    <row r="62991" spans="25:25" x14ac:dyDescent="0.2">
      <c r="Y62991" s="97"/>
    </row>
    <row r="62992" spans="25:25" x14ac:dyDescent="0.2">
      <c r="Y62992" s="97"/>
    </row>
    <row r="62993" spans="25:25" x14ac:dyDescent="0.2">
      <c r="Y62993" s="97"/>
    </row>
    <row r="62994" spans="25:25" x14ac:dyDescent="0.2">
      <c r="Y62994" s="97"/>
    </row>
    <row r="62995" spans="25:25" x14ac:dyDescent="0.2">
      <c r="Y62995" s="97"/>
    </row>
    <row r="62996" spans="25:25" x14ac:dyDescent="0.2">
      <c r="Y62996" s="97"/>
    </row>
    <row r="62997" spans="25:25" x14ac:dyDescent="0.2">
      <c r="Y62997" s="97"/>
    </row>
    <row r="62998" spans="25:25" x14ac:dyDescent="0.2">
      <c r="Y62998" s="97"/>
    </row>
    <row r="62999" spans="25:25" x14ac:dyDescent="0.2">
      <c r="Y62999" s="97"/>
    </row>
    <row r="63000" spans="25:25" x14ac:dyDescent="0.2">
      <c r="Y63000" s="97"/>
    </row>
    <row r="63001" spans="25:25" x14ac:dyDescent="0.2">
      <c r="Y63001" s="97"/>
    </row>
    <row r="63002" spans="25:25" x14ac:dyDescent="0.2">
      <c r="Y63002" s="97"/>
    </row>
    <row r="63003" spans="25:25" x14ac:dyDescent="0.2">
      <c r="Y63003" s="97"/>
    </row>
    <row r="63004" spans="25:25" x14ac:dyDescent="0.2">
      <c r="Y63004" s="97"/>
    </row>
    <row r="63005" spans="25:25" x14ac:dyDescent="0.2">
      <c r="Y63005" s="97"/>
    </row>
    <row r="63006" spans="25:25" x14ac:dyDescent="0.2">
      <c r="Y63006" s="97"/>
    </row>
    <row r="63007" spans="25:25" x14ac:dyDescent="0.2">
      <c r="Y63007" s="97"/>
    </row>
    <row r="63008" spans="25:25" x14ac:dyDescent="0.2">
      <c r="Y63008" s="97"/>
    </row>
    <row r="63009" spans="25:25" x14ac:dyDescent="0.2">
      <c r="Y63009" s="97"/>
    </row>
    <row r="63010" spans="25:25" x14ac:dyDescent="0.2">
      <c r="Y63010" s="97"/>
    </row>
    <row r="63011" spans="25:25" x14ac:dyDescent="0.2">
      <c r="Y63011" s="97"/>
    </row>
    <row r="63012" spans="25:25" x14ac:dyDescent="0.2">
      <c r="Y63012" s="97"/>
    </row>
    <row r="63013" spans="25:25" x14ac:dyDescent="0.2">
      <c r="Y63013" s="97"/>
    </row>
    <row r="63014" spans="25:25" x14ac:dyDescent="0.2">
      <c r="Y63014" s="97"/>
    </row>
    <row r="63015" spans="25:25" x14ac:dyDescent="0.2">
      <c r="Y63015" s="97"/>
    </row>
    <row r="63016" spans="25:25" x14ac:dyDescent="0.2">
      <c r="Y63016" s="97"/>
    </row>
    <row r="63017" spans="25:25" x14ac:dyDescent="0.2">
      <c r="Y63017" s="97"/>
    </row>
    <row r="63018" spans="25:25" x14ac:dyDescent="0.2">
      <c r="Y63018" s="97"/>
    </row>
    <row r="63019" spans="25:25" x14ac:dyDescent="0.2">
      <c r="Y63019" s="97"/>
    </row>
    <row r="63020" spans="25:25" x14ac:dyDescent="0.2">
      <c r="Y63020" s="97"/>
    </row>
    <row r="63021" spans="25:25" x14ac:dyDescent="0.2">
      <c r="Y63021" s="97"/>
    </row>
    <row r="63022" spans="25:25" x14ac:dyDescent="0.2">
      <c r="Y63022" s="97"/>
    </row>
    <row r="63023" spans="25:25" x14ac:dyDescent="0.2">
      <c r="Y63023" s="97"/>
    </row>
    <row r="63024" spans="25:25" x14ac:dyDescent="0.2">
      <c r="Y63024" s="97"/>
    </row>
    <row r="63025" spans="25:25" x14ac:dyDescent="0.2">
      <c r="Y63025" s="97"/>
    </row>
    <row r="63026" spans="25:25" x14ac:dyDescent="0.2">
      <c r="Y63026" s="97"/>
    </row>
    <row r="63027" spans="25:25" x14ac:dyDescent="0.2">
      <c r="Y63027" s="97"/>
    </row>
    <row r="63028" spans="25:25" x14ac:dyDescent="0.2">
      <c r="Y63028" s="97"/>
    </row>
    <row r="63029" spans="25:25" x14ac:dyDescent="0.2">
      <c r="Y63029" s="97"/>
    </row>
    <row r="63030" spans="25:25" x14ac:dyDescent="0.2">
      <c r="Y63030" s="97"/>
    </row>
    <row r="63031" spans="25:25" x14ac:dyDescent="0.2">
      <c r="Y63031" s="97"/>
    </row>
    <row r="63032" spans="25:25" x14ac:dyDescent="0.2">
      <c r="Y63032" s="97"/>
    </row>
    <row r="63033" spans="25:25" x14ac:dyDescent="0.2">
      <c r="Y63033" s="97"/>
    </row>
    <row r="63034" spans="25:25" x14ac:dyDescent="0.2">
      <c r="Y63034" s="97"/>
    </row>
    <row r="63035" spans="25:25" x14ac:dyDescent="0.2">
      <c r="Y63035" s="97"/>
    </row>
    <row r="63036" spans="25:25" x14ac:dyDescent="0.2">
      <c r="Y63036" s="97"/>
    </row>
    <row r="63037" spans="25:25" x14ac:dyDescent="0.2">
      <c r="Y63037" s="97"/>
    </row>
    <row r="63038" spans="25:25" x14ac:dyDescent="0.2">
      <c r="Y63038" s="97"/>
    </row>
    <row r="63039" spans="25:25" x14ac:dyDescent="0.2">
      <c r="Y63039" s="97"/>
    </row>
    <row r="63040" spans="25:25" x14ac:dyDescent="0.2">
      <c r="Y63040" s="97"/>
    </row>
    <row r="63041" spans="25:25" x14ac:dyDescent="0.2">
      <c r="Y63041" s="97"/>
    </row>
    <row r="63042" spans="25:25" x14ac:dyDescent="0.2">
      <c r="Y63042" s="97"/>
    </row>
    <row r="63043" spans="25:25" x14ac:dyDescent="0.2">
      <c r="Y63043" s="97"/>
    </row>
    <row r="63044" spans="25:25" x14ac:dyDescent="0.2">
      <c r="Y63044" s="97"/>
    </row>
    <row r="63045" spans="25:25" x14ac:dyDescent="0.2">
      <c r="Y63045" s="97"/>
    </row>
    <row r="63046" spans="25:25" x14ac:dyDescent="0.2">
      <c r="Y63046" s="97"/>
    </row>
    <row r="63047" spans="25:25" x14ac:dyDescent="0.2">
      <c r="Y63047" s="97"/>
    </row>
    <row r="63048" spans="25:25" x14ac:dyDescent="0.2">
      <c r="Y63048" s="97"/>
    </row>
    <row r="63049" spans="25:25" x14ac:dyDescent="0.2">
      <c r="Y63049" s="97"/>
    </row>
    <row r="63050" spans="25:25" x14ac:dyDescent="0.2">
      <c r="Y63050" s="97"/>
    </row>
    <row r="63051" spans="25:25" x14ac:dyDescent="0.2">
      <c r="Y63051" s="97"/>
    </row>
    <row r="63052" spans="25:25" x14ac:dyDescent="0.2">
      <c r="Y63052" s="97"/>
    </row>
    <row r="63053" spans="25:25" x14ac:dyDescent="0.2">
      <c r="Y63053" s="97"/>
    </row>
    <row r="63054" spans="25:25" x14ac:dyDescent="0.2">
      <c r="Y63054" s="97"/>
    </row>
    <row r="63055" spans="25:25" x14ac:dyDescent="0.2">
      <c r="Y63055" s="97"/>
    </row>
    <row r="63056" spans="25:25" x14ac:dyDescent="0.2">
      <c r="Y63056" s="97"/>
    </row>
    <row r="63057" spans="25:25" x14ac:dyDescent="0.2">
      <c r="Y63057" s="97"/>
    </row>
    <row r="63058" spans="25:25" x14ac:dyDescent="0.2">
      <c r="Y63058" s="97"/>
    </row>
    <row r="63059" spans="25:25" x14ac:dyDescent="0.2">
      <c r="Y63059" s="97"/>
    </row>
    <row r="63060" spans="25:25" x14ac:dyDescent="0.2">
      <c r="Y63060" s="97"/>
    </row>
    <row r="63061" spans="25:25" x14ac:dyDescent="0.2">
      <c r="Y63061" s="97"/>
    </row>
    <row r="63062" spans="25:25" x14ac:dyDescent="0.2">
      <c r="Y63062" s="97"/>
    </row>
    <row r="63063" spans="25:25" x14ac:dyDescent="0.2">
      <c r="Y63063" s="97"/>
    </row>
    <row r="63064" spans="25:25" x14ac:dyDescent="0.2">
      <c r="Y63064" s="97"/>
    </row>
    <row r="63065" spans="25:25" x14ac:dyDescent="0.2">
      <c r="Y63065" s="97"/>
    </row>
    <row r="63066" spans="25:25" x14ac:dyDescent="0.2">
      <c r="Y63066" s="97"/>
    </row>
    <row r="63067" spans="25:25" x14ac:dyDescent="0.2">
      <c r="Y63067" s="97"/>
    </row>
    <row r="63068" spans="25:25" x14ac:dyDescent="0.2">
      <c r="Y63068" s="97"/>
    </row>
    <row r="63069" spans="25:25" x14ac:dyDescent="0.2">
      <c r="Y63069" s="97"/>
    </row>
    <row r="63070" spans="25:25" x14ac:dyDescent="0.2">
      <c r="Y63070" s="97"/>
    </row>
    <row r="63071" spans="25:25" x14ac:dyDescent="0.2">
      <c r="Y63071" s="97"/>
    </row>
    <row r="63072" spans="25:25" x14ac:dyDescent="0.2">
      <c r="Y63072" s="97"/>
    </row>
    <row r="63073" spans="25:25" x14ac:dyDescent="0.2">
      <c r="Y63073" s="97"/>
    </row>
    <row r="63074" spans="25:25" x14ac:dyDescent="0.2">
      <c r="Y63074" s="97"/>
    </row>
    <row r="63075" spans="25:25" x14ac:dyDescent="0.2">
      <c r="Y63075" s="97"/>
    </row>
    <row r="63076" spans="25:25" x14ac:dyDescent="0.2">
      <c r="Y63076" s="97"/>
    </row>
    <row r="63077" spans="25:25" x14ac:dyDescent="0.2">
      <c r="Y63077" s="97"/>
    </row>
    <row r="63078" spans="25:25" x14ac:dyDescent="0.2">
      <c r="Y63078" s="97"/>
    </row>
    <row r="63079" spans="25:25" x14ac:dyDescent="0.2">
      <c r="Y63079" s="97"/>
    </row>
    <row r="63080" spans="25:25" x14ac:dyDescent="0.2">
      <c r="Y63080" s="97"/>
    </row>
    <row r="63081" spans="25:25" x14ac:dyDescent="0.2">
      <c r="Y63081" s="97"/>
    </row>
    <row r="63082" spans="25:25" x14ac:dyDescent="0.2">
      <c r="Y63082" s="97"/>
    </row>
    <row r="63083" spans="25:25" x14ac:dyDescent="0.2">
      <c r="Y63083" s="97"/>
    </row>
    <row r="63084" spans="25:25" x14ac:dyDescent="0.2">
      <c r="Y63084" s="97"/>
    </row>
    <row r="63085" spans="25:25" x14ac:dyDescent="0.2">
      <c r="Y63085" s="97"/>
    </row>
    <row r="63086" spans="25:25" x14ac:dyDescent="0.2">
      <c r="Y63086" s="97"/>
    </row>
    <row r="63087" spans="25:25" x14ac:dyDescent="0.2">
      <c r="Y63087" s="97"/>
    </row>
    <row r="63088" spans="25:25" x14ac:dyDescent="0.2">
      <c r="Y63088" s="97"/>
    </row>
    <row r="63089" spans="25:25" x14ac:dyDescent="0.2">
      <c r="Y63089" s="97"/>
    </row>
    <row r="63090" spans="25:25" x14ac:dyDescent="0.2">
      <c r="Y63090" s="97"/>
    </row>
    <row r="63091" spans="25:25" x14ac:dyDescent="0.2">
      <c r="Y63091" s="97"/>
    </row>
    <row r="63092" spans="25:25" x14ac:dyDescent="0.2">
      <c r="Y63092" s="97"/>
    </row>
    <row r="63093" spans="25:25" x14ac:dyDescent="0.2">
      <c r="Y63093" s="97"/>
    </row>
    <row r="63094" spans="25:25" x14ac:dyDescent="0.2">
      <c r="Y63094" s="97"/>
    </row>
    <row r="63095" spans="25:25" x14ac:dyDescent="0.2">
      <c r="Y63095" s="97"/>
    </row>
    <row r="63096" spans="25:25" x14ac:dyDescent="0.2">
      <c r="Y63096" s="97"/>
    </row>
    <row r="63097" spans="25:25" x14ac:dyDescent="0.2">
      <c r="Y63097" s="97"/>
    </row>
    <row r="63098" spans="25:25" x14ac:dyDescent="0.2">
      <c r="Y63098" s="97"/>
    </row>
    <row r="63099" spans="25:25" x14ac:dyDescent="0.2">
      <c r="Y63099" s="97"/>
    </row>
    <row r="63100" spans="25:25" x14ac:dyDescent="0.2">
      <c r="Y63100" s="97"/>
    </row>
    <row r="63101" spans="25:25" x14ac:dyDescent="0.2">
      <c r="Y63101" s="97"/>
    </row>
    <row r="63102" spans="25:25" x14ac:dyDescent="0.2">
      <c r="Y63102" s="97"/>
    </row>
    <row r="63103" spans="25:25" x14ac:dyDescent="0.2">
      <c r="Y63103" s="97"/>
    </row>
    <row r="63104" spans="25:25" x14ac:dyDescent="0.2">
      <c r="Y63104" s="97"/>
    </row>
    <row r="63105" spans="25:25" x14ac:dyDescent="0.2">
      <c r="Y63105" s="97"/>
    </row>
    <row r="63106" spans="25:25" x14ac:dyDescent="0.2">
      <c r="Y63106" s="97"/>
    </row>
    <row r="63107" spans="25:25" x14ac:dyDescent="0.2">
      <c r="Y63107" s="97"/>
    </row>
    <row r="63108" spans="25:25" x14ac:dyDescent="0.2">
      <c r="Y63108" s="97"/>
    </row>
    <row r="63109" spans="25:25" x14ac:dyDescent="0.2">
      <c r="Y63109" s="97"/>
    </row>
    <row r="63110" spans="25:25" x14ac:dyDescent="0.2">
      <c r="Y63110" s="97"/>
    </row>
    <row r="63111" spans="25:25" x14ac:dyDescent="0.2">
      <c r="Y63111" s="97"/>
    </row>
    <row r="63112" spans="25:25" x14ac:dyDescent="0.2">
      <c r="Y63112" s="97"/>
    </row>
    <row r="63113" spans="25:25" x14ac:dyDescent="0.2">
      <c r="Y63113" s="97"/>
    </row>
    <row r="63114" spans="25:25" x14ac:dyDescent="0.2">
      <c r="Y63114" s="97"/>
    </row>
    <row r="63115" spans="25:25" x14ac:dyDescent="0.2">
      <c r="Y63115" s="97"/>
    </row>
    <row r="63116" spans="25:25" x14ac:dyDescent="0.2">
      <c r="Y63116" s="97"/>
    </row>
    <row r="63117" spans="25:25" x14ac:dyDescent="0.2">
      <c r="Y63117" s="97"/>
    </row>
    <row r="63118" spans="25:25" x14ac:dyDescent="0.2">
      <c r="Y63118" s="97"/>
    </row>
    <row r="63119" spans="25:25" x14ac:dyDescent="0.2">
      <c r="Y63119" s="97"/>
    </row>
    <row r="63120" spans="25:25" x14ac:dyDescent="0.2">
      <c r="Y63120" s="97"/>
    </row>
    <row r="63121" spans="25:25" x14ac:dyDescent="0.2">
      <c r="Y63121" s="97"/>
    </row>
    <row r="63122" spans="25:25" x14ac:dyDescent="0.2">
      <c r="Y63122" s="97"/>
    </row>
    <row r="63123" spans="25:25" x14ac:dyDescent="0.2">
      <c r="Y63123" s="97"/>
    </row>
    <row r="63124" spans="25:25" x14ac:dyDescent="0.2">
      <c r="Y63124" s="97"/>
    </row>
    <row r="63125" spans="25:25" x14ac:dyDescent="0.2">
      <c r="Y63125" s="97"/>
    </row>
    <row r="63126" spans="25:25" x14ac:dyDescent="0.2">
      <c r="Y63126" s="97"/>
    </row>
    <row r="63127" spans="25:25" x14ac:dyDescent="0.2">
      <c r="Y63127" s="97"/>
    </row>
    <row r="63128" spans="25:25" x14ac:dyDescent="0.2">
      <c r="Y63128" s="97"/>
    </row>
    <row r="63129" spans="25:25" x14ac:dyDescent="0.2">
      <c r="Y63129" s="97"/>
    </row>
    <row r="63130" spans="25:25" x14ac:dyDescent="0.2">
      <c r="Y63130" s="97"/>
    </row>
    <row r="63131" spans="25:25" x14ac:dyDescent="0.2">
      <c r="Y63131" s="97"/>
    </row>
    <row r="63132" spans="25:25" x14ac:dyDescent="0.2">
      <c r="Y63132" s="97"/>
    </row>
    <row r="63133" spans="25:25" x14ac:dyDescent="0.2">
      <c r="Y63133" s="97"/>
    </row>
    <row r="63134" spans="25:25" x14ac:dyDescent="0.2">
      <c r="Y63134" s="97"/>
    </row>
    <row r="63135" spans="25:25" x14ac:dyDescent="0.2">
      <c r="Y63135" s="97"/>
    </row>
    <row r="63136" spans="25:25" x14ac:dyDescent="0.2">
      <c r="Y63136" s="97"/>
    </row>
    <row r="63137" spans="25:25" x14ac:dyDescent="0.2">
      <c r="Y63137" s="97"/>
    </row>
    <row r="63138" spans="25:25" x14ac:dyDescent="0.2">
      <c r="Y63138" s="97"/>
    </row>
    <row r="63139" spans="25:25" x14ac:dyDescent="0.2">
      <c r="Y63139" s="97"/>
    </row>
    <row r="63140" spans="25:25" x14ac:dyDescent="0.2">
      <c r="Y63140" s="97"/>
    </row>
    <row r="63141" spans="25:25" x14ac:dyDescent="0.2">
      <c r="Y63141" s="97"/>
    </row>
    <row r="63142" spans="25:25" x14ac:dyDescent="0.2">
      <c r="Y63142" s="97"/>
    </row>
    <row r="63143" spans="25:25" x14ac:dyDescent="0.2">
      <c r="Y63143" s="97"/>
    </row>
    <row r="63144" spans="25:25" x14ac:dyDescent="0.2">
      <c r="Y63144" s="97"/>
    </row>
    <row r="63145" spans="25:25" x14ac:dyDescent="0.2">
      <c r="Y63145" s="97"/>
    </row>
    <row r="63146" spans="25:25" x14ac:dyDescent="0.2">
      <c r="Y63146" s="97"/>
    </row>
    <row r="63147" spans="25:25" x14ac:dyDescent="0.2">
      <c r="Y63147" s="97"/>
    </row>
    <row r="63148" spans="25:25" x14ac:dyDescent="0.2">
      <c r="Y63148" s="97"/>
    </row>
    <row r="63149" spans="25:25" x14ac:dyDescent="0.2">
      <c r="Y63149" s="97"/>
    </row>
    <row r="63150" spans="25:25" x14ac:dyDescent="0.2">
      <c r="Y63150" s="97"/>
    </row>
    <row r="63151" spans="25:25" x14ac:dyDescent="0.2">
      <c r="Y63151" s="97"/>
    </row>
    <row r="63152" spans="25:25" x14ac:dyDescent="0.2">
      <c r="Y63152" s="97"/>
    </row>
    <row r="63153" spans="25:25" x14ac:dyDescent="0.2">
      <c r="Y63153" s="97"/>
    </row>
    <row r="63154" spans="25:25" x14ac:dyDescent="0.2">
      <c r="Y63154" s="97"/>
    </row>
    <row r="63155" spans="25:25" x14ac:dyDescent="0.2">
      <c r="Y63155" s="97"/>
    </row>
    <row r="63156" spans="25:25" x14ac:dyDescent="0.2">
      <c r="Y63156" s="97"/>
    </row>
    <row r="63157" spans="25:25" x14ac:dyDescent="0.2">
      <c r="Y63157" s="97"/>
    </row>
    <row r="63158" spans="25:25" x14ac:dyDescent="0.2">
      <c r="Y63158" s="97"/>
    </row>
    <row r="63159" spans="25:25" x14ac:dyDescent="0.2">
      <c r="Y63159" s="97"/>
    </row>
    <row r="63160" spans="25:25" x14ac:dyDescent="0.2">
      <c r="Y63160" s="97"/>
    </row>
    <row r="63161" spans="25:25" x14ac:dyDescent="0.2">
      <c r="Y63161" s="97"/>
    </row>
    <row r="63162" spans="25:25" x14ac:dyDescent="0.2">
      <c r="Y63162" s="97"/>
    </row>
    <row r="63163" spans="25:25" x14ac:dyDescent="0.2">
      <c r="Y63163" s="97"/>
    </row>
    <row r="63164" spans="25:25" x14ac:dyDescent="0.2">
      <c r="Y63164" s="97"/>
    </row>
    <row r="63165" spans="25:25" x14ac:dyDescent="0.2">
      <c r="Y63165" s="97"/>
    </row>
    <row r="63166" spans="25:25" x14ac:dyDescent="0.2">
      <c r="Y63166" s="97"/>
    </row>
    <row r="63167" spans="25:25" x14ac:dyDescent="0.2">
      <c r="Y63167" s="97"/>
    </row>
    <row r="63168" spans="25:25" x14ac:dyDescent="0.2">
      <c r="Y63168" s="97"/>
    </row>
    <row r="63169" spans="25:25" x14ac:dyDescent="0.2">
      <c r="Y63169" s="97"/>
    </row>
    <row r="63170" spans="25:25" x14ac:dyDescent="0.2">
      <c r="Y63170" s="97"/>
    </row>
    <row r="63171" spans="25:25" x14ac:dyDescent="0.2">
      <c r="Y63171" s="97"/>
    </row>
    <row r="63172" spans="25:25" x14ac:dyDescent="0.2">
      <c r="Y63172" s="97"/>
    </row>
    <row r="63173" spans="25:25" x14ac:dyDescent="0.2">
      <c r="Y63173" s="97"/>
    </row>
    <row r="63174" spans="25:25" x14ac:dyDescent="0.2">
      <c r="Y63174" s="97"/>
    </row>
    <row r="63175" spans="25:25" x14ac:dyDescent="0.2">
      <c r="Y63175" s="97"/>
    </row>
    <row r="63176" spans="25:25" x14ac:dyDescent="0.2">
      <c r="Y63176" s="97"/>
    </row>
    <row r="63177" spans="25:25" x14ac:dyDescent="0.2">
      <c r="Y63177" s="97"/>
    </row>
    <row r="63178" spans="25:25" x14ac:dyDescent="0.2">
      <c r="Y63178" s="97"/>
    </row>
    <row r="63179" spans="25:25" x14ac:dyDescent="0.2">
      <c r="Y63179" s="97"/>
    </row>
    <row r="63180" spans="25:25" x14ac:dyDescent="0.2">
      <c r="Y63180" s="97"/>
    </row>
    <row r="63181" spans="25:25" x14ac:dyDescent="0.2">
      <c r="Y63181" s="97"/>
    </row>
    <row r="63182" spans="25:25" x14ac:dyDescent="0.2">
      <c r="Y63182" s="97"/>
    </row>
    <row r="63183" spans="25:25" x14ac:dyDescent="0.2">
      <c r="Y63183" s="97"/>
    </row>
    <row r="63184" spans="25:25" x14ac:dyDescent="0.2">
      <c r="Y63184" s="97"/>
    </row>
    <row r="63185" spans="25:25" x14ac:dyDescent="0.2">
      <c r="Y63185" s="97"/>
    </row>
    <row r="63186" spans="25:25" x14ac:dyDescent="0.2">
      <c r="Y63186" s="97"/>
    </row>
    <row r="63187" spans="25:25" x14ac:dyDescent="0.2">
      <c r="Y63187" s="97"/>
    </row>
    <row r="63188" spans="25:25" x14ac:dyDescent="0.2">
      <c r="Y63188" s="97"/>
    </row>
    <row r="63189" spans="25:25" x14ac:dyDescent="0.2">
      <c r="Y63189" s="97"/>
    </row>
    <row r="63190" spans="25:25" x14ac:dyDescent="0.2">
      <c r="Y63190" s="97"/>
    </row>
    <row r="63191" spans="25:25" x14ac:dyDescent="0.2">
      <c r="Y63191" s="97"/>
    </row>
    <row r="63192" spans="25:25" x14ac:dyDescent="0.2">
      <c r="Y63192" s="97"/>
    </row>
    <row r="63193" spans="25:25" x14ac:dyDescent="0.2">
      <c r="Y63193" s="97"/>
    </row>
    <row r="63194" spans="25:25" x14ac:dyDescent="0.2">
      <c r="Y63194" s="97"/>
    </row>
    <row r="63195" spans="25:25" x14ac:dyDescent="0.2">
      <c r="Y63195" s="97"/>
    </row>
    <row r="63196" spans="25:25" x14ac:dyDescent="0.2">
      <c r="Y63196" s="97"/>
    </row>
    <row r="63197" spans="25:25" x14ac:dyDescent="0.2">
      <c r="Y63197" s="97"/>
    </row>
    <row r="63198" spans="25:25" x14ac:dyDescent="0.2">
      <c r="Y63198" s="97"/>
    </row>
    <row r="63199" spans="25:25" x14ac:dyDescent="0.2">
      <c r="Y63199" s="97"/>
    </row>
    <row r="63200" spans="25:25" x14ac:dyDescent="0.2">
      <c r="Y63200" s="97"/>
    </row>
    <row r="63201" spans="25:25" x14ac:dyDescent="0.2">
      <c r="Y63201" s="97"/>
    </row>
    <row r="63202" spans="25:25" x14ac:dyDescent="0.2">
      <c r="Y63202" s="97"/>
    </row>
    <row r="63203" spans="25:25" x14ac:dyDescent="0.2">
      <c r="Y63203" s="97"/>
    </row>
    <row r="63204" spans="25:25" x14ac:dyDescent="0.2">
      <c r="Y63204" s="97"/>
    </row>
    <row r="63205" spans="25:25" x14ac:dyDescent="0.2">
      <c r="Y63205" s="97"/>
    </row>
    <row r="63206" spans="25:25" x14ac:dyDescent="0.2">
      <c r="Y63206" s="97"/>
    </row>
    <row r="63207" spans="25:25" x14ac:dyDescent="0.2">
      <c r="Y63207" s="97"/>
    </row>
    <row r="63208" spans="25:25" x14ac:dyDescent="0.2">
      <c r="Y63208" s="97"/>
    </row>
    <row r="63209" spans="25:25" x14ac:dyDescent="0.2">
      <c r="Y63209" s="97"/>
    </row>
    <row r="63210" spans="25:25" x14ac:dyDescent="0.2">
      <c r="Y63210" s="97"/>
    </row>
    <row r="63211" spans="25:25" x14ac:dyDescent="0.2">
      <c r="Y63211" s="97"/>
    </row>
    <row r="63212" spans="25:25" x14ac:dyDescent="0.2">
      <c r="Y63212" s="97"/>
    </row>
    <row r="63213" spans="25:25" x14ac:dyDescent="0.2">
      <c r="Y63213" s="97"/>
    </row>
    <row r="63214" spans="25:25" x14ac:dyDescent="0.2">
      <c r="Y63214" s="97"/>
    </row>
    <row r="63215" spans="25:25" x14ac:dyDescent="0.2">
      <c r="Y63215" s="97"/>
    </row>
    <row r="63216" spans="25:25" x14ac:dyDescent="0.2">
      <c r="Y63216" s="97"/>
    </row>
    <row r="63217" spans="25:25" x14ac:dyDescent="0.2">
      <c r="Y63217" s="97"/>
    </row>
    <row r="63218" spans="25:25" x14ac:dyDescent="0.2">
      <c r="Y63218" s="97"/>
    </row>
    <row r="63219" spans="25:25" x14ac:dyDescent="0.2">
      <c r="Y63219" s="97"/>
    </row>
    <row r="63220" spans="25:25" x14ac:dyDescent="0.2">
      <c r="Y63220" s="97"/>
    </row>
    <row r="63221" spans="25:25" x14ac:dyDescent="0.2">
      <c r="Y63221" s="97"/>
    </row>
    <row r="63222" spans="25:25" x14ac:dyDescent="0.2">
      <c r="Y63222" s="97"/>
    </row>
    <row r="63223" spans="25:25" x14ac:dyDescent="0.2">
      <c r="Y63223" s="97"/>
    </row>
    <row r="63224" spans="25:25" x14ac:dyDescent="0.2">
      <c r="Y63224" s="97"/>
    </row>
    <row r="63225" spans="25:25" x14ac:dyDescent="0.2">
      <c r="Y63225" s="97"/>
    </row>
    <row r="63226" spans="25:25" x14ac:dyDescent="0.2">
      <c r="Y63226" s="97"/>
    </row>
    <row r="63227" spans="25:25" x14ac:dyDescent="0.2">
      <c r="Y63227" s="97"/>
    </row>
    <row r="63228" spans="25:25" x14ac:dyDescent="0.2">
      <c r="Y63228" s="97"/>
    </row>
    <row r="63229" spans="25:25" x14ac:dyDescent="0.2">
      <c r="Y63229" s="97"/>
    </row>
    <row r="63230" spans="25:25" x14ac:dyDescent="0.2">
      <c r="Y63230" s="97"/>
    </row>
    <row r="63231" spans="25:25" x14ac:dyDescent="0.2">
      <c r="Y63231" s="97"/>
    </row>
    <row r="63232" spans="25:25" x14ac:dyDescent="0.2">
      <c r="Y63232" s="97"/>
    </row>
    <row r="63233" spans="25:25" x14ac:dyDescent="0.2">
      <c r="Y63233" s="97"/>
    </row>
    <row r="63234" spans="25:25" x14ac:dyDescent="0.2">
      <c r="Y63234" s="97"/>
    </row>
    <row r="63235" spans="25:25" x14ac:dyDescent="0.2">
      <c r="Y63235" s="97"/>
    </row>
    <row r="63236" spans="25:25" x14ac:dyDescent="0.2">
      <c r="Y63236" s="97"/>
    </row>
    <row r="63237" spans="25:25" x14ac:dyDescent="0.2">
      <c r="Y63237" s="97"/>
    </row>
    <row r="63238" spans="25:25" x14ac:dyDescent="0.2">
      <c r="Y63238" s="97"/>
    </row>
    <row r="63239" spans="25:25" x14ac:dyDescent="0.2">
      <c r="Y63239" s="97"/>
    </row>
    <row r="63240" spans="25:25" x14ac:dyDescent="0.2">
      <c r="Y63240" s="97"/>
    </row>
    <row r="63241" spans="25:25" x14ac:dyDescent="0.2">
      <c r="Y63241" s="97"/>
    </row>
    <row r="63242" spans="25:25" x14ac:dyDescent="0.2">
      <c r="Y63242" s="97"/>
    </row>
    <row r="63243" spans="25:25" x14ac:dyDescent="0.2">
      <c r="Y63243" s="97"/>
    </row>
    <row r="63244" spans="25:25" x14ac:dyDescent="0.2">
      <c r="Y63244" s="97"/>
    </row>
    <row r="63245" spans="25:25" x14ac:dyDescent="0.2">
      <c r="Y63245" s="97"/>
    </row>
    <row r="63246" spans="25:25" x14ac:dyDescent="0.2">
      <c r="Y63246" s="97"/>
    </row>
    <row r="63247" spans="25:25" x14ac:dyDescent="0.2">
      <c r="Y63247" s="97"/>
    </row>
    <row r="63248" spans="25:25" x14ac:dyDescent="0.2">
      <c r="Y63248" s="97"/>
    </row>
    <row r="63249" spans="25:25" x14ac:dyDescent="0.2">
      <c r="Y63249" s="97"/>
    </row>
    <row r="63250" spans="25:25" x14ac:dyDescent="0.2">
      <c r="Y63250" s="97"/>
    </row>
    <row r="63251" spans="25:25" x14ac:dyDescent="0.2">
      <c r="Y63251" s="97"/>
    </row>
    <row r="63252" spans="25:25" x14ac:dyDescent="0.2">
      <c r="Y63252" s="97"/>
    </row>
    <row r="63253" spans="25:25" x14ac:dyDescent="0.2">
      <c r="Y63253" s="97"/>
    </row>
    <row r="63254" spans="25:25" x14ac:dyDescent="0.2">
      <c r="Y63254" s="97"/>
    </row>
    <row r="63255" spans="25:25" x14ac:dyDescent="0.2">
      <c r="Y63255" s="97"/>
    </row>
    <row r="63256" spans="25:25" x14ac:dyDescent="0.2">
      <c r="Y63256" s="97"/>
    </row>
    <row r="63257" spans="25:25" x14ac:dyDescent="0.2">
      <c r="Y63257" s="97"/>
    </row>
    <row r="63258" spans="25:25" x14ac:dyDescent="0.2">
      <c r="Y63258" s="97"/>
    </row>
    <row r="63259" spans="25:25" x14ac:dyDescent="0.2">
      <c r="Y63259" s="97"/>
    </row>
    <row r="63260" spans="25:25" x14ac:dyDescent="0.2">
      <c r="Y63260" s="97"/>
    </row>
    <row r="63261" spans="25:25" x14ac:dyDescent="0.2">
      <c r="Y63261" s="97"/>
    </row>
    <row r="63262" spans="25:25" x14ac:dyDescent="0.2">
      <c r="Y63262" s="97"/>
    </row>
    <row r="63263" spans="25:25" x14ac:dyDescent="0.2">
      <c r="Y63263" s="97"/>
    </row>
    <row r="63264" spans="25:25" x14ac:dyDescent="0.2">
      <c r="Y63264" s="97"/>
    </row>
    <row r="63265" spans="25:25" x14ac:dyDescent="0.2">
      <c r="Y63265" s="97"/>
    </row>
    <row r="63266" spans="25:25" x14ac:dyDescent="0.2">
      <c r="Y63266" s="97"/>
    </row>
    <row r="63267" spans="25:25" x14ac:dyDescent="0.2">
      <c r="Y63267" s="97"/>
    </row>
    <row r="63268" spans="25:25" x14ac:dyDescent="0.2">
      <c r="Y63268" s="97"/>
    </row>
    <row r="63269" spans="25:25" x14ac:dyDescent="0.2">
      <c r="Y63269" s="97"/>
    </row>
    <row r="63270" spans="25:25" x14ac:dyDescent="0.2">
      <c r="Y63270" s="97"/>
    </row>
    <row r="63271" spans="25:25" x14ac:dyDescent="0.2">
      <c r="Y63271" s="97"/>
    </row>
    <row r="63272" spans="25:25" x14ac:dyDescent="0.2">
      <c r="Y63272" s="97"/>
    </row>
    <row r="63273" spans="25:25" x14ac:dyDescent="0.2">
      <c r="Y63273" s="97"/>
    </row>
    <row r="63274" spans="25:25" x14ac:dyDescent="0.2">
      <c r="Y63274" s="97"/>
    </row>
    <row r="63275" spans="25:25" x14ac:dyDescent="0.2">
      <c r="Y63275" s="97"/>
    </row>
    <row r="63276" spans="25:25" x14ac:dyDescent="0.2">
      <c r="Y63276" s="97"/>
    </row>
    <row r="63277" spans="25:25" x14ac:dyDescent="0.2">
      <c r="Y63277" s="97"/>
    </row>
    <row r="63278" spans="25:25" x14ac:dyDescent="0.2">
      <c r="Y63278" s="97"/>
    </row>
    <row r="63279" spans="25:25" x14ac:dyDescent="0.2">
      <c r="Y63279" s="97"/>
    </row>
    <row r="63280" spans="25:25" x14ac:dyDescent="0.2">
      <c r="Y63280" s="97"/>
    </row>
    <row r="63281" spans="25:25" x14ac:dyDescent="0.2">
      <c r="Y63281" s="97"/>
    </row>
    <row r="63282" spans="25:25" x14ac:dyDescent="0.2">
      <c r="Y63282" s="97"/>
    </row>
    <row r="63283" spans="25:25" x14ac:dyDescent="0.2">
      <c r="Y63283" s="97"/>
    </row>
    <row r="63284" spans="25:25" x14ac:dyDescent="0.2">
      <c r="Y63284" s="97"/>
    </row>
    <row r="63285" spans="25:25" x14ac:dyDescent="0.2">
      <c r="Y63285" s="97"/>
    </row>
    <row r="63286" spans="25:25" x14ac:dyDescent="0.2">
      <c r="Y63286" s="97"/>
    </row>
    <row r="63287" spans="25:25" x14ac:dyDescent="0.2">
      <c r="Y63287" s="97"/>
    </row>
    <row r="63288" spans="25:25" x14ac:dyDescent="0.2">
      <c r="Y63288" s="97"/>
    </row>
    <row r="63289" spans="25:25" x14ac:dyDescent="0.2">
      <c r="Y63289" s="97"/>
    </row>
    <row r="63290" spans="25:25" x14ac:dyDescent="0.2">
      <c r="Y63290" s="97"/>
    </row>
    <row r="63291" spans="25:25" x14ac:dyDescent="0.2">
      <c r="Y63291" s="97"/>
    </row>
    <row r="63292" spans="25:25" x14ac:dyDescent="0.2">
      <c r="Y63292" s="97"/>
    </row>
    <row r="63293" spans="25:25" x14ac:dyDescent="0.2">
      <c r="Y63293" s="97"/>
    </row>
    <row r="63294" spans="25:25" x14ac:dyDescent="0.2">
      <c r="Y63294" s="97"/>
    </row>
    <row r="63295" spans="25:25" x14ac:dyDescent="0.2">
      <c r="Y63295" s="97"/>
    </row>
    <row r="63296" spans="25:25" x14ac:dyDescent="0.2">
      <c r="Y63296" s="97"/>
    </row>
    <row r="63297" spans="25:25" x14ac:dyDescent="0.2">
      <c r="Y63297" s="97"/>
    </row>
    <row r="63298" spans="25:25" x14ac:dyDescent="0.2">
      <c r="Y63298" s="97"/>
    </row>
    <row r="63299" spans="25:25" x14ac:dyDescent="0.2">
      <c r="Y63299" s="97"/>
    </row>
    <row r="63300" spans="25:25" x14ac:dyDescent="0.2">
      <c r="Y63300" s="97"/>
    </row>
    <row r="63301" spans="25:25" x14ac:dyDescent="0.2">
      <c r="Y63301" s="97"/>
    </row>
    <row r="63302" spans="25:25" x14ac:dyDescent="0.2">
      <c r="Y63302" s="97"/>
    </row>
    <row r="63303" spans="25:25" x14ac:dyDescent="0.2">
      <c r="Y63303" s="97"/>
    </row>
    <row r="63304" spans="25:25" x14ac:dyDescent="0.2">
      <c r="Y63304" s="97"/>
    </row>
    <row r="63305" spans="25:25" x14ac:dyDescent="0.2">
      <c r="Y63305" s="97"/>
    </row>
    <row r="63306" spans="25:25" x14ac:dyDescent="0.2">
      <c r="Y63306" s="97"/>
    </row>
    <row r="63307" spans="25:25" x14ac:dyDescent="0.2">
      <c r="Y63307" s="97"/>
    </row>
    <row r="63308" spans="25:25" x14ac:dyDescent="0.2">
      <c r="Y63308" s="97"/>
    </row>
    <row r="63309" spans="25:25" x14ac:dyDescent="0.2">
      <c r="Y63309" s="97"/>
    </row>
    <row r="63310" spans="25:25" x14ac:dyDescent="0.2">
      <c r="Y63310" s="97"/>
    </row>
    <row r="63311" spans="25:25" x14ac:dyDescent="0.2">
      <c r="Y63311" s="97"/>
    </row>
    <row r="63312" spans="25:25" x14ac:dyDescent="0.2">
      <c r="Y63312" s="97"/>
    </row>
    <row r="63313" spans="25:25" x14ac:dyDescent="0.2">
      <c r="Y63313" s="97"/>
    </row>
    <row r="63314" spans="25:25" x14ac:dyDescent="0.2">
      <c r="Y63314" s="97"/>
    </row>
    <row r="63315" spans="25:25" x14ac:dyDescent="0.2">
      <c r="Y63315" s="97"/>
    </row>
    <row r="63316" spans="25:25" x14ac:dyDescent="0.2">
      <c r="Y63316" s="97"/>
    </row>
    <row r="63317" spans="25:25" x14ac:dyDescent="0.2">
      <c r="Y63317" s="97"/>
    </row>
    <row r="63318" spans="25:25" x14ac:dyDescent="0.2">
      <c r="Y63318" s="97"/>
    </row>
    <row r="63319" spans="25:25" x14ac:dyDescent="0.2">
      <c r="Y63319" s="97"/>
    </row>
    <row r="63320" spans="25:25" x14ac:dyDescent="0.2">
      <c r="Y63320" s="97"/>
    </row>
    <row r="63321" spans="25:25" x14ac:dyDescent="0.2">
      <c r="Y63321" s="97"/>
    </row>
    <row r="63322" spans="25:25" x14ac:dyDescent="0.2">
      <c r="Y63322" s="97"/>
    </row>
    <row r="63323" spans="25:25" x14ac:dyDescent="0.2">
      <c r="Y63323" s="97"/>
    </row>
    <row r="63324" spans="25:25" x14ac:dyDescent="0.2">
      <c r="Y63324" s="97"/>
    </row>
    <row r="63325" spans="25:25" x14ac:dyDescent="0.2">
      <c r="Y63325" s="97"/>
    </row>
    <row r="63326" spans="25:25" x14ac:dyDescent="0.2">
      <c r="Y63326" s="97"/>
    </row>
    <row r="63327" spans="25:25" x14ac:dyDescent="0.2">
      <c r="Y63327" s="97"/>
    </row>
    <row r="63328" spans="25:25" x14ac:dyDescent="0.2">
      <c r="Y63328" s="97"/>
    </row>
    <row r="63329" spans="25:25" x14ac:dyDescent="0.2">
      <c r="Y63329" s="97"/>
    </row>
    <row r="63330" spans="25:25" x14ac:dyDescent="0.2">
      <c r="Y63330" s="97"/>
    </row>
    <row r="63331" spans="25:25" x14ac:dyDescent="0.2">
      <c r="Y63331" s="97"/>
    </row>
    <row r="63332" spans="25:25" x14ac:dyDescent="0.2">
      <c r="Y63332" s="97"/>
    </row>
    <row r="63333" spans="25:25" x14ac:dyDescent="0.2">
      <c r="Y63333" s="97"/>
    </row>
    <row r="63334" spans="25:25" x14ac:dyDescent="0.2">
      <c r="Y63334" s="97"/>
    </row>
    <row r="63335" spans="25:25" x14ac:dyDescent="0.2">
      <c r="Y63335" s="97"/>
    </row>
    <row r="63336" spans="25:25" x14ac:dyDescent="0.2">
      <c r="Y63336" s="97"/>
    </row>
    <row r="63337" spans="25:25" x14ac:dyDescent="0.2">
      <c r="Y63337" s="97"/>
    </row>
    <row r="63338" spans="25:25" x14ac:dyDescent="0.2">
      <c r="Y63338" s="97"/>
    </row>
    <row r="63339" spans="25:25" x14ac:dyDescent="0.2">
      <c r="Y63339" s="97"/>
    </row>
    <row r="63340" spans="25:25" x14ac:dyDescent="0.2">
      <c r="Y63340" s="97"/>
    </row>
    <row r="63341" spans="25:25" x14ac:dyDescent="0.2">
      <c r="Y63341" s="97"/>
    </row>
    <row r="63342" spans="25:25" x14ac:dyDescent="0.2">
      <c r="Y63342" s="97"/>
    </row>
    <row r="63343" spans="25:25" x14ac:dyDescent="0.2">
      <c r="Y63343" s="97"/>
    </row>
    <row r="63344" spans="25:25" x14ac:dyDescent="0.2">
      <c r="Y63344" s="97"/>
    </row>
    <row r="63345" spans="25:25" x14ac:dyDescent="0.2">
      <c r="Y63345" s="97"/>
    </row>
    <row r="63346" spans="25:25" x14ac:dyDescent="0.2">
      <c r="Y63346" s="97"/>
    </row>
    <row r="63347" spans="25:25" x14ac:dyDescent="0.2">
      <c r="Y63347" s="97"/>
    </row>
    <row r="63348" spans="25:25" x14ac:dyDescent="0.2">
      <c r="Y63348" s="97"/>
    </row>
    <row r="63349" spans="25:25" x14ac:dyDescent="0.2">
      <c r="Y63349" s="97"/>
    </row>
    <row r="63350" spans="25:25" x14ac:dyDescent="0.2">
      <c r="Y63350" s="97"/>
    </row>
    <row r="63351" spans="25:25" x14ac:dyDescent="0.2">
      <c r="Y63351" s="97"/>
    </row>
    <row r="63352" spans="25:25" x14ac:dyDescent="0.2">
      <c r="Y63352" s="97"/>
    </row>
    <row r="63353" spans="25:25" x14ac:dyDescent="0.2">
      <c r="Y63353" s="97"/>
    </row>
    <row r="63354" spans="25:25" x14ac:dyDescent="0.2">
      <c r="Y63354" s="97"/>
    </row>
    <row r="63355" spans="25:25" x14ac:dyDescent="0.2">
      <c r="Y63355" s="97"/>
    </row>
    <row r="63356" spans="25:25" x14ac:dyDescent="0.2">
      <c r="Y63356" s="97"/>
    </row>
    <row r="63357" spans="25:25" x14ac:dyDescent="0.2">
      <c r="Y63357" s="97"/>
    </row>
    <row r="63358" spans="25:25" x14ac:dyDescent="0.2">
      <c r="Y63358" s="97"/>
    </row>
    <row r="63359" spans="25:25" x14ac:dyDescent="0.2">
      <c r="Y63359" s="97"/>
    </row>
    <row r="63360" spans="25:25" x14ac:dyDescent="0.2">
      <c r="Y63360" s="97"/>
    </row>
    <row r="63361" spans="25:25" x14ac:dyDescent="0.2">
      <c r="Y63361" s="97"/>
    </row>
    <row r="63362" spans="25:25" x14ac:dyDescent="0.2">
      <c r="Y63362" s="97"/>
    </row>
    <row r="63363" spans="25:25" x14ac:dyDescent="0.2">
      <c r="Y63363" s="97"/>
    </row>
    <row r="63364" spans="25:25" x14ac:dyDescent="0.2">
      <c r="Y63364" s="97"/>
    </row>
    <row r="63365" spans="25:25" x14ac:dyDescent="0.2">
      <c r="Y63365" s="97"/>
    </row>
    <row r="63366" spans="25:25" x14ac:dyDescent="0.2">
      <c r="Y63366" s="97"/>
    </row>
    <row r="63367" spans="25:25" x14ac:dyDescent="0.2">
      <c r="Y63367" s="97"/>
    </row>
    <row r="63368" spans="25:25" x14ac:dyDescent="0.2">
      <c r="Y63368" s="97"/>
    </row>
    <row r="63369" spans="25:25" x14ac:dyDescent="0.2">
      <c r="Y63369" s="97"/>
    </row>
    <row r="63370" spans="25:25" x14ac:dyDescent="0.2">
      <c r="Y63370" s="97"/>
    </row>
    <row r="63371" spans="25:25" x14ac:dyDescent="0.2">
      <c r="Y63371" s="97"/>
    </row>
    <row r="63372" spans="25:25" x14ac:dyDescent="0.2">
      <c r="Y63372" s="97"/>
    </row>
    <row r="63373" spans="25:25" x14ac:dyDescent="0.2">
      <c r="Y63373" s="97"/>
    </row>
    <row r="63374" spans="25:25" x14ac:dyDescent="0.2">
      <c r="Y63374" s="97"/>
    </row>
    <row r="63375" spans="25:25" x14ac:dyDescent="0.2">
      <c r="Y63375" s="97"/>
    </row>
    <row r="63376" spans="25:25" x14ac:dyDescent="0.2">
      <c r="Y63376" s="97"/>
    </row>
    <row r="63377" spans="25:25" x14ac:dyDescent="0.2">
      <c r="Y63377" s="97"/>
    </row>
    <row r="63378" spans="25:25" x14ac:dyDescent="0.2">
      <c r="Y63378" s="97"/>
    </row>
    <row r="63379" spans="25:25" x14ac:dyDescent="0.2">
      <c r="Y63379" s="97"/>
    </row>
    <row r="63380" spans="25:25" x14ac:dyDescent="0.2">
      <c r="Y63380" s="97"/>
    </row>
    <row r="63381" spans="25:25" x14ac:dyDescent="0.2">
      <c r="Y63381" s="97"/>
    </row>
    <row r="63382" spans="25:25" x14ac:dyDescent="0.2">
      <c r="Y63382" s="97"/>
    </row>
    <row r="63383" spans="25:25" x14ac:dyDescent="0.2">
      <c r="Y63383" s="97"/>
    </row>
    <row r="63384" spans="25:25" x14ac:dyDescent="0.2">
      <c r="Y63384" s="97"/>
    </row>
    <row r="63385" spans="25:25" x14ac:dyDescent="0.2">
      <c r="Y63385" s="97"/>
    </row>
    <row r="63386" spans="25:25" x14ac:dyDescent="0.2">
      <c r="Y63386" s="97"/>
    </row>
    <row r="63387" spans="25:25" x14ac:dyDescent="0.2">
      <c r="Y63387" s="97"/>
    </row>
    <row r="63388" spans="25:25" x14ac:dyDescent="0.2">
      <c r="Y63388" s="97"/>
    </row>
    <row r="63389" spans="25:25" x14ac:dyDescent="0.2">
      <c r="Y63389" s="97"/>
    </row>
    <row r="63390" spans="25:25" x14ac:dyDescent="0.2">
      <c r="Y63390" s="97"/>
    </row>
    <row r="63391" spans="25:25" x14ac:dyDescent="0.2">
      <c r="Y63391" s="97"/>
    </row>
    <row r="63392" spans="25:25" x14ac:dyDescent="0.2">
      <c r="Y63392" s="97"/>
    </row>
    <row r="63393" spans="25:25" x14ac:dyDescent="0.2">
      <c r="Y63393" s="97"/>
    </row>
    <row r="63394" spans="25:25" x14ac:dyDescent="0.2">
      <c r="Y63394" s="97"/>
    </row>
    <row r="63395" spans="25:25" x14ac:dyDescent="0.2">
      <c r="Y63395" s="97"/>
    </row>
    <row r="63396" spans="25:25" x14ac:dyDescent="0.2">
      <c r="Y63396" s="97"/>
    </row>
    <row r="63397" spans="25:25" x14ac:dyDescent="0.2">
      <c r="Y63397" s="97"/>
    </row>
    <row r="63398" spans="25:25" x14ac:dyDescent="0.2">
      <c r="Y63398" s="97"/>
    </row>
    <row r="63399" spans="25:25" x14ac:dyDescent="0.2">
      <c r="Y63399" s="97"/>
    </row>
    <row r="63400" spans="25:25" x14ac:dyDescent="0.2">
      <c r="Y63400" s="97"/>
    </row>
    <row r="63401" spans="25:25" x14ac:dyDescent="0.2">
      <c r="Y63401" s="97"/>
    </row>
    <row r="63402" spans="25:25" x14ac:dyDescent="0.2">
      <c r="Y63402" s="97"/>
    </row>
    <row r="63403" spans="25:25" x14ac:dyDescent="0.2">
      <c r="Y63403" s="97"/>
    </row>
    <row r="63404" spans="25:25" x14ac:dyDescent="0.2">
      <c r="Y63404" s="97"/>
    </row>
    <row r="63405" spans="25:25" x14ac:dyDescent="0.2">
      <c r="Y63405" s="97"/>
    </row>
    <row r="63406" spans="25:25" x14ac:dyDescent="0.2">
      <c r="Y63406" s="97"/>
    </row>
    <row r="63407" spans="25:25" x14ac:dyDescent="0.2">
      <c r="Y63407" s="97"/>
    </row>
    <row r="63408" spans="25:25" x14ac:dyDescent="0.2">
      <c r="Y63408" s="97"/>
    </row>
    <row r="63409" spans="25:25" x14ac:dyDescent="0.2">
      <c r="Y63409" s="97"/>
    </row>
    <row r="63410" spans="25:25" x14ac:dyDescent="0.2">
      <c r="Y63410" s="97"/>
    </row>
    <row r="63411" spans="25:25" x14ac:dyDescent="0.2">
      <c r="Y63411" s="97"/>
    </row>
    <row r="63412" spans="25:25" x14ac:dyDescent="0.2">
      <c r="Y63412" s="97"/>
    </row>
    <row r="63413" spans="25:25" x14ac:dyDescent="0.2">
      <c r="Y63413" s="97"/>
    </row>
    <row r="63414" spans="25:25" x14ac:dyDescent="0.2">
      <c r="Y63414" s="97"/>
    </row>
    <row r="63415" spans="25:25" x14ac:dyDescent="0.2">
      <c r="Y63415" s="97"/>
    </row>
    <row r="63416" spans="25:25" x14ac:dyDescent="0.2">
      <c r="Y63416" s="97"/>
    </row>
    <row r="63417" spans="25:25" x14ac:dyDescent="0.2">
      <c r="Y63417" s="97"/>
    </row>
    <row r="63418" spans="25:25" x14ac:dyDescent="0.2">
      <c r="Y63418" s="97"/>
    </row>
    <row r="63419" spans="25:25" x14ac:dyDescent="0.2">
      <c r="Y63419" s="97"/>
    </row>
    <row r="63420" spans="25:25" x14ac:dyDescent="0.2">
      <c r="Y63420" s="97"/>
    </row>
    <row r="63421" spans="25:25" x14ac:dyDescent="0.2">
      <c r="Y63421" s="97"/>
    </row>
    <row r="63422" spans="25:25" x14ac:dyDescent="0.2">
      <c r="Y63422" s="97"/>
    </row>
    <row r="63423" spans="25:25" x14ac:dyDescent="0.2">
      <c r="Y63423" s="97"/>
    </row>
    <row r="63424" spans="25:25" x14ac:dyDescent="0.2">
      <c r="Y63424" s="97"/>
    </row>
    <row r="63425" spans="25:25" x14ac:dyDescent="0.2">
      <c r="Y63425" s="97"/>
    </row>
    <row r="63426" spans="25:25" x14ac:dyDescent="0.2">
      <c r="Y63426" s="97"/>
    </row>
    <row r="63427" spans="25:25" x14ac:dyDescent="0.2">
      <c r="Y63427" s="97"/>
    </row>
    <row r="63428" spans="25:25" x14ac:dyDescent="0.2">
      <c r="Y63428" s="97"/>
    </row>
    <row r="63429" spans="25:25" x14ac:dyDescent="0.2">
      <c r="Y63429" s="97"/>
    </row>
    <row r="63430" spans="25:25" x14ac:dyDescent="0.2">
      <c r="Y63430" s="97"/>
    </row>
    <row r="63431" spans="25:25" x14ac:dyDescent="0.2">
      <c r="Y63431" s="97"/>
    </row>
    <row r="63432" spans="25:25" x14ac:dyDescent="0.2">
      <c r="Y63432" s="97"/>
    </row>
    <row r="63433" spans="25:25" x14ac:dyDescent="0.2">
      <c r="Y63433" s="97"/>
    </row>
    <row r="63434" spans="25:25" x14ac:dyDescent="0.2">
      <c r="Y63434" s="97"/>
    </row>
    <row r="63435" spans="25:25" x14ac:dyDescent="0.2">
      <c r="Y63435" s="97"/>
    </row>
    <row r="63436" spans="25:25" x14ac:dyDescent="0.2">
      <c r="Y63436" s="97"/>
    </row>
    <row r="63437" spans="25:25" x14ac:dyDescent="0.2">
      <c r="Y63437" s="97"/>
    </row>
    <row r="63438" spans="25:25" x14ac:dyDescent="0.2">
      <c r="Y63438" s="97"/>
    </row>
    <row r="63439" spans="25:25" x14ac:dyDescent="0.2">
      <c r="Y63439" s="97"/>
    </row>
    <row r="63440" spans="25:25" x14ac:dyDescent="0.2">
      <c r="Y63440" s="97"/>
    </row>
    <row r="63441" spans="25:25" x14ac:dyDescent="0.2">
      <c r="Y63441" s="97"/>
    </row>
    <row r="63442" spans="25:25" x14ac:dyDescent="0.2">
      <c r="Y63442" s="97"/>
    </row>
    <row r="63443" spans="25:25" x14ac:dyDescent="0.2">
      <c r="Y63443" s="97"/>
    </row>
    <row r="63444" spans="25:25" x14ac:dyDescent="0.2">
      <c r="Y63444" s="97"/>
    </row>
    <row r="63445" spans="25:25" x14ac:dyDescent="0.2">
      <c r="Y63445" s="97"/>
    </row>
    <row r="63446" spans="25:25" x14ac:dyDescent="0.2">
      <c r="Y63446" s="97"/>
    </row>
    <row r="63447" spans="25:25" x14ac:dyDescent="0.2">
      <c r="Y63447" s="97"/>
    </row>
    <row r="63448" spans="25:25" x14ac:dyDescent="0.2">
      <c r="Y63448" s="97"/>
    </row>
    <row r="63449" spans="25:25" x14ac:dyDescent="0.2">
      <c r="Y63449" s="97"/>
    </row>
    <row r="63450" spans="25:25" x14ac:dyDescent="0.2">
      <c r="Y63450" s="97"/>
    </row>
    <row r="63451" spans="25:25" x14ac:dyDescent="0.2">
      <c r="Y63451" s="97"/>
    </row>
    <row r="63452" spans="25:25" x14ac:dyDescent="0.2">
      <c r="Y63452" s="97"/>
    </row>
    <row r="63453" spans="25:25" x14ac:dyDescent="0.2">
      <c r="Y63453" s="97"/>
    </row>
    <row r="63454" spans="25:25" x14ac:dyDescent="0.2">
      <c r="Y63454" s="97"/>
    </row>
    <row r="63455" spans="25:25" x14ac:dyDescent="0.2">
      <c r="Y63455" s="97"/>
    </row>
    <row r="63456" spans="25:25" x14ac:dyDescent="0.2">
      <c r="Y63456" s="97"/>
    </row>
    <row r="63457" spans="25:25" x14ac:dyDescent="0.2">
      <c r="Y63457" s="97"/>
    </row>
    <row r="63458" spans="25:25" x14ac:dyDescent="0.2">
      <c r="Y63458" s="97"/>
    </row>
    <row r="63459" spans="25:25" x14ac:dyDescent="0.2">
      <c r="Y63459" s="97"/>
    </row>
    <row r="63460" spans="25:25" x14ac:dyDescent="0.2">
      <c r="Y63460" s="97"/>
    </row>
    <row r="63461" spans="25:25" x14ac:dyDescent="0.2">
      <c r="Y63461" s="97"/>
    </row>
    <row r="63462" spans="25:25" x14ac:dyDescent="0.2">
      <c r="Y63462" s="97"/>
    </row>
    <row r="63463" spans="25:25" x14ac:dyDescent="0.2">
      <c r="Y63463" s="97"/>
    </row>
    <row r="63464" spans="25:25" x14ac:dyDescent="0.2">
      <c r="Y63464" s="97"/>
    </row>
    <row r="63465" spans="25:25" x14ac:dyDescent="0.2">
      <c r="Y63465" s="97"/>
    </row>
    <row r="63466" spans="25:25" x14ac:dyDescent="0.2">
      <c r="Y63466" s="97"/>
    </row>
    <row r="63467" spans="25:25" x14ac:dyDescent="0.2">
      <c r="Y63467" s="97"/>
    </row>
    <row r="63468" spans="25:25" x14ac:dyDescent="0.2">
      <c r="Y63468" s="97"/>
    </row>
    <row r="63469" spans="25:25" x14ac:dyDescent="0.2">
      <c r="Y63469" s="97"/>
    </row>
    <row r="63470" spans="25:25" x14ac:dyDescent="0.2">
      <c r="Y63470" s="97"/>
    </row>
    <row r="63471" spans="25:25" x14ac:dyDescent="0.2">
      <c r="Y63471" s="97"/>
    </row>
    <row r="63472" spans="25:25" x14ac:dyDescent="0.2">
      <c r="Y63472" s="97"/>
    </row>
    <row r="63473" spans="25:25" x14ac:dyDescent="0.2">
      <c r="Y63473" s="97"/>
    </row>
    <row r="63474" spans="25:25" x14ac:dyDescent="0.2">
      <c r="Y63474" s="97"/>
    </row>
    <row r="63475" spans="25:25" x14ac:dyDescent="0.2">
      <c r="Y63475" s="97"/>
    </row>
    <row r="63476" spans="25:25" x14ac:dyDescent="0.2">
      <c r="Y63476" s="97"/>
    </row>
    <row r="63477" spans="25:25" x14ac:dyDescent="0.2">
      <c r="Y63477" s="97"/>
    </row>
    <row r="63478" spans="25:25" x14ac:dyDescent="0.2">
      <c r="Y63478" s="97"/>
    </row>
    <row r="63479" spans="25:25" x14ac:dyDescent="0.2">
      <c r="Y63479" s="97"/>
    </row>
    <row r="63480" spans="25:25" x14ac:dyDescent="0.2">
      <c r="Y63480" s="97"/>
    </row>
    <row r="63481" spans="25:25" x14ac:dyDescent="0.2">
      <c r="Y63481" s="97"/>
    </row>
    <row r="63482" spans="25:25" x14ac:dyDescent="0.2">
      <c r="Y63482" s="97"/>
    </row>
    <row r="63483" spans="25:25" x14ac:dyDescent="0.2">
      <c r="Y63483" s="97"/>
    </row>
    <row r="63484" spans="25:25" x14ac:dyDescent="0.2">
      <c r="Y63484" s="97"/>
    </row>
    <row r="63485" spans="25:25" x14ac:dyDescent="0.2">
      <c r="Y63485" s="97"/>
    </row>
    <row r="63486" spans="25:25" x14ac:dyDescent="0.2">
      <c r="Y63486" s="97"/>
    </row>
    <row r="63487" spans="25:25" x14ac:dyDescent="0.2">
      <c r="Y63487" s="97"/>
    </row>
    <row r="63488" spans="25:25" x14ac:dyDescent="0.2">
      <c r="Y63488" s="97"/>
    </row>
    <row r="63489" spans="25:25" x14ac:dyDescent="0.2">
      <c r="Y63489" s="97"/>
    </row>
    <row r="63490" spans="25:25" x14ac:dyDescent="0.2">
      <c r="Y63490" s="97"/>
    </row>
    <row r="63491" spans="25:25" x14ac:dyDescent="0.2">
      <c r="Y63491" s="97"/>
    </row>
    <row r="63492" spans="25:25" x14ac:dyDescent="0.2">
      <c r="Y63492" s="97"/>
    </row>
    <row r="63493" spans="25:25" x14ac:dyDescent="0.2">
      <c r="Y63493" s="97"/>
    </row>
    <row r="63494" spans="25:25" x14ac:dyDescent="0.2">
      <c r="Y63494" s="97"/>
    </row>
    <row r="63495" spans="25:25" x14ac:dyDescent="0.2">
      <c r="Y63495" s="97"/>
    </row>
    <row r="63496" spans="25:25" x14ac:dyDescent="0.2">
      <c r="Y63496" s="97"/>
    </row>
    <row r="63497" spans="25:25" x14ac:dyDescent="0.2">
      <c r="Y63497" s="97"/>
    </row>
    <row r="63498" spans="25:25" x14ac:dyDescent="0.2">
      <c r="Y63498" s="97"/>
    </row>
    <row r="63499" spans="25:25" x14ac:dyDescent="0.2">
      <c r="Y63499" s="97"/>
    </row>
    <row r="63500" spans="25:25" x14ac:dyDescent="0.2">
      <c r="Y63500" s="97"/>
    </row>
    <row r="63501" spans="25:25" x14ac:dyDescent="0.2">
      <c r="Y63501" s="97"/>
    </row>
    <row r="63502" spans="25:25" x14ac:dyDescent="0.2">
      <c r="Y63502" s="97"/>
    </row>
    <row r="63503" spans="25:25" x14ac:dyDescent="0.2">
      <c r="Y63503" s="97"/>
    </row>
    <row r="63504" spans="25:25" x14ac:dyDescent="0.2">
      <c r="Y63504" s="97"/>
    </row>
    <row r="63505" spans="25:25" x14ac:dyDescent="0.2">
      <c r="Y63505" s="97"/>
    </row>
    <row r="63506" spans="25:25" x14ac:dyDescent="0.2">
      <c r="Y63506" s="97"/>
    </row>
    <row r="63507" spans="25:25" x14ac:dyDescent="0.2">
      <c r="Y63507" s="97"/>
    </row>
    <row r="63508" spans="25:25" x14ac:dyDescent="0.2">
      <c r="Y63508" s="97"/>
    </row>
    <row r="63509" spans="25:25" x14ac:dyDescent="0.2">
      <c r="Y63509" s="97"/>
    </row>
    <row r="63510" spans="25:25" x14ac:dyDescent="0.2">
      <c r="Y63510" s="97"/>
    </row>
    <row r="63511" spans="25:25" x14ac:dyDescent="0.2">
      <c r="Y63511" s="97"/>
    </row>
    <row r="63512" spans="25:25" x14ac:dyDescent="0.2">
      <c r="Y63512" s="97"/>
    </row>
    <row r="63513" spans="25:25" x14ac:dyDescent="0.2">
      <c r="Y63513" s="97"/>
    </row>
    <row r="63514" spans="25:25" x14ac:dyDescent="0.2">
      <c r="Y63514" s="97"/>
    </row>
    <row r="63515" spans="25:25" x14ac:dyDescent="0.2">
      <c r="Y63515" s="97"/>
    </row>
    <row r="63516" spans="25:25" x14ac:dyDescent="0.2">
      <c r="Y63516" s="97"/>
    </row>
    <row r="63517" spans="25:25" x14ac:dyDescent="0.2">
      <c r="Y63517" s="97"/>
    </row>
    <row r="63518" spans="25:25" x14ac:dyDescent="0.2">
      <c r="Y63518" s="97"/>
    </row>
    <row r="63519" spans="25:25" x14ac:dyDescent="0.2">
      <c r="Y63519" s="97"/>
    </row>
    <row r="63520" spans="25:25" x14ac:dyDescent="0.2">
      <c r="Y63520" s="97"/>
    </row>
    <row r="63521" spans="25:25" x14ac:dyDescent="0.2">
      <c r="Y63521" s="97"/>
    </row>
    <row r="63522" spans="25:25" x14ac:dyDescent="0.2">
      <c r="Y63522" s="97"/>
    </row>
    <row r="63523" spans="25:25" x14ac:dyDescent="0.2">
      <c r="Y63523" s="97"/>
    </row>
    <row r="63524" spans="25:25" x14ac:dyDescent="0.2">
      <c r="Y63524" s="97"/>
    </row>
    <row r="63525" spans="25:25" x14ac:dyDescent="0.2">
      <c r="Y63525" s="97"/>
    </row>
    <row r="63526" spans="25:25" x14ac:dyDescent="0.2">
      <c r="Y63526" s="97"/>
    </row>
    <row r="63527" spans="25:25" x14ac:dyDescent="0.2">
      <c r="Y63527" s="97"/>
    </row>
    <row r="63528" spans="25:25" x14ac:dyDescent="0.2">
      <c r="Y63528" s="97"/>
    </row>
    <row r="63529" spans="25:25" x14ac:dyDescent="0.2">
      <c r="Y63529" s="97"/>
    </row>
    <row r="63530" spans="25:25" x14ac:dyDescent="0.2">
      <c r="Y63530" s="97"/>
    </row>
    <row r="63531" spans="25:25" x14ac:dyDescent="0.2">
      <c r="Y63531" s="97"/>
    </row>
    <row r="63532" spans="25:25" x14ac:dyDescent="0.2">
      <c r="Y63532" s="97"/>
    </row>
    <row r="63533" spans="25:25" x14ac:dyDescent="0.2">
      <c r="Y63533" s="97"/>
    </row>
    <row r="63534" spans="25:25" x14ac:dyDescent="0.2">
      <c r="Y63534" s="97"/>
    </row>
    <row r="63535" spans="25:25" x14ac:dyDescent="0.2">
      <c r="Y63535" s="97"/>
    </row>
    <row r="63536" spans="25:25" x14ac:dyDescent="0.2">
      <c r="Y63536" s="97"/>
    </row>
    <row r="63537" spans="25:25" x14ac:dyDescent="0.2">
      <c r="Y63537" s="97"/>
    </row>
    <row r="63538" spans="25:25" x14ac:dyDescent="0.2">
      <c r="Y63538" s="97"/>
    </row>
    <row r="63539" spans="25:25" x14ac:dyDescent="0.2">
      <c r="Y63539" s="97"/>
    </row>
    <row r="63540" spans="25:25" x14ac:dyDescent="0.2">
      <c r="Y63540" s="97"/>
    </row>
    <row r="63541" spans="25:25" x14ac:dyDescent="0.2">
      <c r="Y63541" s="97"/>
    </row>
    <row r="63542" spans="25:25" x14ac:dyDescent="0.2">
      <c r="Y63542" s="97"/>
    </row>
    <row r="63543" spans="25:25" x14ac:dyDescent="0.2">
      <c r="Y63543" s="97"/>
    </row>
    <row r="63544" spans="25:25" x14ac:dyDescent="0.2">
      <c r="Y63544" s="97"/>
    </row>
    <row r="63545" spans="25:25" x14ac:dyDescent="0.2">
      <c r="Y63545" s="97"/>
    </row>
    <row r="63546" spans="25:25" x14ac:dyDescent="0.2">
      <c r="Y63546" s="97"/>
    </row>
    <row r="63547" spans="25:25" x14ac:dyDescent="0.2">
      <c r="Y63547" s="97"/>
    </row>
    <row r="63548" spans="25:25" x14ac:dyDescent="0.2">
      <c r="Y63548" s="97"/>
    </row>
    <row r="63549" spans="25:25" x14ac:dyDescent="0.2">
      <c r="Y63549" s="97"/>
    </row>
    <row r="63550" spans="25:25" x14ac:dyDescent="0.2">
      <c r="Y63550" s="97"/>
    </row>
    <row r="63551" spans="25:25" x14ac:dyDescent="0.2">
      <c r="Y63551" s="97"/>
    </row>
    <row r="63552" spans="25:25" x14ac:dyDescent="0.2">
      <c r="Y63552" s="97"/>
    </row>
    <row r="63553" spans="25:25" x14ac:dyDescent="0.2">
      <c r="Y63553" s="97"/>
    </row>
    <row r="63554" spans="25:25" x14ac:dyDescent="0.2">
      <c r="Y63554" s="97"/>
    </row>
    <row r="63555" spans="25:25" x14ac:dyDescent="0.2">
      <c r="Y63555" s="97"/>
    </row>
    <row r="63556" spans="25:25" x14ac:dyDescent="0.2">
      <c r="Y63556" s="97"/>
    </row>
    <row r="63557" spans="25:25" x14ac:dyDescent="0.2">
      <c r="Y63557" s="97"/>
    </row>
    <row r="63558" spans="25:25" x14ac:dyDescent="0.2">
      <c r="Y63558" s="97"/>
    </row>
    <row r="63559" spans="25:25" x14ac:dyDescent="0.2">
      <c r="Y63559" s="97"/>
    </row>
    <row r="63560" spans="25:25" x14ac:dyDescent="0.2">
      <c r="Y63560" s="97"/>
    </row>
    <row r="63561" spans="25:25" x14ac:dyDescent="0.2">
      <c r="Y63561" s="97"/>
    </row>
    <row r="63562" spans="25:25" x14ac:dyDescent="0.2">
      <c r="Y63562" s="97"/>
    </row>
    <row r="63563" spans="25:25" x14ac:dyDescent="0.2">
      <c r="Y63563" s="97"/>
    </row>
    <row r="63564" spans="25:25" x14ac:dyDescent="0.2">
      <c r="Y63564" s="97"/>
    </row>
    <row r="63565" spans="25:25" x14ac:dyDescent="0.2">
      <c r="Y63565" s="97"/>
    </row>
    <row r="63566" spans="25:25" x14ac:dyDescent="0.2">
      <c r="Y63566" s="97"/>
    </row>
    <row r="63567" spans="25:25" x14ac:dyDescent="0.2">
      <c r="Y63567" s="97"/>
    </row>
    <row r="63568" spans="25:25" x14ac:dyDescent="0.2">
      <c r="Y63568" s="97"/>
    </row>
    <row r="63569" spans="25:25" x14ac:dyDescent="0.2">
      <c r="Y63569" s="97"/>
    </row>
    <row r="63570" spans="25:25" x14ac:dyDescent="0.2">
      <c r="Y63570" s="97"/>
    </row>
    <row r="63571" spans="25:25" x14ac:dyDescent="0.2">
      <c r="Y63571" s="97"/>
    </row>
    <row r="63572" spans="25:25" x14ac:dyDescent="0.2">
      <c r="Y63572" s="97"/>
    </row>
    <row r="63573" spans="25:25" x14ac:dyDescent="0.2">
      <c r="Y63573" s="97"/>
    </row>
    <row r="63574" spans="25:25" x14ac:dyDescent="0.2">
      <c r="Y63574" s="97"/>
    </row>
    <row r="63575" spans="25:25" x14ac:dyDescent="0.2">
      <c r="Y63575" s="97"/>
    </row>
    <row r="63576" spans="25:25" x14ac:dyDescent="0.2">
      <c r="Y63576" s="97"/>
    </row>
    <row r="63577" spans="25:25" x14ac:dyDescent="0.2">
      <c r="Y63577" s="97"/>
    </row>
    <row r="63578" spans="25:25" x14ac:dyDescent="0.2">
      <c r="Y63578" s="97"/>
    </row>
    <row r="63579" spans="25:25" x14ac:dyDescent="0.2">
      <c r="Y63579" s="97"/>
    </row>
    <row r="63580" spans="25:25" x14ac:dyDescent="0.2">
      <c r="Y63580" s="97"/>
    </row>
    <row r="63581" spans="25:25" x14ac:dyDescent="0.2">
      <c r="Y63581" s="97"/>
    </row>
    <row r="63582" spans="25:25" x14ac:dyDescent="0.2">
      <c r="Y63582" s="97"/>
    </row>
    <row r="63583" spans="25:25" x14ac:dyDescent="0.2">
      <c r="Y63583" s="97"/>
    </row>
    <row r="63584" spans="25:25" x14ac:dyDescent="0.2">
      <c r="Y63584" s="97"/>
    </row>
    <row r="63585" spans="25:25" x14ac:dyDescent="0.2">
      <c r="Y63585" s="97"/>
    </row>
    <row r="63586" spans="25:25" x14ac:dyDescent="0.2">
      <c r="Y63586" s="97"/>
    </row>
    <row r="63587" spans="25:25" x14ac:dyDescent="0.2">
      <c r="Y63587" s="97"/>
    </row>
    <row r="63588" spans="25:25" x14ac:dyDescent="0.2">
      <c r="Y63588" s="97"/>
    </row>
    <row r="63589" spans="25:25" x14ac:dyDescent="0.2">
      <c r="Y63589" s="97"/>
    </row>
    <row r="63590" spans="25:25" x14ac:dyDescent="0.2">
      <c r="Y63590" s="97"/>
    </row>
    <row r="63591" spans="25:25" x14ac:dyDescent="0.2">
      <c r="Y63591" s="97"/>
    </row>
    <row r="63592" spans="25:25" x14ac:dyDescent="0.2">
      <c r="Y63592" s="97"/>
    </row>
    <row r="63593" spans="25:25" x14ac:dyDescent="0.2">
      <c r="Y63593" s="97"/>
    </row>
    <row r="63594" spans="25:25" x14ac:dyDescent="0.2">
      <c r="Y63594" s="97"/>
    </row>
    <row r="63595" spans="25:25" x14ac:dyDescent="0.2">
      <c r="Y63595" s="97"/>
    </row>
    <row r="63596" spans="25:25" x14ac:dyDescent="0.2">
      <c r="Y63596" s="97"/>
    </row>
    <row r="63597" spans="25:25" x14ac:dyDescent="0.2">
      <c r="Y63597" s="97"/>
    </row>
    <row r="63598" spans="25:25" x14ac:dyDescent="0.2">
      <c r="Y63598" s="97"/>
    </row>
    <row r="63599" spans="25:25" x14ac:dyDescent="0.2">
      <c r="Y63599" s="97"/>
    </row>
    <row r="63600" spans="25:25" x14ac:dyDescent="0.2">
      <c r="Y63600" s="97"/>
    </row>
    <row r="63601" spans="25:25" x14ac:dyDescent="0.2">
      <c r="Y63601" s="97"/>
    </row>
    <row r="63602" spans="25:25" x14ac:dyDescent="0.2">
      <c r="Y63602" s="97"/>
    </row>
    <row r="63603" spans="25:25" x14ac:dyDescent="0.2">
      <c r="Y63603" s="97"/>
    </row>
    <row r="63604" spans="25:25" x14ac:dyDescent="0.2">
      <c r="Y63604" s="97"/>
    </row>
    <row r="63605" spans="25:25" x14ac:dyDescent="0.2">
      <c r="Y63605" s="97"/>
    </row>
    <row r="63606" spans="25:25" x14ac:dyDescent="0.2">
      <c r="Y63606" s="97"/>
    </row>
    <row r="63607" spans="25:25" x14ac:dyDescent="0.2">
      <c r="Y63607" s="97"/>
    </row>
    <row r="63608" spans="25:25" x14ac:dyDescent="0.2">
      <c r="Y63608" s="97"/>
    </row>
    <row r="63609" spans="25:25" x14ac:dyDescent="0.2">
      <c r="Y63609" s="97"/>
    </row>
    <row r="63610" spans="25:25" x14ac:dyDescent="0.2">
      <c r="Y63610" s="97"/>
    </row>
    <row r="63611" spans="25:25" x14ac:dyDescent="0.2">
      <c r="Y63611" s="97"/>
    </row>
    <row r="63612" spans="25:25" x14ac:dyDescent="0.2">
      <c r="Y63612" s="97"/>
    </row>
    <row r="63613" spans="25:25" x14ac:dyDescent="0.2">
      <c r="Y63613" s="97"/>
    </row>
    <row r="63614" spans="25:25" x14ac:dyDescent="0.2">
      <c r="Y63614" s="97"/>
    </row>
    <row r="63615" spans="25:25" x14ac:dyDescent="0.2">
      <c r="Y63615" s="97"/>
    </row>
    <row r="63616" spans="25:25" x14ac:dyDescent="0.2">
      <c r="Y63616" s="97"/>
    </row>
    <row r="63617" spans="25:25" x14ac:dyDescent="0.2">
      <c r="Y63617" s="97"/>
    </row>
    <row r="63618" spans="25:25" x14ac:dyDescent="0.2">
      <c r="Y63618" s="97"/>
    </row>
    <row r="63619" spans="25:25" x14ac:dyDescent="0.2">
      <c r="Y63619" s="97"/>
    </row>
    <row r="63620" spans="25:25" x14ac:dyDescent="0.2">
      <c r="Y63620" s="97"/>
    </row>
    <row r="63621" spans="25:25" x14ac:dyDescent="0.2">
      <c r="Y63621" s="97"/>
    </row>
    <row r="63622" spans="25:25" x14ac:dyDescent="0.2">
      <c r="Y63622" s="97"/>
    </row>
    <row r="63623" spans="25:25" x14ac:dyDescent="0.2">
      <c r="Y63623" s="97"/>
    </row>
    <row r="63624" spans="25:25" x14ac:dyDescent="0.2">
      <c r="Y63624" s="97"/>
    </row>
    <row r="63625" spans="25:25" x14ac:dyDescent="0.2">
      <c r="Y63625" s="97"/>
    </row>
    <row r="63626" spans="25:25" x14ac:dyDescent="0.2">
      <c r="Y63626" s="97"/>
    </row>
    <row r="63627" spans="25:25" x14ac:dyDescent="0.2">
      <c r="Y63627" s="97"/>
    </row>
    <row r="63628" spans="25:25" x14ac:dyDescent="0.2">
      <c r="Y63628" s="97"/>
    </row>
    <row r="63629" spans="25:25" x14ac:dyDescent="0.2">
      <c r="Y63629" s="97"/>
    </row>
    <row r="63630" spans="25:25" x14ac:dyDescent="0.2">
      <c r="Y63630" s="97"/>
    </row>
    <row r="63631" spans="25:25" x14ac:dyDescent="0.2">
      <c r="Y63631" s="97"/>
    </row>
    <row r="63632" spans="25:25" x14ac:dyDescent="0.2">
      <c r="Y63632" s="97"/>
    </row>
    <row r="63633" spans="25:25" x14ac:dyDescent="0.2">
      <c r="Y63633" s="97"/>
    </row>
    <row r="63634" spans="25:25" x14ac:dyDescent="0.2">
      <c r="Y63634" s="97"/>
    </row>
    <row r="63635" spans="25:25" x14ac:dyDescent="0.2">
      <c r="Y63635" s="97"/>
    </row>
    <row r="63636" spans="25:25" x14ac:dyDescent="0.2">
      <c r="Y63636" s="97"/>
    </row>
    <row r="63637" spans="25:25" x14ac:dyDescent="0.2">
      <c r="Y63637" s="97"/>
    </row>
    <row r="63638" spans="25:25" x14ac:dyDescent="0.2">
      <c r="Y63638" s="97"/>
    </row>
    <row r="63639" spans="25:25" x14ac:dyDescent="0.2">
      <c r="Y63639" s="97"/>
    </row>
    <row r="63640" spans="25:25" x14ac:dyDescent="0.2">
      <c r="Y63640" s="97"/>
    </row>
    <row r="63641" spans="25:25" x14ac:dyDescent="0.2">
      <c r="Y63641" s="97"/>
    </row>
    <row r="63642" spans="25:25" x14ac:dyDescent="0.2">
      <c r="Y63642" s="97"/>
    </row>
    <row r="63643" spans="25:25" x14ac:dyDescent="0.2">
      <c r="Y63643" s="97"/>
    </row>
    <row r="63644" spans="25:25" x14ac:dyDescent="0.2">
      <c r="Y63644" s="97"/>
    </row>
    <row r="63645" spans="25:25" x14ac:dyDescent="0.2">
      <c r="Y63645" s="97"/>
    </row>
    <row r="63646" spans="25:25" x14ac:dyDescent="0.2">
      <c r="Y63646" s="97"/>
    </row>
    <row r="63647" spans="25:25" x14ac:dyDescent="0.2">
      <c r="Y63647" s="97"/>
    </row>
    <row r="63648" spans="25:25" x14ac:dyDescent="0.2">
      <c r="Y63648" s="97"/>
    </row>
    <row r="63649" spans="25:25" x14ac:dyDescent="0.2">
      <c r="Y63649" s="97"/>
    </row>
    <row r="63650" spans="25:25" x14ac:dyDescent="0.2">
      <c r="Y63650" s="97"/>
    </row>
    <row r="63651" spans="25:25" x14ac:dyDescent="0.2">
      <c r="Y63651" s="97"/>
    </row>
    <row r="63652" spans="25:25" x14ac:dyDescent="0.2">
      <c r="Y63652" s="97"/>
    </row>
    <row r="63653" spans="25:25" x14ac:dyDescent="0.2">
      <c r="Y63653" s="97"/>
    </row>
    <row r="63654" spans="25:25" x14ac:dyDescent="0.2">
      <c r="Y63654" s="97"/>
    </row>
    <row r="63655" spans="25:25" x14ac:dyDescent="0.2">
      <c r="Y63655" s="97"/>
    </row>
    <row r="63656" spans="25:25" x14ac:dyDescent="0.2">
      <c r="Y63656" s="97"/>
    </row>
    <row r="63657" spans="25:25" x14ac:dyDescent="0.2">
      <c r="Y63657" s="97"/>
    </row>
    <row r="63658" spans="25:25" x14ac:dyDescent="0.2">
      <c r="Y63658" s="97"/>
    </row>
    <row r="63659" spans="25:25" x14ac:dyDescent="0.2">
      <c r="Y63659" s="97"/>
    </row>
    <row r="63660" spans="25:25" x14ac:dyDescent="0.2">
      <c r="Y63660" s="97"/>
    </row>
    <row r="63661" spans="25:25" x14ac:dyDescent="0.2">
      <c r="Y63661" s="97"/>
    </row>
    <row r="63662" spans="25:25" x14ac:dyDescent="0.2">
      <c r="Y63662" s="97"/>
    </row>
    <row r="63663" spans="25:25" x14ac:dyDescent="0.2">
      <c r="Y63663" s="97"/>
    </row>
    <row r="63664" spans="25:25" x14ac:dyDescent="0.2">
      <c r="Y63664" s="97"/>
    </row>
    <row r="63665" spans="25:25" x14ac:dyDescent="0.2">
      <c r="Y63665" s="97"/>
    </row>
    <row r="63666" spans="25:25" x14ac:dyDescent="0.2">
      <c r="Y63666" s="97"/>
    </row>
    <row r="63667" spans="25:25" x14ac:dyDescent="0.2">
      <c r="Y63667" s="97"/>
    </row>
    <row r="63668" spans="25:25" x14ac:dyDescent="0.2">
      <c r="Y63668" s="97"/>
    </row>
    <row r="63669" spans="25:25" x14ac:dyDescent="0.2">
      <c r="Y63669" s="97"/>
    </row>
    <row r="63670" spans="25:25" x14ac:dyDescent="0.2">
      <c r="Y63670" s="97"/>
    </row>
    <row r="63671" spans="25:25" x14ac:dyDescent="0.2">
      <c r="Y63671" s="97"/>
    </row>
    <row r="63672" spans="25:25" x14ac:dyDescent="0.2">
      <c r="Y63672" s="97"/>
    </row>
    <row r="63673" spans="25:25" x14ac:dyDescent="0.2">
      <c r="Y63673" s="97"/>
    </row>
    <row r="63674" spans="25:25" x14ac:dyDescent="0.2">
      <c r="Y63674" s="97"/>
    </row>
    <row r="63675" spans="25:25" x14ac:dyDescent="0.2">
      <c r="Y63675" s="97"/>
    </row>
    <row r="63676" spans="25:25" x14ac:dyDescent="0.2">
      <c r="Y63676" s="97"/>
    </row>
    <row r="63677" spans="25:25" x14ac:dyDescent="0.2">
      <c r="Y63677" s="97"/>
    </row>
    <row r="63678" spans="25:25" x14ac:dyDescent="0.2">
      <c r="Y63678" s="97"/>
    </row>
    <row r="63679" spans="25:25" x14ac:dyDescent="0.2">
      <c r="Y63679" s="97"/>
    </row>
    <row r="63680" spans="25:25" x14ac:dyDescent="0.2">
      <c r="Y63680" s="97"/>
    </row>
    <row r="63681" spans="25:25" x14ac:dyDescent="0.2">
      <c r="Y63681" s="97"/>
    </row>
    <row r="63682" spans="25:25" x14ac:dyDescent="0.2">
      <c r="Y63682" s="97"/>
    </row>
    <row r="63683" spans="25:25" x14ac:dyDescent="0.2">
      <c r="Y63683" s="97"/>
    </row>
    <row r="63684" spans="25:25" x14ac:dyDescent="0.2">
      <c r="Y63684" s="97"/>
    </row>
    <row r="63685" spans="25:25" x14ac:dyDescent="0.2">
      <c r="Y63685" s="97"/>
    </row>
    <row r="63686" spans="25:25" x14ac:dyDescent="0.2">
      <c r="Y63686" s="97"/>
    </row>
    <row r="63687" spans="25:25" x14ac:dyDescent="0.2">
      <c r="Y63687" s="97"/>
    </row>
    <row r="63688" spans="25:25" x14ac:dyDescent="0.2">
      <c r="Y63688" s="97"/>
    </row>
    <row r="63689" spans="25:25" x14ac:dyDescent="0.2">
      <c r="Y63689" s="97"/>
    </row>
    <row r="63690" spans="25:25" x14ac:dyDescent="0.2">
      <c r="Y63690" s="97"/>
    </row>
    <row r="63691" spans="25:25" x14ac:dyDescent="0.2">
      <c r="Y63691" s="97"/>
    </row>
    <row r="63692" spans="25:25" x14ac:dyDescent="0.2">
      <c r="Y63692" s="97"/>
    </row>
    <row r="63693" spans="25:25" x14ac:dyDescent="0.2">
      <c r="Y63693" s="97"/>
    </row>
    <row r="63694" spans="25:25" x14ac:dyDescent="0.2">
      <c r="Y63694" s="97"/>
    </row>
    <row r="63695" spans="25:25" x14ac:dyDescent="0.2">
      <c r="Y63695" s="97"/>
    </row>
    <row r="63696" spans="25:25" x14ac:dyDescent="0.2">
      <c r="Y63696" s="97"/>
    </row>
    <row r="63697" spans="25:25" x14ac:dyDescent="0.2">
      <c r="Y63697" s="97"/>
    </row>
    <row r="63698" spans="25:25" x14ac:dyDescent="0.2">
      <c r="Y63698" s="97"/>
    </row>
    <row r="63699" spans="25:25" x14ac:dyDescent="0.2">
      <c r="Y63699" s="97"/>
    </row>
    <row r="63700" spans="25:25" x14ac:dyDescent="0.2">
      <c r="Y63700" s="97"/>
    </row>
    <row r="63701" spans="25:25" x14ac:dyDescent="0.2">
      <c r="Y63701" s="97"/>
    </row>
    <row r="63702" spans="25:25" x14ac:dyDescent="0.2">
      <c r="Y63702" s="97"/>
    </row>
    <row r="63703" spans="25:25" x14ac:dyDescent="0.2">
      <c r="Y63703" s="97"/>
    </row>
    <row r="63704" spans="25:25" x14ac:dyDescent="0.2">
      <c r="Y63704" s="97"/>
    </row>
    <row r="63705" spans="25:25" x14ac:dyDescent="0.2">
      <c r="Y63705" s="97"/>
    </row>
    <row r="63706" spans="25:25" x14ac:dyDescent="0.2">
      <c r="Y63706" s="97"/>
    </row>
    <row r="63707" spans="25:25" x14ac:dyDescent="0.2">
      <c r="Y63707" s="97"/>
    </row>
    <row r="63708" spans="25:25" x14ac:dyDescent="0.2">
      <c r="Y63708" s="97"/>
    </row>
    <row r="63709" spans="25:25" x14ac:dyDescent="0.2">
      <c r="Y63709" s="97"/>
    </row>
    <row r="63710" spans="25:25" x14ac:dyDescent="0.2">
      <c r="Y63710" s="97"/>
    </row>
    <row r="63711" spans="25:25" x14ac:dyDescent="0.2">
      <c r="Y63711" s="97"/>
    </row>
    <row r="63712" spans="25:25" x14ac:dyDescent="0.2">
      <c r="Y63712" s="97"/>
    </row>
    <row r="63713" spans="25:25" x14ac:dyDescent="0.2">
      <c r="Y63713" s="97"/>
    </row>
    <row r="63714" spans="25:25" x14ac:dyDescent="0.2">
      <c r="Y63714" s="97"/>
    </row>
    <row r="63715" spans="25:25" x14ac:dyDescent="0.2">
      <c r="Y63715" s="97"/>
    </row>
    <row r="63716" spans="25:25" x14ac:dyDescent="0.2">
      <c r="Y63716" s="97"/>
    </row>
    <row r="63717" spans="25:25" x14ac:dyDescent="0.2">
      <c r="Y63717" s="97"/>
    </row>
    <row r="63718" spans="25:25" x14ac:dyDescent="0.2">
      <c r="Y63718" s="97"/>
    </row>
    <row r="63719" spans="25:25" x14ac:dyDescent="0.2">
      <c r="Y63719" s="97"/>
    </row>
    <row r="63720" spans="25:25" x14ac:dyDescent="0.2">
      <c r="Y63720" s="97"/>
    </row>
    <row r="63721" spans="25:25" x14ac:dyDescent="0.2">
      <c r="Y63721" s="97"/>
    </row>
    <row r="63722" spans="25:25" x14ac:dyDescent="0.2">
      <c r="Y63722" s="97"/>
    </row>
    <row r="63723" spans="25:25" x14ac:dyDescent="0.2">
      <c r="Y63723" s="97"/>
    </row>
    <row r="63724" spans="25:25" x14ac:dyDescent="0.2">
      <c r="Y63724" s="97"/>
    </row>
    <row r="63725" spans="25:25" x14ac:dyDescent="0.2">
      <c r="Y63725" s="97"/>
    </row>
    <row r="63726" spans="25:25" x14ac:dyDescent="0.2">
      <c r="Y63726" s="97"/>
    </row>
    <row r="63727" spans="25:25" x14ac:dyDescent="0.2">
      <c r="Y63727" s="97"/>
    </row>
    <row r="63728" spans="25:25" x14ac:dyDescent="0.2">
      <c r="Y63728" s="97"/>
    </row>
    <row r="63729" spans="25:25" x14ac:dyDescent="0.2">
      <c r="Y63729" s="97"/>
    </row>
    <row r="63730" spans="25:25" x14ac:dyDescent="0.2">
      <c r="Y63730" s="97"/>
    </row>
    <row r="63731" spans="25:25" x14ac:dyDescent="0.2">
      <c r="Y63731" s="97"/>
    </row>
    <row r="63732" spans="25:25" x14ac:dyDescent="0.2">
      <c r="Y63732" s="97"/>
    </row>
    <row r="63733" spans="25:25" x14ac:dyDescent="0.2">
      <c r="Y63733" s="97"/>
    </row>
    <row r="63734" spans="25:25" x14ac:dyDescent="0.2">
      <c r="Y63734" s="97"/>
    </row>
    <row r="63735" spans="25:25" x14ac:dyDescent="0.2">
      <c r="Y63735" s="97"/>
    </row>
    <row r="63736" spans="25:25" x14ac:dyDescent="0.2">
      <c r="Y63736" s="97"/>
    </row>
    <row r="63737" spans="25:25" x14ac:dyDescent="0.2">
      <c r="Y63737" s="97"/>
    </row>
    <row r="63738" spans="25:25" x14ac:dyDescent="0.2">
      <c r="Y63738" s="97"/>
    </row>
    <row r="63739" spans="25:25" x14ac:dyDescent="0.2">
      <c r="Y63739" s="97"/>
    </row>
    <row r="63740" spans="25:25" x14ac:dyDescent="0.2">
      <c r="Y63740" s="97"/>
    </row>
    <row r="63741" spans="25:25" x14ac:dyDescent="0.2">
      <c r="Y63741" s="97"/>
    </row>
    <row r="63742" spans="25:25" x14ac:dyDescent="0.2">
      <c r="Y63742" s="97"/>
    </row>
    <row r="63743" spans="25:25" x14ac:dyDescent="0.2">
      <c r="Y63743" s="97"/>
    </row>
    <row r="63744" spans="25:25" x14ac:dyDescent="0.2">
      <c r="Y63744" s="97"/>
    </row>
    <row r="63745" spans="25:25" x14ac:dyDescent="0.2">
      <c r="Y63745" s="97"/>
    </row>
    <row r="63746" spans="25:25" x14ac:dyDescent="0.2">
      <c r="Y63746" s="97"/>
    </row>
    <row r="63747" spans="25:25" x14ac:dyDescent="0.2">
      <c r="Y63747" s="97"/>
    </row>
    <row r="63748" spans="25:25" x14ac:dyDescent="0.2">
      <c r="Y63748" s="97"/>
    </row>
    <row r="63749" spans="25:25" x14ac:dyDescent="0.2">
      <c r="Y63749" s="97"/>
    </row>
    <row r="63750" spans="25:25" x14ac:dyDescent="0.2">
      <c r="Y63750" s="97"/>
    </row>
    <row r="63751" spans="25:25" x14ac:dyDescent="0.2">
      <c r="Y63751" s="97"/>
    </row>
    <row r="63752" spans="25:25" x14ac:dyDescent="0.2">
      <c r="Y63752" s="97"/>
    </row>
    <row r="63753" spans="25:25" x14ac:dyDescent="0.2">
      <c r="Y63753" s="97"/>
    </row>
    <row r="63754" spans="25:25" x14ac:dyDescent="0.2">
      <c r="Y63754" s="97"/>
    </row>
    <row r="63755" spans="25:25" x14ac:dyDescent="0.2">
      <c r="Y63755" s="97"/>
    </row>
    <row r="63756" spans="25:25" x14ac:dyDescent="0.2">
      <c r="Y63756" s="97"/>
    </row>
    <row r="63757" spans="25:25" x14ac:dyDescent="0.2">
      <c r="Y63757" s="97"/>
    </row>
    <row r="63758" spans="25:25" x14ac:dyDescent="0.2">
      <c r="Y63758" s="97"/>
    </row>
    <row r="63759" spans="25:25" x14ac:dyDescent="0.2">
      <c r="Y63759" s="97"/>
    </row>
    <row r="63760" spans="25:25" x14ac:dyDescent="0.2">
      <c r="Y63760" s="97"/>
    </row>
    <row r="63761" spans="25:25" x14ac:dyDescent="0.2">
      <c r="Y63761" s="97"/>
    </row>
    <row r="63762" spans="25:25" x14ac:dyDescent="0.2">
      <c r="Y63762" s="97"/>
    </row>
    <row r="63763" spans="25:25" x14ac:dyDescent="0.2">
      <c r="Y63763" s="97"/>
    </row>
    <row r="63764" spans="25:25" x14ac:dyDescent="0.2">
      <c r="Y63764" s="97"/>
    </row>
    <row r="63765" spans="25:25" x14ac:dyDescent="0.2">
      <c r="Y63765" s="97"/>
    </row>
    <row r="63766" spans="25:25" x14ac:dyDescent="0.2">
      <c r="Y63766" s="97"/>
    </row>
    <row r="63767" spans="25:25" x14ac:dyDescent="0.2">
      <c r="Y63767" s="97"/>
    </row>
    <row r="63768" spans="25:25" x14ac:dyDescent="0.2">
      <c r="Y63768" s="97"/>
    </row>
    <row r="63769" spans="25:25" x14ac:dyDescent="0.2">
      <c r="Y63769" s="97"/>
    </row>
    <row r="63770" spans="25:25" x14ac:dyDescent="0.2">
      <c r="Y63770" s="97"/>
    </row>
    <row r="63771" spans="25:25" x14ac:dyDescent="0.2">
      <c r="Y63771" s="97"/>
    </row>
    <row r="63772" spans="25:25" x14ac:dyDescent="0.2">
      <c r="Y63772" s="97"/>
    </row>
    <row r="63773" spans="25:25" x14ac:dyDescent="0.2">
      <c r="Y63773" s="97"/>
    </row>
    <row r="63774" spans="25:25" x14ac:dyDescent="0.2">
      <c r="Y63774" s="97"/>
    </row>
    <row r="63775" spans="25:25" x14ac:dyDescent="0.2">
      <c r="Y63775" s="97"/>
    </row>
    <row r="63776" spans="25:25" x14ac:dyDescent="0.2">
      <c r="Y63776" s="97"/>
    </row>
    <row r="63777" spans="25:25" x14ac:dyDescent="0.2">
      <c r="Y63777" s="97"/>
    </row>
    <row r="63778" spans="25:25" x14ac:dyDescent="0.2">
      <c r="Y63778" s="97"/>
    </row>
    <row r="63779" spans="25:25" x14ac:dyDescent="0.2">
      <c r="Y63779" s="97"/>
    </row>
    <row r="63780" spans="25:25" x14ac:dyDescent="0.2">
      <c r="Y63780" s="97"/>
    </row>
    <row r="63781" spans="25:25" x14ac:dyDescent="0.2">
      <c r="Y63781" s="97"/>
    </row>
    <row r="63782" spans="25:25" x14ac:dyDescent="0.2">
      <c r="Y63782" s="97"/>
    </row>
    <row r="63783" spans="25:25" x14ac:dyDescent="0.2">
      <c r="Y63783" s="97"/>
    </row>
    <row r="63784" spans="25:25" x14ac:dyDescent="0.2">
      <c r="Y63784" s="97"/>
    </row>
    <row r="63785" spans="25:25" x14ac:dyDescent="0.2">
      <c r="Y63785" s="97"/>
    </row>
    <row r="63786" spans="25:25" x14ac:dyDescent="0.2">
      <c r="Y63786" s="97"/>
    </row>
    <row r="63787" spans="25:25" x14ac:dyDescent="0.2">
      <c r="Y63787" s="97"/>
    </row>
    <row r="63788" spans="25:25" x14ac:dyDescent="0.2">
      <c r="Y63788" s="97"/>
    </row>
    <row r="63789" spans="25:25" x14ac:dyDescent="0.2">
      <c r="Y63789" s="97"/>
    </row>
    <row r="63790" spans="25:25" x14ac:dyDescent="0.2">
      <c r="Y63790" s="97"/>
    </row>
    <row r="63791" spans="25:25" x14ac:dyDescent="0.2">
      <c r="Y63791" s="97"/>
    </row>
    <row r="63792" spans="25:25" x14ac:dyDescent="0.2">
      <c r="Y63792" s="97"/>
    </row>
    <row r="63793" spans="25:25" x14ac:dyDescent="0.2">
      <c r="Y63793" s="97"/>
    </row>
    <row r="63794" spans="25:25" x14ac:dyDescent="0.2">
      <c r="Y63794" s="97"/>
    </row>
    <row r="63795" spans="25:25" x14ac:dyDescent="0.2">
      <c r="Y63795" s="97"/>
    </row>
    <row r="63796" spans="25:25" x14ac:dyDescent="0.2">
      <c r="Y63796" s="97"/>
    </row>
    <row r="63797" spans="25:25" x14ac:dyDescent="0.2">
      <c r="Y63797" s="97"/>
    </row>
    <row r="63798" spans="25:25" x14ac:dyDescent="0.2">
      <c r="Y63798" s="97"/>
    </row>
    <row r="63799" spans="25:25" x14ac:dyDescent="0.2">
      <c r="Y63799" s="97"/>
    </row>
    <row r="63800" spans="25:25" x14ac:dyDescent="0.2">
      <c r="Y63800" s="97"/>
    </row>
    <row r="63801" spans="25:25" x14ac:dyDescent="0.2">
      <c r="Y63801" s="97"/>
    </row>
    <row r="63802" spans="25:25" x14ac:dyDescent="0.2">
      <c r="Y63802" s="97"/>
    </row>
    <row r="63803" spans="25:25" x14ac:dyDescent="0.2">
      <c r="Y63803" s="97"/>
    </row>
    <row r="63804" spans="25:25" x14ac:dyDescent="0.2">
      <c r="Y63804" s="97"/>
    </row>
    <row r="63805" spans="25:25" x14ac:dyDescent="0.2">
      <c r="Y63805" s="97"/>
    </row>
    <row r="63806" spans="25:25" x14ac:dyDescent="0.2">
      <c r="Y63806" s="97"/>
    </row>
    <row r="63807" spans="25:25" x14ac:dyDescent="0.2">
      <c r="Y63807" s="97"/>
    </row>
    <row r="63808" spans="25:25" x14ac:dyDescent="0.2">
      <c r="Y63808" s="97"/>
    </row>
    <row r="63809" spans="25:25" x14ac:dyDescent="0.2">
      <c r="Y63809" s="97"/>
    </row>
    <row r="63810" spans="25:25" x14ac:dyDescent="0.2">
      <c r="Y63810" s="97"/>
    </row>
    <row r="63811" spans="25:25" x14ac:dyDescent="0.2">
      <c r="Y63811" s="97"/>
    </row>
    <row r="63812" spans="25:25" x14ac:dyDescent="0.2">
      <c r="Y63812" s="97"/>
    </row>
    <row r="63813" spans="25:25" x14ac:dyDescent="0.2">
      <c r="Y63813" s="97"/>
    </row>
    <row r="63814" spans="25:25" x14ac:dyDescent="0.2">
      <c r="Y63814" s="97"/>
    </row>
    <row r="63815" spans="25:25" x14ac:dyDescent="0.2">
      <c r="Y63815" s="97"/>
    </row>
    <row r="63816" spans="25:25" x14ac:dyDescent="0.2">
      <c r="Y63816" s="97"/>
    </row>
    <row r="63817" spans="25:25" x14ac:dyDescent="0.2">
      <c r="Y63817" s="97"/>
    </row>
    <row r="63818" spans="25:25" x14ac:dyDescent="0.2">
      <c r="Y63818" s="97"/>
    </row>
    <row r="63819" spans="25:25" x14ac:dyDescent="0.2">
      <c r="Y63819" s="97"/>
    </row>
    <row r="63820" spans="25:25" x14ac:dyDescent="0.2">
      <c r="Y63820" s="97"/>
    </row>
    <row r="63821" spans="25:25" x14ac:dyDescent="0.2">
      <c r="Y63821" s="97"/>
    </row>
    <row r="63822" spans="25:25" x14ac:dyDescent="0.2">
      <c r="Y63822" s="97"/>
    </row>
    <row r="63823" spans="25:25" x14ac:dyDescent="0.2">
      <c r="Y63823" s="97"/>
    </row>
    <row r="63824" spans="25:25" x14ac:dyDescent="0.2">
      <c r="Y63824" s="97"/>
    </row>
    <row r="63825" spans="25:25" x14ac:dyDescent="0.2">
      <c r="Y63825" s="97"/>
    </row>
    <row r="63826" spans="25:25" x14ac:dyDescent="0.2">
      <c r="Y63826" s="97"/>
    </row>
    <row r="63827" spans="25:25" x14ac:dyDescent="0.2">
      <c r="Y63827" s="97"/>
    </row>
    <row r="63828" spans="25:25" x14ac:dyDescent="0.2">
      <c r="Y63828" s="97"/>
    </row>
    <row r="63829" spans="25:25" x14ac:dyDescent="0.2">
      <c r="Y63829" s="97"/>
    </row>
    <row r="63830" spans="25:25" x14ac:dyDescent="0.2">
      <c r="Y63830" s="97"/>
    </row>
    <row r="63831" spans="25:25" x14ac:dyDescent="0.2">
      <c r="Y63831" s="97"/>
    </row>
    <row r="63832" spans="25:25" x14ac:dyDescent="0.2">
      <c r="Y63832" s="97"/>
    </row>
    <row r="63833" spans="25:25" x14ac:dyDescent="0.2">
      <c r="Y63833" s="97"/>
    </row>
    <row r="63834" spans="25:25" x14ac:dyDescent="0.2">
      <c r="Y63834" s="97"/>
    </row>
    <row r="63835" spans="25:25" x14ac:dyDescent="0.2">
      <c r="Y63835" s="97"/>
    </row>
    <row r="63836" spans="25:25" x14ac:dyDescent="0.2">
      <c r="Y63836" s="97"/>
    </row>
    <row r="63837" spans="25:25" x14ac:dyDescent="0.2">
      <c r="Y63837" s="97"/>
    </row>
    <row r="63838" spans="25:25" x14ac:dyDescent="0.2">
      <c r="Y63838" s="97"/>
    </row>
    <row r="63839" spans="25:25" x14ac:dyDescent="0.2">
      <c r="Y63839" s="97"/>
    </row>
    <row r="63840" spans="25:25" x14ac:dyDescent="0.2">
      <c r="Y63840" s="97"/>
    </row>
    <row r="63841" spans="25:25" x14ac:dyDescent="0.2">
      <c r="Y63841" s="97"/>
    </row>
    <row r="63842" spans="25:25" x14ac:dyDescent="0.2">
      <c r="Y63842" s="97"/>
    </row>
    <row r="63843" spans="25:25" x14ac:dyDescent="0.2">
      <c r="Y63843" s="97"/>
    </row>
    <row r="63844" spans="25:25" x14ac:dyDescent="0.2">
      <c r="Y63844" s="97"/>
    </row>
    <row r="63845" spans="25:25" x14ac:dyDescent="0.2">
      <c r="Y63845" s="97"/>
    </row>
    <row r="63846" spans="25:25" x14ac:dyDescent="0.2">
      <c r="Y63846" s="97"/>
    </row>
    <row r="63847" spans="25:25" x14ac:dyDescent="0.2">
      <c r="Y63847" s="97"/>
    </row>
    <row r="63848" spans="25:25" x14ac:dyDescent="0.2">
      <c r="Y63848" s="97"/>
    </row>
    <row r="63849" spans="25:25" x14ac:dyDescent="0.2">
      <c r="Y63849" s="97"/>
    </row>
    <row r="63850" spans="25:25" x14ac:dyDescent="0.2">
      <c r="Y63850" s="97"/>
    </row>
    <row r="63851" spans="25:25" x14ac:dyDescent="0.2">
      <c r="Y63851" s="97"/>
    </row>
    <row r="63852" spans="25:25" x14ac:dyDescent="0.2">
      <c r="Y63852" s="97"/>
    </row>
    <row r="63853" spans="25:25" x14ac:dyDescent="0.2">
      <c r="Y63853" s="97"/>
    </row>
    <row r="63854" spans="25:25" x14ac:dyDescent="0.2">
      <c r="Y63854" s="97"/>
    </row>
    <row r="63855" spans="25:25" x14ac:dyDescent="0.2">
      <c r="Y63855" s="97"/>
    </row>
    <row r="63856" spans="25:25" x14ac:dyDescent="0.2">
      <c r="Y63856" s="97"/>
    </row>
    <row r="63857" spans="25:25" x14ac:dyDescent="0.2">
      <c r="Y63857" s="97"/>
    </row>
    <row r="63858" spans="25:25" x14ac:dyDescent="0.2">
      <c r="Y63858" s="97"/>
    </row>
    <row r="63859" spans="25:25" x14ac:dyDescent="0.2">
      <c r="Y63859" s="97"/>
    </row>
    <row r="63860" spans="25:25" x14ac:dyDescent="0.2">
      <c r="Y63860" s="97"/>
    </row>
    <row r="63861" spans="25:25" x14ac:dyDescent="0.2">
      <c r="Y63861" s="97"/>
    </row>
    <row r="63862" spans="25:25" x14ac:dyDescent="0.2">
      <c r="Y63862" s="97"/>
    </row>
    <row r="63863" spans="25:25" x14ac:dyDescent="0.2">
      <c r="Y63863" s="97"/>
    </row>
    <row r="63864" spans="25:25" x14ac:dyDescent="0.2">
      <c r="Y63864" s="97"/>
    </row>
    <row r="63865" spans="25:25" x14ac:dyDescent="0.2">
      <c r="Y63865" s="97"/>
    </row>
    <row r="63866" spans="25:25" x14ac:dyDescent="0.2">
      <c r="Y63866" s="97"/>
    </row>
    <row r="63867" spans="25:25" x14ac:dyDescent="0.2">
      <c r="Y63867" s="97"/>
    </row>
    <row r="63868" spans="25:25" x14ac:dyDescent="0.2">
      <c r="Y63868" s="97"/>
    </row>
    <row r="63869" spans="25:25" x14ac:dyDescent="0.2">
      <c r="Y63869" s="97"/>
    </row>
    <row r="63870" spans="25:25" x14ac:dyDescent="0.2">
      <c r="Y63870" s="97"/>
    </row>
    <row r="63871" spans="25:25" x14ac:dyDescent="0.2">
      <c r="Y63871" s="97"/>
    </row>
    <row r="63872" spans="25:25" x14ac:dyDescent="0.2">
      <c r="Y63872" s="97"/>
    </row>
    <row r="63873" spans="25:25" x14ac:dyDescent="0.2">
      <c r="Y63873" s="97"/>
    </row>
    <row r="63874" spans="25:25" x14ac:dyDescent="0.2">
      <c r="Y63874" s="97"/>
    </row>
    <row r="63875" spans="25:25" x14ac:dyDescent="0.2">
      <c r="Y63875" s="97"/>
    </row>
    <row r="63876" spans="25:25" x14ac:dyDescent="0.2">
      <c r="Y63876" s="97"/>
    </row>
    <row r="63877" spans="25:25" x14ac:dyDescent="0.2">
      <c r="Y63877" s="97"/>
    </row>
    <row r="63878" spans="25:25" x14ac:dyDescent="0.2">
      <c r="Y63878" s="97"/>
    </row>
    <row r="63879" spans="25:25" x14ac:dyDescent="0.2">
      <c r="Y63879" s="97"/>
    </row>
    <row r="63880" spans="25:25" x14ac:dyDescent="0.2">
      <c r="Y63880" s="97"/>
    </row>
    <row r="63881" spans="25:25" x14ac:dyDescent="0.2">
      <c r="Y63881" s="97"/>
    </row>
    <row r="63882" spans="25:25" x14ac:dyDescent="0.2">
      <c r="Y63882" s="97"/>
    </row>
    <row r="63883" spans="25:25" x14ac:dyDescent="0.2">
      <c r="Y63883" s="97"/>
    </row>
    <row r="63884" spans="25:25" x14ac:dyDescent="0.2">
      <c r="Y63884" s="97"/>
    </row>
    <row r="63885" spans="25:25" x14ac:dyDescent="0.2">
      <c r="Y63885" s="97"/>
    </row>
    <row r="63886" spans="25:25" x14ac:dyDescent="0.2">
      <c r="Y63886" s="97"/>
    </row>
    <row r="63887" spans="25:25" x14ac:dyDescent="0.2">
      <c r="Y63887" s="97"/>
    </row>
    <row r="63888" spans="25:25" x14ac:dyDescent="0.2">
      <c r="Y63888" s="97"/>
    </row>
    <row r="63889" spans="25:25" x14ac:dyDescent="0.2">
      <c r="Y63889" s="97"/>
    </row>
    <row r="63890" spans="25:25" x14ac:dyDescent="0.2">
      <c r="Y63890" s="97"/>
    </row>
    <row r="63891" spans="25:25" x14ac:dyDescent="0.2">
      <c r="Y63891" s="97"/>
    </row>
    <row r="63892" spans="25:25" x14ac:dyDescent="0.2">
      <c r="Y63892" s="97"/>
    </row>
    <row r="63893" spans="25:25" x14ac:dyDescent="0.2">
      <c r="Y63893" s="97"/>
    </row>
    <row r="63894" spans="25:25" x14ac:dyDescent="0.2">
      <c r="Y63894" s="97"/>
    </row>
    <row r="63895" spans="25:25" x14ac:dyDescent="0.2">
      <c r="Y63895" s="97"/>
    </row>
    <row r="63896" spans="25:25" x14ac:dyDescent="0.2">
      <c r="Y63896" s="97"/>
    </row>
    <row r="63897" spans="25:25" x14ac:dyDescent="0.2">
      <c r="Y63897" s="97"/>
    </row>
    <row r="63898" spans="25:25" x14ac:dyDescent="0.2">
      <c r="Y63898" s="97"/>
    </row>
    <row r="63899" spans="25:25" x14ac:dyDescent="0.2">
      <c r="Y63899" s="97"/>
    </row>
    <row r="63900" spans="25:25" x14ac:dyDescent="0.2">
      <c r="Y63900" s="97"/>
    </row>
    <row r="63901" spans="25:25" x14ac:dyDescent="0.2">
      <c r="Y63901" s="97"/>
    </row>
    <row r="63902" spans="25:25" x14ac:dyDescent="0.2">
      <c r="Y63902" s="97"/>
    </row>
    <row r="63903" spans="25:25" x14ac:dyDescent="0.2">
      <c r="Y63903" s="97"/>
    </row>
    <row r="63904" spans="25:25" x14ac:dyDescent="0.2">
      <c r="Y63904" s="97"/>
    </row>
    <row r="63905" spans="25:25" x14ac:dyDescent="0.2">
      <c r="Y63905" s="97"/>
    </row>
    <row r="63906" spans="25:25" x14ac:dyDescent="0.2">
      <c r="Y63906" s="97"/>
    </row>
    <row r="63907" spans="25:25" x14ac:dyDescent="0.2">
      <c r="Y63907" s="97"/>
    </row>
    <row r="63908" spans="25:25" x14ac:dyDescent="0.2">
      <c r="Y63908" s="97"/>
    </row>
    <row r="63909" spans="25:25" x14ac:dyDescent="0.2">
      <c r="Y63909" s="97"/>
    </row>
    <row r="63910" spans="25:25" x14ac:dyDescent="0.2">
      <c r="Y63910" s="97"/>
    </row>
    <row r="63911" spans="25:25" x14ac:dyDescent="0.2">
      <c r="Y63911" s="97"/>
    </row>
    <row r="63912" spans="25:25" x14ac:dyDescent="0.2">
      <c r="Y63912" s="97"/>
    </row>
    <row r="63913" spans="25:25" x14ac:dyDescent="0.2">
      <c r="Y63913" s="97"/>
    </row>
    <row r="63914" spans="25:25" x14ac:dyDescent="0.2">
      <c r="Y63914" s="97"/>
    </row>
    <row r="63915" spans="25:25" x14ac:dyDescent="0.2">
      <c r="Y63915" s="97"/>
    </row>
    <row r="63916" spans="25:25" x14ac:dyDescent="0.2">
      <c r="Y63916" s="97"/>
    </row>
    <row r="63917" spans="25:25" x14ac:dyDescent="0.2">
      <c r="Y63917" s="97"/>
    </row>
    <row r="63918" spans="25:25" x14ac:dyDescent="0.2">
      <c r="Y63918" s="97"/>
    </row>
    <row r="63919" spans="25:25" x14ac:dyDescent="0.2">
      <c r="Y63919" s="97"/>
    </row>
    <row r="63920" spans="25:25" x14ac:dyDescent="0.2">
      <c r="Y63920" s="97"/>
    </row>
    <row r="63921" spans="25:25" x14ac:dyDescent="0.2">
      <c r="Y63921" s="97"/>
    </row>
    <row r="63922" spans="25:25" x14ac:dyDescent="0.2">
      <c r="Y63922" s="97"/>
    </row>
    <row r="63923" spans="25:25" x14ac:dyDescent="0.2">
      <c r="Y63923" s="97"/>
    </row>
    <row r="63924" spans="25:25" x14ac:dyDescent="0.2">
      <c r="Y63924" s="97"/>
    </row>
    <row r="63925" spans="25:25" x14ac:dyDescent="0.2">
      <c r="Y63925" s="97"/>
    </row>
    <row r="63926" spans="25:25" x14ac:dyDescent="0.2">
      <c r="Y63926" s="97"/>
    </row>
    <row r="63927" spans="25:25" x14ac:dyDescent="0.2">
      <c r="Y63927" s="97"/>
    </row>
    <row r="63928" spans="25:25" x14ac:dyDescent="0.2">
      <c r="Y63928" s="97"/>
    </row>
    <row r="63929" spans="25:25" x14ac:dyDescent="0.2">
      <c r="Y63929" s="97"/>
    </row>
    <row r="63930" spans="25:25" x14ac:dyDescent="0.2">
      <c r="Y63930" s="97"/>
    </row>
    <row r="63931" spans="25:25" x14ac:dyDescent="0.2">
      <c r="Y63931" s="97"/>
    </row>
    <row r="63932" spans="25:25" x14ac:dyDescent="0.2">
      <c r="Y63932" s="97"/>
    </row>
    <row r="63933" spans="25:25" x14ac:dyDescent="0.2">
      <c r="Y63933" s="97"/>
    </row>
    <row r="63934" spans="25:25" x14ac:dyDescent="0.2">
      <c r="Y63934" s="97"/>
    </row>
    <row r="63935" spans="25:25" x14ac:dyDescent="0.2">
      <c r="Y63935" s="97"/>
    </row>
    <row r="63936" spans="25:25" x14ac:dyDescent="0.2">
      <c r="Y63936" s="97"/>
    </row>
    <row r="63937" spans="25:25" x14ac:dyDescent="0.2">
      <c r="Y63937" s="97"/>
    </row>
    <row r="63938" spans="25:25" x14ac:dyDescent="0.2">
      <c r="Y63938" s="97"/>
    </row>
    <row r="63939" spans="25:25" x14ac:dyDescent="0.2">
      <c r="Y63939" s="97"/>
    </row>
    <row r="63940" spans="25:25" x14ac:dyDescent="0.2">
      <c r="Y63940" s="97"/>
    </row>
    <row r="63941" spans="25:25" x14ac:dyDescent="0.2">
      <c r="Y63941" s="97"/>
    </row>
    <row r="63942" spans="25:25" x14ac:dyDescent="0.2">
      <c r="Y63942" s="97"/>
    </row>
    <row r="63943" spans="25:25" x14ac:dyDescent="0.2">
      <c r="Y63943" s="97"/>
    </row>
    <row r="63944" spans="25:25" x14ac:dyDescent="0.2">
      <c r="Y63944" s="97"/>
    </row>
    <row r="63945" spans="25:25" x14ac:dyDescent="0.2">
      <c r="Y63945" s="97"/>
    </row>
    <row r="63946" spans="25:25" x14ac:dyDescent="0.2">
      <c r="Y63946" s="97"/>
    </row>
    <row r="63947" spans="25:25" x14ac:dyDescent="0.2">
      <c r="Y63947" s="97"/>
    </row>
    <row r="63948" spans="25:25" x14ac:dyDescent="0.2">
      <c r="Y63948" s="97"/>
    </row>
    <row r="63949" spans="25:25" x14ac:dyDescent="0.2">
      <c r="Y63949" s="97"/>
    </row>
    <row r="63950" spans="25:25" x14ac:dyDescent="0.2">
      <c r="Y63950" s="97"/>
    </row>
    <row r="63951" spans="25:25" x14ac:dyDescent="0.2">
      <c r="Y63951" s="97"/>
    </row>
    <row r="63952" spans="25:25" x14ac:dyDescent="0.2">
      <c r="Y63952" s="97"/>
    </row>
    <row r="63953" spans="25:25" x14ac:dyDescent="0.2">
      <c r="Y63953" s="97"/>
    </row>
    <row r="63954" spans="25:25" x14ac:dyDescent="0.2">
      <c r="Y63954" s="97"/>
    </row>
    <row r="63955" spans="25:25" x14ac:dyDescent="0.2">
      <c r="Y63955" s="97"/>
    </row>
    <row r="63956" spans="25:25" x14ac:dyDescent="0.2">
      <c r="Y63956" s="97"/>
    </row>
    <row r="63957" spans="25:25" x14ac:dyDescent="0.2">
      <c r="Y63957" s="97"/>
    </row>
    <row r="63958" spans="25:25" x14ac:dyDescent="0.2">
      <c r="Y63958" s="97"/>
    </row>
    <row r="63959" spans="25:25" x14ac:dyDescent="0.2">
      <c r="Y63959" s="97"/>
    </row>
    <row r="63960" spans="25:25" x14ac:dyDescent="0.2">
      <c r="Y63960" s="97"/>
    </row>
    <row r="63961" spans="25:25" x14ac:dyDescent="0.2">
      <c r="Y63961" s="97"/>
    </row>
    <row r="63962" spans="25:25" x14ac:dyDescent="0.2">
      <c r="Y63962" s="97"/>
    </row>
    <row r="63963" spans="25:25" x14ac:dyDescent="0.2">
      <c r="Y63963" s="97"/>
    </row>
    <row r="63964" spans="25:25" x14ac:dyDescent="0.2">
      <c r="Y63964" s="97"/>
    </row>
    <row r="63965" spans="25:25" x14ac:dyDescent="0.2">
      <c r="Y63965" s="97"/>
    </row>
    <row r="63966" spans="25:25" x14ac:dyDescent="0.2">
      <c r="Y63966" s="97"/>
    </row>
    <row r="63967" spans="25:25" x14ac:dyDescent="0.2">
      <c r="Y63967" s="97"/>
    </row>
    <row r="63968" spans="25:25" x14ac:dyDescent="0.2">
      <c r="Y63968" s="97"/>
    </row>
    <row r="63969" spans="25:25" x14ac:dyDescent="0.2">
      <c r="Y63969" s="97"/>
    </row>
    <row r="63970" spans="25:25" x14ac:dyDescent="0.2">
      <c r="Y63970" s="97"/>
    </row>
    <row r="63971" spans="25:25" x14ac:dyDescent="0.2">
      <c r="Y63971" s="97"/>
    </row>
    <row r="63972" spans="25:25" x14ac:dyDescent="0.2">
      <c r="Y63972" s="97"/>
    </row>
    <row r="63973" spans="25:25" x14ac:dyDescent="0.2">
      <c r="Y63973" s="97"/>
    </row>
    <row r="63974" spans="25:25" x14ac:dyDescent="0.2">
      <c r="Y63974" s="97"/>
    </row>
    <row r="63975" spans="25:25" x14ac:dyDescent="0.2">
      <c r="Y63975" s="97"/>
    </row>
    <row r="63976" spans="25:25" x14ac:dyDescent="0.2">
      <c r="Y63976" s="97"/>
    </row>
    <row r="63977" spans="25:25" x14ac:dyDescent="0.2">
      <c r="Y63977" s="97"/>
    </row>
    <row r="63978" spans="25:25" x14ac:dyDescent="0.2">
      <c r="Y63978" s="97"/>
    </row>
    <row r="63979" spans="25:25" x14ac:dyDescent="0.2">
      <c r="Y63979" s="97"/>
    </row>
    <row r="63980" spans="25:25" x14ac:dyDescent="0.2">
      <c r="Y63980" s="97"/>
    </row>
    <row r="63981" spans="25:25" x14ac:dyDescent="0.2">
      <c r="Y63981" s="97"/>
    </row>
    <row r="63982" spans="25:25" x14ac:dyDescent="0.2">
      <c r="Y63982" s="97"/>
    </row>
    <row r="63983" spans="25:25" x14ac:dyDescent="0.2">
      <c r="Y63983" s="97"/>
    </row>
    <row r="63984" spans="25:25" x14ac:dyDescent="0.2">
      <c r="Y63984" s="97"/>
    </row>
    <row r="63985" spans="25:25" x14ac:dyDescent="0.2">
      <c r="Y63985" s="97"/>
    </row>
    <row r="63986" spans="25:25" x14ac:dyDescent="0.2">
      <c r="Y63986" s="97"/>
    </row>
    <row r="63987" spans="25:25" x14ac:dyDescent="0.2">
      <c r="Y63987" s="97"/>
    </row>
    <row r="63988" spans="25:25" x14ac:dyDescent="0.2">
      <c r="Y63988" s="97"/>
    </row>
    <row r="63989" spans="25:25" x14ac:dyDescent="0.2">
      <c r="Y63989" s="97"/>
    </row>
    <row r="63990" spans="25:25" x14ac:dyDescent="0.2">
      <c r="Y63990" s="97"/>
    </row>
    <row r="63991" spans="25:25" x14ac:dyDescent="0.2">
      <c r="Y63991" s="97"/>
    </row>
    <row r="63992" spans="25:25" x14ac:dyDescent="0.2">
      <c r="Y63992" s="97"/>
    </row>
    <row r="63993" spans="25:25" x14ac:dyDescent="0.2">
      <c r="Y63993" s="97"/>
    </row>
    <row r="63994" spans="25:25" x14ac:dyDescent="0.2">
      <c r="Y63994" s="97"/>
    </row>
    <row r="63995" spans="25:25" x14ac:dyDescent="0.2">
      <c r="Y63995" s="97"/>
    </row>
    <row r="63996" spans="25:25" x14ac:dyDescent="0.2">
      <c r="Y63996" s="97"/>
    </row>
    <row r="63997" spans="25:25" x14ac:dyDescent="0.2">
      <c r="Y63997" s="97"/>
    </row>
    <row r="63998" spans="25:25" x14ac:dyDescent="0.2">
      <c r="Y63998" s="97"/>
    </row>
    <row r="63999" spans="25:25" x14ac:dyDescent="0.2">
      <c r="Y63999" s="97"/>
    </row>
    <row r="64000" spans="25:25" x14ac:dyDescent="0.2">
      <c r="Y64000" s="97"/>
    </row>
    <row r="64001" spans="25:25" x14ac:dyDescent="0.2">
      <c r="Y64001" s="97"/>
    </row>
    <row r="64002" spans="25:25" x14ac:dyDescent="0.2">
      <c r="Y64002" s="97"/>
    </row>
    <row r="64003" spans="25:25" x14ac:dyDescent="0.2">
      <c r="Y64003" s="97"/>
    </row>
    <row r="64004" spans="25:25" x14ac:dyDescent="0.2">
      <c r="Y64004" s="97"/>
    </row>
    <row r="64005" spans="25:25" x14ac:dyDescent="0.2">
      <c r="Y64005" s="97"/>
    </row>
    <row r="64006" spans="25:25" x14ac:dyDescent="0.2">
      <c r="Y64006" s="97"/>
    </row>
    <row r="64007" spans="25:25" x14ac:dyDescent="0.2">
      <c r="Y64007" s="97"/>
    </row>
    <row r="64008" spans="25:25" x14ac:dyDescent="0.2">
      <c r="Y64008" s="97"/>
    </row>
    <row r="64009" spans="25:25" x14ac:dyDescent="0.2">
      <c r="Y64009" s="97"/>
    </row>
    <row r="64010" spans="25:25" x14ac:dyDescent="0.2">
      <c r="Y64010" s="97"/>
    </row>
    <row r="64011" spans="25:25" x14ac:dyDescent="0.2">
      <c r="Y64011" s="97"/>
    </row>
    <row r="64012" spans="25:25" x14ac:dyDescent="0.2">
      <c r="Y64012" s="97"/>
    </row>
    <row r="64013" spans="25:25" x14ac:dyDescent="0.2">
      <c r="Y64013" s="97"/>
    </row>
    <row r="64014" spans="25:25" x14ac:dyDescent="0.2">
      <c r="Y64014" s="97"/>
    </row>
    <row r="64015" spans="25:25" x14ac:dyDescent="0.2">
      <c r="Y64015" s="97"/>
    </row>
    <row r="64016" spans="25:25" x14ac:dyDescent="0.2">
      <c r="Y64016" s="97"/>
    </row>
    <row r="64017" spans="25:25" x14ac:dyDescent="0.2">
      <c r="Y64017" s="97"/>
    </row>
    <row r="64018" spans="25:25" x14ac:dyDescent="0.2">
      <c r="Y64018" s="97"/>
    </row>
    <row r="64019" spans="25:25" x14ac:dyDescent="0.2">
      <c r="Y64019" s="97"/>
    </row>
    <row r="64020" spans="25:25" x14ac:dyDescent="0.2">
      <c r="Y64020" s="97"/>
    </row>
    <row r="64021" spans="25:25" x14ac:dyDescent="0.2">
      <c r="Y64021" s="97"/>
    </row>
    <row r="64022" spans="25:25" x14ac:dyDescent="0.2">
      <c r="Y64022" s="97"/>
    </row>
    <row r="64023" spans="25:25" x14ac:dyDescent="0.2">
      <c r="Y64023" s="97"/>
    </row>
    <row r="64024" spans="25:25" x14ac:dyDescent="0.2">
      <c r="Y64024" s="97"/>
    </row>
    <row r="64025" spans="25:25" x14ac:dyDescent="0.2">
      <c r="Y64025" s="97"/>
    </row>
    <row r="64026" spans="25:25" x14ac:dyDescent="0.2">
      <c r="Y64026" s="97"/>
    </row>
    <row r="64027" spans="25:25" x14ac:dyDescent="0.2">
      <c r="Y64027" s="97"/>
    </row>
    <row r="64028" spans="25:25" x14ac:dyDescent="0.2">
      <c r="Y64028" s="97"/>
    </row>
    <row r="64029" spans="25:25" x14ac:dyDescent="0.2">
      <c r="Y64029" s="97"/>
    </row>
    <row r="64030" spans="25:25" x14ac:dyDescent="0.2">
      <c r="Y64030" s="97"/>
    </row>
    <row r="64031" spans="25:25" x14ac:dyDescent="0.2">
      <c r="Y64031" s="97"/>
    </row>
    <row r="64032" spans="25:25" x14ac:dyDescent="0.2">
      <c r="Y64032" s="97"/>
    </row>
    <row r="64033" spans="25:25" x14ac:dyDescent="0.2">
      <c r="Y64033" s="97"/>
    </row>
    <row r="64034" spans="25:25" x14ac:dyDescent="0.2">
      <c r="Y64034" s="97"/>
    </row>
    <row r="64035" spans="25:25" x14ac:dyDescent="0.2">
      <c r="Y64035" s="97"/>
    </row>
    <row r="64036" spans="25:25" x14ac:dyDescent="0.2">
      <c r="Y64036" s="97"/>
    </row>
    <row r="64037" spans="25:25" x14ac:dyDescent="0.2">
      <c r="Y64037" s="97"/>
    </row>
    <row r="64038" spans="25:25" x14ac:dyDescent="0.2">
      <c r="Y64038" s="97"/>
    </row>
    <row r="64039" spans="25:25" x14ac:dyDescent="0.2">
      <c r="Y64039" s="97"/>
    </row>
    <row r="64040" spans="25:25" x14ac:dyDescent="0.2">
      <c r="Y64040" s="97"/>
    </row>
    <row r="64041" spans="25:25" x14ac:dyDescent="0.2">
      <c r="Y64041" s="97"/>
    </row>
    <row r="64042" spans="25:25" x14ac:dyDescent="0.2">
      <c r="Y64042" s="97"/>
    </row>
    <row r="64043" spans="25:25" x14ac:dyDescent="0.2">
      <c r="Y64043" s="97"/>
    </row>
    <row r="64044" spans="25:25" x14ac:dyDescent="0.2">
      <c r="Y64044" s="97"/>
    </row>
    <row r="64045" spans="25:25" x14ac:dyDescent="0.2">
      <c r="Y64045" s="97"/>
    </row>
    <row r="64046" spans="25:25" x14ac:dyDescent="0.2">
      <c r="Y64046" s="97"/>
    </row>
    <row r="64047" spans="25:25" x14ac:dyDescent="0.2">
      <c r="Y64047" s="97"/>
    </row>
    <row r="64048" spans="25:25" x14ac:dyDescent="0.2">
      <c r="Y64048" s="97"/>
    </row>
    <row r="64049" spans="25:25" x14ac:dyDescent="0.2">
      <c r="Y64049" s="97"/>
    </row>
    <row r="64050" spans="25:25" x14ac:dyDescent="0.2">
      <c r="Y64050" s="97"/>
    </row>
    <row r="64051" spans="25:25" x14ac:dyDescent="0.2">
      <c r="Y64051" s="97"/>
    </row>
    <row r="64052" spans="25:25" x14ac:dyDescent="0.2">
      <c r="Y64052" s="97"/>
    </row>
    <row r="64053" spans="25:25" x14ac:dyDescent="0.2">
      <c r="Y64053" s="97"/>
    </row>
    <row r="64054" spans="25:25" x14ac:dyDescent="0.2">
      <c r="Y64054" s="97"/>
    </row>
    <row r="64055" spans="25:25" x14ac:dyDescent="0.2">
      <c r="Y64055" s="97"/>
    </row>
    <row r="64056" spans="25:25" x14ac:dyDescent="0.2">
      <c r="Y64056" s="97"/>
    </row>
    <row r="64057" spans="25:25" x14ac:dyDescent="0.2">
      <c r="Y64057" s="97"/>
    </row>
    <row r="64058" spans="25:25" x14ac:dyDescent="0.2">
      <c r="Y64058" s="97"/>
    </row>
    <row r="64059" spans="25:25" x14ac:dyDescent="0.2">
      <c r="Y64059" s="97"/>
    </row>
    <row r="64060" spans="25:25" x14ac:dyDescent="0.2">
      <c r="Y64060" s="97"/>
    </row>
    <row r="64061" spans="25:25" x14ac:dyDescent="0.2">
      <c r="Y64061" s="97"/>
    </row>
    <row r="64062" spans="25:25" x14ac:dyDescent="0.2">
      <c r="Y64062" s="97"/>
    </row>
    <row r="64063" spans="25:25" x14ac:dyDescent="0.2">
      <c r="Y64063" s="97"/>
    </row>
    <row r="64064" spans="25:25" x14ac:dyDescent="0.2">
      <c r="Y64064" s="97"/>
    </row>
    <row r="64065" spans="25:25" x14ac:dyDescent="0.2">
      <c r="Y64065" s="97"/>
    </row>
    <row r="64066" spans="25:25" x14ac:dyDescent="0.2">
      <c r="Y64066" s="97"/>
    </row>
    <row r="64067" spans="25:25" x14ac:dyDescent="0.2">
      <c r="Y64067" s="97"/>
    </row>
    <row r="64068" spans="25:25" x14ac:dyDescent="0.2">
      <c r="Y64068" s="97"/>
    </row>
    <row r="64069" spans="25:25" x14ac:dyDescent="0.2">
      <c r="Y64069" s="97"/>
    </row>
    <row r="64070" spans="25:25" x14ac:dyDescent="0.2">
      <c r="Y64070" s="97"/>
    </row>
    <row r="64071" spans="25:25" x14ac:dyDescent="0.2">
      <c r="Y64071" s="97"/>
    </row>
    <row r="64072" spans="25:25" x14ac:dyDescent="0.2">
      <c r="Y64072" s="97"/>
    </row>
    <row r="64073" spans="25:25" x14ac:dyDescent="0.2">
      <c r="Y64073" s="97"/>
    </row>
    <row r="64074" spans="25:25" x14ac:dyDescent="0.2">
      <c r="Y64074" s="97"/>
    </row>
    <row r="64075" spans="25:25" x14ac:dyDescent="0.2">
      <c r="Y64075" s="97"/>
    </row>
    <row r="64076" spans="25:25" x14ac:dyDescent="0.2">
      <c r="Y64076" s="97"/>
    </row>
    <row r="64077" spans="25:25" x14ac:dyDescent="0.2">
      <c r="Y64077" s="97"/>
    </row>
    <row r="64078" spans="25:25" x14ac:dyDescent="0.2">
      <c r="Y64078" s="97"/>
    </row>
    <row r="64079" spans="25:25" x14ac:dyDescent="0.2">
      <c r="Y64079" s="97"/>
    </row>
    <row r="64080" spans="25:25" x14ac:dyDescent="0.2">
      <c r="Y64080" s="97"/>
    </row>
    <row r="64081" spans="25:25" x14ac:dyDescent="0.2">
      <c r="Y64081" s="97"/>
    </row>
    <row r="64082" spans="25:25" x14ac:dyDescent="0.2">
      <c r="Y64082" s="97"/>
    </row>
    <row r="64083" spans="25:25" x14ac:dyDescent="0.2">
      <c r="Y64083" s="97"/>
    </row>
    <row r="64084" spans="25:25" x14ac:dyDescent="0.2">
      <c r="Y64084" s="97"/>
    </row>
    <row r="64085" spans="25:25" x14ac:dyDescent="0.2">
      <c r="Y64085" s="97"/>
    </row>
    <row r="64086" spans="25:25" x14ac:dyDescent="0.2">
      <c r="Y64086" s="97"/>
    </row>
    <row r="64087" spans="25:25" x14ac:dyDescent="0.2">
      <c r="Y64087" s="97"/>
    </row>
    <row r="64088" spans="25:25" x14ac:dyDescent="0.2">
      <c r="Y64088" s="97"/>
    </row>
    <row r="64089" spans="25:25" x14ac:dyDescent="0.2">
      <c r="Y64089" s="97"/>
    </row>
    <row r="64090" spans="25:25" x14ac:dyDescent="0.2">
      <c r="Y64090" s="97"/>
    </row>
    <row r="64091" spans="25:25" x14ac:dyDescent="0.2">
      <c r="Y64091" s="97"/>
    </row>
    <row r="64092" spans="25:25" x14ac:dyDescent="0.2">
      <c r="Y64092" s="97"/>
    </row>
    <row r="64093" spans="25:25" x14ac:dyDescent="0.2">
      <c r="Y64093" s="97"/>
    </row>
    <row r="64094" spans="25:25" x14ac:dyDescent="0.2">
      <c r="Y64094" s="97"/>
    </row>
    <row r="64095" spans="25:25" x14ac:dyDescent="0.2">
      <c r="Y64095" s="97"/>
    </row>
    <row r="64096" spans="25:25" x14ac:dyDescent="0.2">
      <c r="Y64096" s="97"/>
    </row>
    <row r="64097" spans="25:25" x14ac:dyDescent="0.2">
      <c r="Y64097" s="97"/>
    </row>
    <row r="64098" spans="25:25" x14ac:dyDescent="0.2">
      <c r="Y64098" s="97"/>
    </row>
    <row r="64099" spans="25:25" x14ac:dyDescent="0.2">
      <c r="Y64099" s="97"/>
    </row>
    <row r="64100" spans="25:25" x14ac:dyDescent="0.2">
      <c r="Y64100" s="97"/>
    </row>
    <row r="64101" spans="25:25" x14ac:dyDescent="0.2">
      <c r="Y64101" s="97"/>
    </row>
    <row r="64102" spans="25:25" x14ac:dyDescent="0.2">
      <c r="Y64102" s="97"/>
    </row>
    <row r="64103" spans="25:25" x14ac:dyDescent="0.2">
      <c r="Y64103" s="97"/>
    </row>
    <row r="64104" spans="25:25" x14ac:dyDescent="0.2">
      <c r="Y64104" s="97"/>
    </row>
    <row r="64105" spans="25:25" x14ac:dyDescent="0.2">
      <c r="Y64105" s="97"/>
    </row>
    <row r="64106" spans="25:25" x14ac:dyDescent="0.2">
      <c r="Y64106" s="97"/>
    </row>
    <row r="64107" spans="25:25" x14ac:dyDescent="0.2">
      <c r="Y64107" s="97"/>
    </row>
    <row r="64108" spans="25:25" x14ac:dyDescent="0.2">
      <c r="Y64108" s="97"/>
    </row>
    <row r="64109" spans="25:25" x14ac:dyDescent="0.2">
      <c r="Y64109" s="97"/>
    </row>
    <row r="64110" spans="25:25" x14ac:dyDescent="0.2">
      <c r="Y64110" s="97"/>
    </row>
    <row r="64111" spans="25:25" x14ac:dyDescent="0.2">
      <c r="Y64111" s="97"/>
    </row>
    <row r="64112" spans="25:25" x14ac:dyDescent="0.2">
      <c r="Y64112" s="97"/>
    </row>
    <row r="64113" spans="25:25" x14ac:dyDescent="0.2">
      <c r="Y64113" s="97"/>
    </row>
    <row r="64114" spans="25:25" x14ac:dyDescent="0.2">
      <c r="Y64114" s="97"/>
    </row>
    <row r="64115" spans="25:25" x14ac:dyDescent="0.2">
      <c r="Y64115" s="97"/>
    </row>
    <row r="64116" spans="25:25" x14ac:dyDescent="0.2">
      <c r="Y64116" s="97"/>
    </row>
    <row r="64117" spans="25:25" x14ac:dyDescent="0.2">
      <c r="Y64117" s="97"/>
    </row>
    <row r="64118" spans="25:25" x14ac:dyDescent="0.2">
      <c r="Y64118" s="97"/>
    </row>
    <row r="64119" spans="25:25" x14ac:dyDescent="0.2">
      <c r="Y64119" s="97"/>
    </row>
    <row r="64120" spans="25:25" x14ac:dyDescent="0.2">
      <c r="Y64120" s="97"/>
    </row>
    <row r="64121" spans="25:25" x14ac:dyDescent="0.2">
      <c r="Y64121" s="97"/>
    </row>
    <row r="64122" spans="25:25" x14ac:dyDescent="0.2">
      <c r="Y64122" s="97"/>
    </row>
    <row r="64123" spans="25:25" x14ac:dyDescent="0.2">
      <c r="Y64123" s="97"/>
    </row>
    <row r="64124" spans="25:25" x14ac:dyDescent="0.2">
      <c r="Y64124" s="97"/>
    </row>
    <row r="64125" spans="25:25" x14ac:dyDescent="0.2">
      <c r="Y64125" s="97"/>
    </row>
    <row r="64126" spans="25:25" x14ac:dyDescent="0.2">
      <c r="Y64126" s="97"/>
    </row>
    <row r="64127" spans="25:25" x14ac:dyDescent="0.2">
      <c r="Y64127" s="97"/>
    </row>
    <row r="64128" spans="25:25" x14ac:dyDescent="0.2">
      <c r="Y64128" s="97"/>
    </row>
    <row r="64129" spans="25:25" x14ac:dyDescent="0.2">
      <c r="Y64129" s="97"/>
    </row>
    <row r="64130" spans="25:25" x14ac:dyDescent="0.2">
      <c r="Y64130" s="97"/>
    </row>
    <row r="64131" spans="25:25" x14ac:dyDescent="0.2">
      <c r="Y64131" s="97"/>
    </row>
    <row r="64132" spans="25:25" x14ac:dyDescent="0.2">
      <c r="Y64132" s="97"/>
    </row>
    <row r="64133" spans="25:25" x14ac:dyDescent="0.2">
      <c r="Y64133" s="97"/>
    </row>
    <row r="64134" spans="25:25" x14ac:dyDescent="0.2">
      <c r="Y64134" s="97"/>
    </row>
    <row r="64135" spans="25:25" x14ac:dyDescent="0.2">
      <c r="Y64135" s="97"/>
    </row>
    <row r="64136" spans="25:25" x14ac:dyDescent="0.2">
      <c r="Y64136" s="97"/>
    </row>
    <row r="64137" spans="25:25" x14ac:dyDescent="0.2">
      <c r="Y64137" s="97"/>
    </row>
    <row r="64138" spans="25:25" x14ac:dyDescent="0.2">
      <c r="Y64138" s="97"/>
    </row>
    <row r="64139" spans="25:25" x14ac:dyDescent="0.2">
      <c r="Y64139" s="97"/>
    </row>
    <row r="64140" spans="25:25" x14ac:dyDescent="0.2">
      <c r="Y64140" s="97"/>
    </row>
    <row r="64141" spans="25:25" x14ac:dyDescent="0.2">
      <c r="Y64141" s="97"/>
    </row>
    <row r="64142" spans="25:25" x14ac:dyDescent="0.2">
      <c r="Y64142" s="97"/>
    </row>
    <row r="64143" spans="25:25" x14ac:dyDescent="0.2">
      <c r="Y64143" s="97"/>
    </row>
    <row r="64144" spans="25:25" x14ac:dyDescent="0.2">
      <c r="Y64144" s="97"/>
    </row>
    <row r="64145" spans="25:25" x14ac:dyDescent="0.2">
      <c r="Y64145" s="97"/>
    </row>
    <row r="64146" spans="25:25" x14ac:dyDescent="0.2">
      <c r="Y64146" s="97"/>
    </row>
    <row r="64147" spans="25:25" x14ac:dyDescent="0.2">
      <c r="Y64147" s="97"/>
    </row>
    <row r="64148" spans="25:25" x14ac:dyDescent="0.2">
      <c r="Y64148" s="97"/>
    </row>
    <row r="64149" spans="25:25" x14ac:dyDescent="0.2">
      <c r="Y64149" s="97"/>
    </row>
    <row r="64150" spans="25:25" x14ac:dyDescent="0.2">
      <c r="Y64150" s="97"/>
    </row>
    <row r="64151" spans="25:25" x14ac:dyDescent="0.2">
      <c r="Y64151" s="97"/>
    </row>
    <row r="64152" spans="25:25" x14ac:dyDescent="0.2">
      <c r="Y64152" s="97"/>
    </row>
    <row r="64153" spans="25:25" x14ac:dyDescent="0.2">
      <c r="Y64153" s="97"/>
    </row>
    <row r="64154" spans="25:25" x14ac:dyDescent="0.2">
      <c r="Y64154" s="97"/>
    </row>
    <row r="64155" spans="25:25" x14ac:dyDescent="0.2">
      <c r="Y64155" s="97"/>
    </row>
    <row r="64156" spans="25:25" x14ac:dyDescent="0.2">
      <c r="Y64156" s="97"/>
    </row>
    <row r="64157" spans="25:25" x14ac:dyDescent="0.2">
      <c r="Y64157" s="97"/>
    </row>
    <row r="64158" spans="25:25" x14ac:dyDescent="0.2">
      <c r="Y64158" s="97"/>
    </row>
    <row r="64159" spans="25:25" x14ac:dyDescent="0.2">
      <c r="Y64159" s="97"/>
    </row>
    <row r="64160" spans="25:25" x14ac:dyDescent="0.2">
      <c r="Y64160" s="97"/>
    </row>
    <row r="64161" spans="25:25" x14ac:dyDescent="0.2">
      <c r="Y64161" s="97"/>
    </row>
    <row r="64162" spans="25:25" x14ac:dyDescent="0.2">
      <c r="Y64162" s="97"/>
    </row>
    <row r="64163" spans="25:25" x14ac:dyDescent="0.2">
      <c r="Y64163" s="97"/>
    </row>
    <row r="64164" spans="25:25" x14ac:dyDescent="0.2">
      <c r="Y64164" s="97"/>
    </row>
    <row r="64165" spans="25:25" x14ac:dyDescent="0.2">
      <c r="Y64165" s="97"/>
    </row>
    <row r="64166" spans="25:25" x14ac:dyDescent="0.2">
      <c r="Y64166" s="97"/>
    </row>
    <row r="64167" spans="25:25" x14ac:dyDescent="0.2">
      <c r="Y64167" s="97"/>
    </row>
    <row r="64168" spans="25:25" x14ac:dyDescent="0.2">
      <c r="Y64168" s="97"/>
    </row>
    <row r="64169" spans="25:25" x14ac:dyDescent="0.2">
      <c r="Y64169" s="97"/>
    </row>
    <row r="64170" spans="25:25" x14ac:dyDescent="0.2">
      <c r="Y64170" s="97"/>
    </row>
    <row r="64171" spans="25:25" x14ac:dyDescent="0.2">
      <c r="Y64171" s="97"/>
    </row>
    <row r="64172" spans="25:25" x14ac:dyDescent="0.2">
      <c r="Y64172" s="97"/>
    </row>
    <row r="64173" spans="25:25" x14ac:dyDescent="0.2">
      <c r="Y64173" s="97"/>
    </row>
    <row r="64174" spans="25:25" x14ac:dyDescent="0.2">
      <c r="Y64174" s="97"/>
    </row>
    <row r="64175" spans="25:25" x14ac:dyDescent="0.2">
      <c r="Y64175" s="97"/>
    </row>
    <row r="64176" spans="25:25" x14ac:dyDescent="0.2">
      <c r="Y64176" s="97"/>
    </row>
    <row r="64177" spans="25:25" x14ac:dyDescent="0.2">
      <c r="Y64177" s="97"/>
    </row>
    <row r="64178" spans="25:25" x14ac:dyDescent="0.2">
      <c r="Y64178" s="97"/>
    </row>
    <row r="64179" spans="25:25" x14ac:dyDescent="0.2">
      <c r="Y64179" s="97"/>
    </row>
    <row r="64180" spans="25:25" x14ac:dyDescent="0.2">
      <c r="Y64180" s="97"/>
    </row>
    <row r="64181" spans="25:25" x14ac:dyDescent="0.2">
      <c r="Y64181" s="97"/>
    </row>
    <row r="64182" spans="25:25" x14ac:dyDescent="0.2">
      <c r="Y64182" s="97"/>
    </row>
    <row r="64183" spans="25:25" x14ac:dyDescent="0.2">
      <c r="Y64183" s="97"/>
    </row>
    <row r="64184" spans="25:25" x14ac:dyDescent="0.2">
      <c r="Y64184" s="97"/>
    </row>
    <row r="64185" spans="25:25" x14ac:dyDescent="0.2">
      <c r="Y64185" s="97"/>
    </row>
    <row r="64186" spans="25:25" x14ac:dyDescent="0.2">
      <c r="Y64186" s="97"/>
    </row>
    <row r="64187" spans="25:25" x14ac:dyDescent="0.2">
      <c r="Y64187" s="97"/>
    </row>
    <row r="64188" spans="25:25" x14ac:dyDescent="0.2">
      <c r="Y64188" s="97"/>
    </row>
    <row r="64189" spans="25:25" x14ac:dyDescent="0.2">
      <c r="Y64189" s="97"/>
    </row>
    <row r="64190" spans="25:25" x14ac:dyDescent="0.2">
      <c r="Y64190" s="97"/>
    </row>
    <row r="64191" spans="25:25" x14ac:dyDescent="0.2">
      <c r="Y64191" s="97"/>
    </row>
    <row r="64192" spans="25:25" x14ac:dyDescent="0.2">
      <c r="Y64192" s="97"/>
    </row>
    <row r="64193" spans="25:25" x14ac:dyDescent="0.2">
      <c r="Y64193" s="97"/>
    </row>
    <row r="64194" spans="25:25" x14ac:dyDescent="0.2">
      <c r="Y64194" s="97"/>
    </row>
    <row r="64195" spans="25:25" x14ac:dyDescent="0.2">
      <c r="Y64195" s="97"/>
    </row>
    <row r="64196" spans="25:25" x14ac:dyDescent="0.2">
      <c r="Y64196" s="97"/>
    </row>
    <row r="64197" spans="25:25" x14ac:dyDescent="0.2">
      <c r="Y64197" s="97"/>
    </row>
    <row r="64198" spans="25:25" x14ac:dyDescent="0.2">
      <c r="Y64198" s="97"/>
    </row>
    <row r="64199" spans="25:25" x14ac:dyDescent="0.2">
      <c r="Y64199" s="97"/>
    </row>
    <row r="64200" spans="25:25" x14ac:dyDescent="0.2">
      <c r="Y64200" s="97"/>
    </row>
    <row r="64201" spans="25:25" x14ac:dyDescent="0.2">
      <c r="Y64201" s="97"/>
    </row>
    <row r="64202" spans="25:25" x14ac:dyDescent="0.2">
      <c r="Y64202" s="97"/>
    </row>
    <row r="64203" spans="25:25" x14ac:dyDescent="0.2">
      <c r="Y64203" s="97"/>
    </row>
    <row r="64204" spans="25:25" x14ac:dyDescent="0.2">
      <c r="Y64204" s="97"/>
    </row>
    <row r="64205" spans="25:25" x14ac:dyDescent="0.2">
      <c r="Y64205" s="97"/>
    </row>
    <row r="64206" spans="25:25" x14ac:dyDescent="0.2">
      <c r="Y64206" s="97"/>
    </row>
    <row r="64207" spans="25:25" x14ac:dyDescent="0.2">
      <c r="Y64207" s="97"/>
    </row>
    <row r="64208" spans="25:25" x14ac:dyDescent="0.2">
      <c r="Y64208" s="97"/>
    </row>
    <row r="64209" spans="25:25" x14ac:dyDescent="0.2">
      <c r="Y64209" s="97"/>
    </row>
    <row r="64210" spans="25:25" x14ac:dyDescent="0.2">
      <c r="Y64210" s="97"/>
    </row>
    <row r="64211" spans="25:25" x14ac:dyDescent="0.2">
      <c r="Y64211" s="97"/>
    </row>
    <row r="64212" spans="25:25" x14ac:dyDescent="0.2">
      <c r="Y64212" s="97"/>
    </row>
    <row r="64213" spans="25:25" x14ac:dyDescent="0.2">
      <c r="Y64213" s="97"/>
    </row>
    <row r="64214" spans="25:25" x14ac:dyDescent="0.2">
      <c r="Y64214" s="97"/>
    </row>
    <row r="64215" spans="25:25" x14ac:dyDescent="0.2">
      <c r="Y64215" s="97"/>
    </row>
    <row r="64216" spans="25:25" x14ac:dyDescent="0.2">
      <c r="Y64216" s="97"/>
    </row>
    <row r="64217" spans="25:25" x14ac:dyDescent="0.2">
      <c r="Y64217" s="97"/>
    </row>
    <row r="64218" spans="25:25" x14ac:dyDescent="0.2">
      <c r="Y64218" s="97"/>
    </row>
    <row r="64219" spans="25:25" x14ac:dyDescent="0.2">
      <c r="Y64219" s="97"/>
    </row>
    <row r="64220" spans="25:25" x14ac:dyDescent="0.2">
      <c r="Y64220" s="97"/>
    </row>
    <row r="64221" spans="25:25" x14ac:dyDescent="0.2">
      <c r="Y64221" s="97"/>
    </row>
    <row r="64222" spans="25:25" x14ac:dyDescent="0.2">
      <c r="Y64222" s="97"/>
    </row>
    <row r="64223" spans="25:25" x14ac:dyDescent="0.2">
      <c r="Y64223" s="97"/>
    </row>
    <row r="64224" spans="25:25" x14ac:dyDescent="0.2">
      <c r="Y64224" s="97"/>
    </row>
    <row r="64225" spans="25:25" x14ac:dyDescent="0.2">
      <c r="Y64225" s="97"/>
    </row>
    <row r="64226" spans="25:25" x14ac:dyDescent="0.2">
      <c r="Y64226" s="97"/>
    </row>
    <row r="64227" spans="25:25" x14ac:dyDescent="0.2">
      <c r="Y64227" s="97"/>
    </row>
    <row r="64228" spans="25:25" x14ac:dyDescent="0.2">
      <c r="Y64228" s="97"/>
    </row>
    <row r="64229" spans="25:25" x14ac:dyDescent="0.2">
      <c r="Y64229" s="97"/>
    </row>
    <row r="64230" spans="25:25" x14ac:dyDescent="0.2">
      <c r="Y64230" s="97"/>
    </row>
    <row r="64231" spans="25:25" x14ac:dyDescent="0.2">
      <c r="Y64231" s="97"/>
    </row>
    <row r="64232" spans="25:25" x14ac:dyDescent="0.2">
      <c r="Y64232" s="97"/>
    </row>
    <row r="64233" spans="25:25" x14ac:dyDescent="0.2">
      <c r="Y64233" s="97"/>
    </row>
    <row r="64234" spans="25:25" x14ac:dyDescent="0.2">
      <c r="Y64234" s="97"/>
    </row>
    <row r="64235" spans="25:25" x14ac:dyDescent="0.2">
      <c r="Y64235" s="97"/>
    </row>
    <row r="64236" spans="25:25" x14ac:dyDescent="0.2">
      <c r="Y64236" s="97"/>
    </row>
    <row r="64237" spans="25:25" x14ac:dyDescent="0.2">
      <c r="Y64237" s="97"/>
    </row>
    <row r="64238" spans="25:25" x14ac:dyDescent="0.2">
      <c r="Y64238" s="97"/>
    </row>
    <row r="64239" spans="25:25" x14ac:dyDescent="0.2">
      <c r="Y64239" s="97"/>
    </row>
    <row r="64240" spans="25:25" x14ac:dyDescent="0.2">
      <c r="Y64240" s="97"/>
    </row>
    <row r="64241" spans="25:25" x14ac:dyDescent="0.2">
      <c r="Y64241" s="97"/>
    </row>
    <row r="64242" spans="25:25" x14ac:dyDescent="0.2">
      <c r="Y64242" s="97"/>
    </row>
    <row r="64243" spans="25:25" x14ac:dyDescent="0.2">
      <c r="Y64243" s="97"/>
    </row>
    <row r="64244" spans="25:25" x14ac:dyDescent="0.2">
      <c r="Y64244" s="97"/>
    </row>
    <row r="64245" spans="25:25" x14ac:dyDescent="0.2">
      <c r="Y64245" s="97"/>
    </row>
    <row r="64246" spans="25:25" x14ac:dyDescent="0.2">
      <c r="Y64246" s="97"/>
    </row>
    <row r="64247" spans="25:25" x14ac:dyDescent="0.2">
      <c r="Y64247" s="97"/>
    </row>
    <row r="64248" spans="25:25" x14ac:dyDescent="0.2">
      <c r="Y64248" s="97"/>
    </row>
    <row r="64249" spans="25:25" x14ac:dyDescent="0.2">
      <c r="Y64249" s="97"/>
    </row>
    <row r="64250" spans="25:25" x14ac:dyDescent="0.2">
      <c r="Y64250" s="97"/>
    </row>
    <row r="64251" spans="25:25" x14ac:dyDescent="0.2">
      <c r="Y64251" s="97"/>
    </row>
    <row r="64252" spans="25:25" x14ac:dyDescent="0.2">
      <c r="Y64252" s="97"/>
    </row>
    <row r="64253" spans="25:25" x14ac:dyDescent="0.2">
      <c r="Y64253" s="97"/>
    </row>
    <row r="64254" spans="25:25" x14ac:dyDescent="0.2">
      <c r="Y64254" s="97"/>
    </row>
    <row r="64255" spans="25:25" x14ac:dyDescent="0.2">
      <c r="Y64255" s="97"/>
    </row>
    <row r="64256" spans="25:25" x14ac:dyDescent="0.2">
      <c r="Y64256" s="97"/>
    </row>
    <row r="64257" spans="25:25" x14ac:dyDescent="0.2">
      <c r="Y64257" s="97"/>
    </row>
    <row r="64258" spans="25:25" x14ac:dyDescent="0.2">
      <c r="Y64258" s="97"/>
    </row>
    <row r="64259" spans="25:25" x14ac:dyDescent="0.2">
      <c r="Y64259" s="97"/>
    </row>
    <row r="64260" spans="25:25" x14ac:dyDescent="0.2">
      <c r="Y64260" s="97"/>
    </row>
    <row r="64261" spans="25:25" x14ac:dyDescent="0.2">
      <c r="Y64261" s="97"/>
    </row>
    <row r="64262" spans="25:25" x14ac:dyDescent="0.2">
      <c r="Y64262" s="97"/>
    </row>
    <row r="64263" spans="25:25" x14ac:dyDescent="0.2">
      <c r="Y64263" s="97"/>
    </row>
    <row r="64264" spans="25:25" x14ac:dyDescent="0.2">
      <c r="Y64264" s="97"/>
    </row>
    <row r="64265" spans="25:25" x14ac:dyDescent="0.2">
      <c r="Y64265" s="97"/>
    </row>
    <row r="64266" spans="25:25" x14ac:dyDescent="0.2">
      <c r="Y64266" s="97"/>
    </row>
    <row r="64267" spans="25:25" x14ac:dyDescent="0.2">
      <c r="Y64267" s="97"/>
    </row>
    <row r="64268" spans="25:25" x14ac:dyDescent="0.2">
      <c r="Y64268" s="97"/>
    </row>
    <row r="64269" spans="25:25" x14ac:dyDescent="0.2">
      <c r="Y64269" s="97"/>
    </row>
    <row r="64270" spans="25:25" x14ac:dyDescent="0.2">
      <c r="Y64270" s="97"/>
    </row>
    <row r="64271" spans="25:25" x14ac:dyDescent="0.2">
      <c r="Y64271" s="97"/>
    </row>
    <row r="64272" spans="25:25" x14ac:dyDescent="0.2">
      <c r="Y64272" s="97"/>
    </row>
    <row r="64273" spans="25:25" x14ac:dyDescent="0.2">
      <c r="Y64273" s="97"/>
    </row>
    <row r="64274" spans="25:25" x14ac:dyDescent="0.2">
      <c r="Y64274" s="97"/>
    </row>
    <row r="64275" spans="25:25" x14ac:dyDescent="0.2">
      <c r="Y64275" s="97"/>
    </row>
    <row r="64276" spans="25:25" x14ac:dyDescent="0.2">
      <c r="Y64276" s="97"/>
    </row>
    <row r="64277" spans="25:25" x14ac:dyDescent="0.2">
      <c r="Y64277" s="97"/>
    </row>
    <row r="64278" spans="25:25" x14ac:dyDescent="0.2">
      <c r="Y64278" s="97"/>
    </row>
    <row r="64279" spans="25:25" x14ac:dyDescent="0.2">
      <c r="Y64279" s="97"/>
    </row>
    <row r="64280" spans="25:25" x14ac:dyDescent="0.2">
      <c r="Y64280" s="97"/>
    </row>
    <row r="64281" spans="25:25" x14ac:dyDescent="0.2">
      <c r="Y64281" s="97"/>
    </row>
    <row r="64282" spans="25:25" x14ac:dyDescent="0.2">
      <c r="Y64282" s="97"/>
    </row>
    <row r="64283" spans="25:25" x14ac:dyDescent="0.2">
      <c r="Y64283" s="97"/>
    </row>
    <row r="64284" spans="25:25" x14ac:dyDescent="0.2">
      <c r="Y64284" s="97"/>
    </row>
    <row r="64285" spans="25:25" x14ac:dyDescent="0.2">
      <c r="Y64285" s="97"/>
    </row>
    <row r="64286" spans="25:25" x14ac:dyDescent="0.2">
      <c r="Y64286" s="97"/>
    </row>
    <row r="64287" spans="25:25" x14ac:dyDescent="0.2">
      <c r="Y64287" s="97"/>
    </row>
    <row r="64288" spans="25:25" x14ac:dyDescent="0.2">
      <c r="Y64288" s="97"/>
    </row>
    <row r="64289" spans="25:25" x14ac:dyDescent="0.2">
      <c r="Y64289" s="97"/>
    </row>
    <row r="64290" spans="25:25" x14ac:dyDescent="0.2">
      <c r="Y64290" s="97"/>
    </row>
    <row r="64291" spans="25:25" x14ac:dyDescent="0.2">
      <c r="Y64291" s="97"/>
    </row>
    <row r="64292" spans="25:25" x14ac:dyDescent="0.2">
      <c r="Y64292" s="97"/>
    </row>
    <row r="64293" spans="25:25" x14ac:dyDescent="0.2">
      <c r="Y64293" s="97"/>
    </row>
    <row r="64294" spans="25:25" x14ac:dyDescent="0.2">
      <c r="Y64294" s="97"/>
    </row>
    <row r="64295" spans="25:25" x14ac:dyDescent="0.2">
      <c r="Y64295" s="97"/>
    </row>
    <row r="64296" spans="25:25" x14ac:dyDescent="0.2">
      <c r="Y64296" s="97"/>
    </row>
    <row r="64297" spans="25:25" x14ac:dyDescent="0.2">
      <c r="Y64297" s="97"/>
    </row>
    <row r="64298" spans="25:25" x14ac:dyDescent="0.2">
      <c r="Y64298" s="97"/>
    </row>
    <row r="64299" spans="25:25" x14ac:dyDescent="0.2">
      <c r="Y64299" s="97"/>
    </row>
    <row r="64300" spans="25:25" x14ac:dyDescent="0.2">
      <c r="Y64300" s="97"/>
    </row>
    <row r="64301" spans="25:25" x14ac:dyDescent="0.2">
      <c r="Y64301" s="97"/>
    </row>
    <row r="64302" spans="25:25" x14ac:dyDescent="0.2">
      <c r="Y64302" s="97"/>
    </row>
    <row r="64303" spans="25:25" x14ac:dyDescent="0.2">
      <c r="Y64303" s="97"/>
    </row>
    <row r="64304" spans="25:25" x14ac:dyDescent="0.2">
      <c r="Y64304" s="97"/>
    </row>
    <row r="64305" spans="25:25" x14ac:dyDescent="0.2">
      <c r="Y64305" s="97"/>
    </row>
    <row r="64306" spans="25:25" x14ac:dyDescent="0.2">
      <c r="Y64306" s="97"/>
    </row>
    <row r="64307" spans="25:25" x14ac:dyDescent="0.2">
      <c r="Y64307" s="97"/>
    </row>
    <row r="64308" spans="25:25" x14ac:dyDescent="0.2">
      <c r="Y64308" s="97"/>
    </row>
    <row r="64309" spans="25:25" x14ac:dyDescent="0.2">
      <c r="Y64309" s="97"/>
    </row>
    <row r="64310" spans="25:25" x14ac:dyDescent="0.2">
      <c r="Y64310" s="97"/>
    </row>
    <row r="64311" spans="25:25" x14ac:dyDescent="0.2">
      <c r="Y64311" s="97"/>
    </row>
    <row r="64312" spans="25:25" x14ac:dyDescent="0.2">
      <c r="Y64312" s="97"/>
    </row>
    <row r="64313" spans="25:25" x14ac:dyDescent="0.2">
      <c r="Y64313" s="97"/>
    </row>
    <row r="64314" spans="25:25" x14ac:dyDescent="0.2">
      <c r="Y64314" s="97"/>
    </row>
    <row r="64315" spans="25:25" x14ac:dyDescent="0.2">
      <c r="Y64315" s="97"/>
    </row>
    <row r="64316" spans="25:25" x14ac:dyDescent="0.2">
      <c r="Y64316" s="97"/>
    </row>
    <row r="64317" spans="25:25" x14ac:dyDescent="0.2">
      <c r="Y64317" s="97"/>
    </row>
    <row r="64318" spans="25:25" x14ac:dyDescent="0.2">
      <c r="Y64318" s="97"/>
    </row>
    <row r="64319" spans="25:25" x14ac:dyDescent="0.2">
      <c r="Y64319" s="97"/>
    </row>
    <row r="64320" spans="25:25" x14ac:dyDescent="0.2">
      <c r="Y64320" s="97"/>
    </row>
    <row r="64321" spans="25:25" x14ac:dyDescent="0.2">
      <c r="Y64321" s="97"/>
    </row>
    <row r="64322" spans="25:25" x14ac:dyDescent="0.2">
      <c r="Y64322" s="97"/>
    </row>
    <row r="64323" spans="25:25" x14ac:dyDescent="0.2">
      <c r="Y64323" s="97"/>
    </row>
    <row r="64324" spans="25:25" x14ac:dyDescent="0.2">
      <c r="Y64324" s="97"/>
    </row>
    <row r="64325" spans="25:25" x14ac:dyDescent="0.2">
      <c r="Y64325" s="97"/>
    </row>
    <row r="64326" spans="25:25" x14ac:dyDescent="0.2">
      <c r="Y64326" s="97"/>
    </row>
    <row r="64327" spans="25:25" x14ac:dyDescent="0.2">
      <c r="Y64327" s="97"/>
    </row>
    <row r="64328" spans="25:25" x14ac:dyDescent="0.2">
      <c r="Y64328" s="97"/>
    </row>
    <row r="64329" spans="25:25" x14ac:dyDescent="0.2">
      <c r="Y64329" s="97"/>
    </row>
    <row r="64330" spans="25:25" x14ac:dyDescent="0.2">
      <c r="Y64330" s="97"/>
    </row>
    <row r="64331" spans="25:25" x14ac:dyDescent="0.2">
      <c r="Y64331" s="97"/>
    </row>
    <row r="64332" spans="25:25" x14ac:dyDescent="0.2">
      <c r="Y64332" s="97"/>
    </row>
    <row r="64333" spans="25:25" x14ac:dyDescent="0.2">
      <c r="Y64333" s="97"/>
    </row>
    <row r="64334" spans="25:25" x14ac:dyDescent="0.2">
      <c r="Y64334" s="97"/>
    </row>
    <row r="64335" spans="25:25" x14ac:dyDescent="0.2">
      <c r="Y64335" s="97"/>
    </row>
    <row r="64336" spans="25:25" x14ac:dyDescent="0.2">
      <c r="Y64336" s="97"/>
    </row>
    <row r="64337" spans="25:25" x14ac:dyDescent="0.2">
      <c r="Y64337" s="97"/>
    </row>
    <row r="64338" spans="25:25" x14ac:dyDescent="0.2">
      <c r="Y64338" s="97"/>
    </row>
    <row r="64339" spans="25:25" x14ac:dyDescent="0.2">
      <c r="Y64339" s="97"/>
    </row>
    <row r="64340" spans="25:25" x14ac:dyDescent="0.2">
      <c r="Y64340" s="97"/>
    </row>
    <row r="64341" spans="25:25" x14ac:dyDescent="0.2">
      <c r="Y64341" s="97"/>
    </row>
    <row r="64342" spans="25:25" x14ac:dyDescent="0.2">
      <c r="Y64342" s="97"/>
    </row>
    <row r="64343" spans="25:25" x14ac:dyDescent="0.2">
      <c r="Y64343" s="97"/>
    </row>
    <row r="64344" spans="25:25" x14ac:dyDescent="0.2">
      <c r="Y64344" s="97"/>
    </row>
    <row r="64345" spans="25:25" x14ac:dyDescent="0.2">
      <c r="Y64345" s="97"/>
    </row>
    <row r="64346" spans="25:25" x14ac:dyDescent="0.2">
      <c r="Y64346" s="97"/>
    </row>
    <row r="64347" spans="25:25" x14ac:dyDescent="0.2">
      <c r="Y64347" s="97"/>
    </row>
    <row r="64348" spans="25:25" x14ac:dyDescent="0.2">
      <c r="Y64348" s="97"/>
    </row>
    <row r="64349" spans="25:25" x14ac:dyDescent="0.2">
      <c r="Y64349" s="97"/>
    </row>
    <row r="64350" spans="25:25" x14ac:dyDescent="0.2">
      <c r="Y64350" s="97"/>
    </row>
    <row r="64351" spans="25:25" x14ac:dyDescent="0.2">
      <c r="Y64351" s="97"/>
    </row>
    <row r="64352" spans="25:25" x14ac:dyDescent="0.2">
      <c r="Y64352" s="97"/>
    </row>
    <row r="64353" spans="25:25" x14ac:dyDescent="0.2">
      <c r="Y64353" s="97"/>
    </row>
    <row r="64354" spans="25:25" x14ac:dyDescent="0.2">
      <c r="Y64354" s="97"/>
    </row>
    <row r="64355" spans="25:25" x14ac:dyDescent="0.2">
      <c r="Y64355" s="97"/>
    </row>
    <row r="64356" spans="25:25" x14ac:dyDescent="0.2">
      <c r="Y64356" s="97"/>
    </row>
    <row r="64357" spans="25:25" x14ac:dyDescent="0.2">
      <c r="Y64357" s="97"/>
    </row>
    <row r="64358" spans="25:25" x14ac:dyDescent="0.2">
      <c r="Y64358" s="97"/>
    </row>
    <row r="64359" spans="25:25" x14ac:dyDescent="0.2">
      <c r="Y64359" s="97"/>
    </row>
    <row r="64360" spans="25:25" x14ac:dyDescent="0.2">
      <c r="Y64360" s="97"/>
    </row>
    <row r="64361" spans="25:25" x14ac:dyDescent="0.2">
      <c r="Y64361" s="97"/>
    </row>
    <row r="64362" spans="25:25" x14ac:dyDescent="0.2">
      <c r="Y64362" s="97"/>
    </row>
    <row r="64363" spans="25:25" x14ac:dyDescent="0.2">
      <c r="Y64363" s="97"/>
    </row>
    <row r="64364" spans="25:25" x14ac:dyDescent="0.2">
      <c r="Y64364" s="97"/>
    </row>
    <row r="64365" spans="25:25" x14ac:dyDescent="0.2">
      <c r="Y64365" s="97"/>
    </row>
    <row r="64366" spans="25:25" x14ac:dyDescent="0.2">
      <c r="Y64366" s="97"/>
    </row>
    <row r="64367" spans="25:25" x14ac:dyDescent="0.2">
      <c r="Y64367" s="97"/>
    </row>
    <row r="64368" spans="25:25" x14ac:dyDescent="0.2">
      <c r="Y64368" s="97"/>
    </row>
    <row r="64369" spans="25:25" x14ac:dyDescent="0.2">
      <c r="Y64369" s="97"/>
    </row>
    <row r="64370" spans="25:25" x14ac:dyDescent="0.2">
      <c r="Y64370" s="97"/>
    </row>
    <row r="64371" spans="25:25" x14ac:dyDescent="0.2">
      <c r="Y64371" s="97"/>
    </row>
    <row r="64372" spans="25:25" x14ac:dyDescent="0.2">
      <c r="Y64372" s="97"/>
    </row>
    <row r="64373" spans="25:25" x14ac:dyDescent="0.2">
      <c r="Y64373" s="97"/>
    </row>
    <row r="64374" spans="25:25" x14ac:dyDescent="0.2">
      <c r="Y64374" s="97"/>
    </row>
    <row r="64375" spans="25:25" x14ac:dyDescent="0.2">
      <c r="Y64375" s="97"/>
    </row>
    <row r="64376" spans="25:25" x14ac:dyDescent="0.2">
      <c r="Y64376" s="97"/>
    </row>
    <row r="64377" spans="25:25" x14ac:dyDescent="0.2">
      <c r="Y64377" s="97"/>
    </row>
    <row r="64378" spans="25:25" x14ac:dyDescent="0.2">
      <c r="Y64378" s="97"/>
    </row>
    <row r="64379" spans="25:25" x14ac:dyDescent="0.2">
      <c r="Y64379" s="97"/>
    </row>
    <row r="64380" spans="25:25" x14ac:dyDescent="0.2">
      <c r="Y64380" s="97"/>
    </row>
    <row r="64381" spans="25:25" x14ac:dyDescent="0.2">
      <c r="Y64381" s="97"/>
    </row>
    <row r="64382" spans="25:25" x14ac:dyDescent="0.2">
      <c r="Y64382" s="97"/>
    </row>
    <row r="64383" spans="25:25" x14ac:dyDescent="0.2">
      <c r="Y64383" s="97"/>
    </row>
    <row r="64384" spans="25:25" x14ac:dyDescent="0.2">
      <c r="Y64384" s="97"/>
    </row>
    <row r="64385" spans="25:25" x14ac:dyDescent="0.2">
      <c r="Y64385" s="97"/>
    </row>
    <row r="64386" spans="25:25" x14ac:dyDescent="0.2">
      <c r="Y64386" s="97"/>
    </row>
    <row r="64387" spans="25:25" x14ac:dyDescent="0.2">
      <c r="Y64387" s="97"/>
    </row>
    <row r="64388" spans="25:25" x14ac:dyDescent="0.2">
      <c r="Y64388" s="97"/>
    </row>
    <row r="64389" spans="25:25" x14ac:dyDescent="0.2">
      <c r="Y64389" s="97"/>
    </row>
    <row r="64390" spans="25:25" x14ac:dyDescent="0.2">
      <c r="Y64390" s="97"/>
    </row>
    <row r="64391" spans="25:25" x14ac:dyDescent="0.2">
      <c r="Y64391" s="97"/>
    </row>
    <row r="64392" spans="25:25" x14ac:dyDescent="0.2">
      <c r="Y64392" s="97"/>
    </row>
    <row r="64393" spans="25:25" x14ac:dyDescent="0.2">
      <c r="Y64393" s="97"/>
    </row>
    <row r="64394" spans="25:25" x14ac:dyDescent="0.2">
      <c r="Y64394" s="97"/>
    </row>
    <row r="64395" spans="25:25" x14ac:dyDescent="0.2">
      <c r="Y64395" s="97"/>
    </row>
    <row r="64396" spans="25:25" x14ac:dyDescent="0.2">
      <c r="Y64396" s="97"/>
    </row>
    <row r="64397" spans="25:25" x14ac:dyDescent="0.2">
      <c r="Y64397" s="97"/>
    </row>
    <row r="64398" spans="25:25" x14ac:dyDescent="0.2">
      <c r="Y64398" s="97"/>
    </row>
    <row r="64399" spans="25:25" x14ac:dyDescent="0.2">
      <c r="Y64399" s="97"/>
    </row>
    <row r="64400" spans="25:25" x14ac:dyDescent="0.2">
      <c r="Y64400" s="97"/>
    </row>
    <row r="64401" spans="25:25" x14ac:dyDescent="0.2">
      <c r="Y64401" s="97"/>
    </row>
    <row r="64402" spans="25:25" x14ac:dyDescent="0.2">
      <c r="Y64402" s="97"/>
    </row>
    <row r="64403" spans="25:25" x14ac:dyDescent="0.2">
      <c r="Y64403" s="97"/>
    </row>
    <row r="64404" spans="25:25" x14ac:dyDescent="0.2">
      <c r="Y64404" s="97"/>
    </row>
    <row r="64405" spans="25:25" x14ac:dyDescent="0.2">
      <c r="Y64405" s="97"/>
    </row>
    <row r="64406" spans="25:25" x14ac:dyDescent="0.2">
      <c r="Y64406" s="97"/>
    </row>
    <row r="64407" spans="25:25" x14ac:dyDescent="0.2">
      <c r="Y64407" s="97"/>
    </row>
    <row r="64408" spans="25:25" x14ac:dyDescent="0.2">
      <c r="Y64408" s="97"/>
    </row>
    <row r="64409" spans="25:25" x14ac:dyDescent="0.2">
      <c r="Y64409" s="97"/>
    </row>
    <row r="64410" spans="25:25" x14ac:dyDescent="0.2">
      <c r="Y64410" s="97"/>
    </row>
    <row r="64411" spans="25:25" x14ac:dyDescent="0.2">
      <c r="Y64411" s="97"/>
    </row>
    <row r="64412" spans="25:25" x14ac:dyDescent="0.2">
      <c r="Y64412" s="97"/>
    </row>
    <row r="64413" spans="25:25" x14ac:dyDescent="0.2">
      <c r="Y64413" s="97"/>
    </row>
    <row r="64414" spans="25:25" x14ac:dyDescent="0.2">
      <c r="Y64414" s="97"/>
    </row>
    <row r="64415" spans="25:25" x14ac:dyDescent="0.2">
      <c r="Y64415" s="97"/>
    </row>
    <row r="64416" spans="25:25" x14ac:dyDescent="0.2">
      <c r="Y64416" s="97"/>
    </row>
    <row r="64417" spans="25:25" x14ac:dyDescent="0.2">
      <c r="Y64417" s="97"/>
    </row>
    <row r="64418" spans="25:25" x14ac:dyDescent="0.2">
      <c r="Y64418" s="97"/>
    </row>
    <row r="64419" spans="25:25" x14ac:dyDescent="0.2">
      <c r="Y64419" s="97"/>
    </row>
    <row r="64420" spans="25:25" x14ac:dyDescent="0.2">
      <c r="Y64420" s="97"/>
    </row>
    <row r="64421" spans="25:25" x14ac:dyDescent="0.2">
      <c r="Y64421" s="97"/>
    </row>
    <row r="64422" spans="25:25" x14ac:dyDescent="0.2">
      <c r="Y64422" s="97"/>
    </row>
    <row r="64423" spans="25:25" x14ac:dyDescent="0.2">
      <c r="Y64423" s="97"/>
    </row>
    <row r="64424" spans="25:25" x14ac:dyDescent="0.2">
      <c r="Y64424" s="97"/>
    </row>
    <row r="64425" spans="25:25" x14ac:dyDescent="0.2">
      <c r="Y64425" s="97"/>
    </row>
    <row r="64426" spans="25:25" x14ac:dyDescent="0.2">
      <c r="Y64426" s="97"/>
    </row>
    <row r="64427" spans="25:25" x14ac:dyDescent="0.2">
      <c r="Y64427" s="97"/>
    </row>
    <row r="64428" spans="25:25" x14ac:dyDescent="0.2">
      <c r="Y64428" s="97"/>
    </row>
    <row r="64429" spans="25:25" x14ac:dyDescent="0.2">
      <c r="Y64429" s="97"/>
    </row>
    <row r="64430" spans="25:25" x14ac:dyDescent="0.2">
      <c r="Y64430" s="97"/>
    </row>
    <row r="64431" spans="25:25" x14ac:dyDescent="0.2">
      <c r="Y64431" s="97"/>
    </row>
    <row r="64432" spans="25:25" x14ac:dyDescent="0.2">
      <c r="Y64432" s="97"/>
    </row>
    <row r="64433" spans="25:25" x14ac:dyDescent="0.2">
      <c r="Y64433" s="97"/>
    </row>
    <row r="64434" spans="25:25" x14ac:dyDescent="0.2">
      <c r="Y64434" s="97"/>
    </row>
    <row r="64435" spans="25:25" x14ac:dyDescent="0.2">
      <c r="Y64435" s="97"/>
    </row>
    <row r="64436" spans="25:25" x14ac:dyDescent="0.2">
      <c r="Y64436" s="97"/>
    </row>
    <row r="64437" spans="25:25" x14ac:dyDescent="0.2">
      <c r="Y64437" s="97"/>
    </row>
    <row r="64438" spans="25:25" x14ac:dyDescent="0.2">
      <c r="Y64438" s="97"/>
    </row>
    <row r="64439" spans="25:25" x14ac:dyDescent="0.2">
      <c r="Y64439" s="97"/>
    </row>
    <row r="64440" spans="25:25" x14ac:dyDescent="0.2">
      <c r="Y64440" s="97"/>
    </row>
    <row r="64441" spans="25:25" x14ac:dyDescent="0.2">
      <c r="Y64441" s="97"/>
    </row>
    <row r="64442" spans="25:25" x14ac:dyDescent="0.2">
      <c r="Y64442" s="97"/>
    </row>
    <row r="64443" spans="25:25" x14ac:dyDescent="0.2">
      <c r="Y64443" s="97"/>
    </row>
    <row r="64444" spans="25:25" x14ac:dyDescent="0.2">
      <c r="Y64444" s="97"/>
    </row>
    <row r="64445" spans="25:25" x14ac:dyDescent="0.2">
      <c r="Y64445" s="97"/>
    </row>
    <row r="64446" spans="25:25" x14ac:dyDescent="0.2">
      <c r="Y64446" s="97"/>
    </row>
    <row r="64447" spans="25:25" x14ac:dyDescent="0.2">
      <c r="Y64447" s="97"/>
    </row>
    <row r="64448" spans="25:25" x14ac:dyDescent="0.2">
      <c r="Y64448" s="97"/>
    </row>
    <row r="64449" spans="25:25" x14ac:dyDescent="0.2">
      <c r="Y64449" s="97"/>
    </row>
    <row r="64450" spans="25:25" x14ac:dyDescent="0.2">
      <c r="Y64450" s="97"/>
    </row>
    <row r="64451" spans="25:25" x14ac:dyDescent="0.2">
      <c r="Y64451" s="97"/>
    </row>
    <row r="64452" spans="25:25" x14ac:dyDescent="0.2">
      <c r="Y64452" s="97"/>
    </row>
    <row r="64453" spans="25:25" x14ac:dyDescent="0.2">
      <c r="Y64453" s="97"/>
    </row>
    <row r="64454" spans="25:25" x14ac:dyDescent="0.2">
      <c r="Y64454" s="97"/>
    </row>
    <row r="64455" spans="25:25" x14ac:dyDescent="0.2">
      <c r="Y64455" s="97"/>
    </row>
    <row r="64456" spans="25:25" x14ac:dyDescent="0.2">
      <c r="Y64456" s="97"/>
    </row>
    <row r="64457" spans="25:25" x14ac:dyDescent="0.2">
      <c r="Y64457" s="97"/>
    </row>
    <row r="64458" spans="25:25" x14ac:dyDescent="0.2">
      <c r="Y64458" s="97"/>
    </row>
    <row r="64459" spans="25:25" x14ac:dyDescent="0.2">
      <c r="Y64459" s="97"/>
    </row>
    <row r="64460" spans="25:25" x14ac:dyDescent="0.2">
      <c r="Y64460" s="97"/>
    </row>
    <row r="64461" spans="25:25" x14ac:dyDescent="0.2">
      <c r="Y64461" s="97"/>
    </row>
    <row r="64462" spans="25:25" x14ac:dyDescent="0.2">
      <c r="Y64462" s="97"/>
    </row>
    <row r="64463" spans="25:25" x14ac:dyDescent="0.2">
      <c r="Y64463" s="97"/>
    </row>
    <row r="64464" spans="25:25" x14ac:dyDescent="0.2">
      <c r="Y64464" s="97"/>
    </row>
    <row r="64465" spans="25:25" x14ac:dyDescent="0.2">
      <c r="Y64465" s="97"/>
    </row>
    <row r="64466" spans="25:25" x14ac:dyDescent="0.2">
      <c r="Y64466" s="97"/>
    </row>
    <row r="64467" spans="25:25" x14ac:dyDescent="0.2">
      <c r="Y64467" s="97"/>
    </row>
    <row r="64468" spans="25:25" x14ac:dyDescent="0.2">
      <c r="Y64468" s="97"/>
    </row>
    <row r="64469" spans="25:25" x14ac:dyDescent="0.2">
      <c r="Y64469" s="97"/>
    </row>
    <row r="64470" spans="25:25" x14ac:dyDescent="0.2">
      <c r="Y64470" s="97"/>
    </row>
    <row r="64471" spans="25:25" x14ac:dyDescent="0.2">
      <c r="Y64471" s="97"/>
    </row>
    <row r="64472" spans="25:25" x14ac:dyDescent="0.2">
      <c r="Y64472" s="97"/>
    </row>
    <row r="64473" spans="25:25" x14ac:dyDescent="0.2">
      <c r="Y64473" s="97"/>
    </row>
    <row r="64474" spans="25:25" x14ac:dyDescent="0.2">
      <c r="Y64474" s="97"/>
    </row>
    <row r="64475" spans="25:25" x14ac:dyDescent="0.2">
      <c r="Y64475" s="97"/>
    </row>
    <row r="64476" spans="25:25" x14ac:dyDescent="0.2">
      <c r="Y64476" s="97"/>
    </row>
    <row r="64477" spans="25:25" x14ac:dyDescent="0.2">
      <c r="Y64477" s="97"/>
    </row>
    <row r="64478" spans="25:25" x14ac:dyDescent="0.2">
      <c r="Y64478" s="97"/>
    </row>
    <row r="64479" spans="25:25" x14ac:dyDescent="0.2">
      <c r="Y64479" s="97"/>
    </row>
    <row r="64480" spans="25:25" x14ac:dyDescent="0.2">
      <c r="Y64480" s="97"/>
    </row>
    <row r="64481" spans="25:25" x14ac:dyDescent="0.2">
      <c r="Y64481" s="97"/>
    </row>
    <row r="64482" spans="25:25" x14ac:dyDescent="0.2">
      <c r="Y64482" s="97"/>
    </row>
    <row r="64483" spans="25:25" x14ac:dyDescent="0.2">
      <c r="Y64483" s="97"/>
    </row>
    <row r="64484" spans="25:25" x14ac:dyDescent="0.2">
      <c r="Y64484" s="97"/>
    </row>
    <row r="64485" spans="25:25" x14ac:dyDescent="0.2">
      <c r="Y64485" s="97"/>
    </row>
    <row r="64486" spans="25:25" x14ac:dyDescent="0.2">
      <c r="Y64486" s="97"/>
    </row>
    <row r="64487" spans="25:25" x14ac:dyDescent="0.2">
      <c r="Y64487" s="97"/>
    </row>
    <row r="64488" spans="25:25" x14ac:dyDescent="0.2">
      <c r="Y64488" s="97"/>
    </row>
    <row r="64489" spans="25:25" x14ac:dyDescent="0.2">
      <c r="Y64489" s="97"/>
    </row>
    <row r="64490" spans="25:25" x14ac:dyDescent="0.2">
      <c r="Y64490" s="97"/>
    </row>
    <row r="64491" spans="25:25" x14ac:dyDescent="0.2">
      <c r="Y64491" s="97"/>
    </row>
    <row r="64492" spans="25:25" x14ac:dyDescent="0.2">
      <c r="Y64492" s="97"/>
    </row>
    <row r="64493" spans="25:25" x14ac:dyDescent="0.2">
      <c r="Y64493" s="97"/>
    </row>
    <row r="64494" spans="25:25" x14ac:dyDescent="0.2">
      <c r="Y64494" s="97"/>
    </row>
    <row r="64495" spans="25:25" x14ac:dyDescent="0.2">
      <c r="Y64495" s="97"/>
    </row>
    <row r="64496" spans="25:25" x14ac:dyDescent="0.2">
      <c r="Y64496" s="97"/>
    </row>
    <row r="64497" spans="25:25" x14ac:dyDescent="0.2">
      <c r="Y64497" s="97"/>
    </row>
    <row r="64498" spans="25:25" x14ac:dyDescent="0.2">
      <c r="Y64498" s="97"/>
    </row>
    <row r="64499" spans="25:25" x14ac:dyDescent="0.2">
      <c r="Y64499" s="97"/>
    </row>
    <row r="64500" spans="25:25" x14ac:dyDescent="0.2">
      <c r="Y64500" s="97"/>
    </row>
    <row r="64501" spans="25:25" x14ac:dyDescent="0.2">
      <c r="Y64501" s="97"/>
    </row>
    <row r="64502" spans="25:25" x14ac:dyDescent="0.2">
      <c r="Y64502" s="97"/>
    </row>
    <row r="64503" spans="25:25" x14ac:dyDescent="0.2">
      <c r="Y64503" s="97"/>
    </row>
    <row r="64504" spans="25:25" x14ac:dyDescent="0.2">
      <c r="Y64504" s="97"/>
    </row>
    <row r="64505" spans="25:25" x14ac:dyDescent="0.2">
      <c r="Y64505" s="97"/>
    </row>
    <row r="64506" spans="25:25" x14ac:dyDescent="0.2">
      <c r="Y64506" s="97"/>
    </row>
    <row r="64507" spans="25:25" x14ac:dyDescent="0.2">
      <c r="Y64507" s="97"/>
    </row>
    <row r="64508" spans="25:25" x14ac:dyDescent="0.2">
      <c r="Y64508" s="97"/>
    </row>
    <row r="64509" spans="25:25" x14ac:dyDescent="0.2">
      <c r="Y64509" s="97"/>
    </row>
    <row r="64510" spans="25:25" x14ac:dyDescent="0.2">
      <c r="Y64510" s="97"/>
    </row>
    <row r="64511" spans="25:25" x14ac:dyDescent="0.2">
      <c r="Y64511" s="97"/>
    </row>
    <row r="64512" spans="25:25" x14ac:dyDescent="0.2">
      <c r="Y64512" s="97"/>
    </row>
    <row r="64513" spans="25:25" x14ac:dyDescent="0.2">
      <c r="Y64513" s="97"/>
    </row>
    <row r="64514" spans="25:25" x14ac:dyDescent="0.2">
      <c r="Y64514" s="97"/>
    </row>
    <row r="64515" spans="25:25" x14ac:dyDescent="0.2">
      <c r="Y64515" s="97"/>
    </row>
    <row r="64516" spans="25:25" x14ac:dyDescent="0.2">
      <c r="Y64516" s="97"/>
    </row>
    <row r="64517" spans="25:25" x14ac:dyDescent="0.2">
      <c r="Y64517" s="97"/>
    </row>
    <row r="64518" spans="25:25" x14ac:dyDescent="0.2">
      <c r="Y64518" s="97"/>
    </row>
    <row r="64519" spans="25:25" x14ac:dyDescent="0.2">
      <c r="Y64519" s="97"/>
    </row>
    <row r="64520" spans="25:25" x14ac:dyDescent="0.2">
      <c r="Y64520" s="97"/>
    </row>
    <row r="64521" spans="25:25" x14ac:dyDescent="0.2">
      <c r="Y64521" s="97"/>
    </row>
    <row r="64522" spans="25:25" x14ac:dyDescent="0.2">
      <c r="Y64522" s="97"/>
    </row>
    <row r="64523" spans="25:25" x14ac:dyDescent="0.2">
      <c r="Y64523" s="97"/>
    </row>
    <row r="64524" spans="25:25" x14ac:dyDescent="0.2">
      <c r="Y64524" s="97"/>
    </row>
    <row r="64525" spans="25:25" x14ac:dyDescent="0.2">
      <c r="Y64525" s="97"/>
    </row>
    <row r="64526" spans="25:25" x14ac:dyDescent="0.2">
      <c r="Y64526" s="97"/>
    </row>
    <row r="64527" spans="25:25" x14ac:dyDescent="0.2">
      <c r="Y64527" s="97"/>
    </row>
    <row r="64528" spans="25:25" x14ac:dyDescent="0.2">
      <c r="Y64528" s="97"/>
    </row>
    <row r="64529" spans="25:25" x14ac:dyDescent="0.2">
      <c r="Y64529" s="97"/>
    </row>
    <row r="64530" spans="25:25" x14ac:dyDescent="0.2">
      <c r="Y64530" s="97"/>
    </row>
    <row r="64531" spans="25:25" x14ac:dyDescent="0.2">
      <c r="Y64531" s="97"/>
    </row>
    <row r="64532" spans="25:25" x14ac:dyDescent="0.2">
      <c r="Y64532" s="97"/>
    </row>
    <row r="64533" spans="25:25" x14ac:dyDescent="0.2">
      <c r="Y64533" s="97"/>
    </row>
    <row r="64534" spans="25:25" x14ac:dyDescent="0.2">
      <c r="Y64534" s="97"/>
    </row>
    <row r="64535" spans="25:25" x14ac:dyDescent="0.2">
      <c r="Y64535" s="97"/>
    </row>
    <row r="64536" spans="25:25" x14ac:dyDescent="0.2">
      <c r="Y64536" s="97"/>
    </row>
    <row r="64537" spans="25:25" x14ac:dyDescent="0.2">
      <c r="Y64537" s="97"/>
    </row>
    <row r="64538" spans="25:25" x14ac:dyDescent="0.2">
      <c r="Y64538" s="97"/>
    </row>
    <row r="64539" spans="25:25" x14ac:dyDescent="0.2">
      <c r="Y64539" s="97"/>
    </row>
    <row r="64540" spans="25:25" x14ac:dyDescent="0.2">
      <c r="Y64540" s="97"/>
    </row>
    <row r="64541" spans="25:25" x14ac:dyDescent="0.2">
      <c r="Y64541" s="97"/>
    </row>
    <row r="64542" spans="25:25" x14ac:dyDescent="0.2">
      <c r="Y64542" s="97"/>
    </row>
    <row r="64543" spans="25:25" x14ac:dyDescent="0.2">
      <c r="Y64543" s="97"/>
    </row>
    <row r="64544" spans="25:25" x14ac:dyDescent="0.2">
      <c r="Y64544" s="97"/>
    </row>
    <row r="64545" spans="25:25" x14ac:dyDescent="0.2">
      <c r="Y64545" s="97"/>
    </row>
    <row r="64546" spans="25:25" x14ac:dyDescent="0.2">
      <c r="Y64546" s="97"/>
    </row>
    <row r="64547" spans="25:25" x14ac:dyDescent="0.2">
      <c r="Y64547" s="97"/>
    </row>
    <row r="64548" spans="25:25" x14ac:dyDescent="0.2">
      <c r="Y64548" s="97"/>
    </row>
    <row r="64549" spans="25:25" x14ac:dyDescent="0.2">
      <c r="Y64549" s="97"/>
    </row>
    <row r="64550" spans="25:25" x14ac:dyDescent="0.2">
      <c r="Y64550" s="97"/>
    </row>
    <row r="64551" spans="25:25" x14ac:dyDescent="0.2">
      <c r="Y64551" s="97"/>
    </row>
    <row r="64552" spans="25:25" x14ac:dyDescent="0.2">
      <c r="Y64552" s="97"/>
    </row>
    <row r="64553" spans="25:25" x14ac:dyDescent="0.2">
      <c r="Y64553" s="97"/>
    </row>
    <row r="64554" spans="25:25" x14ac:dyDescent="0.2">
      <c r="Y64554" s="97"/>
    </row>
    <row r="64555" spans="25:25" x14ac:dyDescent="0.2">
      <c r="Y64555" s="97"/>
    </row>
    <row r="64556" spans="25:25" x14ac:dyDescent="0.2">
      <c r="Y64556" s="97"/>
    </row>
    <row r="64557" spans="25:25" x14ac:dyDescent="0.2">
      <c r="Y64557" s="97"/>
    </row>
    <row r="64558" spans="25:25" x14ac:dyDescent="0.2">
      <c r="Y64558" s="97"/>
    </row>
    <row r="64559" spans="25:25" x14ac:dyDescent="0.2">
      <c r="Y64559" s="97"/>
    </row>
    <row r="64560" spans="25:25" x14ac:dyDescent="0.2">
      <c r="Y64560" s="97"/>
    </row>
    <row r="64561" spans="25:25" x14ac:dyDescent="0.2">
      <c r="Y64561" s="97"/>
    </row>
    <row r="64562" spans="25:25" x14ac:dyDescent="0.2">
      <c r="Y64562" s="97"/>
    </row>
    <row r="64563" spans="25:25" x14ac:dyDescent="0.2">
      <c r="Y64563" s="97"/>
    </row>
    <row r="64564" spans="25:25" x14ac:dyDescent="0.2">
      <c r="Y64564" s="97"/>
    </row>
    <row r="64565" spans="25:25" x14ac:dyDescent="0.2">
      <c r="Y64565" s="97"/>
    </row>
    <row r="64566" spans="25:25" x14ac:dyDescent="0.2">
      <c r="Y64566" s="97"/>
    </row>
    <row r="64567" spans="25:25" x14ac:dyDescent="0.2">
      <c r="Y64567" s="97"/>
    </row>
    <row r="64568" spans="25:25" x14ac:dyDescent="0.2">
      <c r="Y64568" s="97"/>
    </row>
    <row r="64569" spans="25:25" x14ac:dyDescent="0.2">
      <c r="Y64569" s="97"/>
    </row>
    <row r="64570" spans="25:25" x14ac:dyDescent="0.2">
      <c r="Y64570" s="97"/>
    </row>
    <row r="64571" spans="25:25" x14ac:dyDescent="0.2">
      <c r="Y64571" s="97"/>
    </row>
    <row r="64572" spans="25:25" x14ac:dyDescent="0.2">
      <c r="Y64572" s="97"/>
    </row>
    <row r="64573" spans="25:25" x14ac:dyDescent="0.2">
      <c r="Y64573" s="97"/>
    </row>
    <row r="64574" spans="25:25" x14ac:dyDescent="0.2">
      <c r="Y64574" s="97"/>
    </row>
    <row r="64575" spans="25:25" x14ac:dyDescent="0.2">
      <c r="Y64575" s="97"/>
    </row>
    <row r="64576" spans="25:25" x14ac:dyDescent="0.2">
      <c r="Y64576" s="97"/>
    </row>
    <row r="64577" spans="25:25" x14ac:dyDescent="0.2">
      <c r="Y64577" s="97"/>
    </row>
    <row r="64578" spans="25:25" x14ac:dyDescent="0.2">
      <c r="Y64578" s="97"/>
    </row>
    <row r="64579" spans="25:25" x14ac:dyDescent="0.2">
      <c r="Y64579" s="97"/>
    </row>
    <row r="64580" spans="25:25" x14ac:dyDescent="0.2">
      <c r="Y64580" s="97"/>
    </row>
    <row r="64581" spans="25:25" x14ac:dyDescent="0.2">
      <c r="Y64581" s="97"/>
    </row>
    <row r="64582" spans="25:25" x14ac:dyDescent="0.2">
      <c r="Y64582" s="97"/>
    </row>
    <row r="64583" spans="25:25" x14ac:dyDescent="0.2">
      <c r="Y64583" s="97"/>
    </row>
    <row r="64584" spans="25:25" x14ac:dyDescent="0.2">
      <c r="Y64584" s="97"/>
    </row>
    <row r="64585" spans="25:25" x14ac:dyDescent="0.2">
      <c r="Y64585" s="97"/>
    </row>
    <row r="64586" spans="25:25" x14ac:dyDescent="0.2">
      <c r="Y64586" s="97"/>
    </row>
    <row r="64587" spans="25:25" x14ac:dyDescent="0.2">
      <c r="Y64587" s="97"/>
    </row>
    <row r="64588" spans="25:25" x14ac:dyDescent="0.2">
      <c r="Y64588" s="97"/>
    </row>
    <row r="64589" spans="25:25" x14ac:dyDescent="0.2">
      <c r="Y64589" s="97"/>
    </row>
    <row r="64590" spans="25:25" x14ac:dyDescent="0.2">
      <c r="Y64590" s="97"/>
    </row>
    <row r="64591" spans="25:25" x14ac:dyDescent="0.2">
      <c r="Y64591" s="97"/>
    </row>
    <row r="64592" spans="25:25" x14ac:dyDescent="0.2">
      <c r="Y64592" s="97"/>
    </row>
    <row r="64593" spans="25:25" x14ac:dyDescent="0.2">
      <c r="Y64593" s="97"/>
    </row>
    <row r="64594" spans="25:25" x14ac:dyDescent="0.2">
      <c r="Y64594" s="97"/>
    </row>
    <row r="64595" spans="25:25" x14ac:dyDescent="0.2">
      <c r="Y64595" s="97"/>
    </row>
    <row r="64596" spans="25:25" x14ac:dyDescent="0.2">
      <c r="Y64596" s="97"/>
    </row>
    <row r="64597" spans="25:25" x14ac:dyDescent="0.2">
      <c r="Y64597" s="97"/>
    </row>
    <row r="64598" spans="25:25" x14ac:dyDescent="0.2">
      <c r="Y64598" s="97"/>
    </row>
    <row r="64599" spans="25:25" x14ac:dyDescent="0.2">
      <c r="Y64599" s="97"/>
    </row>
    <row r="64600" spans="25:25" x14ac:dyDescent="0.2">
      <c r="Y64600" s="97"/>
    </row>
    <row r="64601" spans="25:25" x14ac:dyDescent="0.2">
      <c r="Y64601" s="97"/>
    </row>
    <row r="64602" spans="25:25" x14ac:dyDescent="0.2">
      <c r="Y64602" s="97"/>
    </row>
    <row r="64603" spans="25:25" x14ac:dyDescent="0.2">
      <c r="Y64603" s="97"/>
    </row>
    <row r="64604" spans="25:25" x14ac:dyDescent="0.2">
      <c r="Y64604" s="97"/>
    </row>
    <row r="64605" spans="25:25" x14ac:dyDescent="0.2">
      <c r="Y64605" s="97"/>
    </row>
    <row r="64606" spans="25:25" x14ac:dyDescent="0.2">
      <c r="Y64606" s="97"/>
    </row>
    <row r="64607" spans="25:25" x14ac:dyDescent="0.2">
      <c r="Y64607" s="97"/>
    </row>
    <row r="64608" spans="25:25" x14ac:dyDescent="0.2">
      <c r="Y64608" s="97"/>
    </row>
    <row r="64609" spans="25:25" x14ac:dyDescent="0.2">
      <c r="Y64609" s="97"/>
    </row>
    <row r="64610" spans="25:25" x14ac:dyDescent="0.2">
      <c r="Y64610" s="97"/>
    </row>
    <row r="64611" spans="25:25" x14ac:dyDescent="0.2">
      <c r="Y64611" s="97"/>
    </row>
    <row r="64612" spans="25:25" x14ac:dyDescent="0.2">
      <c r="Y64612" s="97"/>
    </row>
    <row r="64613" spans="25:25" x14ac:dyDescent="0.2">
      <c r="Y64613" s="97"/>
    </row>
    <row r="64614" spans="25:25" x14ac:dyDescent="0.2">
      <c r="Y64614" s="97"/>
    </row>
    <row r="64615" spans="25:25" x14ac:dyDescent="0.2">
      <c r="Y64615" s="97"/>
    </row>
    <row r="64616" spans="25:25" x14ac:dyDescent="0.2">
      <c r="Y64616" s="97"/>
    </row>
    <row r="64617" spans="25:25" x14ac:dyDescent="0.2">
      <c r="Y64617" s="97"/>
    </row>
    <row r="64618" spans="25:25" x14ac:dyDescent="0.2">
      <c r="Y64618" s="97"/>
    </row>
    <row r="64619" spans="25:25" x14ac:dyDescent="0.2">
      <c r="Y64619" s="97"/>
    </row>
    <row r="64620" spans="25:25" x14ac:dyDescent="0.2">
      <c r="Y64620" s="97"/>
    </row>
    <row r="64621" spans="25:25" x14ac:dyDescent="0.2">
      <c r="Y64621" s="97"/>
    </row>
    <row r="64622" spans="25:25" x14ac:dyDescent="0.2">
      <c r="Y64622" s="97"/>
    </row>
    <row r="64623" spans="25:25" x14ac:dyDescent="0.2">
      <c r="Y64623" s="97"/>
    </row>
    <row r="64624" spans="25:25" x14ac:dyDescent="0.2">
      <c r="Y64624" s="97"/>
    </row>
    <row r="64625" spans="25:25" x14ac:dyDescent="0.2">
      <c r="Y64625" s="97"/>
    </row>
    <row r="64626" spans="25:25" x14ac:dyDescent="0.2">
      <c r="Y64626" s="97"/>
    </row>
    <row r="64627" spans="25:25" x14ac:dyDescent="0.2">
      <c r="Y64627" s="97"/>
    </row>
    <row r="64628" spans="25:25" x14ac:dyDescent="0.2">
      <c r="Y64628" s="97"/>
    </row>
    <row r="64629" spans="25:25" x14ac:dyDescent="0.2">
      <c r="Y64629" s="97"/>
    </row>
    <row r="64630" spans="25:25" x14ac:dyDescent="0.2">
      <c r="Y64630" s="97"/>
    </row>
    <row r="64631" spans="25:25" x14ac:dyDescent="0.2">
      <c r="Y64631" s="97"/>
    </row>
    <row r="64632" spans="25:25" x14ac:dyDescent="0.2">
      <c r="Y64632" s="97"/>
    </row>
    <row r="64633" spans="25:25" x14ac:dyDescent="0.2">
      <c r="Y64633" s="97"/>
    </row>
    <row r="64634" spans="25:25" x14ac:dyDescent="0.2">
      <c r="Y64634" s="97"/>
    </row>
    <row r="64635" spans="25:25" x14ac:dyDescent="0.2">
      <c r="Y64635" s="97"/>
    </row>
    <row r="64636" spans="25:25" x14ac:dyDescent="0.2">
      <c r="Y64636" s="97"/>
    </row>
    <row r="64637" spans="25:25" x14ac:dyDescent="0.2">
      <c r="Y64637" s="97"/>
    </row>
    <row r="64638" spans="25:25" x14ac:dyDescent="0.2">
      <c r="Y64638" s="97"/>
    </row>
    <row r="64639" spans="25:25" x14ac:dyDescent="0.2">
      <c r="Y64639" s="97"/>
    </row>
    <row r="64640" spans="25:25" x14ac:dyDescent="0.2">
      <c r="Y64640" s="97"/>
    </row>
    <row r="64641" spans="25:25" x14ac:dyDescent="0.2">
      <c r="Y64641" s="97"/>
    </row>
    <row r="64642" spans="25:25" x14ac:dyDescent="0.2">
      <c r="Y64642" s="97"/>
    </row>
    <row r="64643" spans="25:25" x14ac:dyDescent="0.2">
      <c r="Y64643" s="97"/>
    </row>
    <row r="64644" spans="25:25" x14ac:dyDescent="0.2">
      <c r="Y64644" s="97"/>
    </row>
    <row r="64645" spans="25:25" x14ac:dyDescent="0.2">
      <c r="Y64645" s="97"/>
    </row>
    <row r="64646" spans="25:25" x14ac:dyDescent="0.2">
      <c r="Y64646" s="97"/>
    </row>
    <row r="64647" spans="25:25" x14ac:dyDescent="0.2">
      <c r="Y64647" s="97"/>
    </row>
    <row r="64648" spans="25:25" x14ac:dyDescent="0.2">
      <c r="Y64648" s="97"/>
    </row>
    <row r="64649" spans="25:25" x14ac:dyDescent="0.2">
      <c r="Y64649" s="97"/>
    </row>
    <row r="64650" spans="25:25" x14ac:dyDescent="0.2">
      <c r="Y64650" s="97"/>
    </row>
    <row r="64651" spans="25:25" x14ac:dyDescent="0.2">
      <c r="Y64651" s="97"/>
    </row>
    <row r="64652" spans="25:25" x14ac:dyDescent="0.2">
      <c r="Y64652" s="97"/>
    </row>
    <row r="64653" spans="25:25" x14ac:dyDescent="0.2">
      <c r="Y64653" s="97"/>
    </row>
    <row r="64654" spans="25:25" x14ac:dyDescent="0.2">
      <c r="Y64654" s="97"/>
    </row>
    <row r="64655" spans="25:25" x14ac:dyDescent="0.2">
      <c r="Y64655" s="97"/>
    </row>
    <row r="64656" spans="25:25" x14ac:dyDescent="0.2">
      <c r="Y64656" s="97"/>
    </row>
    <row r="64657" spans="25:25" x14ac:dyDescent="0.2">
      <c r="Y64657" s="97"/>
    </row>
    <row r="64658" spans="25:25" x14ac:dyDescent="0.2">
      <c r="Y64658" s="97"/>
    </row>
    <row r="64659" spans="25:25" x14ac:dyDescent="0.2">
      <c r="Y64659" s="97"/>
    </row>
    <row r="64660" spans="25:25" x14ac:dyDescent="0.2">
      <c r="Y64660" s="97"/>
    </row>
    <row r="64661" spans="25:25" x14ac:dyDescent="0.2">
      <c r="Y64661" s="97"/>
    </row>
    <row r="64662" spans="25:25" x14ac:dyDescent="0.2">
      <c r="Y64662" s="97"/>
    </row>
    <row r="64663" spans="25:25" x14ac:dyDescent="0.2">
      <c r="Y64663" s="97"/>
    </row>
    <row r="64664" spans="25:25" x14ac:dyDescent="0.2">
      <c r="Y64664" s="97"/>
    </row>
    <row r="64665" spans="25:25" x14ac:dyDescent="0.2">
      <c r="Y64665" s="97"/>
    </row>
    <row r="64666" spans="25:25" x14ac:dyDescent="0.2">
      <c r="Y64666" s="97"/>
    </row>
    <row r="64667" spans="25:25" x14ac:dyDescent="0.2">
      <c r="Y64667" s="97"/>
    </row>
    <row r="64668" spans="25:25" x14ac:dyDescent="0.2">
      <c r="Y64668" s="97"/>
    </row>
    <row r="64669" spans="25:25" x14ac:dyDescent="0.2">
      <c r="Y64669" s="97"/>
    </row>
    <row r="64670" spans="25:25" x14ac:dyDescent="0.2">
      <c r="Y64670" s="97"/>
    </row>
    <row r="64671" spans="25:25" x14ac:dyDescent="0.2">
      <c r="Y64671" s="97"/>
    </row>
    <row r="64672" spans="25:25" x14ac:dyDescent="0.2">
      <c r="Y64672" s="97"/>
    </row>
    <row r="64673" spans="25:25" x14ac:dyDescent="0.2">
      <c r="Y64673" s="97"/>
    </row>
    <row r="64674" spans="25:25" x14ac:dyDescent="0.2">
      <c r="Y64674" s="97"/>
    </row>
    <row r="64675" spans="25:25" x14ac:dyDescent="0.2">
      <c r="Y64675" s="97"/>
    </row>
    <row r="64676" spans="25:25" x14ac:dyDescent="0.2">
      <c r="Y64676" s="97"/>
    </row>
    <row r="64677" spans="25:25" x14ac:dyDescent="0.2">
      <c r="Y64677" s="97"/>
    </row>
    <row r="64678" spans="25:25" x14ac:dyDescent="0.2">
      <c r="Y64678" s="97"/>
    </row>
    <row r="64679" spans="25:25" x14ac:dyDescent="0.2">
      <c r="Y64679" s="97"/>
    </row>
    <row r="64680" spans="25:25" x14ac:dyDescent="0.2">
      <c r="Y64680" s="97"/>
    </row>
    <row r="64681" spans="25:25" x14ac:dyDescent="0.2">
      <c r="Y64681" s="97"/>
    </row>
    <row r="64682" spans="25:25" x14ac:dyDescent="0.2">
      <c r="Y64682" s="97"/>
    </row>
    <row r="64683" spans="25:25" x14ac:dyDescent="0.2">
      <c r="Y64683" s="97"/>
    </row>
    <row r="64684" spans="25:25" x14ac:dyDescent="0.2">
      <c r="Y64684" s="97"/>
    </row>
    <row r="64685" spans="25:25" x14ac:dyDescent="0.2">
      <c r="Y64685" s="97"/>
    </row>
    <row r="64686" spans="25:25" x14ac:dyDescent="0.2">
      <c r="Y64686" s="97"/>
    </row>
    <row r="64687" spans="25:25" x14ac:dyDescent="0.2">
      <c r="Y64687" s="97"/>
    </row>
    <row r="64688" spans="25:25" x14ac:dyDescent="0.2">
      <c r="Y64688" s="97"/>
    </row>
    <row r="64689" spans="25:25" x14ac:dyDescent="0.2">
      <c r="Y64689" s="97"/>
    </row>
    <row r="64690" spans="25:25" x14ac:dyDescent="0.2">
      <c r="Y64690" s="97"/>
    </row>
    <row r="64691" spans="25:25" x14ac:dyDescent="0.2">
      <c r="Y64691" s="97"/>
    </row>
    <row r="64692" spans="25:25" x14ac:dyDescent="0.2">
      <c r="Y64692" s="97"/>
    </row>
    <row r="64693" spans="25:25" x14ac:dyDescent="0.2">
      <c r="Y64693" s="97"/>
    </row>
    <row r="64694" spans="25:25" x14ac:dyDescent="0.2">
      <c r="Y64694" s="97"/>
    </row>
    <row r="64695" spans="25:25" x14ac:dyDescent="0.2">
      <c r="Y64695" s="97"/>
    </row>
    <row r="64696" spans="25:25" x14ac:dyDescent="0.2">
      <c r="Y64696" s="97"/>
    </row>
    <row r="64697" spans="25:25" x14ac:dyDescent="0.2">
      <c r="Y64697" s="97"/>
    </row>
    <row r="64698" spans="25:25" x14ac:dyDescent="0.2">
      <c r="Y64698" s="97"/>
    </row>
    <row r="64699" spans="25:25" x14ac:dyDescent="0.2">
      <c r="Y64699" s="97"/>
    </row>
    <row r="64700" spans="25:25" x14ac:dyDescent="0.2">
      <c r="Y64700" s="97"/>
    </row>
    <row r="64701" spans="25:25" x14ac:dyDescent="0.2">
      <c r="Y64701" s="97"/>
    </row>
    <row r="64702" spans="25:25" x14ac:dyDescent="0.2">
      <c r="Y64702" s="97"/>
    </row>
    <row r="64703" spans="25:25" x14ac:dyDescent="0.2">
      <c r="Y64703" s="97"/>
    </row>
    <row r="64704" spans="25:25" x14ac:dyDescent="0.2">
      <c r="Y64704" s="97"/>
    </row>
    <row r="64705" spans="25:25" x14ac:dyDescent="0.2">
      <c r="Y64705" s="97"/>
    </row>
    <row r="64706" spans="25:25" x14ac:dyDescent="0.2">
      <c r="Y64706" s="97"/>
    </row>
    <row r="64707" spans="25:25" x14ac:dyDescent="0.2">
      <c r="Y64707" s="97"/>
    </row>
    <row r="64708" spans="25:25" x14ac:dyDescent="0.2">
      <c r="Y64708" s="97"/>
    </row>
    <row r="64709" spans="25:25" x14ac:dyDescent="0.2">
      <c r="Y64709" s="97"/>
    </row>
    <row r="64710" spans="25:25" x14ac:dyDescent="0.2">
      <c r="Y64710" s="97"/>
    </row>
    <row r="64711" spans="25:25" x14ac:dyDescent="0.2">
      <c r="Y64711" s="97"/>
    </row>
    <row r="64712" spans="25:25" x14ac:dyDescent="0.2">
      <c r="Y64712" s="97"/>
    </row>
    <row r="64713" spans="25:25" x14ac:dyDescent="0.2">
      <c r="Y64713" s="97"/>
    </row>
    <row r="64714" spans="25:25" x14ac:dyDescent="0.2">
      <c r="Y64714" s="97"/>
    </row>
    <row r="64715" spans="25:25" x14ac:dyDescent="0.2">
      <c r="Y64715" s="97"/>
    </row>
    <row r="64716" spans="25:25" x14ac:dyDescent="0.2">
      <c r="Y64716" s="97"/>
    </row>
    <row r="64717" spans="25:25" x14ac:dyDescent="0.2">
      <c r="Y64717" s="97"/>
    </row>
    <row r="64718" spans="25:25" x14ac:dyDescent="0.2">
      <c r="Y64718" s="97"/>
    </row>
    <row r="64719" spans="25:25" x14ac:dyDescent="0.2">
      <c r="Y64719" s="97"/>
    </row>
    <row r="64720" spans="25:25" x14ac:dyDescent="0.2">
      <c r="Y64720" s="97"/>
    </row>
    <row r="64721" spans="25:25" x14ac:dyDescent="0.2">
      <c r="Y64721" s="97"/>
    </row>
    <row r="64722" spans="25:25" x14ac:dyDescent="0.2">
      <c r="Y64722" s="97"/>
    </row>
    <row r="64723" spans="25:25" x14ac:dyDescent="0.2">
      <c r="Y64723" s="97"/>
    </row>
    <row r="64724" spans="25:25" x14ac:dyDescent="0.2">
      <c r="Y64724" s="97"/>
    </row>
    <row r="64725" spans="25:25" x14ac:dyDescent="0.2">
      <c r="Y64725" s="97"/>
    </row>
    <row r="64726" spans="25:25" x14ac:dyDescent="0.2">
      <c r="Y64726" s="97"/>
    </row>
    <row r="64727" spans="25:25" x14ac:dyDescent="0.2">
      <c r="Y64727" s="97"/>
    </row>
    <row r="64728" spans="25:25" x14ac:dyDescent="0.2">
      <c r="Y64728" s="97"/>
    </row>
    <row r="64729" spans="25:25" x14ac:dyDescent="0.2">
      <c r="Y64729" s="97"/>
    </row>
    <row r="64730" spans="25:25" x14ac:dyDescent="0.2">
      <c r="Y64730" s="97"/>
    </row>
    <row r="64731" spans="25:25" x14ac:dyDescent="0.2">
      <c r="Y64731" s="97"/>
    </row>
    <row r="64732" spans="25:25" x14ac:dyDescent="0.2">
      <c r="Y64732" s="97"/>
    </row>
    <row r="64733" spans="25:25" x14ac:dyDescent="0.2">
      <c r="Y64733" s="97"/>
    </row>
    <row r="64734" spans="25:25" x14ac:dyDescent="0.2">
      <c r="Y64734" s="97"/>
    </row>
    <row r="64735" spans="25:25" x14ac:dyDescent="0.2">
      <c r="Y64735" s="97"/>
    </row>
    <row r="64736" spans="25:25" x14ac:dyDescent="0.2">
      <c r="Y64736" s="97"/>
    </row>
    <row r="64737" spans="25:25" x14ac:dyDescent="0.2">
      <c r="Y64737" s="97"/>
    </row>
    <row r="64738" spans="25:25" x14ac:dyDescent="0.2">
      <c r="Y64738" s="97"/>
    </row>
    <row r="64739" spans="25:25" x14ac:dyDescent="0.2">
      <c r="Y64739" s="97"/>
    </row>
    <row r="64740" spans="25:25" x14ac:dyDescent="0.2">
      <c r="Y64740" s="97"/>
    </row>
    <row r="64741" spans="25:25" x14ac:dyDescent="0.2">
      <c r="Y64741" s="97"/>
    </row>
    <row r="64742" spans="25:25" x14ac:dyDescent="0.2">
      <c r="Y64742" s="97"/>
    </row>
    <row r="64743" spans="25:25" x14ac:dyDescent="0.2">
      <c r="Y64743" s="97"/>
    </row>
    <row r="64744" spans="25:25" x14ac:dyDescent="0.2">
      <c r="Y64744" s="97"/>
    </row>
    <row r="64745" spans="25:25" x14ac:dyDescent="0.2">
      <c r="Y64745" s="97"/>
    </row>
    <row r="64746" spans="25:25" x14ac:dyDescent="0.2">
      <c r="Y64746" s="97"/>
    </row>
    <row r="64747" spans="25:25" x14ac:dyDescent="0.2">
      <c r="Y64747" s="97"/>
    </row>
    <row r="64748" spans="25:25" x14ac:dyDescent="0.2">
      <c r="Y64748" s="97"/>
    </row>
    <row r="64749" spans="25:25" x14ac:dyDescent="0.2">
      <c r="Y64749" s="97"/>
    </row>
    <row r="64750" spans="25:25" x14ac:dyDescent="0.2">
      <c r="Y64750" s="97"/>
    </row>
    <row r="64751" spans="25:25" x14ac:dyDescent="0.2">
      <c r="Y64751" s="97"/>
    </row>
    <row r="64752" spans="25:25" x14ac:dyDescent="0.2">
      <c r="Y64752" s="97"/>
    </row>
    <row r="64753" spans="25:25" x14ac:dyDescent="0.2">
      <c r="Y64753" s="97"/>
    </row>
    <row r="64754" spans="25:25" x14ac:dyDescent="0.2">
      <c r="Y64754" s="97"/>
    </row>
    <row r="64755" spans="25:25" x14ac:dyDescent="0.2">
      <c r="Y64755" s="97"/>
    </row>
    <row r="64756" spans="25:25" x14ac:dyDescent="0.2">
      <c r="Y64756" s="97"/>
    </row>
    <row r="64757" spans="25:25" x14ac:dyDescent="0.2">
      <c r="Y64757" s="97"/>
    </row>
    <row r="64758" spans="25:25" x14ac:dyDescent="0.2">
      <c r="Y64758" s="97"/>
    </row>
    <row r="64759" spans="25:25" x14ac:dyDescent="0.2">
      <c r="Y64759" s="97"/>
    </row>
    <row r="64760" spans="25:25" x14ac:dyDescent="0.2">
      <c r="Y64760" s="97"/>
    </row>
    <row r="64761" spans="25:25" x14ac:dyDescent="0.2">
      <c r="Y64761" s="97"/>
    </row>
    <row r="64762" spans="25:25" x14ac:dyDescent="0.2">
      <c r="Y64762" s="97"/>
    </row>
    <row r="64763" spans="25:25" x14ac:dyDescent="0.2">
      <c r="Y64763" s="97"/>
    </row>
    <row r="64764" spans="25:25" x14ac:dyDescent="0.2">
      <c r="Y64764" s="97"/>
    </row>
    <row r="64765" spans="25:25" x14ac:dyDescent="0.2">
      <c r="Y64765" s="97"/>
    </row>
    <row r="64766" spans="25:25" x14ac:dyDescent="0.2">
      <c r="Y64766" s="97"/>
    </row>
    <row r="64767" spans="25:25" x14ac:dyDescent="0.2">
      <c r="Y64767" s="97"/>
    </row>
    <row r="64768" spans="25:25" x14ac:dyDescent="0.2">
      <c r="Y64768" s="97"/>
    </row>
    <row r="64769" spans="25:25" x14ac:dyDescent="0.2">
      <c r="Y64769" s="97"/>
    </row>
    <row r="64770" spans="25:25" x14ac:dyDescent="0.2">
      <c r="Y64770" s="97"/>
    </row>
    <row r="64771" spans="25:25" x14ac:dyDescent="0.2">
      <c r="Y64771" s="97"/>
    </row>
    <row r="64772" spans="25:25" x14ac:dyDescent="0.2">
      <c r="Y64772" s="97"/>
    </row>
    <row r="64773" spans="25:25" x14ac:dyDescent="0.2">
      <c r="Y64773" s="97"/>
    </row>
    <row r="64774" spans="25:25" x14ac:dyDescent="0.2">
      <c r="Y64774" s="97"/>
    </row>
    <row r="64775" spans="25:25" x14ac:dyDescent="0.2">
      <c r="Y64775" s="97"/>
    </row>
    <row r="64776" spans="25:25" x14ac:dyDescent="0.2">
      <c r="Y64776" s="97"/>
    </row>
    <row r="64777" spans="25:25" x14ac:dyDescent="0.2">
      <c r="Y64777" s="97"/>
    </row>
    <row r="64778" spans="25:25" x14ac:dyDescent="0.2">
      <c r="Y64778" s="97"/>
    </row>
    <row r="64779" spans="25:25" x14ac:dyDescent="0.2">
      <c r="Y64779" s="97"/>
    </row>
    <row r="64780" spans="25:25" x14ac:dyDescent="0.2">
      <c r="Y64780" s="97"/>
    </row>
    <row r="64781" spans="25:25" x14ac:dyDescent="0.2">
      <c r="Y64781" s="97"/>
    </row>
    <row r="64782" spans="25:25" x14ac:dyDescent="0.2">
      <c r="Y64782" s="97"/>
    </row>
    <row r="64783" spans="25:25" x14ac:dyDescent="0.2">
      <c r="Y64783" s="97"/>
    </row>
    <row r="64784" spans="25:25" x14ac:dyDescent="0.2">
      <c r="Y64784" s="97"/>
    </row>
    <row r="64785" spans="25:25" x14ac:dyDescent="0.2">
      <c r="Y64785" s="97"/>
    </row>
    <row r="64786" spans="25:25" x14ac:dyDescent="0.2">
      <c r="Y64786" s="97"/>
    </row>
    <row r="64787" spans="25:25" x14ac:dyDescent="0.2">
      <c r="Y64787" s="97"/>
    </row>
    <row r="64788" spans="25:25" x14ac:dyDescent="0.2">
      <c r="Y64788" s="97"/>
    </row>
    <row r="64789" spans="25:25" x14ac:dyDescent="0.2">
      <c r="Y64789" s="97"/>
    </row>
    <row r="64790" spans="25:25" x14ac:dyDescent="0.2">
      <c r="Y64790" s="97"/>
    </row>
    <row r="64791" spans="25:25" x14ac:dyDescent="0.2">
      <c r="Y64791" s="97"/>
    </row>
    <row r="64792" spans="25:25" x14ac:dyDescent="0.2">
      <c r="Y64792" s="97"/>
    </row>
    <row r="64793" spans="25:25" x14ac:dyDescent="0.2">
      <c r="Y64793" s="97"/>
    </row>
    <row r="64794" spans="25:25" x14ac:dyDescent="0.2">
      <c r="Y64794" s="97"/>
    </row>
    <row r="64795" spans="25:25" x14ac:dyDescent="0.2">
      <c r="Y64795" s="97"/>
    </row>
    <row r="64796" spans="25:25" x14ac:dyDescent="0.2">
      <c r="Y64796" s="97"/>
    </row>
    <row r="64797" spans="25:25" x14ac:dyDescent="0.2">
      <c r="Y64797" s="97"/>
    </row>
    <row r="64798" spans="25:25" x14ac:dyDescent="0.2">
      <c r="Y64798" s="97"/>
    </row>
    <row r="64799" spans="25:25" x14ac:dyDescent="0.2">
      <c r="Y64799" s="97"/>
    </row>
    <row r="64800" spans="25:25" x14ac:dyDescent="0.2">
      <c r="Y64800" s="97"/>
    </row>
    <row r="64801" spans="25:25" x14ac:dyDescent="0.2">
      <c r="Y64801" s="97"/>
    </row>
    <row r="64802" spans="25:25" x14ac:dyDescent="0.2">
      <c r="Y64802" s="97"/>
    </row>
    <row r="64803" spans="25:25" x14ac:dyDescent="0.2">
      <c r="Y64803" s="97"/>
    </row>
    <row r="64804" spans="25:25" x14ac:dyDescent="0.2">
      <c r="Y64804" s="97"/>
    </row>
    <row r="64805" spans="25:25" x14ac:dyDescent="0.2">
      <c r="Y64805" s="97"/>
    </row>
    <row r="64806" spans="25:25" x14ac:dyDescent="0.2">
      <c r="Y64806" s="97"/>
    </row>
    <row r="64807" spans="25:25" x14ac:dyDescent="0.2">
      <c r="Y64807" s="97"/>
    </row>
    <row r="64808" spans="25:25" x14ac:dyDescent="0.2">
      <c r="Y64808" s="97"/>
    </row>
    <row r="64809" spans="25:25" x14ac:dyDescent="0.2">
      <c r="Y64809" s="97"/>
    </row>
    <row r="64810" spans="25:25" x14ac:dyDescent="0.2">
      <c r="Y64810" s="97"/>
    </row>
    <row r="64811" spans="25:25" x14ac:dyDescent="0.2">
      <c r="Y64811" s="97"/>
    </row>
    <row r="64812" spans="25:25" x14ac:dyDescent="0.2">
      <c r="Y64812" s="97"/>
    </row>
    <row r="64813" spans="25:25" x14ac:dyDescent="0.2">
      <c r="Y64813" s="97"/>
    </row>
    <row r="64814" spans="25:25" x14ac:dyDescent="0.2">
      <c r="Y64814" s="97"/>
    </row>
    <row r="64815" spans="25:25" x14ac:dyDescent="0.2">
      <c r="Y64815" s="97"/>
    </row>
    <row r="64816" spans="25:25" x14ac:dyDescent="0.2">
      <c r="Y64816" s="97"/>
    </row>
    <row r="64817" spans="25:25" x14ac:dyDescent="0.2">
      <c r="Y64817" s="97"/>
    </row>
    <row r="64818" spans="25:25" x14ac:dyDescent="0.2">
      <c r="Y64818" s="97"/>
    </row>
    <row r="64819" spans="25:25" x14ac:dyDescent="0.2">
      <c r="Y64819" s="97"/>
    </row>
    <row r="64820" spans="25:25" x14ac:dyDescent="0.2">
      <c r="Y64820" s="97"/>
    </row>
    <row r="64821" spans="25:25" x14ac:dyDescent="0.2">
      <c r="Y64821" s="97"/>
    </row>
    <row r="64822" spans="25:25" x14ac:dyDescent="0.2">
      <c r="Y64822" s="97"/>
    </row>
    <row r="64823" spans="25:25" x14ac:dyDescent="0.2">
      <c r="Y64823" s="97"/>
    </row>
    <row r="64824" spans="25:25" x14ac:dyDescent="0.2">
      <c r="Y64824" s="97"/>
    </row>
    <row r="64825" spans="25:25" x14ac:dyDescent="0.2">
      <c r="Y64825" s="97"/>
    </row>
    <row r="64826" spans="25:25" x14ac:dyDescent="0.2">
      <c r="Y64826" s="97"/>
    </row>
    <row r="64827" spans="25:25" x14ac:dyDescent="0.2">
      <c r="Y64827" s="97"/>
    </row>
    <row r="64828" spans="25:25" x14ac:dyDescent="0.2">
      <c r="Y64828" s="97"/>
    </row>
    <row r="64829" spans="25:25" x14ac:dyDescent="0.2">
      <c r="Y64829" s="97"/>
    </row>
    <row r="64830" spans="25:25" x14ac:dyDescent="0.2">
      <c r="Y64830" s="97"/>
    </row>
    <row r="64831" spans="25:25" x14ac:dyDescent="0.2">
      <c r="Y64831" s="97"/>
    </row>
    <row r="64832" spans="25:25" x14ac:dyDescent="0.2">
      <c r="Y64832" s="97"/>
    </row>
    <row r="64833" spans="25:25" x14ac:dyDescent="0.2">
      <c r="Y64833" s="97"/>
    </row>
    <row r="64834" spans="25:25" x14ac:dyDescent="0.2">
      <c r="Y64834" s="97"/>
    </row>
    <row r="64835" spans="25:25" x14ac:dyDescent="0.2">
      <c r="Y64835" s="97"/>
    </row>
    <row r="64836" spans="25:25" x14ac:dyDescent="0.2">
      <c r="Y64836" s="97"/>
    </row>
    <row r="64837" spans="25:25" x14ac:dyDescent="0.2">
      <c r="Y64837" s="97"/>
    </row>
    <row r="64838" spans="25:25" x14ac:dyDescent="0.2">
      <c r="Y64838" s="97"/>
    </row>
    <row r="64839" spans="25:25" x14ac:dyDescent="0.2">
      <c r="Y64839" s="97"/>
    </row>
    <row r="64840" spans="25:25" x14ac:dyDescent="0.2">
      <c r="Y64840" s="97"/>
    </row>
    <row r="64841" spans="25:25" x14ac:dyDescent="0.2">
      <c r="Y64841" s="97"/>
    </row>
    <row r="64842" spans="25:25" x14ac:dyDescent="0.2">
      <c r="Y64842" s="97"/>
    </row>
    <row r="64843" spans="25:25" x14ac:dyDescent="0.2">
      <c r="Y64843" s="97"/>
    </row>
    <row r="64844" spans="25:25" x14ac:dyDescent="0.2">
      <c r="Y64844" s="97"/>
    </row>
    <row r="64845" spans="25:25" x14ac:dyDescent="0.2">
      <c r="Y64845" s="97"/>
    </row>
    <row r="64846" spans="25:25" x14ac:dyDescent="0.2">
      <c r="Y64846" s="97"/>
    </row>
    <row r="64847" spans="25:25" x14ac:dyDescent="0.2">
      <c r="Y64847" s="97"/>
    </row>
    <row r="64848" spans="25:25" x14ac:dyDescent="0.2">
      <c r="Y64848" s="97"/>
    </row>
    <row r="64849" spans="25:25" x14ac:dyDescent="0.2">
      <c r="Y64849" s="97"/>
    </row>
    <row r="64850" spans="25:25" x14ac:dyDescent="0.2">
      <c r="Y64850" s="97"/>
    </row>
    <row r="64851" spans="25:25" x14ac:dyDescent="0.2">
      <c r="Y64851" s="97"/>
    </row>
    <row r="64852" spans="25:25" x14ac:dyDescent="0.2">
      <c r="Y64852" s="97"/>
    </row>
    <row r="64853" spans="25:25" x14ac:dyDescent="0.2">
      <c r="Y64853" s="97"/>
    </row>
    <row r="64854" spans="25:25" x14ac:dyDescent="0.2">
      <c r="Y64854" s="97"/>
    </row>
    <row r="64855" spans="25:25" x14ac:dyDescent="0.2">
      <c r="Y64855" s="97"/>
    </row>
    <row r="64856" spans="25:25" x14ac:dyDescent="0.2">
      <c r="Y64856" s="97"/>
    </row>
    <row r="64857" spans="25:25" x14ac:dyDescent="0.2">
      <c r="Y64857" s="97"/>
    </row>
    <row r="64858" spans="25:25" x14ac:dyDescent="0.2">
      <c r="Y64858" s="97"/>
    </row>
    <row r="64859" spans="25:25" x14ac:dyDescent="0.2">
      <c r="Y64859" s="97"/>
    </row>
    <row r="64860" spans="25:25" x14ac:dyDescent="0.2">
      <c r="Y64860" s="97"/>
    </row>
    <row r="64861" spans="25:25" x14ac:dyDescent="0.2">
      <c r="Y64861" s="97"/>
    </row>
    <row r="64862" spans="25:25" x14ac:dyDescent="0.2">
      <c r="Y64862" s="97"/>
    </row>
    <row r="64863" spans="25:25" x14ac:dyDescent="0.2">
      <c r="Y64863" s="97"/>
    </row>
    <row r="64864" spans="25:25" x14ac:dyDescent="0.2">
      <c r="Y64864" s="97"/>
    </row>
    <row r="64865" spans="25:25" x14ac:dyDescent="0.2">
      <c r="Y64865" s="97"/>
    </row>
    <row r="64866" spans="25:25" x14ac:dyDescent="0.2">
      <c r="Y64866" s="97"/>
    </row>
    <row r="64867" spans="25:25" x14ac:dyDescent="0.2">
      <c r="Y64867" s="97"/>
    </row>
    <row r="64868" spans="25:25" x14ac:dyDescent="0.2">
      <c r="Y64868" s="97"/>
    </row>
    <row r="64869" spans="25:25" x14ac:dyDescent="0.2">
      <c r="Y64869" s="97"/>
    </row>
    <row r="64870" spans="25:25" x14ac:dyDescent="0.2">
      <c r="Y64870" s="97"/>
    </row>
    <row r="64871" spans="25:25" x14ac:dyDescent="0.2">
      <c r="Y64871" s="97"/>
    </row>
    <row r="64872" spans="25:25" x14ac:dyDescent="0.2">
      <c r="Y64872" s="97"/>
    </row>
    <row r="64873" spans="25:25" x14ac:dyDescent="0.2">
      <c r="Y64873" s="97"/>
    </row>
    <row r="64874" spans="25:25" x14ac:dyDescent="0.2">
      <c r="Y64874" s="97"/>
    </row>
    <row r="64875" spans="25:25" x14ac:dyDescent="0.2">
      <c r="Y64875" s="97"/>
    </row>
    <row r="64876" spans="25:25" x14ac:dyDescent="0.2">
      <c r="Y64876" s="97"/>
    </row>
    <row r="64877" spans="25:25" x14ac:dyDescent="0.2">
      <c r="Y64877" s="97"/>
    </row>
    <row r="64878" spans="25:25" x14ac:dyDescent="0.2">
      <c r="Y64878" s="97"/>
    </row>
    <row r="64879" spans="25:25" x14ac:dyDescent="0.2">
      <c r="Y64879" s="97"/>
    </row>
    <row r="64880" spans="25:25" x14ac:dyDescent="0.2">
      <c r="Y64880" s="97"/>
    </row>
    <row r="64881" spans="25:25" x14ac:dyDescent="0.2">
      <c r="Y64881" s="97"/>
    </row>
    <row r="64882" spans="25:25" x14ac:dyDescent="0.2">
      <c r="Y64882" s="97"/>
    </row>
    <row r="64883" spans="25:25" x14ac:dyDescent="0.2">
      <c r="Y64883" s="97"/>
    </row>
    <row r="64884" spans="25:25" x14ac:dyDescent="0.2">
      <c r="Y64884" s="97"/>
    </row>
    <row r="64885" spans="25:25" x14ac:dyDescent="0.2">
      <c r="Y64885" s="97"/>
    </row>
    <row r="64886" spans="25:25" x14ac:dyDescent="0.2">
      <c r="Y64886" s="97"/>
    </row>
    <row r="64887" spans="25:25" x14ac:dyDescent="0.2">
      <c r="Y64887" s="97"/>
    </row>
    <row r="64888" spans="25:25" x14ac:dyDescent="0.2">
      <c r="Y64888" s="97"/>
    </row>
    <row r="64889" spans="25:25" x14ac:dyDescent="0.2">
      <c r="Y64889" s="97"/>
    </row>
    <row r="64890" spans="25:25" x14ac:dyDescent="0.2">
      <c r="Y64890" s="97"/>
    </row>
    <row r="64891" spans="25:25" x14ac:dyDescent="0.2">
      <c r="Y64891" s="97"/>
    </row>
    <row r="64892" spans="25:25" x14ac:dyDescent="0.2">
      <c r="Y64892" s="97"/>
    </row>
    <row r="64893" spans="25:25" x14ac:dyDescent="0.2">
      <c r="Y64893" s="97"/>
    </row>
    <row r="64894" spans="25:25" x14ac:dyDescent="0.2">
      <c r="Y64894" s="97"/>
    </row>
    <row r="64895" spans="25:25" x14ac:dyDescent="0.2">
      <c r="Y64895" s="97"/>
    </row>
    <row r="64896" spans="25:25" x14ac:dyDescent="0.2">
      <c r="Y64896" s="97"/>
    </row>
    <row r="64897" spans="25:25" x14ac:dyDescent="0.2">
      <c r="Y64897" s="97"/>
    </row>
    <row r="64898" spans="25:25" x14ac:dyDescent="0.2">
      <c r="Y64898" s="97"/>
    </row>
    <row r="64899" spans="25:25" x14ac:dyDescent="0.2">
      <c r="Y64899" s="97"/>
    </row>
    <row r="64900" spans="25:25" x14ac:dyDescent="0.2">
      <c r="Y64900" s="97"/>
    </row>
    <row r="64901" spans="25:25" x14ac:dyDescent="0.2">
      <c r="Y64901" s="97"/>
    </row>
    <row r="64902" spans="25:25" x14ac:dyDescent="0.2">
      <c r="Y64902" s="97"/>
    </row>
    <row r="64903" spans="25:25" x14ac:dyDescent="0.2">
      <c r="Y64903" s="97"/>
    </row>
    <row r="64904" spans="25:25" x14ac:dyDescent="0.2">
      <c r="Y64904" s="97"/>
    </row>
    <row r="64905" spans="25:25" x14ac:dyDescent="0.2">
      <c r="Y64905" s="97"/>
    </row>
    <row r="64906" spans="25:25" x14ac:dyDescent="0.2">
      <c r="Y64906" s="97"/>
    </row>
    <row r="64907" spans="25:25" x14ac:dyDescent="0.2">
      <c r="Y64907" s="97"/>
    </row>
    <row r="64908" spans="25:25" x14ac:dyDescent="0.2">
      <c r="Y64908" s="97"/>
    </row>
    <row r="64909" spans="25:25" x14ac:dyDescent="0.2">
      <c r="Y64909" s="97"/>
    </row>
    <row r="64910" spans="25:25" x14ac:dyDescent="0.2">
      <c r="Y64910" s="97"/>
    </row>
    <row r="64911" spans="25:25" x14ac:dyDescent="0.2">
      <c r="Y64911" s="97"/>
    </row>
    <row r="64912" spans="25:25" x14ac:dyDescent="0.2">
      <c r="Y64912" s="97"/>
    </row>
    <row r="64913" spans="25:25" x14ac:dyDescent="0.2">
      <c r="Y64913" s="97"/>
    </row>
    <row r="64914" spans="25:25" x14ac:dyDescent="0.2">
      <c r="Y64914" s="97"/>
    </row>
    <row r="64915" spans="25:25" x14ac:dyDescent="0.2">
      <c r="Y64915" s="97"/>
    </row>
    <row r="64916" spans="25:25" x14ac:dyDescent="0.2">
      <c r="Y64916" s="97"/>
    </row>
    <row r="64917" spans="25:25" x14ac:dyDescent="0.2">
      <c r="Y64917" s="97"/>
    </row>
    <row r="64918" spans="25:25" x14ac:dyDescent="0.2">
      <c r="Y64918" s="97"/>
    </row>
    <row r="64919" spans="25:25" x14ac:dyDescent="0.2">
      <c r="Y64919" s="97"/>
    </row>
    <row r="64920" spans="25:25" x14ac:dyDescent="0.2">
      <c r="Y64920" s="97"/>
    </row>
    <row r="64921" spans="25:25" x14ac:dyDescent="0.2">
      <c r="Y64921" s="97"/>
    </row>
    <row r="64922" spans="25:25" x14ac:dyDescent="0.2">
      <c r="Y64922" s="97"/>
    </row>
    <row r="64923" spans="25:25" x14ac:dyDescent="0.2">
      <c r="Y64923" s="97"/>
    </row>
    <row r="64924" spans="25:25" x14ac:dyDescent="0.2">
      <c r="Y64924" s="97"/>
    </row>
    <row r="64925" spans="25:25" x14ac:dyDescent="0.2">
      <c r="Y64925" s="97"/>
    </row>
    <row r="64926" spans="25:25" x14ac:dyDescent="0.2">
      <c r="Y64926" s="97"/>
    </row>
    <row r="64927" spans="25:25" x14ac:dyDescent="0.2">
      <c r="Y64927" s="97"/>
    </row>
    <row r="64928" spans="25:25" x14ac:dyDescent="0.2">
      <c r="Y64928" s="97"/>
    </row>
    <row r="64929" spans="25:25" x14ac:dyDescent="0.2">
      <c r="Y64929" s="97"/>
    </row>
    <row r="64930" spans="25:25" x14ac:dyDescent="0.2">
      <c r="Y64930" s="97"/>
    </row>
    <row r="64931" spans="25:25" x14ac:dyDescent="0.2">
      <c r="Y64931" s="97"/>
    </row>
    <row r="64932" spans="25:25" x14ac:dyDescent="0.2">
      <c r="Y64932" s="97"/>
    </row>
    <row r="64933" spans="25:25" x14ac:dyDescent="0.2">
      <c r="Y64933" s="97"/>
    </row>
    <row r="64934" spans="25:25" x14ac:dyDescent="0.2">
      <c r="Y64934" s="97"/>
    </row>
    <row r="64935" spans="25:25" x14ac:dyDescent="0.2">
      <c r="Y64935" s="97"/>
    </row>
    <row r="64936" spans="25:25" x14ac:dyDescent="0.2">
      <c r="Y64936" s="97"/>
    </row>
    <row r="64937" spans="25:25" x14ac:dyDescent="0.2">
      <c r="Y64937" s="97"/>
    </row>
    <row r="64938" spans="25:25" x14ac:dyDescent="0.2">
      <c r="Y64938" s="97"/>
    </row>
    <row r="64939" spans="25:25" x14ac:dyDescent="0.2">
      <c r="Y64939" s="97"/>
    </row>
    <row r="64940" spans="25:25" x14ac:dyDescent="0.2">
      <c r="Y64940" s="97"/>
    </row>
    <row r="64941" spans="25:25" x14ac:dyDescent="0.2">
      <c r="Y64941" s="97"/>
    </row>
    <row r="64942" spans="25:25" x14ac:dyDescent="0.2">
      <c r="Y64942" s="97"/>
    </row>
    <row r="64943" spans="25:25" x14ac:dyDescent="0.2">
      <c r="Y64943" s="97"/>
    </row>
    <row r="64944" spans="25:25" x14ac:dyDescent="0.2">
      <c r="Y64944" s="97"/>
    </row>
    <row r="64945" spans="25:25" x14ac:dyDescent="0.2">
      <c r="Y64945" s="97"/>
    </row>
    <row r="64946" spans="25:25" x14ac:dyDescent="0.2">
      <c r="Y64946" s="97"/>
    </row>
    <row r="64947" spans="25:25" x14ac:dyDescent="0.2">
      <c r="Y64947" s="97"/>
    </row>
    <row r="64948" spans="25:25" x14ac:dyDescent="0.2">
      <c r="Y64948" s="97"/>
    </row>
    <row r="64949" spans="25:25" x14ac:dyDescent="0.2">
      <c r="Y64949" s="97"/>
    </row>
    <row r="64950" spans="25:25" x14ac:dyDescent="0.2">
      <c r="Y64950" s="97"/>
    </row>
    <row r="64951" spans="25:25" x14ac:dyDescent="0.2">
      <c r="Y64951" s="97"/>
    </row>
    <row r="64952" spans="25:25" x14ac:dyDescent="0.2">
      <c r="Y64952" s="97"/>
    </row>
    <row r="64953" spans="25:25" x14ac:dyDescent="0.2">
      <c r="Y64953" s="97"/>
    </row>
    <row r="64954" spans="25:25" x14ac:dyDescent="0.2">
      <c r="Y64954" s="97"/>
    </row>
    <row r="64955" spans="25:25" x14ac:dyDescent="0.2">
      <c r="Y64955" s="97"/>
    </row>
    <row r="64956" spans="25:25" x14ac:dyDescent="0.2">
      <c r="Y64956" s="97"/>
    </row>
    <row r="64957" spans="25:25" x14ac:dyDescent="0.2">
      <c r="Y64957" s="97"/>
    </row>
    <row r="64958" spans="25:25" x14ac:dyDescent="0.2">
      <c r="Y64958" s="97"/>
    </row>
    <row r="64959" spans="25:25" x14ac:dyDescent="0.2">
      <c r="Y64959" s="97"/>
    </row>
    <row r="64960" spans="25:25" x14ac:dyDescent="0.2">
      <c r="Y64960" s="97"/>
    </row>
    <row r="64961" spans="25:25" x14ac:dyDescent="0.2">
      <c r="Y64961" s="97"/>
    </row>
    <row r="64962" spans="25:25" x14ac:dyDescent="0.2">
      <c r="Y64962" s="97"/>
    </row>
    <row r="64963" spans="25:25" x14ac:dyDescent="0.2">
      <c r="Y64963" s="97"/>
    </row>
    <row r="64964" spans="25:25" x14ac:dyDescent="0.2">
      <c r="Y64964" s="97"/>
    </row>
    <row r="64965" spans="25:25" x14ac:dyDescent="0.2">
      <c r="Y64965" s="97"/>
    </row>
    <row r="64966" spans="25:25" x14ac:dyDescent="0.2">
      <c r="Y64966" s="97"/>
    </row>
    <row r="64967" spans="25:25" x14ac:dyDescent="0.2">
      <c r="Y64967" s="97"/>
    </row>
    <row r="64968" spans="25:25" x14ac:dyDescent="0.2">
      <c r="Y64968" s="97"/>
    </row>
    <row r="64969" spans="25:25" x14ac:dyDescent="0.2">
      <c r="Y64969" s="97"/>
    </row>
    <row r="64970" spans="25:25" x14ac:dyDescent="0.2">
      <c r="Y64970" s="97"/>
    </row>
    <row r="64971" spans="25:25" x14ac:dyDescent="0.2">
      <c r="Y64971" s="97"/>
    </row>
    <row r="64972" spans="25:25" x14ac:dyDescent="0.2">
      <c r="Y64972" s="97"/>
    </row>
    <row r="64973" spans="25:25" x14ac:dyDescent="0.2">
      <c r="Y64973" s="97"/>
    </row>
    <row r="64974" spans="25:25" x14ac:dyDescent="0.2">
      <c r="Y64974" s="97"/>
    </row>
    <row r="64975" spans="25:25" x14ac:dyDescent="0.2">
      <c r="Y64975" s="97"/>
    </row>
    <row r="64976" spans="25:25" x14ac:dyDescent="0.2">
      <c r="Y64976" s="97"/>
    </row>
    <row r="64977" spans="25:25" x14ac:dyDescent="0.2">
      <c r="Y64977" s="97"/>
    </row>
    <row r="64978" spans="25:25" x14ac:dyDescent="0.2">
      <c r="Y64978" s="97"/>
    </row>
    <row r="64979" spans="25:25" x14ac:dyDescent="0.2">
      <c r="Y64979" s="97"/>
    </row>
    <row r="64980" spans="25:25" x14ac:dyDescent="0.2">
      <c r="Y64980" s="97"/>
    </row>
    <row r="64981" spans="25:25" x14ac:dyDescent="0.2">
      <c r="Y64981" s="97"/>
    </row>
    <row r="64982" spans="25:25" x14ac:dyDescent="0.2">
      <c r="Y64982" s="97"/>
    </row>
    <row r="64983" spans="25:25" x14ac:dyDescent="0.2">
      <c r="Y64983" s="97"/>
    </row>
    <row r="64984" spans="25:25" x14ac:dyDescent="0.2">
      <c r="Y64984" s="97"/>
    </row>
    <row r="64985" spans="25:25" x14ac:dyDescent="0.2">
      <c r="Y64985" s="97"/>
    </row>
    <row r="64986" spans="25:25" x14ac:dyDescent="0.2">
      <c r="Y64986" s="97"/>
    </row>
    <row r="64987" spans="25:25" x14ac:dyDescent="0.2">
      <c r="Y64987" s="97"/>
    </row>
    <row r="64988" spans="25:25" x14ac:dyDescent="0.2">
      <c r="Y64988" s="97"/>
    </row>
    <row r="64989" spans="25:25" x14ac:dyDescent="0.2">
      <c r="Y64989" s="97"/>
    </row>
    <row r="64990" spans="25:25" x14ac:dyDescent="0.2">
      <c r="Y64990" s="97"/>
    </row>
    <row r="64991" spans="25:25" x14ac:dyDescent="0.2">
      <c r="Y64991" s="97"/>
    </row>
    <row r="64992" spans="25:25" x14ac:dyDescent="0.2">
      <c r="Y64992" s="97"/>
    </row>
    <row r="64993" spans="25:25" x14ac:dyDescent="0.2">
      <c r="Y64993" s="97"/>
    </row>
    <row r="64994" spans="25:25" x14ac:dyDescent="0.2">
      <c r="Y64994" s="97"/>
    </row>
    <row r="64995" spans="25:25" x14ac:dyDescent="0.2">
      <c r="Y64995" s="97"/>
    </row>
    <row r="64996" spans="25:25" x14ac:dyDescent="0.2">
      <c r="Y64996" s="97"/>
    </row>
    <row r="64997" spans="25:25" x14ac:dyDescent="0.2">
      <c r="Y64997" s="97"/>
    </row>
    <row r="64998" spans="25:25" x14ac:dyDescent="0.2">
      <c r="Y64998" s="97"/>
    </row>
    <row r="64999" spans="25:25" x14ac:dyDescent="0.2">
      <c r="Y64999" s="97"/>
    </row>
    <row r="65000" spans="25:25" x14ac:dyDescent="0.2">
      <c r="Y65000" s="97"/>
    </row>
    <row r="65001" spans="25:25" x14ac:dyDescent="0.2">
      <c r="Y65001" s="97"/>
    </row>
    <row r="65002" spans="25:25" x14ac:dyDescent="0.2">
      <c r="Y65002" s="97"/>
    </row>
    <row r="65003" spans="25:25" x14ac:dyDescent="0.2">
      <c r="Y65003" s="97"/>
    </row>
    <row r="65004" spans="25:25" x14ac:dyDescent="0.2">
      <c r="Y65004" s="97"/>
    </row>
    <row r="65005" spans="25:25" x14ac:dyDescent="0.2">
      <c r="Y65005" s="97"/>
    </row>
    <row r="65006" spans="25:25" x14ac:dyDescent="0.2">
      <c r="Y65006" s="97"/>
    </row>
    <row r="65007" spans="25:25" x14ac:dyDescent="0.2">
      <c r="Y65007" s="97"/>
    </row>
    <row r="65008" spans="25:25" x14ac:dyDescent="0.2">
      <c r="Y65008" s="97"/>
    </row>
    <row r="65009" spans="25:25" x14ac:dyDescent="0.2">
      <c r="Y65009" s="97"/>
    </row>
    <row r="65010" spans="25:25" x14ac:dyDescent="0.2">
      <c r="Y65010" s="97"/>
    </row>
    <row r="65011" spans="25:25" x14ac:dyDescent="0.2">
      <c r="Y65011" s="97"/>
    </row>
    <row r="65012" spans="25:25" x14ac:dyDescent="0.2">
      <c r="Y65012" s="97"/>
    </row>
    <row r="65013" spans="25:25" x14ac:dyDescent="0.2">
      <c r="Y65013" s="97"/>
    </row>
    <row r="65014" spans="25:25" x14ac:dyDescent="0.2">
      <c r="Y65014" s="97"/>
    </row>
    <row r="65015" spans="25:25" x14ac:dyDescent="0.2">
      <c r="Y65015" s="97"/>
    </row>
    <row r="65016" spans="25:25" x14ac:dyDescent="0.2">
      <c r="Y65016" s="97"/>
    </row>
    <row r="65017" spans="25:25" x14ac:dyDescent="0.2">
      <c r="Y65017" s="97"/>
    </row>
    <row r="65018" spans="25:25" x14ac:dyDescent="0.2">
      <c r="Y65018" s="97"/>
    </row>
    <row r="65019" spans="25:25" x14ac:dyDescent="0.2">
      <c r="Y65019" s="97"/>
    </row>
    <row r="65020" spans="25:25" x14ac:dyDescent="0.2">
      <c r="Y65020" s="97"/>
    </row>
    <row r="65021" spans="25:25" x14ac:dyDescent="0.2">
      <c r="Y65021" s="97"/>
    </row>
    <row r="65022" spans="25:25" x14ac:dyDescent="0.2">
      <c r="Y65022" s="97"/>
    </row>
    <row r="65023" spans="25:25" x14ac:dyDescent="0.2">
      <c r="Y65023" s="97"/>
    </row>
    <row r="65024" spans="25:25" x14ac:dyDescent="0.2">
      <c r="Y65024" s="97"/>
    </row>
    <row r="65025" spans="25:25" x14ac:dyDescent="0.2">
      <c r="Y65025" s="97"/>
    </row>
    <row r="65026" spans="25:25" x14ac:dyDescent="0.2">
      <c r="Y65026" s="97"/>
    </row>
    <row r="65027" spans="25:25" x14ac:dyDescent="0.2">
      <c r="Y65027" s="97"/>
    </row>
    <row r="65028" spans="25:25" x14ac:dyDescent="0.2">
      <c r="Y65028" s="97"/>
    </row>
    <row r="65029" spans="25:25" x14ac:dyDescent="0.2">
      <c r="Y65029" s="97"/>
    </row>
    <row r="65030" spans="25:25" x14ac:dyDescent="0.2">
      <c r="Y65030" s="97"/>
    </row>
    <row r="65031" spans="25:25" x14ac:dyDescent="0.2">
      <c r="Y65031" s="97"/>
    </row>
    <row r="65032" spans="25:25" x14ac:dyDescent="0.2">
      <c r="Y65032" s="97"/>
    </row>
    <row r="65033" spans="25:25" x14ac:dyDescent="0.2">
      <c r="Y65033" s="97"/>
    </row>
    <row r="65034" spans="25:25" x14ac:dyDescent="0.2">
      <c r="Y65034" s="97"/>
    </row>
    <row r="65035" spans="25:25" x14ac:dyDescent="0.2">
      <c r="Y65035" s="97"/>
    </row>
    <row r="65036" spans="25:25" x14ac:dyDescent="0.2">
      <c r="Y65036" s="97"/>
    </row>
    <row r="65037" spans="25:25" x14ac:dyDescent="0.2">
      <c r="Y65037" s="97"/>
    </row>
    <row r="65038" spans="25:25" x14ac:dyDescent="0.2">
      <c r="Y65038" s="97"/>
    </row>
    <row r="65039" spans="25:25" x14ac:dyDescent="0.2">
      <c r="Y65039" s="97"/>
    </row>
    <row r="65040" spans="25:25" x14ac:dyDescent="0.2">
      <c r="Y65040" s="97"/>
    </row>
    <row r="65041" spans="25:25" x14ac:dyDescent="0.2">
      <c r="Y65041" s="97"/>
    </row>
    <row r="65042" spans="25:25" x14ac:dyDescent="0.2">
      <c r="Y65042" s="97"/>
    </row>
    <row r="65043" spans="25:25" x14ac:dyDescent="0.2">
      <c r="Y65043" s="97"/>
    </row>
    <row r="65044" spans="25:25" x14ac:dyDescent="0.2">
      <c r="Y65044" s="97"/>
    </row>
    <row r="65045" spans="25:25" x14ac:dyDescent="0.2">
      <c r="Y65045" s="97"/>
    </row>
    <row r="65046" spans="25:25" x14ac:dyDescent="0.2">
      <c r="Y65046" s="97"/>
    </row>
    <row r="65047" spans="25:25" x14ac:dyDescent="0.2">
      <c r="Y65047" s="97"/>
    </row>
    <row r="65048" spans="25:25" x14ac:dyDescent="0.2">
      <c r="Y65048" s="97"/>
    </row>
    <row r="65049" spans="25:25" x14ac:dyDescent="0.2">
      <c r="Y65049" s="97"/>
    </row>
    <row r="65050" spans="25:25" x14ac:dyDescent="0.2">
      <c r="Y65050" s="97"/>
    </row>
    <row r="65051" spans="25:25" x14ac:dyDescent="0.2">
      <c r="Y65051" s="97"/>
    </row>
    <row r="65052" spans="25:25" x14ac:dyDescent="0.2">
      <c r="Y65052" s="97"/>
    </row>
    <row r="65053" spans="25:25" x14ac:dyDescent="0.2">
      <c r="Y65053" s="97"/>
    </row>
    <row r="65054" spans="25:25" x14ac:dyDescent="0.2">
      <c r="Y65054" s="97"/>
    </row>
    <row r="65055" spans="25:25" x14ac:dyDescent="0.2">
      <c r="Y65055" s="97"/>
    </row>
    <row r="65056" spans="25:25" x14ac:dyDescent="0.2">
      <c r="Y65056" s="97"/>
    </row>
    <row r="65057" spans="25:25" x14ac:dyDescent="0.2">
      <c r="Y65057" s="97"/>
    </row>
    <row r="65058" spans="25:25" x14ac:dyDescent="0.2">
      <c r="Y65058" s="97"/>
    </row>
    <row r="65059" spans="25:25" x14ac:dyDescent="0.2">
      <c r="Y65059" s="97"/>
    </row>
    <row r="65060" spans="25:25" x14ac:dyDescent="0.2">
      <c r="Y65060" s="97"/>
    </row>
    <row r="65061" spans="25:25" x14ac:dyDescent="0.2">
      <c r="Y65061" s="97"/>
    </row>
    <row r="65062" spans="25:25" x14ac:dyDescent="0.2">
      <c r="Y65062" s="97"/>
    </row>
    <row r="65063" spans="25:25" x14ac:dyDescent="0.2">
      <c r="Y65063" s="97"/>
    </row>
    <row r="65064" spans="25:25" x14ac:dyDescent="0.2">
      <c r="Y65064" s="97"/>
    </row>
    <row r="65065" spans="25:25" x14ac:dyDescent="0.2">
      <c r="Y65065" s="97"/>
    </row>
    <row r="65066" spans="25:25" x14ac:dyDescent="0.2">
      <c r="Y65066" s="97"/>
    </row>
    <row r="65067" spans="25:25" x14ac:dyDescent="0.2">
      <c r="Y65067" s="97"/>
    </row>
    <row r="65068" spans="25:25" x14ac:dyDescent="0.2">
      <c r="Y65068" s="97"/>
    </row>
    <row r="65069" spans="25:25" x14ac:dyDescent="0.2">
      <c r="Y65069" s="97"/>
    </row>
    <row r="65070" spans="25:25" x14ac:dyDescent="0.2">
      <c r="Y65070" s="97"/>
    </row>
    <row r="65071" spans="25:25" x14ac:dyDescent="0.2">
      <c r="Y65071" s="97"/>
    </row>
    <row r="65072" spans="25:25" x14ac:dyDescent="0.2">
      <c r="Y65072" s="97"/>
    </row>
    <row r="65073" spans="25:25" x14ac:dyDescent="0.2">
      <c r="Y65073" s="97"/>
    </row>
    <row r="65074" spans="25:25" x14ac:dyDescent="0.2">
      <c r="Y65074" s="97"/>
    </row>
    <row r="65075" spans="25:25" x14ac:dyDescent="0.2">
      <c r="Y65075" s="97"/>
    </row>
    <row r="65076" spans="25:25" x14ac:dyDescent="0.2">
      <c r="Y65076" s="97"/>
    </row>
    <row r="65077" spans="25:25" x14ac:dyDescent="0.2">
      <c r="Y65077" s="97"/>
    </row>
    <row r="65078" spans="25:25" x14ac:dyDescent="0.2">
      <c r="Y65078" s="97"/>
    </row>
    <row r="65079" spans="25:25" x14ac:dyDescent="0.2">
      <c r="Y65079" s="97"/>
    </row>
    <row r="65080" spans="25:25" x14ac:dyDescent="0.2">
      <c r="Y65080" s="97"/>
    </row>
    <row r="65081" spans="25:25" x14ac:dyDescent="0.2">
      <c r="Y65081" s="97"/>
    </row>
    <row r="65082" spans="25:25" x14ac:dyDescent="0.2">
      <c r="Y65082" s="97"/>
    </row>
    <row r="65083" spans="25:25" x14ac:dyDescent="0.2">
      <c r="Y65083" s="97"/>
    </row>
    <row r="65084" spans="25:25" x14ac:dyDescent="0.2">
      <c r="Y65084" s="97"/>
    </row>
    <row r="65085" spans="25:25" x14ac:dyDescent="0.2">
      <c r="Y65085" s="97"/>
    </row>
    <row r="65086" spans="25:25" x14ac:dyDescent="0.2">
      <c r="Y65086" s="97"/>
    </row>
    <row r="65087" spans="25:25" x14ac:dyDescent="0.2">
      <c r="Y65087" s="97"/>
    </row>
    <row r="65088" spans="25:25" x14ac:dyDescent="0.2">
      <c r="Y65088" s="97"/>
    </row>
    <row r="65089" spans="25:25" x14ac:dyDescent="0.2">
      <c r="Y65089" s="97"/>
    </row>
    <row r="65090" spans="25:25" x14ac:dyDescent="0.2">
      <c r="Y65090" s="97"/>
    </row>
    <row r="65091" spans="25:25" x14ac:dyDescent="0.2">
      <c r="Y65091" s="97"/>
    </row>
    <row r="65092" spans="25:25" x14ac:dyDescent="0.2">
      <c r="Y65092" s="97"/>
    </row>
    <row r="65093" spans="25:25" x14ac:dyDescent="0.2">
      <c r="Y65093" s="97"/>
    </row>
    <row r="65094" spans="25:25" x14ac:dyDescent="0.2">
      <c r="Y65094" s="97"/>
    </row>
    <row r="65095" spans="25:25" x14ac:dyDescent="0.2">
      <c r="Y65095" s="97"/>
    </row>
    <row r="65096" spans="25:25" x14ac:dyDescent="0.2">
      <c r="Y65096" s="97"/>
    </row>
    <row r="65097" spans="25:25" x14ac:dyDescent="0.2">
      <c r="Y65097" s="97"/>
    </row>
    <row r="65098" spans="25:25" x14ac:dyDescent="0.2">
      <c r="Y65098" s="97"/>
    </row>
    <row r="65099" spans="25:25" x14ac:dyDescent="0.2">
      <c r="Y65099" s="97"/>
    </row>
    <row r="65100" spans="25:25" x14ac:dyDescent="0.2">
      <c r="Y65100" s="97"/>
    </row>
    <row r="65101" spans="25:25" x14ac:dyDescent="0.2">
      <c r="Y65101" s="97"/>
    </row>
    <row r="65102" spans="25:25" x14ac:dyDescent="0.2">
      <c r="Y65102" s="97"/>
    </row>
    <row r="65103" spans="25:25" x14ac:dyDescent="0.2">
      <c r="Y65103" s="97"/>
    </row>
    <row r="65104" spans="25:25" x14ac:dyDescent="0.2">
      <c r="Y65104" s="97"/>
    </row>
    <row r="65105" spans="25:25" x14ac:dyDescent="0.2">
      <c r="Y65105" s="97"/>
    </row>
    <row r="65106" spans="25:25" x14ac:dyDescent="0.2">
      <c r="Y65106" s="97"/>
    </row>
    <row r="65107" spans="25:25" x14ac:dyDescent="0.2">
      <c r="Y65107" s="97"/>
    </row>
    <row r="65108" spans="25:25" x14ac:dyDescent="0.2">
      <c r="Y65108" s="97"/>
    </row>
    <row r="65109" spans="25:25" x14ac:dyDescent="0.2">
      <c r="Y65109" s="97"/>
    </row>
    <row r="65110" spans="25:25" x14ac:dyDescent="0.2">
      <c r="Y65110" s="97"/>
    </row>
    <row r="65111" spans="25:25" x14ac:dyDescent="0.2">
      <c r="Y65111" s="97"/>
    </row>
    <row r="65112" spans="25:25" x14ac:dyDescent="0.2">
      <c r="Y65112" s="97"/>
    </row>
    <row r="65113" spans="25:25" x14ac:dyDescent="0.2">
      <c r="Y65113" s="97"/>
    </row>
    <row r="65114" spans="25:25" x14ac:dyDescent="0.2">
      <c r="Y65114" s="97"/>
    </row>
    <row r="65115" spans="25:25" x14ac:dyDescent="0.2">
      <c r="Y65115" s="97"/>
    </row>
    <row r="65116" spans="25:25" x14ac:dyDescent="0.2">
      <c r="Y65116" s="97"/>
    </row>
    <row r="65117" spans="25:25" x14ac:dyDescent="0.2">
      <c r="Y65117" s="97"/>
    </row>
    <row r="65118" spans="25:25" x14ac:dyDescent="0.2">
      <c r="Y65118" s="97"/>
    </row>
    <row r="65119" spans="25:25" x14ac:dyDescent="0.2">
      <c r="Y65119" s="97"/>
    </row>
    <row r="65120" spans="25:25" x14ac:dyDescent="0.2">
      <c r="Y65120" s="97"/>
    </row>
    <row r="65121" spans="25:25" x14ac:dyDescent="0.2">
      <c r="Y65121" s="97"/>
    </row>
    <row r="65122" spans="25:25" x14ac:dyDescent="0.2">
      <c r="Y65122" s="97"/>
    </row>
    <row r="65123" spans="25:25" x14ac:dyDescent="0.2">
      <c r="Y65123" s="97"/>
    </row>
    <row r="65124" spans="25:25" x14ac:dyDescent="0.2">
      <c r="Y65124" s="97"/>
    </row>
    <row r="65125" spans="25:25" x14ac:dyDescent="0.2">
      <c r="Y65125" s="97"/>
    </row>
    <row r="65126" spans="25:25" x14ac:dyDescent="0.2">
      <c r="Y65126" s="97"/>
    </row>
    <row r="65127" spans="25:25" x14ac:dyDescent="0.2">
      <c r="Y65127" s="97"/>
    </row>
    <row r="65128" spans="25:25" x14ac:dyDescent="0.2">
      <c r="Y65128" s="97"/>
    </row>
    <row r="65129" spans="25:25" x14ac:dyDescent="0.2">
      <c r="Y65129" s="97"/>
    </row>
    <row r="65130" spans="25:25" x14ac:dyDescent="0.2">
      <c r="Y65130" s="97"/>
    </row>
    <row r="65131" spans="25:25" x14ac:dyDescent="0.2">
      <c r="Y65131" s="97"/>
    </row>
    <row r="65132" spans="25:25" x14ac:dyDescent="0.2">
      <c r="Y65132" s="97"/>
    </row>
    <row r="65133" spans="25:25" x14ac:dyDescent="0.2">
      <c r="Y65133" s="97"/>
    </row>
    <row r="65134" spans="25:25" x14ac:dyDescent="0.2">
      <c r="Y65134" s="97"/>
    </row>
    <row r="65135" spans="25:25" x14ac:dyDescent="0.2">
      <c r="Y65135" s="97"/>
    </row>
    <row r="65136" spans="25:25" x14ac:dyDescent="0.2">
      <c r="Y65136" s="97"/>
    </row>
    <row r="65137" spans="25:25" x14ac:dyDescent="0.2">
      <c r="Y65137" s="97"/>
    </row>
    <row r="65138" spans="25:25" x14ac:dyDescent="0.2">
      <c r="Y65138" s="97"/>
    </row>
    <row r="65139" spans="25:25" x14ac:dyDescent="0.2">
      <c r="Y65139" s="97"/>
    </row>
    <row r="65140" spans="25:25" x14ac:dyDescent="0.2">
      <c r="Y65140" s="97"/>
    </row>
    <row r="65141" spans="25:25" x14ac:dyDescent="0.2">
      <c r="Y65141" s="97"/>
    </row>
    <row r="65142" spans="25:25" x14ac:dyDescent="0.2">
      <c r="Y65142" s="97"/>
    </row>
    <row r="65143" spans="25:25" x14ac:dyDescent="0.2">
      <c r="Y65143" s="97"/>
    </row>
    <row r="65144" spans="25:25" x14ac:dyDescent="0.2">
      <c r="Y65144" s="97"/>
    </row>
    <row r="65145" spans="25:25" x14ac:dyDescent="0.2">
      <c r="Y65145" s="97"/>
    </row>
    <row r="65146" spans="25:25" x14ac:dyDescent="0.2">
      <c r="Y65146" s="97"/>
    </row>
    <row r="65147" spans="25:25" x14ac:dyDescent="0.2">
      <c r="Y65147" s="97"/>
    </row>
    <row r="65148" spans="25:25" x14ac:dyDescent="0.2">
      <c r="Y65148" s="97"/>
    </row>
    <row r="65149" spans="25:25" x14ac:dyDescent="0.2">
      <c r="Y65149" s="97"/>
    </row>
    <row r="65150" spans="25:25" x14ac:dyDescent="0.2">
      <c r="Y65150" s="97"/>
    </row>
    <row r="65151" spans="25:25" x14ac:dyDescent="0.2">
      <c r="Y65151" s="97"/>
    </row>
    <row r="65152" spans="25:25" x14ac:dyDescent="0.2">
      <c r="Y65152" s="97"/>
    </row>
    <row r="65153" spans="25:25" x14ac:dyDescent="0.2">
      <c r="Y65153" s="97"/>
    </row>
    <row r="65154" spans="25:25" x14ac:dyDescent="0.2">
      <c r="Y65154" s="97"/>
    </row>
    <row r="65155" spans="25:25" x14ac:dyDescent="0.2">
      <c r="Y65155" s="97"/>
    </row>
    <row r="65156" spans="25:25" x14ac:dyDescent="0.2">
      <c r="Y65156" s="97"/>
    </row>
    <row r="65157" spans="25:25" x14ac:dyDescent="0.2">
      <c r="Y65157" s="97"/>
    </row>
    <row r="65158" spans="25:25" x14ac:dyDescent="0.2">
      <c r="Y65158" s="97"/>
    </row>
    <row r="65159" spans="25:25" x14ac:dyDescent="0.2">
      <c r="Y65159" s="97"/>
    </row>
    <row r="65160" spans="25:25" x14ac:dyDescent="0.2">
      <c r="Y65160" s="97"/>
    </row>
    <row r="65161" spans="25:25" x14ac:dyDescent="0.2">
      <c r="Y65161" s="97"/>
    </row>
    <row r="65162" spans="25:25" x14ac:dyDescent="0.2">
      <c r="Y65162" s="97"/>
    </row>
    <row r="65163" spans="25:25" x14ac:dyDescent="0.2">
      <c r="Y65163" s="97"/>
    </row>
    <row r="65164" spans="25:25" x14ac:dyDescent="0.2">
      <c r="Y65164" s="97"/>
    </row>
    <row r="65165" spans="25:25" x14ac:dyDescent="0.2">
      <c r="Y65165" s="97"/>
    </row>
    <row r="65166" spans="25:25" x14ac:dyDescent="0.2">
      <c r="Y65166" s="97"/>
    </row>
    <row r="65167" spans="25:25" x14ac:dyDescent="0.2">
      <c r="Y65167" s="97"/>
    </row>
    <row r="65168" spans="25:25" x14ac:dyDescent="0.2">
      <c r="Y65168" s="97"/>
    </row>
    <row r="65169" spans="25:25" x14ac:dyDescent="0.2">
      <c r="Y65169" s="97"/>
    </row>
    <row r="65170" spans="25:25" x14ac:dyDescent="0.2">
      <c r="Y65170" s="97"/>
    </row>
    <row r="65171" spans="25:25" x14ac:dyDescent="0.2">
      <c r="Y65171" s="97"/>
    </row>
    <row r="65172" spans="25:25" x14ac:dyDescent="0.2">
      <c r="Y65172" s="97"/>
    </row>
    <row r="65173" spans="25:25" x14ac:dyDescent="0.2">
      <c r="Y65173" s="97"/>
    </row>
    <row r="65174" spans="25:25" x14ac:dyDescent="0.2">
      <c r="Y65174" s="97"/>
    </row>
    <row r="65175" spans="25:25" x14ac:dyDescent="0.2">
      <c r="Y65175" s="97"/>
    </row>
    <row r="65176" spans="25:25" x14ac:dyDescent="0.2">
      <c r="Y65176" s="97"/>
    </row>
    <row r="65177" spans="25:25" x14ac:dyDescent="0.2">
      <c r="Y65177" s="97"/>
    </row>
    <row r="65178" spans="25:25" x14ac:dyDescent="0.2">
      <c r="Y65178" s="97"/>
    </row>
    <row r="65179" spans="25:25" x14ac:dyDescent="0.2">
      <c r="Y65179" s="97"/>
    </row>
    <row r="65180" spans="25:25" x14ac:dyDescent="0.2">
      <c r="Y65180" s="97"/>
    </row>
    <row r="65181" spans="25:25" x14ac:dyDescent="0.2">
      <c r="Y65181" s="97"/>
    </row>
    <row r="65182" spans="25:25" x14ac:dyDescent="0.2">
      <c r="Y65182" s="97"/>
    </row>
    <row r="65183" spans="25:25" x14ac:dyDescent="0.2">
      <c r="Y65183" s="97"/>
    </row>
    <row r="65184" spans="25:25" x14ac:dyDescent="0.2">
      <c r="Y65184" s="97"/>
    </row>
    <row r="65185" spans="25:25" x14ac:dyDescent="0.2">
      <c r="Y65185" s="97"/>
    </row>
    <row r="65186" spans="25:25" x14ac:dyDescent="0.2">
      <c r="Y65186" s="97"/>
    </row>
    <row r="65187" spans="25:25" x14ac:dyDescent="0.2">
      <c r="Y65187" s="97"/>
    </row>
    <row r="65188" spans="25:25" x14ac:dyDescent="0.2">
      <c r="Y65188" s="97"/>
    </row>
    <row r="65189" spans="25:25" x14ac:dyDescent="0.2">
      <c r="Y65189" s="97"/>
    </row>
    <row r="65190" spans="25:25" x14ac:dyDescent="0.2">
      <c r="Y65190" s="97"/>
    </row>
    <row r="65191" spans="25:25" x14ac:dyDescent="0.2">
      <c r="Y65191" s="97"/>
    </row>
    <row r="65192" spans="25:25" x14ac:dyDescent="0.2">
      <c r="Y65192" s="97"/>
    </row>
    <row r="65193" spans="25:25" x14ac:dyDescent="0.2">
      <c r="Y65193" s="97"/>
    </row>
    <row r="65194" spans="25:25" x14ac:dyDescent="0.2">
      <c r="Y65194" s="97"/>
    </row>
    <row r="65195" spans="25:25" x14ac:dyDescent="0.2">
      <c r="Y65195" s="97"/>
    </row>
    <row r="65196" spans="25:25" x14ac:dyDescent="0.2">
      <c r="Y65196" s="97"/>
    </row>
    <row r="65197" spans="25:25" x14ac:dyDescent="0.2">
      <c r="Y65197" s="97"/>
    </row>
    <row r="65198" spans="25:25" x14ac:dyDescent="0.2">
      <c r="Y65198" s="97"/>
    </row>
    <row r="65199" spans="25:25" x14ac:dyDescent="0.2">
      <c r="Y65199" s="97"/>
    </row>
    <row r="65200" spans="25:25" x14ac:dyDescent="0.2">
      <c r="Y65200" s="97"/>
    </row>
    <row r="65201" spans="25:25" x14ac:dyDescent="0.2">
      <c r="Y65201" s="97"/>
    </row>
    <row r="65202" spans="25:25" x14ac:dyDescent="0.2">
      <c r="Y65202" s="97"/>
    </row>
    <row r="65203" spans="25:25" x14ac:dyDescent="0.2">
      <c r="Y65203" s="97"/>
    </row>
    <row r="65204" spans="25:25" x14ac:dyDescent="0.2">
      <c r="Y65204" s="97"/>
    </row>
    <row r="65205" spans="25:25" x14ac:dyDescent="0.2">
      <c r="Y65205" s="97"/>
    </row>
    <row r="65206" spans="25:25" x14ac:dyDescent="0.2">
      <c r="Y65206" s="97"/>
    </row>
    <row r="65207" spans="25:25" x14ac:dyDescent="0.2">
      <c r="Y65207" s="97"/>
    </row>
    <row r="65208" spans="25:25" x14ac:dyDescent="0.2">
      <c r="Y65208" s="97"/>
    </row>
    <row r="65209" spans="25:25" x14ac:dyDescent="0.2">
      <c r="Y65209" s="97"/>
    </row>
    <row r="65210" spans="25:25" x14ac:dyDescent="0.2">
      <c r="Y65210" s="97"/>
    </row>
    <row r="65211" spans="25:25" x14ac:dyDescent="0.2">
      <c r="Y65211" s="97"/>
    </row>
    <row r="65212" spans="25:25" x14ac:dyDescent="0.2">
      <c r="Y65212" s="97"/>
    </row>
    <row r="65213" spans="25:25" x14ac:dyDescent="0.2">
      <c r="Y65213" s="97"/>
    </row>
    <row r="65214" spans="25:25" x14ac:dyDescent="0.2">
      <c r="Y65214" s="97"/>
    </row>
    <row r="65215" spans="25:25" x14ac:dyDescent="0.2">
      <c r="Y65215" s="97"/>
    </row>
    <row r="65216" spans="25:25" x14ac:dyDescent="0.2">
      <c r="Y65216" s="97"/>
    </row>
    <row r="65217" spans="25:25" x14ac:dyDescent="0.2">
      <c r="Y65217" s="97"/>
    </row>
    <row r="65218" spans="25:25" x14ac:dyDescent="0.2">
      <c r="Y65218" s="97"/>
    </row>
    <row r="65219" spans="25:25" x14ac:dyDescent="0.2">
      <c r="Y65219" s="97"/>
    </row>
    <row r="65220" spans="25:25" x14ac:dyDescent="0.2">
      <c r="Y65220" s="97"/>
    </row>
    <row r="65221" spans="25:25" x14ac:dyDescent="0.2">
      <c r="Y65221" s="97"/>
    </row>
    <row r="65222" spans="25:25" x14ac:dyDescent="0.2">
      <c r="Y65222" s="97"/>
    </row>
    <row r="65223" spans="25:25" x14ac:dyDescent="0.2">
      <c r="Y65223" s="97"/>
    </row>
    <row r="65224" spans="25:25" x14ac:dyDescent="0.2">
      <c r="Y65224" s="97"/>
    </row>
    <row r="65225" spans="25:25" x14ac:dyDescent="0.2">
      <c r="Y65225" s="97"/>
    </row>
    <row r="65226" spans="25:25" x14ac:dyDescent="0.2">
      <c r="Y65226" s="97"/>
    </row>
    <row r="65227" spans="25:25" x14ac:dyDescent="0.2">
      <c r="Y65227" s="97"/>
    </row>
    <row r="65228" spans="25:25" x14ac:dyDescent="0.2">
      <c r="Y65228" s="97"/>
    </row>
    <row r="65229" spans="25:25" x14ac:dyDescent="0.2">
      <c r="Y65229" s="97"/>
    </row>
    <row r="65230" spans="25:25" x14ac:dyDescent="0.2">
      <c r="Y65230" s="97"/>
    </row>
    <row r="65231" spans="25:25" x14ac:dyDescent="0.2">
      <c r="Y65231" s="97"/>
    </row>
    <row r="65232" spans="25:25" x14ac:dyDescent="0.2">
      <c r="Y65232" s="97"/>
    </row>
    <row r="65233" spans="25:25" x14ac:dyDescent="0.2">
      <c r="Y65233" s="97"/>
    </row>
    <row r="65234" spans="25:25" x14ac:dyDescent="0.2">
      <c r="Y65234" s="97"/>
    </row>
    <row r="65235" spans="25:25" x14ac:dyDescent="0.2">
      <c r="Y65235" s="97"/>
    </row>
    <row r="65236" spans="25:25" x14ac:dyDescent="0.2">
      <c r="Y65236" s="97"/>
    </row>
    <row r="65237" spans="25:25" x14ac:dyDescent="0.2">
      <c r="Y65237" s="97"/>
    </row>
    <row r="65238" spans="25:25" x14ac:dyDescent="0.2">
      <c r="Y65238" s="97"/>
    </row>
    <row r="65239" spans="25:25" x14ac:dyDescent="0.2">
      <c r="Y65239" s="97"/>
    </row>
    <row r="65240" spans="25:25" x14ac:dyDescent="0.2">
      <c r="Y65240" s="97"/>
    </row>
    <row r="65241" spans="25:25" x14ac:dyDescent="0.2">
      <c r="Y65241" s="97"/>
    </row>
    <row r="65242" spans="25:25" x14ac:dyDescent="0.2">
      <c r="Y65242" s="97"/>
    </row>
    <row r="65243" spans="25:25" x14ac:dyDescent="0.2">
      <c r="Y65243" s="97"/>
    </row>
    <row r="65244" spans="25:25" x14ac:dyDescent="0.2">
      <c r="Y65244" s="97"/>
    </row>
    <row r="65245" spans="25:25" x14ac:dyDescent="0.2">
      <c r="Y65245" s="97"/>
    </row>
    <row r="65246" spans="25:25" x14ac:dyDescent="0.2">
      <c r="Y65246" s="97"/>
    </row>
    <row r="65247" spans="25:25" x14ac:dyDescent="0.2">
      <c r="Y65247" s="97"/>
    </row>
    <row r="65248" spans="25:25" x14ac:dyDescent="0.2">
      <c r="Y65248" s="97"/>
    </row>
    <row r="65249" spans="25:25" x14ac:dyDescent="0.2">
      <c r="Y65249" s="97"/>
    </row>
    <row r="65250" spans="25:25" x14ac:dyDescent="0.2">
      <c r="Y65250" s="97"/>
    </row>
    <row r="65251" spans="25:25" x14ac:dyDescent="0.2">
      <c r="Y65251" s="97"/>
    </row>
    <row r="65252" spans="25:25" x14ac:dyDescent="0.2">
      <c r="Y65252" s="97"/>
    </row>
    <row r="65253" spans="25:25" x14ac:dyDescent="0.2">
      <c r="Y65253" s="97"/>
    </row>
    <row r="65254" spans="25:25" x14ac:dyDescent="0.2">
      <c r="Y65254" s="97"/>
    </row>
    <row r="65255" spans="25:25" x14ac:dyDescent="0.2">
      <c r="Y65255" s="97"/>
    </row>
    <row r="65256" spans="25:25" x14ac:dyDescent="0.2">
      <c r="Y65256" s="97"/>
    </row>
    <row r="65257" spans="25:25" x14ac:dyDescent="0.2">
      <c r="Y65257" s="97"/>
    </row>
    <row r="65258" spans="25:25" x14ac:dyDescent="0.2">
      <c r="Y65258" s="97"/>
    </row>
    <row r="65259" spans="25:25" x14ac:dyDescent="0.2">
      <c r="Y65259" s="97"/>
    </row>
    <row r="65260" spans="25:25" x14ac:dyDescent="0.2">
      <c r="Y65260" s="97"/>
    </row>
    <row r="65261" spans="25:25" x14ac:dyDescent="0.2">
      <c r="Y65261" s="97"/>
    </row>
    <row r="65262" spans="25:25" x14ac:dyDescent="0.2">
      <c r="Y65262" s="97"/>
    </row>
    <row r="65263" spans="25:25" x14ac:dyDescent="0.2">
      <c r="Y65263" s="97"/>
    </row>
    <row r="65264" spans="25:25" x14ac:dyDescent="0.2">
      <c r="Y65264" s="97"/>
    </row>
    <row r="65265" spans="25:25" x14ac:dyDescent="0.2">
      <c r="Y65265" s="97"/>
    </row>
    <row r="65266" spans="25:25" x14ac:dyDescent="0.2">
      <c r="Y65266" s="97"/>
    </row>
    <row r="65267" spans="25:25" x14ac:dyDescent="0.2">
      <c r="Y65267" s="97"/>
    </row>
    <row r="65268" spans="25:25" x14ac:dyDescent="0.2">
      <c r="Y65268" s="97"/>
    </row>
    <row r="65269" spans="25:25" x14ac:dyDescent="0.2">
      <c r="Y65269" s="97"/>
    </row>
    <row r="65270" spans="25:25" x14ac:dyDescent="0.2">
      <c r="Y65270" s="97"/>
    </row>
    <row r="65271" spans="25:25" x14ac:dyDescent="0.2">
      <c r="Y65271" s="97"/>
    </row>
    <row r="65272" spans="25:25" x14ac:dyDescent="0.2">
      <c r="Y65272" s="97"/>
    </row>
    <row r="65273" spans="25:25" x14ac:dyDescent="0.2">
      <c r="Y65273" s="97"/>
    </row>
    <row r="65274" spans="25:25" x14ac:dyDescent="0.2">
      <c r="Y65274" s="97"/>
    </row>
    <row r="65275" spans="25:25" x14ac:dyDescent="0.2">
      <c r="Y65275" s="97"/>
    </row>
    <row r="65276" spans="25:25" x14ac:dyDescent="0.2">
      <c r="Y65276" s="97"/>
    </row>
    <row r="65277" spans="25:25" x14ac:dyDescent="0.2">
      <c r="Y65277" s="97"/>
    </row>
    <row r="65278" spans="25:25" x14ac:dyDescent="0.2">
      <c r="Y65278" s="97"/>
    </row>
    <row r="65279" spans="25:25" x14ac:dyDescent="0.2">
      <c r="Y65279" s="97"/>
    </row>
    <row r="65280" spans="25:25" x14ac:dyDescent="0.2">
      <c r="Y65280" s="97"/>
    </row>
    <row r="65281" spans="25:25" x14ac:dyDescent="0.2">
      <c r="Y65281" s="97"/>
    </row>
    <row r="65282" spans="25:25" x14ac:dyDescent="0.2">
      <c r="Y65282" s="97"/>
    </row>
    <row r="65283" spans="25:25" x14ac:dyDescent="0.2">
      <c r="Y65283" s="97"/>
    </row>
    <row r="65284" spans="25:25" x14ac:dyDescent="0.2">
      <c r="Y65284" s="97"/>
    </row>
    <row r="65285" spans="25:25" x14ac:dyDescent="0.2">
      <c r="Y65285" s="97"/>
    </row>
    <row r="65286" spans="25:25" x14ac:dyDescent="0.2">
      <c r="Y65286" s="97"/>
    </row>
    <row r="65287" spans="25:25" x14ac:dyDescent="0.2">
      <c r="Y65287" s="97"/>
    </row>
    <row r="65288" spans="25:25" x14ac:dyDescent="0.2">
      <c r="Y65288" s="97"/>
    </row>
    <row r="65289" spans="25:25" x14ac:dyDescent="0.2">
      <c r="Y65289" s="97"/>
    </row>
    <row r="65290" spans="25:25" x14ac:dyDescent="0.2">
      <c r="Y65290" s="97"/>
    </row>
    <row r="65291" spans="25:25" x14ac:dyDescent="0.2">
      <c r="Y65291" s="97"/>
    </row>
    <row r="65292" spans="25:25" x14ac:dyDescent="0.2">
      <c r="Y65292" s="97"/>
    </row>
    <row r="65293" spans="25:25" x14ac:dyDescent="0.2">
      <c r="Y65293" s="97"/>
    </row>
    <row r="65294" spans="25:25" x14ac:dyDescent="0.2">
      <c r="Y65294" s="97"/>
    </row>
    <row r="65295" spans="25:25" x14ac:dyDescent="0.2">
      <c r="Y65295" s="97"/>
    </row>
    <row r="65296" spans="25:25" x14ac:dyDescent="0.2">
      <c r="Y65296" s="97"/>
    </row>
    <row r="65297" spans="25:25" x14ac:dyDescent="0.2">
      <c r="Y65297" s="97"/>
    </row>
    <row r="65298" spans="25:25" x14ac:dyDescent="0.2">
      <c r="Y65298" s="97"/>
    </row>
    <row r="65299" spans="25:25" x14ac:dyDescent="0.2">
      <c r="Y65299" s="97"/>
    </row>
    <row r="65300" spans="25:25" x14ac:dyDescent="0.2">
      <c r="Y65300" s="97"/>
    </row>
    <row r="65301" spans="25:25" x14ac:dyDescent="0.2">
      <c r="Y65301" s="97"/>
    </row>
    <row r="65302" spans="25:25" x14ac:dyDescent="0.2">
      <c r="Y65302" s="97"/>
    </row>
    <row r="65303" spans="25:25" x14ac:dyDescent="0.2">
      <c r="Y65303" s="97"/>
    </row>
    <row r="65304" spans="25:25" x14ac:dyDescent="0.2">
      <c r="Y65304" s="97"/>
    </row>
    <row r="65305" spans="25:25" x14ac:dyDescent="0.2">
      <c r="Y65305" s="97"/>
    </row>
    <row r="65306" spans="25:25" x14ac:dyDescent="0.2">
      <c r="Y65306" s="97"/>
    </row>
    <row r="65307" spans="25:25" x14ac:dyDescent="0.2">
      <c r="Y65307" s="97"/>
    </row>
    <row r="65308" spans="25:25" x14ac:dyDescent="0.2">
      <c r="Y65308" s="97"/>
    </row>
    <row r="65309" spans="25:25" x14ac:dyDescent="0.2">
      <c r="Y65309" s="97"/>
    </row>
    <row r="65310" spans="25:25" x14ac:dyDescent="0.2">
      <c r="Y65310" s="97"/>
    </row>
    <row r="65311" spans="25:25" x14ac:dyDescent="0.2">
      <c r="Y65311" s="97"/>
    </row>
    <row r="65312" spans="25:25" x14ac:dyDescent="0.2">
      <c r="Y65312" s="97"/>
    </row>
    <row r="65313" spans="25:25" x14ac:dyDescent="0.2">
      <c r="Y65313" s="97"/>
    </row>
    <row r="65314" spans="25:25" x14ac:dyDescent="0.2">
      <c r="Y65314" s="97"/>
    </row>
    <row r="65315" spans="25:25" x14ac:dyDescent="0.2">
      <c r="Y65315" s="97"/>
    </row>
    <row r="65316" spans="25:25" x14ac:dyDescent="0.2">
      <c r="Y65316" s="97"/>
    </row>
    <row r="65317" spans="25:25" x14ac:dyDescent="0.2">
      <c r="Y65317" s="97"/>
    </row>
    <row r="65318" spans="25:25" x14ac:dyDescent="0.2">
      <c r="Y65318" s="97"/>
    </row>
    <row r="65319" spans="25:25" x14ac:dyDescent="0.2">
      <c r="Y65319" s="97"/>
    </row>
    <row r="65320" spans="25:25" x14ac:dyDescent="0.2">
      <c r="Y65320" s="97"/>
    </row>
    <row r="65321" spans="25:25" x14ac:dyDescent="0.2">
      <c r="Y65321" s="97"/>
    </row>
    <row r="65322" spans="25:25" x14ac:dyDescent="0.2">
      <c r="Y65322" s="97"/>
    </row>
    <row r="65323" spans="25:25" x14ac:dyDescent="0.2">
      <c r="Y65323" s="97"/>
    </row>
    <row r="65324" spans="25:25" x14ac:dyDescent="0.2">
      <c r="Y65324" s="97"/>
    </row>
    <row r="65325" spans="25:25" x14ac:dyDescent="0.2">
      <c r="Y65325" s="97"/>
    </row>
    <row r="65326" spans="25:25" x14ac:dyDescent="0.2">
      <c r="Y65326" s="97"/>
    </row>
    <row r="65327" spans="25:25" x14ac:dyDescent="0.2">
      <c r="Y65327" s="97"/>
    </row>
    <row r="65328" spans="25:25" x14ac:dyDescent="0.2">
      <c r="Y65328" s="97"/>
    </row>
    <row r="65329" spans="25:25" x14ac:dyDescent="0.2">
      <c r="Y65329" s="97"/>
    </row>
    <row r="65330" spans="25:25" x14ac:dyDescent="0.2">
      <c r="Y65330" s="97"/>
    </row>
    <row r="65331" spans="25:25" x14ac:dyDescent="0.2">
      <c r="Y65331" s="97"/>
    </row>
    <row r="65332" spans="25:25" x14ac:dyDescent="0.2">
      <c r="Y65332" s="97"/>
    </row>
    <row r="65333" spans="25:25" x14ac:dyDescent="0.2">
      <c r="Y65333" s="97"/>
    </row>
    <row r="65334" spans="25:25" x14ac:dyDescent="0.2">
      <c r="Y65334" s="97"/>
    </row>
    <row r="65335" spans="25:25" x14ac:dyDescent="0.2">
      <c r="Y65335" s="97"/>
    </row>
    <row r="65336" spans="25:25" x14ac:dyDescent="0.2">
      <c r="Y65336" s="97"/>
    </row>
    <row r="65337" spans="25:25" x14ac:dyDescent="0.2">
      <c r="Y65337" s="97"/>
    </row>
    <row r="65338" spans="25:25" x14ac:dyDescent="0.2">
      <c r="Y65338" s="97"/>
    </row>
    <row r="65339" spans="25:25" x14ac:dyDescent="0.2">
      <c r="Y65339" s="97"/>
    </row>
    <row r="65340" spans="25:25" x14ac:dyDescent="0.2">
      <c r="Y65340" s="97"/>
    </row>
    <row r="65341" spans="25:25" x14ac:dyDescent="0.2">
      <c r="Y65341" s="97"/>
    </row>
    <row r="65342" spans="25:25" x14ac:dyDescent="0.2">
      <c r="Y65342" s="97"/>
    </row>
    <row r="65343" spans="25:25" x14ac:dyDescent="0.2">
      <c r="Y65343" s="97"/>
    </row>
    <row r="65344" spans="25:25" x14ac:dyDescent="0.2">
      <c r="Y65344" s="97"/>
    </row>
    <row r="65345" spans="25:25" x14ac:dyDescent="0.2">
      <c r="Y65345" s="97"/>
    </row>
    <row r="65346" spans="25:25" x14ac:dyDescent="0.2">
      <c r="Y65346" s="97"/>
    </row>
    <row r="65347" spans="25:25" x14ac:dyDescent="0.2">
      <c r="Y65347" s="97"/>
    </row>
    <row r="65348" spans="25:25" x14ac:dyDescent="0.2">
      <c r="Y65348" s="97"/>
    </row>
    <row r="65349" spans="25:25" x14ac:dyDescent="0.2">
      <c r="Y65349" s="97"/>
    </row>
    <row r="65350" spans="25:25" x14ac:dyDescent="0.2">
      <c r="Y65350" s="97"/>
    </row>
    <row r="65351" spans="25:25" x14ac:dyDescent="0.2">
      <c r="Y65351" s="97"/>
    </row>
    <row r="65352" spans="25:25" x14ac:dyDescent="0.2">
      <c r="Y65352" s="97"/>
    </row>
    <row r="65353" spans="25:25" x14ac:dyDescent="0.2">
      <c r="Y65353" s="97"/>
    </row>
    <row r="65354" spans="25:25" x14ac:dyDescent="0.2">
      <c r="Y65354" s="97"/>
    </row>
    <row r="65355" spans="25:25" x14ac:dyDescent="0.2">
      <c r="Y65355" s="97"/>
    </row>
    <row r="65356" spans="25:25" x14ac:dyDescent="0.2">
      <c r="Y65356" s="97"/>
    </row>
    <row r="65357" spans="25:25" x14ac:dyDescent="0.2">
      <c r="Y65357" s="97"/>
    </row>
    <row r="65358" spans="25:25" x14ac:dyDescent="0.2">
      <c r="Y65358" s="97"/>
    </row>
    <row r="65359" spans="25:25" x14ac:dyDescent="0.2">
      <c r="Y65359" s="97"/>
    </row>
    <row r="65360" spans="25:25" x14ac:dyDescent="0.2">
      <c r="Y65360" s="97"/>
    </row>
    <row r="65361" spans="25:25" x14ac:dyDescent="0.2">
      <c r="Y65361" s="97"/>
    </row>
    <row r="65362" spans="25:25" x14ac:dyDescent="0.2">
      <c r="Y65362" s="97"/>
    </row>
    <row r="65363" spans="25:25" x14ac:dyDescent="0.2">
      <c r="Y65363" s="97"/>
    </row>
    <row r="65364" spans="25:25" x14ac:dyDescent="0.2">
      <c r="Y65364" s="97"/>
    </row>
    <row r="65365" spans="25:25" x14ac:dyDescent="0.2">
      <c r="Y65365" s="97"/>
    </row>
    <row r="65366" spans="25:25" x14ac:dyDescent="0.2">
      <c r="Y65366" s="97"/>
    </row>
    <row r="65367" spans="25:25" x14ac:dyDescent="0.2">
      <c r="Y65367" s="97"/>
    </row>
    <row r="65368" spans="25:25" x14ac:dyDescent="0.2">
      <c r="Y65368" s="97"/>
    </row>
    <row r="65369" spans="25:25" x14ac:dyDescent="0.2">
      <c r="Y65369" s="97"/>
    </row>
    <row r="65370" spans="25:25" x14ac:dyDescent="0.2">
      <c r="Y65370" s="97"/>
    </row>
    <row r="65371" spans="25:25" x14ac:dyDescent="0.2">
      <c r="Y65371" s="97"/>
    </row>
    <row r="65372" spans="25:25" x14ac:dyDescent="0.2">
      <c r="Y65372" s="97"/>
    </row>
    <row r="65373" spans="25:25" x14ac:dyDescent="0.2">
      <c r="Y65373" s="97"/>
    </row>
    <row r="65374" spans="25:25" x14ac:dyDescent="0.2">
      <c r="Y65374" s="97"/>
    </row>
    <row r="65375" spans="25:25" x14ac:dyDescent="0.2">
      <c r="Y65375" s="97"/>
    </row>
    <row r="65376" spans="25:25" x14ac:dyDescent="0.2">
      <c r="Y65376" s="97"/>
    </row>
    <row r="65377" spans="25:25" x14ac:dyDescent="0.2">
      <c r="Y65377" s="97"/>
    </row>
    <row r="65378" spans="25:25" x14ac:dyDescent="0.2">
      <c r="Y65378" s="97"/>
    </row>
    <row r="65379" spans="25:25" x14ac:dyDescent="0.2">
      <c r="Y65379" s="97"/>
    </row>
    <row r="65380" spans="25:25" x14ac:dyDescent="0.2">
      <c r="Y65380" s="97"/>
    </row>
    <row r="65381" spans="25:25" x14ac:dyDescent="0.2">
      <c r="Y65381" s="97"/>
    </row>
    <row r="65382" spans="25:25" x14ac:dyDescent="0.2">
      <c r="Y65382" s="97"/>
    </row>
    <row r="65383" spans="25:25" x14ac:dyDescent="0.2">
      <c r="Y65383" s="97"/>
    </row>
    <row r="65384" spans="25:25" x14ac:dyDescent="0.2">
      <c r="Y65384" s="97"/>
    </row>
    <row r="65385" spans="25:25" x14ac:dyDescent="0.2">
      <c r="Y65385" s="97"/>
    </row>
    <row r="65386" spans="25:25" x14ac:dyDescent="0.2">
      <c r="Y65386" s="97"/>
    </row>
    <row r="65387" spans="25:25" x14ac:dyDescent="0.2">
      <c r="Y65387" s="97"/>
    </row>
    <row r="65388" spans="25:25" x14ac:dyDescent="0.2">
      <c r="Y65388" s="97"/>
    </row>
    <row r="65389" spans="25:25" x14ac:dyDescent="0.2">
      <c r="Y65389" s="97"/>
    </row>
    <row r="65390" spans="25:25" x14ac:dyDescent="0.2">
      <c r="Y65390" s="97"/>
    </row>
    <row r="65391" spans="25:25" x14ac:dyDescent="0.2">
      <c r="Y65391" s="97"/>
    </row>
    <row r="65392" spans="25:25" x14ac:dyDescent="0.2">
      <c r="Y65392" s="97"/>
    </row>
    <row r="65393" spans="25:25" x14ac:dyDescent="0.2">
      <c r="Y65393" s="97"/>
    </row>
    <row r="65394" spans="25:25" x14ac:dyDescent="0.2">
      <c r="Y65394" s="97"/>
    </row>
    <row r="65395" spans="25:25" x14ac:dyDescent="0.2">
      <c r="Y65395" s="97"/>
    </row>
    <row r="65396" spans="25:25" x14ac:dyDescent="0.2">
      <c r="Y65396" s="97"/>
    </row>
    <row r="65397" spans="25:25" x14ac:dyDescent="0.2">
      <c r="Y65397" s="97"/>
    </row>
    <row r="65398" spans="25:25" x14ac:dyDescent="0.2">
      <c r="Y65398" s="97"/>
    </row>
    <row r="65399" spans="25:25" x14ac:dyDescent="0.2">
      <c r="Y65399" s="97"/>
    </row>
    <row r="65400" spans="25:25" x14ac:dyDescent="0.2">
      <c r="Y65400" s="97"/>
    </row>
    <row r="65401" spans="25:25" x14ac:dyDescent="0.2">
      <c r="Y65401" s="97"/>
    </row>
    <row r="65402" spans="25:25" x14ac:dyDescent="0.2">
      <c r="Y65402" s="97"/>
    </row>
    <row r="65403" spans="25:25" x14ac:dyDescent="0.2">
      <c r="Y65403" s="97"/>
    </row>
    <row r="65404" spans="25:25" x14ac:dyDescent="0.2">
      <c r="Y65404" s="97"/>
    </row>
    <row r="65405" spans="25:25" x14ac:dyDescent="0.2">
      <c r="Y65405" s="97"/>
    </row>
    <row r="65406" spans="25:25" x14ac:dyDescent="0.2">
      <c r="Y65406" s="97"/>
    </row>
    <row r="65407" spans="25:25" x14ac:dyDescent="0.2">
      <c r="Y65407" s="97"/>
    </row>
    <row r="65408" spans="25:25" x14ac:dyDescent="0.2">
      <c r="Y65408" s="97"/>
    </row>
    <row r="65409" spans="25:25" x14ac:dyDescent="0.2">
      <c r="Y65409" s="97"/>
    </row>
    <row r="65410" spans="25:25" x14ac:dyDescent="0.2">
      <c r="Y65410" s="97"/>
    </row>
    <row r="65411" spans="25:25" x14ac:dyDescent="0.2">
      <c r="Y65411" s="97"/>
    </row>
    <row r="65412" spans="25:25" x14ac:dyDescent="0.2">
      <c r="Y65412" s="97"/>
    </row>
    <row r="65413" spans="25:25" x14ac:dyDescent="0.2">
      <c r="Y65413" s="97"/>
    </row>
    <row r="65414" spans="25:25" x14ac:dyDescent="0.2">
      <c r="Y65414" s="97"/>
    </row>
    <row r="65415" spans="25:25" x14ac:dyDescent="0.2">
      <c r="Y65415" s="97"/>
    </row>
    <row r="65416" spans="25:25" x14ac:dyDescent="0.2">
      <c r="Y65416" s="97"/>
    </row>
    <row r="65417" spans="25:25" x14ac:dyDescent="0.2">
      <c r="Y65417" s="97"/>
    </row>
    <row r="65418" spans="25:25" x14ac:dyDescent="0.2">
      <c r="Y65418" s="97"/>
    </row>
    <row r="65419" spans="25:25" x14ac:dyDescent="0.2">
      <c r="Y65419" s="97"/>
    </row>
    <row r="65420" spans="25:25" x14ac:dyDescent="0.2">
      <c r="Y65420" s="97"/>
    </row>
    <row r="65421" spans="25:25" x14ac:dyDescent="0.2">
      <c r="Y65421" s="97"/>
    </row>
    <row r="65422" spans="25:25" x14ac:dyDescent="0.2">
      <c r="Y65422" s="97"/>
    </row>
    <row r="65423" spans="25:25" x14ac:dyDescent="0.2">
      <c r="Y65423" s="97"/>
    </row>
    <row r="65424" spans="25:25" x14ac:dyDescent="0.2">
      <c r="Y65424" s="97"/>
    </row>
    <row r="65425" spans="25:25" x14ac:dyDescent="0.2">
      <c r="Y65425" s="97"/>
    </row>
    <row r="65426" spans="25:25" x14ac:dyDescent="0.2">
      <c r="Y65426" s="97"/>
    </row>
    <row r="65427" spans="25:25" x14ac:dyDescent="0.2">
      <c r="Y65427" s="97"/>
    </row>
    <row r="65428" spans="25:25" x14ac:dyDescent="0.2">
      <c r="Y65428" s="97"/>
    </row>
    <row r="65429" spans="25:25" x14ac:dyDescent="0.2">
      <c r="Y65429" s="97"/>
    </row>
    <row r="65430" spans="25:25" x14ac:dyDescent="0.2">
      <c r="Y65430" s="97"/>
    </row>
    <row r="65431" spans="25:25" x14ac:dyDescent="0.2">
      <c r="Y65431" s="97"/>
    </row>
    <row r="65432" spans="25:25" x14ac:dyDescent="0.2">
      <c r="Y65432" s="97"/>
    </row>
    <row r="65433" spans="25:25" x14ac:dyDescent="0.2">
      <c r="Y65433" s="97"/>
    </row>
    <row r="65434" spans="25:25" x14ac:dyDescent="0.2">
      <c r="Y65434" s="97"/>
    </row>
    <row r="65435" spans="25:25" x14ac:dyDescent="0.2">
      <c r="Y65435" s="97"/>
    </row>
    <row r="65436" spans="25:25" x14ac:dyDescent="0.2">
      <c r="Y65436" s="97"/>
    </row>
    <row r="65437" spans="25:25" x14ac:dyDescent="0.2">
      <c r="Y65437" s="97"/>
    </row>
    <row r="65438" spans="25:25" x14ac:dyDescent="0.2">
      <c r="Y65438" s="97"/>
    </row>
    <row r="65439" spans="25:25" x14ac:dyDescent="0.2">
      <c r="Y65439" s="97"/>
    </row>
    <row r="65440" spans="25:25" x14ac:dyDescent="0.2">
      <c r="Y65440" s="97"/>
    </row>
    <row r="65441" spans="25:25" x14ac:dyDescent="0.2">
      <c r="Y65441" s="97"/>
    </row>
    <row r="65442" spans="25:25" x14ac:dyDescent="0.2">
      <c r="Y65442" s="97"/>
    </row>
    <row r="65443" spans="25:25" x14ac:dyDescent="0.2">
      <c r="Y65443" s="97"/>
    </row>
    <row r="65444" spans="25:25" x14ac:dyDescent="0.2">
      <c r="Y65444" s="97"/>
    </row>
    <row r="65445" spans="25:25" x14ac:dyDescent="0.2">
      <c r="Y65445" s="97"/>
    </row>
    <row r="65446" spans="25:25" x14ac:dyDescent="0.2">
      <c r="Y65446" s="97"/>
    </row>
    <row r="65447" spans="25:25" x14ac:dyDescent="0.2">
      <c r="Y65447" s="97"/>
    </row>
    <row r="65448" spans="25:25" x14ac:dyDescent="0.2">
      <c r="Y65448" s="97"/>
    </row>
    <row r="65449" spans="25:25" x14ac:dyDescent="0.2">
      <c r="Y65449" s="97"/>
    </row>
    <row r="65450" spans="25:25" x14ac:dyDescent="0.2">
      <c r="Y65450" s="97"/>
    </row>
    <row r="65451" spans="25:25" x14ac:dyDescent="0.2">
      <c r="Y65451" s="97"/>
    </row>
    <row r="65452" spans="25:25" x14ac:dyDescent="0.2">
      <c r="Y65452" s="97"/>
    </row>
    <row r="65453" spans="25:25" x14ac:dyDescent="0.2">
      <c r="Y65453" s="97"/>
    </row>
    <row r="65454" spans="25:25" x14ac:dyDescent="0.2">
      <c r="Y65454" s="97"/>
    </row>
    <row r="65455" spans="25:25" x14ac:dyDescent="0.2">
      <c r="Y65455" s="97"/>
    </row>
    <row r="65456" spans="25:25" x14ac:dyDescent="0.2">
      <c r="Y65456" s="97"/>
    </row>
    <row r="65457" spans="25:25" x14ac:dyDescent="0.2">
      <c r="Y65457" s="97"/>
    </row>
    <row r="65458" spans="25:25" x14ac:dyDescent="0.2">
      <c r="Y65458" s="97"/>
    </row>
    <row r="65459" spans="25:25" x14ac:dyDescent="0.2">
      <c r="Y65459" s="97"/>
    </row>
    <row r="65460" spans="25:25" x14ac:dyDescent="0.2">
      <c r="Y65460" s="97"/>
    </row>
    <row r="65461" spans="25:25" x14ac:dyDescent="0.2">
      <c r="Y65461" s="97"/>
    </row>
    <row r="65462" spans="25:25" x14ac:dyDescent="0.2">
      <c r="Y65462" s="97"/>
    </row>
    <row r="65463" spans="25:25" x14ac:dyDescent="0.2">
      <c r="Y65463" s="97"/>
    </row>
    <row r="65464" spans="25:25" x14ac:dyDescent="0.2">
      <c r="Y65464" s="97"/>
    </row>
    <row r="65465" spans="25:25" x14ac:dyDescent="0.2">
      <c r="Y65465" s="97"/>
    </row>
    <row r="65466" spans="25:25" x14ac:dyDescent="0.2">
      <c r="Y65466" s="97"/>
    </row>
    <row r="65467" spans="25:25" x14ac:dyDescent="0.2">
      <c r="Y65467" s="97"/>
    </row>
    <row r="65468" spans="25:25" x14ac:dyDescent="0.2">
      <c r="Y65468" s="97"/>
    </row>
    <row r="65469" spans="25:25" x14ac:dyDescent="0.2">
      <c r="Y65469" s="97"/>
    </row>
    <row r="65470" spans="25:25" x14ac:dyDescent="0.2">
      <c r="Y65470" s="97"/>
    </row>
    <row r="65471" spans="25:25" x14ac:dyDescent="0.2">
      <c r="Y65471" s="97"/>
    </row>
    <row r="65472" spans="25:25" x14ac:dyDescent="0.2">
      <c r="Y65472" s="97"/>
    </row>
    <row r="65473" spans="25:25" x14ac:dyDescent="0.2">
      <c r="Y65473" s="97"/>
    </row>
    <row r="65474" spans="25:25" x14ac:dyDescent="0.2">
      <c r="Y65474" s="97"/>
    </row>
    <row r="65475" spans="25:25" x14ac:dyDescent="0.2">
      <c r="Y65475" s="97"/>
    </row>
    <row r="65476" spans="25:25" x14ac:dyDescent="0.2">
      <c r="Y65476" s="97"/>
    </row>
    <row r="65477" spans="25:25" x14ac:dyDescent="0.2">
      <c r="Y65477" s="97"/>
    </row>
    <row r="65478" spans="25:25" x14ac:dyDescent="0.2">
      <c r="Y65478" s="97"/>
    </row>
    <row r="65479" spans="25:25" x14ac:dyDescent="0.2">
      <c r="Y65479" s="97"/>
    </row>
    <row r="65480" spans="25:25" x14ac:dyDescent="0.2">
      <c r="Y65480" s="97"/>
    </row>
    <row r="65481" spans="25:25" x14ac:dyDescent="0.2">
      <c r="Y65481" s="97"/>
    </row>
    <row r="65482" spans="25:25" x14ac:dyDescent="0.2">
      <c r="Y65482" s="97"/>
    </row>
    <row r="65483" spans="25:25" x14ac:dyDescent="0.2">
      <c r="Y65483" s="97"/>
    </row>
    <row r="65484" spans="25:25" x14ac:dyDescent="0.2">
      <c r="Y65484" s="97"/>
    </row>
    <row r="65485" spans="25:25" x14ac:dyDescent="0.2">
      <c r="Y65485" s="97"/>
    </row>
    <row r="65486" spans="25:25" x14ac:dyDescent="0.2">
      <c r="Y65486" s="97"/>
    </row>
    <row r="65487" spans="25:25" x14ac:dyDescent="0.2">
      <c r="Y65487" s="97"/>
    </row>
    <row r="65488" spans="25:25" x14ac:dyDescent="0.2">
      <c r="Y65488" s="97"/>
    </row>
    <row r="65489" spans="25:25" x14ac:dyDescent="0.2">
      <c r="Y65489" s="97"/>
    </row>
    <row r="65490" spans="25:25" x14ac:dyDescent="0.2">
      <c r="Y65490" s="97"/>
    </row>
    <row r="65491" spans="25:25" x14ac:dyDescent="0.2">
      <c r="Y65491" s="97"/>
    </row>
    <row r="65492" spans="25:25" x14ac:dyDescent="0.2">
      <c r="Y65492" s="97"/>
    </row>
    <row r="65493" spans="25:25" x14ac:dyDescent="0.2">
      <c r="Y65493" s="97"/>
    </row>
    <row r="65494" spans="25:25" x14ac:dyDescent="0.2">
      <c r="Y65494" s="97"/>
    </row>
    <row r="65495" spans="25:25" x14ac:dyDescent="0.2">
      <c r="Y65495" s="97"/>
    </row>
    <row r="65496" spans="25:25" x14ac:dyDescent="0.2">
      <c r="Y65496" s="97"/>
    </row>
    <row r="65497" spans="25:25" x14ac:dyDescent="0.2">
      <c r="Y65497" s="97"/>
    </row>
    <row r="65498" spans="25:25" x14ac:dyDescent="0.2">
      <c r="Y65498" s="97"/>
    </row>
    <row r="65499" spans="25:25" x14ac:dyDescent="0.2">
      <c r="Y65499" s="97"/>
    </row>
    <row r="65500" spans="25:25" x14ac:dyDescent="0.2">
      <c r="Y65500" s="97"/>
    </row>
    <row r="65501" spans="25:25" x14ac:dyDescent="0.2">
      <c r="Y65501" s="97"/>
    </row>
    <row r="65502" spans="25:25" x14ac:dyDescent="0.2">
      <c r="Y65502" s="97"/>
    </row>
    <row r="65503" spans="25:25" x14ac:dyDescent="0.2">
      <c r="Y65503" s="97"/>
    </row>
    <row r="65504" spans="25:25" x14ac:dyDescent="0.2">
      <c r="Y65504" s="97"/>
    </row>
    <row r="65505" spans="25:25" x14ac:dyDescent="0.2">
      <c r="Y65505" s="97"/>
    </row>
    <row r="65506" spans="25:25" x14ac:dyDescent="0.2">
      <c r="Y65506" s="97"/>
    </row>
    <row r="65507" spans="25:25" x14ac:dyDescent="0.2">
      <c r="Y65507" s="97"/>
    </row>
    <row r="65508" spans="25:25" x14ac:dyDescent="0.2">
      <c r="Y65508" s="97"/>
    </row>
    <row r="65509" spans="25:25" x14ac:dyDescent="0.2">
      <c r="Y65509" s="97"/>
    </row>
    <row r="65510" spans="25:25" x14ac:dyDescent="0.2">
      <c r="Y65510" s="97"/>
    </row>
    <row r="65511" spans="25:25" x14ac:dyDescent="0.2">
      <c r="Y65511" s="97"/>
    </row>
    <row r="65512" spans="25:25" x14ac:dyDescent="0.2">
      <c r="Y65512" s="97"/>
    </row>
    <row r="65513" spans="25:25" x14ac:dyDescent="0.2">
      <c r="Y65513" s="97"/>
    </row>
    <row r="65514" spans="25:25" x14ac:dyDescent="0.2">
      <c r="Y65514" s="97"/>
    </row>
    <row r="65515" spans="25:25" x14ac:dyDescent="0.2">
      <c r="Y65515" s="97"/>
    </row>
    <row r="65516" spans="25:25" x14ac:dyDescent="0.2">
      <c r="Y65516" s="97"/>
    </row>
    <row r="65517" spans="25:25" x14ac:dyDescent="0.2">
      <c r="Y65517" s="97"/>
    </row>
    <row r="65518" spans="25:25" x14ac:dyDescent="0.2">
      <c r="Y65518" s="97"/>
    </row>
    <row r="65519" spans="25:25" x14ac:dyDescent="0.2">
      <c r="Y65519" s="97"/>
    </row>
    <row r="65520" spans="25:25" x14ac:dyDescent="0.2">
      <c r="Y65520" s="97"/>
    </row>
    <row r="65521" spans="25:25" x14ac:dyDescent="0.2">
      <c r="Y65521" s="97"/>
    </row>
    <row r="65522" spans="25:25" x14ac:dyDescent="0.2">
      <c r="Y65522" s="97"/>
    </row>
    <row r="65523" spans="25:25" x14ac:dyDescent="0.2">
      <c r="Y65523" s="97"/>
    </row>
    <row r="65524" spans="25:25" x14ac:dyDescent="0.2">
      <c r="Y65524" s="97"/>
    </row>
    <row r="65525" spans="25:25" x14ac:dyDescent="0.2">
      <c r="Y65525" s="97"/>
    </row>
    <row r="65526" spans="25:25" x14ac:dyDescent="0.2">
      <c r="Y65526" s="97"/>
    </row>
    <row r="65527" spans="25:25" x14ac:dyDescent="0.2">
      <c r="Y65527" s="97"/>
    </row>
    <row r="65528" spans="25:25" x14ac:dyDescent="0.2">
      <c r="Y65528" s="97"/>
    </row>
    <row r="65529" spans="25:25" x14ac:dyDescent="0.2">
      <c r="Y65529" s="97"/>
    </row>
    <row r="65530" spans="25:25" x14ac:dyDescent="0.2">
      <c r="Y65530" s="97"/>
    </row>
    <row r="65531" spans="25:25" x14ac:dyDescent="0.2">
      <c r="Y65531" s="97"/>
    </row>
    <row r="65532" spans="25:25" x14ac:dyDescent="0.2">
      <c r="Y65532" s="97"/>
    </row>
    <row r="65533" spans="25:25" x14ac:dyDescent="0.2">
      <c r="Y65533" s="97"/>
    </row>
    <row r="65534" spans="25:25" x14ac:dyDescent="0.2">
      <c r="Y65534" s="97"/>
    </row>
    <row r="65535" spans="25:25" x14ac:dyDescent="0.2">
      <c r="Y65535" s="97"/>
    </row>
    <row r="65536" spans="25:25" x14ac:dyDescent="0.2">
      <c r="Y65536" s="97"/>
    </row>
  </sheetData>
  <protectedRanges>
    <protectedRange sqref="K4:K9" name="Range2_15_2_1_2"/>
    <protectedRange sqref="I307:I309 I475:I477 I481:I483 I487:I489 I493:I495 I499:I501 I505:I507 I511:I513 I517:I519 I523:I525 I529:I531 I535:I537 I541:I543 I547:I549 I553:I555 I559:I561 I565:I567 I571:I573 I577:I579 I583:I585 I589:I591 I595:I597 I601:I603 I607:I609 I613:I615 I619:I621 I625:I627 I631:I633 I637:I639 I643:I645 I649:I651 I655:I657 I661:I663 I667:I669 I673:I675 I691:I693 I697:I699 I703:I705 I709:I711 I715:I717 I721:I723 I727:I729 I733:I735 I739:I741 I745:I747 I751:I753 I397:I473 I769:I771 I775:I777 I781:I783 I787:I789 I793:I795 I799:I801 I805:I807 I811:I813 I817:I819 I823:I825 I829:I831 I835:I837 I841:I843 I847:I849 I853:I855 I859:I861 I865:I867 I871:I873 I877:I879 I883:I885 I889:I891 I895:I897 I901:I903 I907:I909 I913:I915 I919:I921 I925:I927 I931:I933 I937:I939 I943:I945 I949:I951 I955:I957 I961:I963 I967:I969 I973:I975 I979:I981 I985:I987 I991:I993 I997:I999 I757:I759 I1015:I1017 I1021:I1023 I1027:I1029 I1033:I1035 I1039:I1041 I1045:I1047 I1051:I1053 I1057:I1059 I1063:I1065 I1069:I1071 I1075:I1077 I1081:I1083 I1087:I1089 I1093:I1095 I1099:I1101 I1105:I1107 I317:I387 I1123:I1125 I1129:I1131 I1135:I1137 I1141:I1143 I1147:I1149 I1153:I1155 I1159:I1161 I1165:I1167 I1171:I1173 I1177:I1179 I1183:I1185 I1189:I1191 I1195:I1197 I1201:I1203 I1267:I1269 I1207:I1209 I1213:I1215 I1219:I1221 I1225:I1227 I1231:I1233 I1237:I1239 I1243:I1245 I1249:I1251 I1255:I1258 I1261:I1263 I1003:I1005 I311:I315 I679:I681 I4:I213 I1111:I1119 I220:I243 I244:I305" name="Range2_15_2_1"/>
    <protectedRange sqref="I1009:I1011 I763:I765" name="Range2_15_2_1_1_1"/>
    <protectedRange sqref="I685:I687" name="Range2_15_1"/>
  </protectedRanges>
  <mergeCells count="6">
    <mergeCell ref="A52:A53"/>
    <mergeCell ref="A214:A215"/>
    <mergeCell ref="A1216:A1217"/>
    <mergeCell ref="A508:A509"/>
    <mergeCell ref="A922:A923"/>
    <mergeCell ref="A1180:A1181"/>
  </mergeCells>
  <phoneticPr fontId="0" type="noConversion"/>
  <printOptions horizontalCentered="1"/>
  <pageMargins left="0.35433070866141736" right="0.23622047244094491" top="0.35433070866141736" bottom="0.31496062992125984" header="0.35433070866141736" footer="0.35433070866141736"/>
  <pageSetup paperSize="9" scale="46" firstPageNumber="116" fitToHeight="19" orientation="landscape" useFirstPageNumber="1" verticalDpi="1200" r:id="rId1"/>
  <headerFooter alignWithMargins="0">
    <oddFooter>&amp;C&amp;16&amp;P</oddFooter>
  </headerFooter>
  <rowBreaks count="19" manualBreakCount="19">
    <brk id="69" max="23" man="1"/>
    <brk id="135" max="23" man="1"/>
    <brk id="201" max="23" man="1"/>
    <brk id="267" max="23" man="1"/>
    <brk id="333" max="23" man="1"/>
    <brk id="399" max="23" man="1"/>
    <brk id="465" max="23" man="1"/>
    <brk id="531" max="23" man="1"/>
    <brk id="597" max="23" man="1"/>
    <brk id="663" max="23" man="1"/>
    <brk id="729" max="23" man="1"/>
    <brk id="795" max="23" man="1"/>
    <brk id="861" max="23" man="1"/>
    <brk id="927" max="23" man="1"/>
    <brk id="993" max="23" man="1"/>
    <brk id="1059" max="23" man="1"/>
    <brk id="1125" max="23" man="1"/>
    <brk id="1191" max="23" man="1"/>
    <brk id="1257" max="2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80"/>
  <sheetViews>
    <sheetView topLeftCell="A8" zoomScale="110" zoomScaleNormal="110" workbookViewId="0">
      <selection activeCell="B16" sqref="A1:B16"/>
    </sheetView>
  </sheetViews>
  <sheetFormatPr defaultRowHeight="12.75" x14ac:dyDescent="0.2"/>
  <cols>
    <col min="1" max="1" width="12.140625" style="232" customWidth="1"/>
    <col min="2" max="2" width="90.7109375" style="3" customWidth="1"/>
    <col min="20" max="20" width="9.140625" style="310"/>
  </cols>
  <sheetData>
    <row r="1" spans="1:15" x14ac:dyDescent="0.2">
      <c r="A1" s="485" t="s">
        <v>15</v>
      </c>
      <c r="B1" s="19"/>
    </row>
    <row r="2" spans="1:15" x14ac:dyDescent="0.2">
      <c r="A2" s="233"/>
      <c r="B2" s="19"/>
      <c r="O2" s="246"/>
    </row>
    <row r="3" spans="1:15" ht="56.25" customHeight="1" x14ac:dyDescent="0.2">
      <c r="A3" s="486" t="s">
        <v>95</v>
      </c>
      <c r="B3" s="486" t="s">
        <v>415</v>
      </c>
      <c r="O3" s="246"/>
    </row>
    <row r="4" spans="1:15" ht="33" customHeight="1" x14ac:dyDescent="0.2">
      <c r="A4" s="486" t="s">
        <v>85</v>
      </c>
      <c r="B4" s="486" t="s">
        <v>40</v>
      </c>
    </row>
    <row r="5" spans="1:15" ht="96.75" customHeight="1" x14ac:dyDescent="0.2">
      <c r="A5" s="486" t="s">
        <v>295</v>
      </c>
      <c r="B5" s="359" t="s">
        <v>677</v>
      </c>
      <c r="C5" s="258"/>
    </row>
    <row r="6" spans="1:15" ht="30.75" customHeight="1" x14ac:dyDescent="0.2">
      <c r="A6" s="486" t="s">
        <v>32</v>
      </c>
      <c r="B6" s="486" t="s">
        <v>16</v>
      </c>
    </row>
    <row r="7" spans="1:15" ht="43.5" customHeight="1" x14ac:dyDescent="0.2">
      <c r="A7" s="486" t="s">
        <v>604</v>
      </c>
      <c r="B7" s="487" t="s">
        <v>430</v>
      </c>
    </row>
    <row r="8" spans="1:15" ht="30" customHeight="1" x14ac:dyDescent="0.2">
      <c r="A8" s="486" t="s">
        <v>49</v>
      </c>
      <c r="B8" s="486" t="s">
        <v>476</v>
      </c>
    </row>
    <row r="9" spans="1:15" ht="18" customHeight="1" x14ac:dyDescent="0.2">
      <c r="A9" s="486" t="s">
        <v>640</v>
      </c>
      <c r="B9" s="486" t="s">
        <v>0</v>
      </c>
    </row>
    <row r="10" spans="1:15" ht="18" customHeight="1" x14ac:dyDescent="0.2">
      <c r="A10" s="486" t="s">
        <v>728</v>
      </c>
      <c r="B10" s="486" t="s">
        <v>462</v>
      </c>
    </row>
    <row r="11" spans="1:15" ht="30.75" customHeight="1" x14ac:dyDescent="0.2">
      <c r="A11" s="486" t="s">
        <v>729</v>
      </c>
      <c r="B11" s="486" t="s">
        <v>443</v>
      </c>
    </row>
    <row r="12" spans="1:15" ht="58.5" customHeight="1" x14ac:dyDescent="0.2">
      <c r="A12" s="488" t="s">
        <v>730</v>
      </c>
      <c r="B12" s="486" t="s">
        <v>683</v>
      </c>
    </row>
    <row r="13" spans="1:15" ht="18" customHeight="1" x14ac:dyDescent="0.2">
      <c r="A13" s="486" t="s">
        <v>731</v>
      </c>
      <c r="B13" s="486" t="s">
        <v>470</v>
      </c>
    </row>
    <row r="14" spans="1:15" ht="30.75" customHeight="1" x14ac:dyDescent="0.2">
      <c r="A14" s="233" t="s">
        <v>732</v>
      </c>
      <c r="B14" s="359" t="s">
        <v>713</v>
      </c>
    </row>
    <row r="15" spans="1:15" ht="30.75" customHeight="1" x14ac:dyDescent="0.2">
      <c r="A15" s="486" t="s">
        <v>717</v>
      </c>
      <c r="B15" s="486" t="s">
        <v>17</v>
      </c>
    </row>
    <row r="16" spans="1:15" ht="30.75" customHeight="1" x14ac:dyDescent="0.2">
      <c r="A16" s="486" t="s">
        <v>680</v>
      </c>
      <c r="B16" s="486" t="s">
        <v>723</v>
      </c>
    </row>
    <row r="23" spans="1:3" ht="51" hidden="1" x14ac:dyDescent="0.2">
      <c r="A23" s="241" t="s">
        <v>25</v>
      </c>
      <c r="B23" s="247" t="s">
        <v>451</v>
      </c>
      <c r="C23" s="318" t="s">
        <v>502</v>
      </c>
    </row>
    <row r="106" spans="20:25" x14ac:dyDescent="0.2">
      <c r="T106" s="310">
        <v>0</v>
      </c>
      <c r="Y106">
        <f>+ROUNDUP(T106,0)</f>
        <v>0</v>
      </c>
    </row>
    <row r="107" spans="20:25" x14ac:dyDescent="0.2">
      <c r="T107" s="310">
        <v>0</v>
      </c>
      <c r="Y107">
        <f>+ROUNDUP(T107,0)</f>
        <v>0</v>
      </c>
    </row>
    <row r="245" spans="20:25" x14ac:dyDescent="0.2">
      <c r="T245" s="310">
        <v>0</v>
      </c>
      <c r="Y245">
        <f>+ROUNDDOWN(T245,0)</f>
        <v>0</v>
      </c>
    </row>
    <row r="322" spans="20:25" x14ac:dyDescent="0.2">
      <c r="T322" s="310">
        <v>0</v>
      </c>
      <c r="Y322">
        <f>+ROUNDUP(T322,0)</f>
        <v>0</v>
      </c>
    </row>
    <row r="323" spans="20:25" x14ac:dyDescent="0.2">
      <c r="T323" s="310">
        <v>0</v>
      </c>
      <c r="Y323">
        <f>+ROUNDUP(T323,0)</f>
        <v>0</v>
      </c>
    </row>
    <row r="371" spans="15:15" x14ac:dyDescent="0.2">
      <c r="O371">
        <v>20</v>
      </c>
    </row>
    <row r="449" spans="15:15" x14ac:dyDescent="0.2">
      <c r="O449">
        <v>34332</v>
      </c>
    </row>
    <row r="533" spans="15:15" x14ac:dyDescent="0.2">
      <c r="O533">
        <v>15000</v>
      </c>
    </row>
    <row r="556" spans="20:25" x14ac:dyDescent="0.2">
      <c r="T556" s="310">
        <v>0</v>
      </c>
      <c r="Y556">
        <f>+ROUNDUP(T556,0)</f>
        <v>0</v>
      </c>
    </row>
    <row r="557" spans="20:25" x14ac:dyDescent="0.2">
      <c r="T557" s="310">
        <v>0</v>
      </c>
      <c r="Y557">
        <f>+ROUNDUP(T557,0)</f>
        <v>0</v>
      </c>
    </row>
    <row r="562" spans="20:25" x14ac:dyDescent="0.2">
      <c r="T562" s="310">
        <v>0</v>
      </c>
      <c r="Y562">
        <f>+ROUNDUP(T562,0)</f>
        <v>0</v>
      </c>
    </row>
    <row r="563" spans="20:25" x14ac:dyDescent="0.2">
      <c r="T563" s="310">
        <v>0</v>
      </c>
      <c r="Y563">
        <f>+ROUNDUP(T563,0)</f>
        <v>0</v>
      </c>
    </row>
    <row r="599" spans="15:15" x14ac:dyDescent="0.2">
      <c r="O599">
        <v>104</v>
      </c>
    </row>
    <row r="809" spans="20:25" x14ac:dyDescent="0.2">
      <c r="T809" s="310">
        <v>0</v>
      </c>
      <c r="Y809">
        <f>+ROUNDDOWN(T809,0)</f>
        <v>0</v>
      </c>
    </row>
    <row r="839" spans="15:15" x14ac:dyDescent="0.2">
      <c r="O839">
        <v>100</v>
      </c>
    </row>
    <row r="856" spans="20:25" x14ac:dyDescent="0.2">
      <c r="T856" s="310">
        <v>0</v>
      </c>
      <c r="Y856">
        <f>+ROUNDUP(T856,0)</f>
        <v>0</v>
      </c>
    </row>
    <row r="857" spans="20:25" x14ac:dyDescent="0.2">
      <c r="T857" s="310">
        <v>0</v>
      </c>
      <c r="Y857">
        <f>+ROUNDUP(T857,0)</f>
        <v>0</v>
      </c>
    </row>
    <row r="862" spans="20:25" x14ac:dyDescent="0.2">
      <c r="T862" s="310">
        <v>0</v>
      </c>
      <c r="Y862">
        <f>+ROUNDUP(T862,0)</f>
        <v>0</v>
      </c>
    </row>
    <row r="863" spans="20:25" x14ac:dyDescent="0.2">
      <c r="T863" s="310">
        <v>0</v>
      </c>
      <c r="Y863">
        <f>+ROUNDUP(T863,0)</f>
        <v>0</v>
      </c>
    </row>
    <row r="935" spans="20:27" x14ac:dyDescent="0.2">
      <c r="T935" s="310">
        <v>0</v>
      </c>
      <c r="Y935">
        <f>+ROUNDDOWN(T935,0)</f>
        <v>0</v>
      </c>
    </row>
    <row r="936" spans="20:27" x14ac:dyDescent="0.2">
      <c r="T936" s="310">
        <v>0</v>
      </c>
      <c r="Y936">
        <f>+ROUNDUP(T936,0)</f>
        <v>0</v>
      </c>
      <c r="AA936" t="s">
        <v>488</v>
      </c>
    </row>
    <row r="1008" spans="27:27" x14ac:dyDescent="0.2">
      <c r="AA1008" t="s">
        <v>488</v>
      </c>
    </row>
    <row r="1109" spans="20:25" x14ac:dyDescent="0.2">
      <c r="T1109" s="310">
        <v>0</v>
      </c>
      <c r="Y1109">
        <f>+ROUNDDOWN(T1109,0)</f>
        <v>0</v>
      </c>
    </row>
    <row r="1280" spans="27:27" x14ac:dyDescent="0.2">
      <c r="AA1280">
        <f>+Y1284-458</f>
        <v>-458</v>
      </c>
    </row>
  </sheetData>
  <phoneticPr fontId="0" type="noConversion"/>
  <pageMargins left="0.74803149606299213" right="0.74803149606299213" top="0.70866141732283472" bottom="0.98425196850393704" header="0.51181102362204722" footer="0.51181102362204722"/>
  <pageSetup paperSize="9" scale="75" firstPageNumber="136" orientation="portrait" useFirstPageNumber="1" r:id="rId1"/>
  <headerFooter alignWithMargins="0">
    <oddFooter>&amp;C&amp;12&amp;P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
  <sheetViews>
    <sheetView zoomScale="98" zoomScaleNormal="98" workbookViewId="0">
      <pane xSplit="1" ySplit="6" topLeftCell="B7" activePane="bottomRight" state="frozen"/>
      <selection pane="topRight" activeCell="B1" sqref="B1"/>
      <selection pane="bottomLeft" activeCell="A7" sqref="A7"/>
      <selection pane="bottomRight" activeCell="A11" sqref="A11"/>
    </sheetView>
  </sheetViews>
  <sheetFormatPr defaultRowHeight="12.75" x14ac:dyDescent="0.2"/>
  <cols>
    <col min="1" max="1" width="17.7109375" style="3" customWidth="1"/>
    <col min="2" max="2" width="9.140625" style="3"/>
    <col min="3" max="3" width="10.5703125" style="3" customWidth="1"/>
    <col min="4" max="5" width="9.7109375" style="3" customWidth="1"/>
    <col min="6" max="6" width="11.85546875" style="3" customWidth="1"/>
    <col min="7" max="7" width="3.85546875" style="3" customWidth="1"/>
    <col min="8" max="8" width="15.85546875" style="3" customWidth="1"/>
    <col min="9" max="9" width="20" style="3" customWidth="1"/>
    <col min="10" max="10" width="4.140625" style="234" bestFit="1" customWidth="1"/>
    <col min="11" max="11" width="29" style="3" customWidth="1"/>
    <col min="12" max="16384" width="9.140625" style="3"/>
  </cols>
  <sheetData>
    <row r="1" spans="1:12" ht="36.75" customHeight="1" x14ac:dyDescent="0.3">
      <c r="A1" s="489" t="s">
        <v>417</v>
      </c>
      <c r="B1" s="490"/>
      <c r="C1" s="490"/>
      <c r="D1" s="490"/>
      <c r="E1" s="490"/>
      <c r="F1" s="490"/>
      <c r="G1" s="490"/>
      <c r="H1" s="490"/>
      <c r="I1" s="490"/>
      <c r="J1" s="363"/>
    </row>
    <row r="2" spans="1:12" ht="16.5" thickBot="1" x14ac:dyDescent="0.25">
      <c r="A2" s="491"/>
      <c r="B2" s="491"/>
      <c r="C2" s="491"/>
      <c r="D2" s="491"/>
      <c r="E2" s="491"/>
      <c r="F2" s="491"/>
      <c r="G2" s="491"/>
      <c r="H2" s="491"/>
      <c r="I2" s="491"/>
      <c r="J2" s="492"/>
    </row>
    <row r="3" spans="1:12" ht="16.5" customHeight="1" thickTop="1" x14ac:dyDescent="0.2">
      <c r="A3" s="493"/>
      <c r="B3" s="742" t="s">
        <v>345</v>
      </c>
      <c r="C3" s="743"/>
      <c r="D3" s="743"/>
      <c r="E3" s="743"/>
      <c r="F3" s="744"/>
      <c r="G3" s="737"/>
      <c r="H3" s="742" t="s">
        <v>463</v>
      </c>
      <c r="I3" s="748"/>
      <c r="J3" s="749"/>
    </row>
    <row r="4" spans="1:12" ht="15.75" customHeight="1" x14ac:dyDescent="0.2">
      <c r="A4" s="494"/>
      <c r="B4" s="745"/>
      <c r="C4" s="746"/>
      <c r="D4" s="746"/>
      <c r="E4" s="746"/>
      <c r="F4" s="747"/>
      <c r="G4" s="738"/>
      <c r="H4" s="750"/>
      <c r="I4" s="751"/>
      <c r="J4" s="752"/>
    </row>
    <row r="5" spans="1:12" ht="15.75" customHeight="1" x14ac:dyDescent="0.25">
      <c r="A5" s="495"/>
      <c r="B5" s="740" t="s">
        <v>346</v>
      </c>
      <c r="C5" s="741"/>
      <c r="D5" s="735" t="s">
        <v>347</v>
      </c>
      <c r="E5" s="736"/>
      <c r="F5" s="496" t="s">
        <v>418</v>
      </c>
      <c r="G5" s="738"/>
      <c r="H5" s="750"/>
      <c r="I5" s="751"/>
      <c r="J5" s="752"/>
    </row>
    <row r="6" spans="1:12" ht="16.5" thickBot="1" x14ac:dyDescent="0.25">
      <c r="A6" s="497"/>
      <c r="B6" s="498">
        <v>2008</v>
      </c>
      <c r="C6" s="498">
        <v>2009</v>
      </c>
      <c r="D6" s="498">
        <v>2008</v>
      </c>
      <c r="E6" s="498">
        <v>2009</v>
      </c>
      <c r="F6" s="498">
        <v>2010</v>
      </c>
      <c r="G6" s="739"/>
      <c r="H6" s="499">
        <v>2008</v>
      </c>
      <c r="I6" s="753">
        <v>2009</v>
      </c>
      <c r="J6" s="754"/>
    </row>
    <row r="7" spans="1:12" ht="23.25" customHeight="1" thickTop="1" x14ac:dyDescent="0.25">
      <c r="A7" s="500" t="s">
        <v>84</v>
      </c>
      <c r="B7" s="501">
        <v>61.4</v>
      </c>
      <c r="C7" s="502">
        <v>71.900000000000006</v>
      </c>
      <c r="D7" s="502">
        <v>74.8</v>
      </c>
      <c r="E7" s="503">
        <v>74</v>
      </c>
      <c r="F7" s="504">
        <v>59.6</v>
      </c>
      <c r="G7" s="505"/>
      <c r="H7" s="506">
        <v>817843007</v>
      </c>
      <c r="I7" s="507">
        <v>835141328</v>
      </c>
      <c r="J7" s="508"/>
      <c r="L7" s="56"/>
    </row>
    <row r="8" spans="1:12" ht="23.25" customHeight="1" x14ac:dyDescent="0.25">
      <c r="A8" s="516" t="s">
        <v>41</v>
      </c>
      <c r="B8" s="517">
        <v>53.3</v>
      </c>
      <c r="C8" s="518">
        <v>57.5</v>
      </c>
      <c r="D8" s="518">
        <v>76.5</v>
      </c>
      <c r="E8" s="518">
        <v>57.7</v>
      </c>
      <c r="F8" s="519">
        <v>63.6</v>
      </c>
      <c r="G8" s="520"/>
      <c r="H8" s="521">
        <v>51646278</v>
      </c>
      <c r="I8" s="522">
        <v>60390410</v>
      </c>
      <c r="J8" s="523"/>
    </row>
    <row r="9" spans="1:12" ht="23.25" customHeight="1" x14ac:dyDescent="0.25">
      <c r="A9" s="235" t="s">
        <v>87</v>
      </c>
      <c r="B9" s="515">
        <v>44.76</v>
      </c>
      <c r="C9" s="509">
        <v>59.34</v>
      </c>
      <c r="D9" s="509">
        <v>70.28</v>
      </c>
      <c r="E9" s="509">
        <v>70.88</v>
      </c>
      <c r="F9" s="510">
        <v>37.83</v>
      </c>
      <c r="G9" s="511"/>
      <c r="H9" s="512">
        <v>237474466.18320003</v>
      </c>
      <c r="I9" s="513">
        <v>183030646.53479999</v>
      </c>
      <c r="J9" s="514"/>
      <c r="L9" s="15"/>
    </row>
    <row r="10" spans="1:12" ht="23.25" customHeight="1" x14ac:dyDescent="0.25">
      <c r="A10" s="516" t="s">
        <v>687</v>
      </c>
      <c r="B10" s="517">
        <v>47.5</v>
      </c>
      <c r="C10" s="518">
        <v>62.8</v>
      </c>
      <c r="D10" s="518">
        <v>69.099999999999994</v>
      </c>
      <c r="E10" s="518">
        <v>71.599999999999994</v>
      </c>
      <c r="F10" s="519">
        <v>35</v>
      </c>
      <c r="G10" s="520"/>
      <c r="H10" s="521">
        <f>102228686/0.718</f>
        <v>142379785.51532033</v>
      </c>
      <c r="I10" s="522">
        <f>90790806/0.688</f>
        <v>131963380.8139535</v>
      </c>
      <c r="J10" s="523"/>
    </row>
    <row r="11" spans="1:12" ht="23.25" customHeight="1" x14ac:dyDescent="0.25">
      <c r="A11" s="235" t="s">
        <v>89</v>
      </c>
      <c r="B11" s="515">
        <v>58.6</v>
      </c>
      <c r="C11" s="509">
        <v>57.7</v>
      </c>
      <c r="D11" s="509">
        <v>65.5</v>
      </c>
      <c r="E11" s="509">
        <v>66.3</v>
      </c>
      <c r="F11" s="510">
        <v>51.5</v>
      </c>
      <c r="G11" s="511"/>
      <c r="H11" s="512">
        <v>29265708.597210802</v>
      </c>
      <c r="I11" s="513">
        <v>34626650.289017342</v>
      </c>
      <c r="J11" s="514"/>
    </row>
    <row r="12" spans="1:12" ht="23.25" customHeight="1" x14ac:dyDescent="0.25">
      <c r="A12" s="516" t="s">
        <v>740</v>
      </c>
      <c r="B12" s="517">
        <v>38.86</v>
      </c>
      <c r="C12" s="518">
        <v>49.6</v>
      </c>
      <c r="D12" s="518">
        <v>47.78</v>
      </c>
      <c r="E12" s="518">
        <v>49.73</v>
      </c>
      <c r="F12" s="519">
        <v>59.57</v>
      </c>
      <c r="G12" s="520"/>
      <c r="H12" s="521">
        <v>263597982.21000001</v>
      </c>
      <c r="I12" s="522">
        <v>362731255.16000003</v>
      </c>
      <c r="J12" s="523"/>
      <c r="K12" s="57"/>
    </row>
    <row r="13" spans="1:12" ht="23.25" customHeight="1" x14ac:dyDescent="0.25">
      <c r="A13" s="235" t="s">
        <v>86</v>
      </c>
      <c r="B13" s="515">
        <f>223454145/394669749*100</f>
        <v>56.618006717307331</v>
      </c>
      <c r="C13" s="509">
        <f>216361963/394674206*100</f>
        <v>54.820396091453716</v>
      </c>
      <c r="D13" s="509">
        <f>249580392/394669749*100</f>
        <v>63.237781115065907</v>
      </c>
      <c r="E13" s="509">
        <f>266887090/394674206*100</f>
        <v>67.622126286104447</v>
      </c>
      <c r="F13" s="510">
        <f>193446458/388795200*100</f>
        <v>49.755361691708124</v>
      </c>
      <c r="G13" s="511"/>
      <c r="H13" s="512">
        <v>175963268</v>
      </c>
      <c r="I13" s="513">
        <v>175770566</v>
      </c>
      <c r="J13" s="514" t="s">
        <v>748</v>
      </c>
      <c r="L13" s="15"/>
    </row>
    <row r="14" spans="1:12" ht="23.25" customHeight="1" x14ac:dyDescent="0.25">
      <c r="A14" s="516" t="s">
        <v>94</v>
      </c>
      <c r="B14" s="517">
        <v>83.17</v>
      </c>
      <c r="C14" s="518">
        <v>84.88</v>
      </c>
      <c r="D14" s="518">
        <v>95.16</v>
      </c>
      <c r="E14" s="518">
        <v>98.34</v>
      </c>
      <c r="F14" s="519">
        <v>70.36</v>
      </c>
      <c r="G14" s="520"/>
      <c r="H14" s="521">
        <f>2003321*1.801</f>
        <v>3607981.1209999998</v>
      </c>
      <c r="I14" s="522">
        <f>12585327*1.559</f>
        <v>19620524.792999998</v>
      </c>
      <c r="J14" s="523" t="s">
        <v>749</v>
      </c>
    </row>
    <row r="15" spans="1:12" ht="23.25" customHeight="1" x14ac:dyDescent="0.25">
      <c r="A15" s="235" t="s">
        <v>92</v>
      </c>
      <c r="B15" s="515">
        <v>87</v>
      </c>
      <c r="C15" s="509">
        <v>87</v>
      </c>
      <c r="D15" s="509">
        <v>90</v>
      </c>
      <c r="E15" s="509">
        <v>90</v>
      </c>
      <c r="F15" s="510">
        <v>86</v>
      </c>
      <c r="G15" s="511"/>
      <c r="H15" s="512">
        <v>10409000</v>
      </c>
      <c r="I15" s="513">
        <v>11532000</v>
      </c>
      <c r="J15" s="514"/>
      <c r="L15" s="15"/>
    </row>
    <row r="16" spans="1:12" ht="23.25" customHeight="1" x14ac:dyDescent="0.25">
      <c r="A16" s="516" t="s">
        <v>317</v>
      </c>
      <c r="B16" s="517">
        <v>19.100000000000001</v>
      </c>
      <c r="C16" s="518">
        <v>14.4</v>
      </c>
      <c r="D16" s="518">
        <v>32</v>
      </c>
      <c r="E16" s="518">
        <v>47.2</v>
      </c>
      <c r="F16" s="519">
        <v>17.2</v>
      </c>
      <c r="G16" s="520"/>
      <c r="H16" s="521">
        <v>78101781</v>
      </c>
      <c r="I16" s="522">
        <f>56376912</f>
        <v>56376912</v>
      </c>
      <c r="J16" s="523"/>
    </row>
    <row r="17" spans="1:12" ht="23.25" customHeight="1" x14ac:dyDescent="0.25">
      <c r="A17" s="235" t="s">
        <v>88</v>
      </c>
      <c r="B17" s="515">
        <v>63.73</v>
      </c>
      <c r="C17" s="509">
        <v>61.83</v>
      </c>
      <c r="D17" s="509">
        <v>72.790000000000006</v>
      </c>
      <c r="E17" s="509">
        <v>74.680000000000007</v>
      </c>
      <c r="F17" s="510">
        <v>33.06</v>
      </c>
      <c r="G17" s="511"/>
      <c r="H17" s="512">
        <v>140917652</v>
      </c>
      <c r="I17" s="513">
        <v>120586068</v>
      </c>
      <c r="J17" s="514"/>
      <c r="L17" s="15"/>
    </row>
    <row r="18" spans="1:12" ht="23.25" customHeight="1" x14ac:dyDescent="0.25">
      <c r="A18" s="516" t="s">
        <v>319</v>
      </c>
      <c r="B18" s="517">
        <v>67</v>
      </c>
      <c r="C18" s="518">
        <v>58.9</v>
      </c>
      <c r="D18" s="518">
        <v>78.400000000000006</v>
      </c>
      <c r="E18" s="518">
        <v>62.7</v>
      </c>
      <c r="F18" s="519">
        <v>58.6</v>
      </c>
      <c r="G18" s="520"/>
      <c r="H18" s="521">
        <v>6624917.6000000006</v>
      </c>
      <c r="I18" s="522">
        <v>10861394.379112424</v>
      </c>
      <c r="J18" s="523"/>
    </row>
    <row r="19" spans="1:12" ht="23.25" customHeight="1" x14ac:dyDescent="0.25">
      <c r="A19" s="235" t="s">
        <v>100</v>
      </c>
      <c r="B19" s="515">
        <v>62.19</v>
      </c>
      <c r="C19" s="509">
        <v>51.29</v>
      </c>
      <c r="D19" s="509">
        <v>90.67</v>
      </c>
      <c r="E19" s="509">
        <v>86.11</v>
      </c>
      <c r="F19" s="510">
        <v>54.04</v>
      </c>
      <c r="G19" s="511"/>
      <c r="H19" s="512">
        <v>172055022</v>
      </c>
      <c r="I19" s="513">
        <v>179530584</v>
      </c>
      <c r="J19" s="514" t="s">
        <v>688</v>
      </c>
      <c r="L19" s="15"/>
    </row>
    <row r="20" spans="1:12" ht="23.25" customHeight="1" x14ac:dyDescent="0.25">
      <c r="A20" s="516" t="s">
        <v>742</v>
      </c>
      <c r="B20" s="517">
        <v>80</v>
      </c>
      <c r="C20" s="518">
        <v>70</v>
      </c>
      <c r="D20" s="518">
        <v>84</v>
      </c>
      <c r="E20" s="518">
        <v>86</v>
      </c>
      <c r="F20" s="519">
        <v>66</v>
      </c>
      <c r="G20" s="520"/>
      <c r="H20" s="521">
        <v>22010764</v>
      </c>
      <c r="I20" s="522">
        <v>21180308</v>
      </c>
      <c r="J20" s="523"/>
    </row>
    <row r="21" spans="1:12" ht="23.25" customHeight="1" x14ac:dyDescent="0.25">
      <c r="A21" s="235" t="s">
        <v>744</v>
      </c>
      <c r="B21" s="515"/>
      <c r="C21" s="509"/>
      <c r="D21" s="509">
        <v>90</v>
      </c>
      <c r="E21" s="509">
        <v>79</v>
      </c>
      <c r="F21" s="510"/>
      <c r="G21" s="511"/>
      <c r="H21" s="512">
        <v>60814310</v>
      </c>
      <c r="I21" s="513">
        <v>191138329</v>
      </c>
      <c r="J21" s="514" t="s">
        <v>746</v>
      </c>
      <c r="L21" s="15"/>
    </row>
    <row r="22" spans="1:12" ht="23.25" customHeight="1" x14ac:dyDescent="0.25">
      <c r="A22" s="516" t="s">
        <v>96</v>
      </c>
      <c r="B22" s="517">
        <v>72.84</v>
      </c>
      <c r="C22" s="518">
        <v>71.650000000000006</v>
      </c>
      <c r="D22" s="518">
        <v>84</v>
      </c>
      <c r="E22" s="518">
        <v>91.5</v>
      </c>
      <c r="F22" s="519">
        <v>70.7</v>
      </c>
      <c r="G22" s="520"/>
      <c r="H22" s="521">
        <v>11858874</v>
      </c>
      <c r="I22" s="522">
        <v>9969966</v>
      </c>
      <c r="J22" s="523" t="s">
        <v>574</v>
      </c>
      <c r="K22" s="57"/>
    </row>
    <row r="23" spans="1:12" ht="23.25" customHeight="1" x14ac:dyDescent="0.25">
      <c r="A23" s="235" t="s">
        <v>93</v>
      </c>
      <c r="B23" s="515">
        <v>46</v>
      </c>
      <c r="C23" s="509">
        <v>56</v>
      </c>
      <c r="D23" s="509">
        <v>65</v>
      </c>
      <c r="E23" s="509">
        <v>61</v>
      </c>
      <c r="F23" s="510">
        <v>39</v>
      </c>
      <c r="G23" s="511"/>
      <c r="H23" s="512">
        <f>27551960/1.14</f>
        <v>24168385.964912284</v>
      </c>
      <c r="I23" s="513">
        <f>30503358/1.055</f>
        <v>28913135.545023698</v>
      </c>
      <c r="J23" s="514" t="s">
        <v>651</v>
      </c>
    </row>
    <row r="24" spans="1:12" ht="23.25" customHeight="1" thickBot="1" x14ac:dyDescent="0.3">
      <c r="A24" s="621" t="s">
        <v>493</v>
      </c>
      <c r="B24" s="622">
        <v>73</v>
      </c>
      <c r="C24" s="623">
        <v>70</v>
      </c>
      <c r="D24" s="623">
        <v>78</v>
      </c>
      <c r="E24" s="623">
        <v>74</v>
      </c>
      <c r="F24" s="624">
        <v>62</v>
      </c>
      <c r="G24" s="625"/>
      <c r="H24" s="626">
        <f>55482636/1.12</f>
        <v>49538067.857142851</v>
      </c>
      <c r="I24" s="627">
        <f>61083453/1.12</f>
        <v>54538797.321428567</v>
      </c>
      <c r="J24" s="628"/>
      <c r="K24" s="57"/>
    </row>
    <row r="25" spans="1:12" ht="16.5" thickTop="1" x14ac:dyDescent="0.25">
      <c r="A25" s="22"/>
      <c r="B25" s="22"/>
      <c r="C25" s="22"/>
      <c r="D25" s="22"/>
      <c r="E25" s="22"/>
      <c r="F25" s="22"/>
    </row>
  </sheetData>
  <mergeCells count="6">
    <mergeCell ref="D5:E5"/>
    <mergeCell ref="G3:G6"/>
    <mergeCell ref="B5:C5"/>
    <mergeCell ref="B3:F4"/>
    <mergeCell ref="H3:J5"/>
    <mergeCell ref="I6:J6"/>
  </mergeCells>
  <phoneticPr fontId="0" type="noConversion"/>
  <pageMargins left="1.0236220472440944" right="0.55118110236220474" top="0.9055118110236221" bottom="0.98425196850393704" header="0.62992125984251968" footer="0.51181102362204722"/>
  <pageSetup scale="80" firstPageNumber="137" fitToHeight="4" orientation="portrait" useFirstPageNumber="1" verticalDpi="1200" r:id="rId1"/>
  <headerFooter alignWithMargins="0">
    <oddFooter>&amp;C&amp;12&amp;P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2"/>
  <sheetViews>
    <sheetView workbookViewId="0">
      <selection activeCell="A13" sqref="A13"/>
    </sheetView>
  </sheetViews>
  <sheetFormatPr defaultRowHeight="12.75" x14ac:dyDescent="0.2"/>
  <cols>
    <col min="1" max="1" width="13.7109375" style="220" bestFit="1" customWidth="1"/>
    <col min="2" max="2" width="80.7109375" style="78" customWidth="1"/>
    <col min="3" max="16384" width="9.140625" style="258"/>
  </cols>
  <sheetData>
    <row r="1" spans="1:2" x14ac:dyDescent="0.2">
      <c r="A1" s="524" t="s">
        <v>33</v>
      </c>
      <c r="B1" s="350"/>
    </row>
    <row r="2" spans="1:2" x14ac:dyDescent="0.2">
      <c r="A2" s="525"/>
      <c r="B2" s="390"/>
    </row>
    <row r="3" spans="1:2" ht="43.5" customHeight="1" x14ac:dyDescent="0.2">
      <c r="A3" s="525" t="s">
        <v>95</v>
      </c>
      <c r="B3" s="359" t="s">
        <v>419</v>
      </c>
    </row>
    <row r="4" spans="1:2" ht="56.25" customHeight="1" x14ac:dyDescent="0.2">
      <c r="A4" s="236" t="s">
        <v>631</v>
      </c>
      <c r="B4" s="360" t="s">
        <v>431</v>
      </c>
    </row>
    <row r="5" spans="1:2" ht="82.5" customHeight="1" x14ac:dyDescent="0.2">
      <c r="A5" s="236" t="s">
        <v>741</v>
      </c>
      <c r="B5" s="200" t="s">
        <v>452</v>
      </c>
    </row>
    <row r="6" spans="1:2" ht="31.5" customHeight="1" x14ac:dyDescent="0.2">
      <c r="A6" s="236" t="s">
        <v>743</v>
      </c>
      <c r="B6" s="395" t="s">
        <v>444</v>
      </c>
    </row>
    <row r="7" spans="1:2" ht="18.75" customHeight="1" x14ac:dyDescent="0.2">
      <c r="A7" s="236" t="s">
        <v>745</v>
      </c>
      <c r="B7" s="201" t="s">
        <v>468</v>
      </c>
    </row>
    <row r="8" spans="1:2" ht="18.75" customHeight="1" x14ac:dyDescent="0.2">
      <c r="A8" s="236" t="s">
        <v>747</v>
      </c>
      <c r="B8" s="201" t="s">
        <v>420</v>
      </c>
    </row>
    <row r="9" spans="1:2" ht="33" customHeight="1" x14ac:dyDescent="0.2">
      <c r="A9" s="525" t="s">
        <v>667</v>
      </c>
      <c r="B9" s="395" t="s">
        <v>477</v>
      </c>
    </row>
    <row r="10" spans="1:2" ht="32.25" customHeight="1" x14ac:dyDescent="0.2">
      <c r="A10" s="525" t="s">
        <v>728</v>
      </c>
      <c r="B10" s="360" t="s">
        <v>464</v>
      </c>
    </row>
    <row r="11" spans="1:2" ht="18.75" customHeight="1" x14ac:dyDescent="0.2">
      <c r="A11" s="236" t="s">
        <v>750</v>
      </c>
      <c r="B11" s="393" t="s">
        <v>51</v>
      </c>
    </row>
    <row r="12" spans="1:2" ht="18.75" customHeight="1" x14ac:dyDescent="0.2">
      <c r="A12" s="236" t="s">
        <v>751</v>
      </c>
      <c r="B12" s="201" t="s">
        <v>472</v>
      </c>
    </row>
  </sheetData>
  <phoneticPr fontId="0" type="noConversion"/>
  <pageMargins left="0.74803149606299213" right="0.74803149606299213" top="0.98425196850393704" bottom="0.98425196850393704" header="0.51181102362204722" footer="0.51181102362204722"/>
  <pageSetup scale="96" firstPageNumber="138" orientation="portrait" useFirstPageNumber="1" r:id="rId1"/>
  <headerFooter alignWithMargins="0">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10"/>
  <sheetViews>
    <sheetView zoomScale="69" zoomScaleNormal="69" workbookViewId="0">
      <selection activeCell="A8" sqref="A8:D8"/>
    </sheetView>
  </sheetViews>
  <sheetFormatPr defaultColWidth="12.5703125" defaultRowHeight="12.75" x14ac:dyDescent="0.2"/>
  <cols>
    <col min="1" max="1" width="17.85546875" style="3" customWidth="1"/>
    <col min="2" max="2" width="26" style="3" customWidth="1"/>
    <col min="3" max="3" width="22.5703125" style="3" customWidth="1"/>
    <col min="4" max="4" width="27.28515625" style="3" customWidth="1"/>
    <col min="5" max="5" width="49" style="3" customWidth="1"/>
    <col min="6" max="16384" width="12.5703125" style="3"/>
  </cols>
  <sheetData>
    <row r="1" spans="1:4" ht="22.5" customHeight="1" x14ac:dyDescent="0.2">
      <c r="A1" s="526" t="s">
        <v>34</v>
      </c>
      <c r="B1" s="527"/>
      <c r="C1" s="527"/>
      <c r="D1" s="527"/>
    </row>
    <row r="2" spans="1:4" ht="27" customHeight="1" thickBot="1" x14ac:dyDescent="0.25">
      <c r="A2" s="528" t="s">
        <v>82</v>
      </c>
      <c r="B2" s="528"/>
      <c r="C2" s="528"/>
      <c r="D2" s="528"/>
    </row>
    <row r="3" spans="1:4" ht="48.75" thickTop="1" thickBot="1" x14ac:dyDescent="0.25">
      <c r="A3" s="529"/>
      <c r="B3" s="530" t="s">
        <v>422</v>
      </c>
      <c r="C3" s="530" t="s">
        <v>423</v>
      </c>
      <c r="D3" s="531" t="s">
        <v>424</v>
      </c>
    </row>
    <row r="4" spans="1:4" ht="26.25" customHeight="1" thickTop="1" x14ac:dyDescent="0.25">
      <c r="A4" s="532" t="s">
        <v>84</v>
      </c>
      <c r="B4" s="533">
        <f>2319503800*2</f>
        <v>4639007600</v>
      </c>
      <c r="C4" s="534">
        <v>150000000</v>
      </c>
      <c r="D4" s="535">
        <f>C4/B4</f>
        <v>3.2334501887860669E-2</v>
      </c>
    </row>
    <row r="5" spans="1:4" ht="26.25" customHeight="1" x14ac:dyDescent="0.25">
      <c r="A5" s="539" t="s">
        <v>689</v>
      </c>
      <c r="B5" s="540">
        <f>116817194+119586940</f>
        <v>236404134</v>
      </c>
      <c r="C5" s="541">
        <v>2100000</v>
      </c>
      <c r="D5" s="542">
        <f>C5/B5</f>
        <v>8.8830933895597611E-3</v>
      </c>
    </row>
    <row r="6" spans="1:4" ht="26.25" customHeight="1" x14ac:dyDescent="0.25">
      <c r="A6" s="237" t="s">
        <v>87</v>
      </c>
      <c r="B6" s="536">
        <v>1000526000</v>
      </c>
      <c r="C6" s="537">
        <v>25654000</v>
      </c>
      <c r="D6" s="538">
        <f>C6/B6</f>
        <v>2.56405130901146E-2</v>
      </c>
    </row>
    <row r="7" spans="1:4" ht="26.25" customHeight="1" x14ac:dyDescent="0.25">
      <c r="A7" s="539" t="s">
        <v>690</v>
      </c>
      <c r="B7" s="540">
        <f>386196050+402022164</f>
        <v>788218214</v>
      </c>
      <c r="C7" s="541">
        <v>21131253</v>
      </c>
      <c r="D7" s="542">
        <f>C7/B7</f>
        <v>2.6808886961345962E-2</v>
      </c>
    </row>
    <row r="8" spans="1:4" ht="26.25" customHeight="1" x14ac:dyDescent="0.25">
      <c r="A8" s="237" t="s">
        <v>755</v>
      </c>
      <c r="B8" s="536">
        <v>167410000</v>
      </c>
      <c r="C8" s="537">
        <v>6000000</v>
      </c>
      <c r="D8" s="538">
        <f>C8/B8</f>
        <v>3.5840152917985785E-2</v>
      </c>
    </row>
    <row r="9" spans="1:4" ht="26.25" customHeight="1" x14ac:dyDescent="0.25">
      <c r="A9" s="539" t="s">
        <v>769</v>
      </c>
      <c r="B9" s="540">
        <v>138260000</v>
      </c>
      <c r="C9" s="541">
        <v>100000</v>
      </c>
      <c r="D9" s="542">
        <f>+C9/B9</f>
        <v>7.2327498915087513E-4</v>
      </c>
    </row>
    <row r="10" spans="1:4" ht="26.25" customHeight="1" x14ac:dyDescent="0.25">
      <c r="A10" s="237" t="s">
        <v>86</v>
      </c>
      <c r="B10" s="536">
        <v>726720000</v>
      </c>
      <c r="C10" s="537">
        <f>35000000/1.03</f>
        <v>33980582.524271846</v>
      </c>
      <c r="D10" s="538">
        <f>+C10/B10</f>
        <v>4.6758837687516298E-2</v>
      </c>
    </row>
    <row r="11" spans="1:4" ht="26.25" customHeight="1" x14ac:dyDescent="0.25">
      <c r="A11" s="539" t="s">
        <v>770</v>
      </c>
      <c r="B11" s="540">
        <f>49979990+50919500</f>
        <v>100899490</v>
      </c>
      <c r="C11" s="541">
        <f>2005979*1.6</f>
        <v>3209566.4000000004</v>
      </c>
      <c r="D11" s="542">
        <f>ROUND(C11/B11,3)</f>
        <v>3.2000000000000001E-2</v>
      </c>
    </row>
    <row r="12" spans="1:4" ht="26.25" customHeight="1" x14ac:dyDescent="0.25">
      <c r="A12" s="237" t="s">
        <v>771</v>
      </c>
      <c r="B12" s="536">
        <v>296469697</v>
      </c>
      <c r="C12" s="537">
        <v>0</v>
      </c>
      <c r="D12" s="538">
        <f>C12/B12</f>
        <v>0</v>
      </c>
    </row>
    <row r="13" spans="1:4" ht="26.25" customHeight="1" x14ac:dyDescent="0.25">
      <c r="A13" s="539" t="s">
        <v>317</v>
      </c>
      <c r="B13" s="540">
        <v>206400000</v>
      </c>
      <c r="C13" s="541">
        <v>20000000</v>
      </c>
      <c r="D13" s="542">
        <f>+C13/B13</f>
        <v>9.6899224806201556E-2</v>
      </c>
    </row>
    <row r="14" spans="1:4" ht="26.25" customHeight="1" x14ac:dyDescent="0.25">
      <c r="A14" s="237" t="s">
        <v>772</v>
      </c>
      <c r="B14" s="536">
        <v>484820000</v>
      </c>
      <c r="C14" s="537">
        <v>245764017</v>
      </c>
      <c r="D14" s="538">
        <f>+C14/B14</f>
        <v>0.50691806649890681</v>
      </c>
    </row>
    <row r="15" spans="1:4" ht="26.25" customHeight="1" x14ac:dyDescent="0.25">
      <c r="A15" s="539" t="s">
        <v>773</v>
      </c>
      <c r="B15" s="540">
        <v>2350000000</v>
      </c>
      <c r="C15" s="541">
        <f>7065762000-6487780000</f>
        <v>577982000</v>
      </c>
      <c r="D15" s="542">
        <f>C15/B15</f>
        <v>0.24594978723404257</v>
      </c>
    </row>
    <row r="16" spans="1:4" ht="26.25" customHeight="1" x14ac:dyDescent="0.25">
      <c r="A16" s="237" t="s">
        <v>774</v>
      </c>
      <c r="B16" s="536">
        <v>175000000</v>
      </c>
      <c r="C16" s="537">
        <v>12918000</v>
      </c>
      <c r="D16" s="538">
        <v>7.3800000000000004E-2</v>
      </c>
    </row>
    <row r="17" spans="1:5" ht="26.25" customHeight="1" x14ac:dyDescent="0.25">
      <c r="A17" s="539" t="s">
        <v>775</v>
      </c>
      <c r="B17" s="540">
        <v>653000000</v>
      </c>
      <c r="C17" s="541">
        <v>29000000</v>
      </c>
      <c r="D17" s="542">
        <f>C17/B17</f>
        <v>4.44104134762634E-2</v>
      </c>
    </row>
    <row r="18" spans="1:5" ht="26.25" customHeight="1" x14ac:dyDescent="0.25">
      <c r="A18" s="237" t="s">
        <v>776</v>
      </c>
      <c r="B18" s="536">
        <v>63206142</v>
      </c>
      <c r="C18" s="537">
        <v>2241000</v>
      </c>
      <c r="D18" s="538">
        <f>C18/B18</f>
        <v>3.5455415076591765E-2</v>
      </c>
    </row>
    <row r="19" spans="1:5" ht="26.25" customHeight="1" x14ac:dyDescent="0.25">
      <c r="A19" s="539" t="s">
        <v>777</v>
      </c>
      <c r="B19" s="540">
        <v>950000000</v>
      </c>
      <c r="C19" s="541">
        <f>304952000-140052000</f>
        <v>164900000</v>
      </c>
      <c r="D19" s="542">
        <f>C19/950000000</f>
        <v>0.17357894736842105</v>
      </c>
    </row>
    <row r="20" spans="1:5" ht="26.25" customHeight="1" x14ac:dyDescent="0.25">
      <c r="A20" s="237" t="s">
        <v>778</v>
      </c>
      <c r="B20" s="536">
        <v>22283400</v>
      </c>
      <c r="C20" s="537">
        <v>14738000</v>
      </c>
      <c r="D20" s="538">
        <f>+C20/B20</f>
        <v>0.66138919554466558</v>
      </c>
    </row>
    <row r="21" spans="1:5" ht="26.25" customHeight="1" x14ac:dyDescent="0.25">
      <c r="A21" s="539" t="s">
        <v>779</v>
      </c>
      <c r="B21" s="540">
        <v>81005500</v>
      </c>
      <c r="C21" s="541">
        <v>50000000</v>
      </c>
      <c r="D21" s="542">
        <f>C21/B21</f>
        <v>0.61724203912080045</v>
      </c>
    </row>
    <row r="22" spans="1:5" ht="26.25" customHeight="1" x14ac:dyDescent="0.25">
      <c r="A22" s="237" t="s">
        <v>780</v>
      </c>
      <c r="B22" s="536">
        <v>2636600000</v>
      </c>
      <c r="C22" s="537">
        <v>2909923000</v>
      </c>
      <c r="D22" s="629" t="s">
        <v>510</v>
      </c>
    </row>
    <row r="23" spans="1:5" ht="26.25" customHeight="1" x14ac:dyDescent="0.25">
      <c r="A23" s="539" t="s">
        <v>335</v>
      </c>
      <c r="B23" s="540">
        <v>229296029.28</v>
      </c>
      <c r="C23" s="541">
        <v>10711443</v>
      </c>
      <c r="D23" s="542">
        <f>C23/B23</f>
        <v>4.6714472263799857E-2</v>
      </c>
    </row>
    <row r="24" spans="1:5" ht="26.25" customHeight="1" x14ac:dyDescent="0.25">
      <c r="A24" s="237" t="s">
        <v>313</v>
      </c>
      <c r="B24" s="536">
        <v>48744700</v>
      </c>
      <c r="C24" s="537">
        <v>37532646.074439816</v>
      </c>
      <c r="D24" s="538">
        <f>C24/B24</f>
        <v>0.7699841433928164</v>
      </c>
    </row>
    <row r="25" spans="1:5" ht="26.25" customHeight="1" x14ac:dyDescent="0.25">
      <c r="A25" s="539" t="s">
        <v>781</v>
      </c>
      <c r="B25" s="540">
        <v>36364000</v>
      </c>
      <c r="C25" s="541">
        <v>4058037</v>
      </c>
      <c r="D25" s="542">
        <f>C25/B25</f>
        <v>0.11159490155098449</v>
      </c>
    </row>
    <row r="26" spans="1:5" ht="26.25" customHeight="1" x14ac:dyDescent="0.25">
      <c r="A26" s="237" t="s">
        <v>90</v>
      </c>
      <c r="B26" s="536">
        <v>945114400</v>
      </c>
      <c r="C26" s="537">
        <v>31000000</v>
      </c>
      <c r="D26" s="538">
        <f>C26/B26</f>
        <v>3.2800262063513157E-2</v>
      </c>
    </row>
    <row r="27" spans="1:5" s="158" customFormat="1" ht="26.25" customHeight="1" x14ac:dyDescent="0.25">
      <c r="A27" s="539" t="s">
        <v>360</v>
      </c>
      <c r="B27" s="540">
        <v>600582524</v>
      </c>
      <c r="C27" s="541">
        <v>8099406</v>
      </c>
      <c r="D27" s="542">
        <v>1.35E-2</v>
      </c>
      <c r="E27" s="3"/>
    </row>
    <row r="28" spans="1:5" ht="26.25" customHeight="1" x14ac:dyDescent="0.25">
      <c r="A28" s="237" t="s">
        <v>93</v>
      </c>
      <c r="B28" s="536">
        <f>ROUND(134750000/1.001,0)</f>
        <v>134615385</v>
      </c>
      <c r="C28" s="537">
        <f>ROUND(6520000/1.001,0)</f>
        <v>6513487</v>
      </c>
      <c r="D28" s="538">
        <f>ROUND(C28/B28,3)</f>
        <v>4.8000000000000001E-2</v>
      </c>
    </row>
    <row r="29" spans="1:5" ht="26.25" customHeight="1" thickBot="1" x14ac:dyDescent="0.3">
      <c r="A29" s="539" t="s">
        <v>493</v>
      </c>
      <c r="B29" s="540">
        <v>350997611.7129848</v>
      </c>
      <c r="C29" s="541">
        <f>10071222/1.12</f>
        <v>8992162.5</v>
      </c>
      <c r="D29" s="542">
        <f>C29/B29</f>
        <v>2.5618870898053304E-2</v>
      </c>
    </row>
    <row r="30" spans="1:5" ht="16.5" thickTop="1" x14ac:dyDescent="0.25">
      <c r="A30" s="58"/>
      <c r="B30" s="59"/>
      <c r="C30" s="59"/>
      <c r="D30" s="59"/>
    </row>
    <row r="56" spans="5:5" x14ac:dyDescent="0.2">
      <c r="E56" s="17"/>
    </row>
    <row r="67" spans="5:5" x14ac:dyDescent="0.2">
      <c r="E67" s="17"/>
    </row>
    <row r="69" spans="5:5" x14ac:dyDescent="0.2">
      <c r="E69" s="17"/>
    </row>
    <row r="88" spans="5:5" x14ac:dyDescent="0.2">
      <c r="E88" s="60"/>
    </row>
    <row r="108" spans="5:5" x14ac:dyDescent="0.2">
      <c r="E108" s="17"/>
    </row>
    <row r="110" spans="5:5" x14ac:dyDescent="0.2">
      <c r="E110" s="17"/>
    </row>
  </sheetData>
  <phoneticPr fontId="0" type="noConversion"/>
  <printOptions horizontalCentered="1"/>
  <pageMargins left="1.1023622047244095" right="0.62992125984251968" top="0.78740157480314965" bottom="0.78740157480314965" header="0.51181102362204722" footer="0.51181102362204722"/>
  <pageSetup scale="87" firstPageNumber="139" orientation="portrait" useFirstPageNumber="1" verticalDpi="1200" r:id="rId1"/>
  <headerFooter alignWithMargins="0">
    <oddFooter>&amp;C&amp;12&amp;P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topLeftCell="A13" zoomScaleSheetLayoutView="100" workbookViewId="0">
      <selection activeCell="B16" sqref="B16"/>
    </sheetView>
  </sheetViews>
  <sheetFormatPr defaultRowHeight="12.75" x14ac:dyDescent="0.2"/>
  <cols>
    <col min="1" max="1" width="15.28515625" style="81" customWidth="1"/>
    <col min="2" max="2" width="109.42578125" style="350" customWidth="1"/>
    <col min="3" max="16384" width="9.140625" style="351"/>
  </cols>
  <sheetData>
    <row r="1" spans="1:2" x14ac:dyDescent="0.2">
      <c r="A1" s="349" t="s">
        <v>363</v>
      </c>
    </row>
    <row r="3" spans="1:2" ht="110.1" customHeight="1" x14ac:dyDescent="0.2">
      <c r="A3" s="352" t="s">
        <v>95</v>
      </c>
      <c r="B3" s="165" t="s">
        <v>719</v>
      </c>
    </row>
    <row r="4" spans="1:2" ht="45" customHeight="1" x14ac:dyDescent="0.2">
      <c r="A4" s="352" t="s">
        <v>85</v>
      </c>
      <c r="B4" s="163" t="s">
        <v>393</v>
      </c>
    </row>
    <row r="5" spans="1:2" x14ac:dyDescent="0.2">
      <c r="A5" s="164"/>
      <c r="B5" s="81" t="s">
        <v>394</v>
      </c>
    </row>
    <row r="6" spans="1:2" ht="25.5" x14ac:dyDescent="0.2">
      <c r="A6" s="164"/>
      <c r="B6" s="82" t="s">
        <v>720</v>
      </c>
    </row>
    <row r="7" spans="1:2" x14ac:dyDescent="0.2">
      <c r="A7" s="164"/>
      <c r="B7" s="353" t="s">
        <v>506</v>
      </c>
    </row>
    <row r="8" spans="1:2" ht="25.5" x14ac:dyDescent="0.2">
      <c r="A8" s="164"/>
      <c r="B8" s="80" t="s">
        <v>469</v>
      </c>
    </row>
    <row r="9" spans="1:2" ht="27" customHeight="1" x14ac:dyDescent="0.2">
      <c r="A9" s="164"/>
      <c r="B9" s="80" t="s">
        <v>710</v>
      </c>
    </row>
    <row r="10" spans="1:2" ht="27" customHeight="1" x14ac:dyDescent="0.2">
      <c r="A10" s="164"/>
      <c r="B10" s="80" t="s">
        <v>711</v>
      </c>
    </row>
    <row r="11" spans="1:2" ht="26.25" customHeight="1" x14ac:dyDescent="0.2">
      <c r="A11" s="164"/>
      <c r="B11" s="82" t="s">
        <v>714</v>
      </c>
    </row>
    <row r="12" spans="1:2" x14ac:dyDescent="0.2">
      <c r="A12" s="164"/>
      <c r="B12" s="82" t="s">
        <v>721</v>
      </c>
    </row>
    <row r="13" spans="1:2" ht="25.5" customHeight="1" x14ac:dyDescent="0.2">
      <c r="A13" s="164"/>
      <c r="B13" s="354" t="s">
        <v>505</v>
      </c>
    </row>
    <row r="14" spans="1:2" ht="51" x14ac:dyDescent="0.2">
      <c r="A14" s="355"/>
      <c r="B14" s="81" t="s">
        <v>459</v>
      </c>
    </row>
    <row r="15" spans="1:2" ht="30.75" customHeight="1" x14ac:dyDescent="0.2">
      <c r="B15" s="165" t="s">
        <v>446</v>
      </c>
    </row>
    <row r="16" spans="1:2" s="166" customFormat="1" ht="20.100000000000001" customHeight="1" x14ac:dyDescent="0.2">
      <c r="A16" s="164"/>
      <c r="B16" s="165" t="s">
        <v>722</v>
      </c>
    </row>
    <row r="17" spans="1:2" ht="18" customHeight="1" x14ac:dyDescent="0.2">
      <c r="A17" s="165" t="s">
        <v>512</v>
      </c>
      <c r="B17" s="356" t="s">
        <v>498</v>
      </c>
    </row>
    <row r="18" spans="1:2" ht="133.5" customHeight="1" x14ac:dyDescent="0.2">
      <c r="A18" s="357" t="s">
        <v>515</v>
      </c>
      <c r="B18" s="358" t="s">
        <v>514</v>
      </c>
    </row>
    <row r="19" spans="1:2" ht="107.25" customHeight="1" x14ac:dyDescent="0.2">
      <c r="A19" s="357" t="s">
        <v>518</v>
      </c>
      <c r="B19" s="358" t="s">
        <v>517</v>
      </c>
    </row>
    <row r="20" spans="1:2" ht="30" customHeight="1" x14ac:dyDescent="0.2">
      <c r="A20" s="165" t="s">
        <v>49</v>
      </c>
      <c r="B20" s="359" t="s">
        <v>47</v>
      </c>
    </row>
    <row r="21" spans="1:2" ht="30" customHeight="1" x14ac:dyDescent="0.2">
      <c r="A21" s="165" t="s">
        <v>522</v>
      </c>
      <c r="B21" s="356" t="s">
        <v>523</v>
      </c>
    </row>
    <row r="22" spans="1:2" s="166" customFormat="1" ht="18.75" customHeight="1" x14ac:dyDescent="0.2">
      <c r="A22" s="165" t="s">
        <v>525</v>
      </c>
      <c r="B22" s="356" t="s">
        <v>434</v>
      </c>
    </row>
    <row r="23" spans="1:2" ht="94.5" customHeight="1" x14ac:dyDescent="0.2">
      <c r="A23" s="357" t="s">
        <v>377</v>
      </c>
      <c r="B23" s="360" t="s">
        <v>483</v>
      </c>
    </row>
    <row r="24" spans="1:2" s="166" customFormat="1" ht="30" customHeight="1" x14ac:dyDescent="0.2">
      <c r="A24" s="165" t="s">
        <v>527</v>
      </c>
      <c r="B24" s="356" t="s">
        <v>395</v>
      </c>
    </row>
    <row r="25" spans="1:2" s="166" customFormat="1" ht="30.75" customHeight="1" x14ac:dyDescent="0.2">
      <c r="A25" s="165" t="s">
        <v>529</v>
      </c>
      <c r="B25" s="356" t="s">
        <v>31</v>
      </c>
    </row>
    <row r="26" spans="1:2" s="166" customFormat="1" ht="30" customHeight="1" x14ac:dyDescent="0.2">
      <c r="A26" s="165" t="s">
        <v>531</v>
      </c>
      <c r="B26" s="356" t="s">
        <v>366</v>
      </c>
    </row>
    <row r="27" spans="1:2" s="166" customFormat="1" ht="20.100000000000001" customHeight="1" x14ac:dyDescent="0.2">
      <c r="A27" s="358" t="s">
        <v>533</v>
      </c>
      <c r="B27" s="358" t="s">
        <v>365</v>
      </c>
    </row>
    <row r="28" spans="1:2" ht="31.5" customHeight="1" x14ac:dyDescent="0.2">
      <c r="A28" s="357" t="s">
        <v>20</v>
      </c>
      <c r="B28" s="358" t="s">
        <v>447</v>
      </c>
    </row>
  </sheetData>
  <phoneticPr fontId="0" type="noConversion"/>
  <pageMargins left="0.47244094488188981" right="0.51181102362204722" top="0.51181102362204722" bottom="0.39370078740157483" header="0.51181102362204722" footer="0.39370078740157483"/>
  <pageSetup scale="70" firstPageNumber="8" orientation="portrait" useFirstPageNumber="1" r:id="rId1"/>
  <headerFooter alignWithMargins="0">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0"/>
  <sheetViews>
    <sheetView workbookViewId="0">
      <selection activeCell="D5" sqref="D5"/>
    </sheetView>
  </sheetViews>
  <sheetFormatPr defaultRowHeight="12.75" x14ac:dyDescent="0.2"/>
  <cols>
    <col min="1" max="1" width="14.5703125" style="78" bestFit="1" customWidth="1"/>
    <col min="2" max="2" width="79.7109375" style="78" customWidth="1"/>
    <col min="3" max="16384" width="9.140625" style="79"/>
  </cols>
  <sheetData>
    <row r="1" spans="1:2" x14ac:dyDescent="0.2">
      <c r="A1" s="338" t="s">
        <v>35</v>
      </c>
    </row>
    <row r="2" spans="1:2" x14ac:dyDescent="0.2">
      <c r="A2" s="350"/>
      <c r="B2" s="350"/>
    </row>
    <row r="3" spans="1:2" ht="30.75" customHeight="1" x14ac:dyDescent="0.2">
      <c r="A3" s="525" t="s">
        <v>95</v>
      </c>
      <c r="B3" s="359" t="s">
        <v>453</v>
      </c>
    </row>
    <row r="4" spans="1:2" ht="18.75" customHeight="1" x14ac:dyDescent="0.2">
      <c r="A4" s="525" t="s">
        <v>85</v>
      </c>
      <c r="B4" s="359" t="s">
        <v>57</v>
      </c>
    </row>
    <row r="5" spans="1:2" ht="31.5" customHeight="1" x14ac:dyDescent="0.2">
      <c r="A5" s="525" t="s">
        <v>512</v>
      </c>
      <c r="B5" s="359" t="s">
        <v>500</v>
      </c>
    </row>
    <row r="6" spans="1:2" ht="70.5" customHeight="1" x14ac:dyDescent="0.2">
      <c r="A6" s="525" t="s">
        <v>515</v>
      </c>
      <c r="B6" s="359" t="s">
        <v>503</v>
      </c>
    </row>
    <row r="7" spans="1:2" ht="18.75" customHeight="1" x14ac:dyDescent="0.2">
      <c r="A7" s="525" t="s">
        <v>756</v>
      </c>
      <c r="B7" s="359" t="s">
        <v>757</v>
      </c>
    </row>
    <row r="8" spans="1:2" ht="18.75" customHeight="1" x14ac:dyDescent="0.2">
      <c r="A8" s="525" t="s">
        <v>23</v>
      </c>
      <c r="B8" s="359" t="s">
        <v>501</v>
      </c>
    </row>
    <row r="9" spans="1:2" ht="44.25" customHeight="1" x14ac:dyDescent="0.2">
      <c r="A9" s="525" t="s">
        <v>667</v>
      </c>
      <c r="B9" s="359" t="s">
        <v>478</v>
      </c>
    </row>
    <row r="10" spans="1:2" ht="18.75" customHeight="1" x14ac:dyDescent="0.2">
      <c r="A10" s="525" t="s">
        <v>758</v>
      </c>
      <c r="B10" s="359" t="s">
        <v>425</v>
      </c>
    </row>
    <row r="11" spans="1:2" ht="31.5" customHeight="1" x14ac:dyDescent="0.2">
      <c r="A11" s="525" t="s">
        <v>759</v>
      </c>
      <c r="B11" s="359" t="s">
        <v>454</v>
      </c>
    </row>
    <row r="12" spans="1:2" ht="18.75" customHeight="1" x14ac:dyDescent="0.2">
      <c r="A12" s="525" t="s">
        <v>760</v>
      </c>
      <c r="B12" s="359" t="s">
        <v>36</v>
      </c>
    </row>
    <row r="13" spans="1:2" ht="25.5" x14ac:dyDescent="0.2">
      <c r="A13" s="525" t="s">
        <v>761</v>
      </c>
      <c r="B13" s="359" t="s">
        <v>438</v>
      </c>
    </row>
    <row r="14" spans="1:2" ht="18.75" customHeight="1" x14ac:dyDescent="0.2">
      <c r="A14" s="525" t="s">
        <v>762</v>
      </c>
      <c r="B14" s="359" t="s">
        <v>457</v>
      </c>
    </row>
    <row r="15" spans="1:2" ht="57" customHeight="1" x14ac:dyDescent="0.2">
      <c r="A15" s="525" t="s">
        <v>763</v>
      </c>
      <c r="B15" s="359" t="s">
        <v>489</v>
      </c>
    </row>
    <row r="16" spans="1:2" ht="18.75" customHeight="1" x14ac:dyDescent="0.2">
      <c r="A16" s="525" t="s">
        <v>764</v>
      </c>
      <c r="B16" s="359" t="s">
        <v>37</v>
      </c>
    </row>
    <row r="17" spans="1:2" ht="25.5" x14ac:dyDescent="0.2">
      <c r="A17" s="525" t="s">
        <v>765</v>
      </c>
      <c r="B17" s="359" t="s">
        <v>466</v>
      </c>
    </row>
    <row r="18" spans="1:2" ht="18.75" customHeight="1" x14ac:dyDescent="0.2">
      <c r="A18" s="543" t="s">
        <v>766</v>
      </c>
      <c r="B18" s="359" t="s">
        <v>481</v>
      </c>
    </row>
    <row r="19" spans="1:2" ht="57" customHeight="1" x14ac:dyDescent="0.2">
      <c r="A19" s="525" t="s">
        <v>767</v>
      </c>
      <c r="B19" s="359" t="s">
        <v>511</v>
      </c>
    </row>
    <row r="20" spans="1:2" ht="18.75" customHeight="1" x14ac:dyDescent="0.2">
      <c r="A20" s="525" t="s">
        <v>768</v>
      </c>
      <c r="B20" s="359" t="s">
        <v>445</v>
      </c>
    </row>
  </sheetData>
  <phoneticPr fontId="0" type="noConversion"/>
  <pageMargins left="0.74803149606299213" right="0.74803149606299213" top="0.98425196850393704" bottom="0.98425196850393704" header="0.51181102362204722" footer="0.51181102362204722"/>
  <pageSetup scale="96" firstPageNumber="140" orientation="portrait" useFirstPageNumber="1"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5"/>
  <sheetViews>
    <sheetView zoomScale="85" zoomScaleNormal="85" zoomScaleSheetLayoutView="75" workbookViewId="0">
      <pane xSplit="1" ySplit="6" topLeftCell="J10" activePane="bottomRight" state="frozen"/>
      <selection pane="topRight" activeCell="B1" sqref="B1"/>
      <selection pane="bottomLeft" activeCell="A7" sqref="A7"/>
      <selection pane="bottomRight" activeCell="N12" sqref="N12:P12"/>
    </sheetView>
  </sheetViews>
  <sheetFormatPr defaultColWidth="17.140625" defaultRowHeight="12.75" x14ac:dyDescent="0.2"/>
  <cols>
    <col min="1" max="1" width="37.7109375" style="3" bestFit="1" customWidth="1"/>
    <col min="2" max="2" width="14.28515625" style="3" bestFit="1" customWidth="1"/>
    <col min="3" max="3" width="11.42578125" style="3" bestFit="1" customWidth="1"/>
    <col min="4" max="4" width="15.5703125" style="3" bestFit="1" customWidth="1"/>
    <col min="5" max="5" width="12.5703125" style="3" bestFit="1" customWidth="1"/>
    <col min="6" max="6" width="15.5703125" style="15" bestFit="1" customWidth="1"/>
    <col min="7" max="7" width="11.42578125" style="15" bestFit="1" customWidth="1"/>
    <col min="8" max="8" width="15.5703125" style="3" bestFit="1" customWidth="1"/>
    <col min="9" max="9" width="11.42578125" style="3" bestFit="1" customWidth="1"/>
    <col min="10" max="10" width="15.5703125" style="3" bestFit="1" customWidth="1"/>
    <col min="11" max="11" width="12.5703125" style="3" bestFit="1" customWidth="1"/>
    <col min="12" max="12" width="15.5703125" style="3" bestFit="1" customWidth="1"/>
    <col min="13" max="13" width="12.5703125" style="3" bestFit="1" customWidth="1"/>
    <col min="14" max="14" width="15.5703125" style="3" bestFit="1" customWidth="1"/>
    <col min="15" max="15" width="14.28515625" style="3" bestFit="1" customWidth="1"/>
    <col min="16" max="16" width="15.5703125" style="3" bestFit="1" customWidth="1"/>
    <col min="17" max="17" width="12.5703125" style="3" bestFit="1" customWidth="1"/>
    <col min="18" max="18" width="15.5703125" style="3" bestFit="1" customWidth="1"/>
    <col min="19" max="19" width="11.42578125" style="3" bestFit="1" customWidth="1"/>
    <col min="20" max="20" width="15.5703125" style="3" bestFit="1" customWidth="1"/>
    <col min="21" max="21" width="11.42578125" style="3" bestFit="1" customWidth="1"/>
    <col min="22" max="16384" width="17.140625" style="19"/>
  </cols>
  <sheetData>
    <row r="1" spans="1:22" ht="8.25" customHeight="1" x14ac:dyDescent="0.2"/>
    <row r="2" spans="1:22" ht="18.75" x14ac:dyDescent="0.3">
      <c r="B2" s="608" t="s">
        <v>396</v>
      </c>
      <c r="C2" s="608"/>
      <c r="D2" s="608"/>
      <c r="E2" s="608"/>
      <c r="F2" s="608"/>
      <c r="G2" s="608"/>
      <c r="H2" s="608"/>
      <c r="I2" s="608"/>
      <c r="J2" s="608"/>
      <c r="K2" s="608"/>
      <c r="L2" s="608" t="s">
        <v>396</v>
      </c>
      <c r="M2" s="608"/>
      <c r="N2" s="608"/>
      <c r="O2" s="608"/>
      <c r="P2" s="608"/>
      <c r="Q2" s="608"/>
      <c r="R2" s="608"/>
      <c r="S2" s="608"/>
      <c r="T2" s="608"/>
      <c r="U2" s="608"/>
    </row>
    <row r="3" spans="1:22" ht="15.75" x14ac:dyDescent="0.25">
      <c r="B3" s="239" t="s">
        <v>82</v>
      </c>
      <c r="C3" s="609"/>
      <c r="D3" s="609"/>
      <c r="E3" s="609"/>
      <c r="F3" s="609"/>
      <c r="G3" s="609"/>
      <c r="H3" s="609"/>
      <c r="I3" s="609"/>
      <c r="J3" s="609"/>
      <c r="K3" s="609"/>
      <c r="L3" s="239" t="s">
        <v>82</v>
      </c>
      <c r="M3" s="609"/>
      <c r="N3" s="609"/>
      <c r="O3" s="609"/>
      <c r="P3" s="609"/>
      <c r="Q3" s="609"/>
      <c r="R3" s="609"/>
      <c r="S3" s="609"/>
      <c r="T3" s="609"/>
      <c r="U3" s="609"/>
    </row>
    <row r="4" spans="1:22" ht="12" customHeight="1" thickBot="1" x14ac:dyDescent="0.25">
      <c r="A4" s="23"/>
      <c r="B4" s="23"/>
      <c r="C4" s="23"/>
      <c r="D4" s="23"/>
      <c r="E4" s="23"/>
      <c r="F4" s="23"/>
      <c r="G4" s="23"/>
      <c r="H4" s="23"/>
      <c r="I4" s="23"/>
      <c r="J4" s="23"/>
      <c r="K4" s="23"/>
      <c r="L4" s="23"/>
      <c r="M4" s="23"/>
      <c r="N4" s="23"/>
      <c r="O4" s="23"/>
      <c r="P4" s="23"/>
      <c r="Q4" s="23"/>
      <c r="R4" s="23"/>
      <c r="S4" s="23"/>
      <c r="T4" s="23"/>
      <c r="U4" s="23"/>
      <c r="V4" s="361"/>
    </row>
    <row r="5" spans="1:22" s="363" customFormat="1" ht="17.25" customHeight="1" thickTop="1" x14ac:dyDescent="0.2">
      <c r="A5" s="702" t="s">
        <v>83</v>
      </c>
      <c r="B5" s="698">
        <v>2002</v>
      </c>
      <c r="C5" s="704"/>
      <c r="D5" s="698">
        <v>2003</v>
      </c>
      <c r="E5" s="704"/>
      <c r="F5" s="698">
        <v>2004</v>
      </c>
      <c r="G5" s="704"/>
      <c r="H5" s="698">
        <v>2005</v>
      </c>
      <c r="I5" s="704"/>
      <c r="J5" s="698">
        <v>2006</v>
      </c>
      <c r="K5" s="699"/>
      <c r="L5" s="698">
        <v>2007</v>
      </c>
      <c r="M5" s="699"/>
      <c r="N5" s="698">
        <v>2008</v>
      </c>
      <c r="O5" s="699"/>
      <c r="P5" s="698">
        <v>2009</v>
      </c>
      <c r="Q5" s="699"/>
      <c r="R5" s="698" t="s">
        <v>397</v>
      </c>
      <c r="S5" s="699"/>
      <c r="T5" s="700" t="s">
        <v>398</v>
      </c>
      <c r="U5" s="701"/>
      <c r="V5" s="362"/>
    </row>
    <row r="6" spans="1:22" ht="18.75" customHeight="1" thickBot="1" x14ac:dyDescent="0.25">
      <c r="A6" s="703"/>
      <c r="B6" s="379" t="s">
        <v>321</v>
      </c>
      <c r="C6" s="380" t="s">
        <v>322</v>
      </c>
      <c r="D6" s="379" t="s">
        <v>321</v>
      </c>
      <c r="E6" s="380" t="s">
        <v>322</v>
      </c>
      <c r="F6" s="379" t="s">
        <v>321</v>
      </c>
      <c r="G6" s="380" t="s">
        <v>322</v>
      </c>
      <c r="H6" s="379" t="s">
        <v>321</v>
      </c>
      <c r="I6" s="380" t="s">
        <v>322</v>
      </c>
      <c r="J6" s="379" t="s">
        <v>321</v>
      </c>
      <c r="K6" s="380" t="s">
        <v>322</v>
      </c>
      <c r="L6" s="379" t="s">
        <v>321</v>
      </c>
      <c r="M6" s="380" t="s">
        <v>322</v>
      </c>
      <c r="N6" s="379" t="s">
        <v>321</v>
      </c>
      <c r="O6" s="380" t="s">
        <v>322</v>
      </c>
      <c r="P6" s="379" t="s">
        <v>321</v>
      </c>
      <c r="Q6" s="380" t="s">
        <v>322</v>
      </c>
      <c r="R6" s="379" t="s">
        <v>321</v>
      </c>
      <c r="S6" s="380" t="s">
        <v>322</v>
      </c>
      <c r="T6" s="380" t="s">
        <v>321</v>
      </c>
      <c r="U6" s="381" t="s">
        <v>322</v>
      </c>
      <c r="V6" s="361"/>
    </row>
    <row r="7" spans="1:22" ht="24.75" customHeight="1" x14ac:dyDescent="0.25">
      <c r="A7" s="369" t="s">
        <v>537</v>
      </c>
      <c r="B7" s="322">
        <f>430247000-B8-C8</f>
        <v>364296000</v>
      </c>
      <c r="C7" s="370"/>
      <c r="D7" s="322">
        <f>428973000-D8-E8</f>
        <v>409734000</v>
      </c>
      <c r="E7" s="323" t="s">
        <v>359</v>
      </c>
      <c r="F7" s="322">
        <f>469543000-F8-G8</f>
        <v>450839000</v>
      </c>
      <c r="G7" s="370"/>
      <c r="H7" s="322">
        <f>879645000-H8-I8</f>
        <v>847686000</v>
      </c>
      <c r="I7" s="323" t="s">
        <v>359</v>
      </c>
      <c r="J7" s="322">
        <v>899134000</v>
      </c>
      <c r="K7" s="323"/>
      <c r="L7" s="322">
        <v>1162404000</v>
      </c>
      <c r="M7" s="323"/>
      <c r="N7" s="322">
        <f>125552000+11231000+1191895000+18530000</f>
        <v>1347208000</v>
      </c>
      <c r="O7" s="323"/>
      <c r="P7" s="322">
        <f>283369000+23645000+2225590000+46486000-N7</f>
        <v>1231882000</v>
      </c>
      <c r="Q7" s="323"/>
      <c r="R7" s="322"/>
      <c r="S7" s="323"/>
      <c r="T7" s="20"/>
      <c r="U7" s="342"/>
      <c r="V7" s="361"/>
    </row>
    <row r="8" spans="1:22" ht="24.75" customHeight="1" x14ac:dyDescent="0.25">
      <c r="A8" s="382" t="s">
        <v>400</v>
      </c>
      <c r="B8" s="383">
        <f>65946000-3573000+5000</f>
        <v>62378000</v>
      </c>
      <c r="C8" s="384">
        <v>3573000</v>
      </c>
      <c r="D8" s="383">
        <f>19239000-5751000</f>
        <v>13488000</v>
      </c>
      <c r="E8" s="384">
        <v>5751000</v>
      </c>
      <c r="F8" s="383">
        <f>18704000-7297000</f>
        <v>11407000</v>
      </c>
      <c r="G8" s="384">
        <v>7297000</v>
      </c>
      <c r="H8" s="383">
        <f>31959000-8534000</f>
        <v>23425000</v>
      </c>
      <c r="I8" s="384">
        <v>8534000</v>
      </c>
      <c r="J8" s="383">
        <v>21121000</v>
      </c>
      <c r="K8" s="384">
        <v>8540000</v>
      </c>
      <c r="L8" s="383">
        <v>6981000</v>
      </c>
      <c r="M8" s="384">
        <v>7162000</v>
      </c>
      <c r="N8" s="383">
        <v>23948000</v>
      </c>
      <c r="O8" s="384">
        <v>8656000</v>
      </c>
      <c r="P8" s="383">
        <v>33789000</v>
      </c>
      <c r="Q8" s="384">
        <v>8780000</v>
      </c>
      <c r="R8" s="383">
        <v>23972000</v>
      </c>
      <c r="S8" s="384">
        <v>9540000</v>
      </c>
      <c r="T8" s="346">
        <v>24639000</v>
      </c>
      <c r="U8" s="348">
        <v>8791000</v>
      </c>
      <c r="V8" s="361"/>
    </row>
    <row r="9" spans="1:22" ht="24.75" customHeight="1" x14ac:dyDescent="0.25">
      <c r="A9" s="168" t="s">
        <v>41</v>
      </c>
      <c r="B9" s="322">
        <v>20000</v>
      </c>
      <c r="C9" s="323"/>
      <c r="D9" s="322">
        <v>33476</v>
      </c>
      <c r="E9" s="323"/>
      <c r="F9" s="322">
        <v>128171</v>
      </c>
      <c r="G9" s="371"/>
      <c r="H9" s="322">
        <v>210898</v>
      </c>
      <c r="I9" s="323"/>
      <c r="J9" s="322">
        <v>224566</v>
      </c>
      <c r="K9" s="323"/>
      <c r="L9" s="322">
        <v>2384203</v>
      </c>
      <c r="M9" s="323"/>
      <c r="N9" s="322">
        <v>1727941</v>
      </c>
      <c r="O9" s="323"/>
      <c r="P9" s="322">
        <v>2221040</v>
      </c>
      <c r="Q9" s="323"/>
      <c r="R9" s="322">
        <v>5000000</v>
      </c>
      <c r="S9" s="323"/>
      <c r="T9" s="20"/>
      <c r="U9" s="342"/>
      <c r="V9" s="361"/>
    </row>
    <row r="10" spans="1:22" ht="24.75" customHeight="1" x14ac:dyDescent="0.25">
      <c r="A10" s="382" t="s">
        <v>87</v>
      </c>
      <c r="B10" s="383">
        <v>350663000</v>
      </c>
      <c r="C10" s="384"/>
      <c r="D10" s="383">
        <v>463441000</v>
      </c>
      <c r="E10" s="384"/>
      <c r="F10" s="383">
        <v>343630000</v>
      </c>
      <c r="G10" s="384"/>
      <c r="H10" s="383">
        <v>363929000</v>
      </c>
      <c r="I10" s="384"/>
      <c r="J10" s="383">
        <v>481356000</v>
      </c>
      <c r="K10" s="384"/>
      <c r="L10" s="383">
        <v>570257000</v>
      </c>
      <c r="M10" s="384"/>
      <c r="N10" s="383">
        <v>637112000</v>
      </c>
      <c r="O10" s="384"/>
      <c r="P10" s="383">
        <v>806735000</v>
      </c>
      <c r="Q10" s="384"/>
      <c r="R10" s="383">
        <v>622900000</v>
      </c>
      <c r="S10" s="384"/>
      <c r="T10" s="346">
        <v>622900000</v>
      </c>
      <c r="U10" s="348"/>
      <c r="V10" s="361"/>
    </row>
    <row r="11" spans="1:22" ht="24.75" customHeight="1" x14ac:dyDescent="0.25">
      <c r="A11" s="168" t="s">
        <v>539</v>
      </c>
      <c r="B11" s="372">
        <v>105177563</v>
      </c>
      <c r="C11" s="373"/>
      <c r="D11" s="372">
        <v>122048798</v>
      </c>
      <c r="E11" s="373"/>
      <c r="F11" s="372">
        <v>137754696</v>
      </c>
      <c r="G11" s="373"/>
      <c r="H11" s="372">
        <v>123540171</v>
      </c>
      <c r="I11" s="373"/>
      <c r="J11" s="322">
        <f>57101735+72100543</f>
        <v>129202278</v>
      </c>
      <c r="K11" s="323"/>
      <c r="L11" s="322">
        <f>72707958+76491085</f>
        <v>149199043</v>
      </c>
      <c r="M11" s="323"/>
      <c r="N11" s="322">
        <v>126733506</v>
      </c>
      <c r="O11" s="323"/>
      <c r="P11" s="322">
        <v>189781146</v>
      </c>
      <c r="Q11" s="323"/>
      <c r="R11" s="322">
        <v>43184942</v>
      </c>
      <c r="S11" s="323"/>
      <c r="T11" s="20"/>
      <c r="U11" s="342"/>
      <c r="V11" s="361"/>
    </row>
    <row r="12" spans="1:22" ht="24.75" customHeight="1" x14ac:dyDescent="0.25">
      <c r="A12" s="382" t="s">
        <v>540</v>
      </c>
      <c r="B12" s="383">
        <v>102293000</v>
      </c>
      <c r="C12" s="384"/>
      <c r="D12" s="383">
        <v>156198000</v>
      </c>
      <c r="E12" s="384"/>
      <c r="F12" s="383">
        <v>143310000</v>
      </c>
      <c r="G12" s="384"/>
      <c r="H12" s="383">
        <v>153920000</v>
      </c>
      <c r="I12" s="384"/>
      <c r="J12" s="383">
        <f>252840000-60443000-4228000-2028000-828000</f>
        <v>185313000</v>
      </c>
      <c r="K12" s="384"/>
      <c r="L12" s="383">
        <f>292359000-60852000-4931000-1094000-2891000</f>
        <v>222591000</v>
      </c>
      <c r="M12" s="384"/>
      <c r="N12" s="383">
        <v>235319000</v>
      </c>
      <c r="O12" s="384"/>
      <c r="P12" s="383">
        <v>256220000</v>
      </c>
      <c r="Q12" s="384"/>
      <c r="R12" s="383"/>
      <c r="S12" s="384"/>
      <c r="T12" s="346"/>
      <c r="U12" s="348"/>
      <c r="V12" s="361"/>
    </row>
    <row r="13" spans="1:22" ht="24.75" customHeight="1" x14ac:dyDescent="0.25">
      <c r="A13" s="168" t="s">
        <v>42</v>
      </c>
      <c r="B13" s="322">
        <v>2805780</v>
      </c>
      <c r="C13" s="323"/>
      <c r="D13" s="322">
        <v>5116440</v>
      </c>
      <c r="E13" s="323"/>
      <c r="F13" s="322">
        <v>3903290</v>
      </c>
      <c r="G13" s="323"/>
      <c r="H13" s="322">
        <v>7196062.9000000004</v>
      </c>
      <c r="I13" s="323"/>
      <c r="J13" s="322">
        <v>7402178.29</v>
      </c>
      <c r="K13" s="323"/>
      <c r="L13" s="322">
        <v>14379310.4</v>
      </c>
      <c r="M13" s="323"/>
      <c r="N13" s="322"/>
      <c r="O13" s="323"/>
      <c r="P13" s="322"/>
      <c r="Q13" s="323"/>
      <c r="R13" s="322"/>
      <c r="S13" s="323"/>
      <c r="T13" s="20"/>
      <c r="U13" s="342"/>
      <c r="V13" s="364"/>
    </row>
    <row r="14" spans="1:22" ht="24.75" customHeight="1" x14ac:dyDescent="0.25">
      <c r="A14" s="382" t="s">
        <v>315</v>
      </c>
      <c r="B14" s="383">
        <v>5596</v>
      </c>
      <c r="C14" s="384"/>
      <c r="D14" s="383">
        <v>1130000</v>
      </c>
      <c r="E14" s="384"/>
      <c r="F14" s="383">
        <v>1613000</v>
      </c>
      <c r="G14" s="384"/>
      <c r="H14" s="383">
        <v>424000</v>
      </c>
      <c r="I14" s="384"/>
      <c r="J14" s="383">
        <v>668000</v>
      </c>
      <c r="K14" s="384"/>
      <c r="L14" s="383">
        <v>1297000</v>
      </c>
      <c r="M14" s="384"/>
      <c r="N14" s="383">
        <v>740000</v>
      </c>
      <c r="O14" s="384"/>
      <c r="P14" s="383">
        <v>865000</v>
      </c>
      <c r="Q14" s="384"/>
      <c r="R14" s="383">
        <v>1979000</v>
      </c>
      <c r="S14" s="384"/>
      <c r="T14" s="346">
        <v>756000</v>
      </c>
      <c r="U14" s="348"/>
      <c r="V14" s="361"/>
    </row>
    <row r="15" spans="1:22" ht="24.75" customHeight="1" x14ac:dyDescent="0.25">
      <c r="A15" s="374" t="s">
        <v>312</v>
      </c>
      <c r="B15" s="372">
        <v>41098979.325300001</v>
      </c>
      <c r="C15" s="373"/>
      <c r="D15" s="372">
        <v>40221798</v>
      </c>
      <c r="E15" s="373"/>
      <c r="F15" s="372">
        <v>59584410</v>
      </c>
      <c r="G15" s="373"/>
      <c r="H15" s="372">
        <v>39423307</v>
      </c>
      <c r="I15" s="373"/>
      <c r="J15" s="322">
        <v>49645167.898815639</v>
      </c>
      <c r="K15" s="323"/>
      <c r="L15" s="322">
        <v>204899560.48231626</v>
      </c>
      <c r="M15" s="323"/>
      <c r="N15" s="322">
        <v>138261762.62414202</v>
      </c>
      <c r="O15" s="323"/>
      <c r="P15" s="322">
        <f>18090000+125777256.752462</f>
        <v>143867256.752462</v>
      </c>
      <c r="Q15" s="323"/>
      <c r="R15" s="322"/>
      <c r="S15" s="323"/>
      <c r="T15" s="20"/>
      <c r="U15" s="342"/>
      <c r="V15" s="361"/>
    </row>
    <row r="16" spans="1:22" ht="24.75" customHeight="1" x14ac:dyDescent="0.25">
      <c r="A16" s="382" t="s">
        <v>86</v>
      </c>
      <c r="B16" s="383">
        <v>104599000</v>
      </c>
      <c r="C16" s="384"/>
      <c r="D16" s="383">
        <v>144731000</v>
      </c>
      <c r="E16" s="384"/>
      <c r="F16" s="383">
        <v>148250000</v>
      </c>
      <c r="G16" s="384"/>
      <c r="H16" s="383">
        <v>179362000</v>
      </c>
      <c r="I16" s="384"/>
      <c r="J16" s="383">
        <f>184258000+6590000</f>
        <v>190848000</v>
      </c>
      <c r="K16" s="384"/>
      <c r="L16" s="383">
        <f>227641000+9637000-12479000</f>
        <v>224799000</v>
      </c>
      <c r="M16" s="384"/>
      <c r="N16" s="383">
        <v>244758000</v>
      </c>
      <c r="O16" s="384"/>
      <c r="P16" s="383">
        <v>262052000</v>
      </c>
      <c r="Q16" s="384"/>
      <c r="R16" s="383">
        <v>265000000</v>
      </c>
      <c r="S16" s="384"/>
      <c r="T16" s="346">
        <v>265000000</v>
      </c>
      <c r="U16" s="348"/>
      <c r="V16" s="361"/>
    </row>
    <row r="17" spans="1:22" ht="24.75" customHeight="1" x14ac:dyDescent="0.25">
      <c r="A17" s="168" t="s">
        <v>48</v>
      </c>
      <c r="B17" s="372">
        <v>19236636</v>
      </c>
      <c r="C17" s="323"/>
      <c r="D17" s="372">
        <v>9069763</v>
      </c>
      <c r="E17" s="323"/>
      <c r="F17" s="372">
        <v>9082513</v>
      </c>
      <c r="G17" s="323"/>
      <c r="H17" s="372">
        <v>14326593</v>
      </c>
      <c r="I17" s="323"/>
      <c r="J17" s="322">
        <v>17336217</v>
      </c>
      <c r="K17" s="323"/>
      <c r="L17" s="322">
        <v>16471108</v>
      </c>
      <c r="M17" s="323"/>
      <c r="N17" s="322">
        <v>16757632.49</v>
      </c>
      <c r="O17" s="323"/>
      <c r="P17" s="322">
        <v>26985230.820700001</v>
      </c>
      <c r="Q17" s="323"/>
      <c r="R17" s="322">
        <v>15218500</v>
      </c>
      <c r="S17" s="323"/>
      <c r="T17" s="20">
        <v>16320200</v>
      </c>
      <c r="U17" s="342"/>
      <c r="V17" s="361"/>
    </row>
    <row r="18" spans="1:22" ht="24.75" customHeight="1" x14ac:dyDescent="0.25">
      <c r="A18" s="382" t="s">
        <v>58</v>
      </c>
      <c r="B18" s="383">
        <v>350801563</v>
      </c>
      <c r="C18" s="384"/>
      <c r="D18" s="383">
        <v>444091415</v>
      </c>
      <c r="E18" s="384"/>
      <c r="F18" s="383">
        <v>689394631</v>
      </c>
      <c r="G18" s="384"/>
      <c r="H18" s="383">
        <v>962154687</v>
      </c>
      <c r="I18" s="384"/>
      <c r="J18" s="383">
        <v>707222423</v>
      </c>
      <c r="K18" s="384"/>
      <c r="L18" s="383">
        <v>875471199</v>
      </c>
      <c r="M18" s="384"/>
      <c r="N18" s="383">
        <v>811524100</v>
      </c>
      <c r="O18" s="384"/>
      <c r="P18" s="383"/>
      <c r="Q18" s="384"/>
      <c r="R18" s="383"/>
      <c r="S18" s="384"/>
      <c r="T18" s="346"/>
      <c r="U18" s="348"/>
      <c r="V18" s="361"/>
    </row>
    <row r="19" spans="1:22" ht="24.75" customHeight="1" x14ac:dyDescent="0.25">
      <c r="A19" s="168" t="s">
        <v>297</v>
      </c>
      <c r="B19" s="372">
        <v>17959000</v>
      </c>
      <c r="C19" s="373"/>
      <c r="D19" s="372">
        <v>26732000</v>
      </c>
      <c r="E19" s="373"/>
      <c r="F19" s="372">
        <v>29703000</v>
      </c>
      <c r="G19" s="373"/>
      <c r="H19" s="372">
        <v>32313000</v>
      </c>
      <c r="I19" s="373"/>
      <c r="J19" s="322">
        <v>33154000</v>
      </c>
      <c r="K19" s="323">
        <v>801000</v>
      </c>
      <c r="L19" s="322">
        <v>28486000</v>
      </c>
      <c r="M19" s="323">
        <v>988000</v>
      </c>
      <c r="N19" s="322">
        <v>34113000</v>
      </c>
      <c r="O19" s="323">
        <v>1186400</v>
      </c>
      <c r="P19" s="322">
        <v>45066000</v>
      </c>
      <c r="Q19" s="323">
        <v>1322753</v>
      </c>
      <c r="R19" s="322"/>
      <c r="S19" s="323"/>
      <c r="T19" s="20"/>
      <c r="U19" s="342"/>
      <c r="V19" s="361"/>
    </row>
    <row r="20" spans="1:22" ht="24.75" customHeight="1" x14ac:dyDescent="0.25">
      <c r="A20" s="382" t="s">
        <v>541</v>
      </c>
      <c r="B20" s="383">
        <v>21629511</v>
      </c>
      <c r="C20" s="384"/>
      <c r="D20" s="383">
        <v>16664669.720000001</v>
      </c>
      <c r="E20" s="384"/>
      <c r="F20" s="383">
        <v>9881524</v>
      </c>
      <c r="G20" s="384"/>
      <c r="H20" s="383">
        <v>15507772</v>
      </c>
      <c r="I20" s="384"/>
      <c r="J20" s="383">
        <v>12200443</v>
      </c>
      <c r="K20" s="384"/>
      <c r="L20" s="383">
        <v>20395378</v>
      </c>
      <c r="M20" s="384"/>
      <c r="N20" s="383">
        <f>14322883.42+817205.18+1847019</f>
        <v>16987107.600000001</v>
      </c>
      <c r="O20" s="384">
        <v>1934139</v>
      </c>
      <c r="P20" s="383">
        <f>4963772.03+1630146.13+961309.23</f>
        <v>7555227.3900000006</v>
      </c>
      <c r="Q20" s="384">
        <v>1227118</v>
      </c>
      <c r="R20" s="383">
        <v>11000000</v>
      </c>
      <c r="S20" s="384">
        <v>1200000</v>
      </c>
      <c r="T20" s="346">
        <v>11000000</v>
      </c>
      <c r="U20" s="348">
        <v>1500000</v>
      </c>
      <c r="V20" s="361"/>
    </row>
    <row r="21" spans="1:22" ht="24.75" customHeight="1" x14ac:dyDescent="0.25">
      <c r="A21" s="168" t="s">
        <v>317</v>
      </c>
      <c r="B21" s="322">
        <v>57586700</v>
      </c>
      <c r="C21" s="323"/>
      <c r="D21" s="322">
        <v>52878547</v>
      </c>
      <c r="E21" s="323"/>
      <c r="F21" s="322">
        <v>71805103</v>
      </c>
      <c r="G21" s="323"/>
      <c r="H21" s="322">
        <v>65282213</v>
      </c>
      <c r="I21" s="323"/>
      <c r="J21" s="322">
        <v>137099771</v>
      </c>
      <c r="K21" s="323"/>
      <c r="L21" s="322">
        <v>153773936</v>
      </c>
      <c r="M21" s="323"/>
      <c r="N21" s="322">
        <v>164894452</v>
      </c>
      <c r="O21" s="323"/>
      <c r="P21" s="322">
        <f>325432454-164894452</f>
        <v>160538002</v>
      </c>
      <c r="Q21" s="323"/>
      <c r="R21" s="322">
        <v>160000000</v>
      </c>
      <c r="S21" s="323"/>
      <c r="T21" s="20">
        <v>160000000</v>
      </c>
      <c r="U21" s="342"/>
      <c r="V21" s="361"/>
    </row>
    <row r="22" spans="1:22" ht="24.75" customHeight="1" x14ac:dyDescent="0.25">
      <c r="A22" s="382" t="s">
        <v>318</v>
      </c>
      <c r="B22" s="383">
        <f>(24932704+12600512+4120530)/2-C22</f>
        <v>20826745.5</v>
      </c>
      <c r="C22" s="384">
        <v>127.5</v>
      </c>
      <c r="D22" s="383">
        <f>(24932704+12600512+4120530)/2-E22</f>
        <v>20826745.5</v>
      </c>
      <c r="E22" s="384">
        <v>127.5</v>
      </c>
      <c r="F22" s="383">
        <f>(31280512+16657783+3504545)/2</f>
        <v>25721420</v>
      </c>
      <c r="G22" s="384">
        <v>0</v>
      </c>
      <c r="H22" s="383">
        <f>(31280512+16657783+3504545)/2</f>
        <v>25721420</v>
      </c>
      <c r="I22" s="384">
        <v>0</v>
      </c>
      <c r="J22" s="383">
        <v>38074174</v>
      </c>
      <c r="K22" s="384"/>
      <c r="L22" s="383">
        <f>85994000+1022000-J22</f>
        <v>48941826</v>
      </c>
      <c r="M22" s="384"/>
      <c r="N22" s="383">
        <v>37000000</v>
      </c>
      <c r="O22" s="384">
        <v>0</v>
      </c>
      <c r="P22" s="383">
        <v>27886814</v>
      </c>
      <c r="Q22" s="384">
        <v>1150133</v>
      </c>
      <c r="R22" s="383">
        <v>30000000</v>
      </c>
      <c r="S22" s="384">
        <v>1000000</v>
      </c>
      <c r="T22" s="346">
        <v>30000000</v>
      </c>
      <c r="U22" s="348">
        <v>1000000</v>
      </c>
      <c r="V22" s="361"/>
    </row>
    <row r="23" spans="1:22" ht="24.75" customHeight="1" x14ac:dyDescent="0.25">
      <c r="A23" s="168" t="s">
        <v>543</v>
      </c>
      <c r="B23" s="372">
        <v>2233052000</v>
      </c>
      <c r="C23" s="323"/>
      <c r="D23" s="372">
        <f>2312854000</f>
        <v>2312854000</v>
      </c>
      <c r="E23" s="323"/>
      <c r="F23" s="372">
        <v>2661750000</v>
      </c>
      <c r="G23" s="323"/>
      <c r="H23" s="372">
        <v>3609001000</v>
      </c>
      <c r="I23" s="323"/>
      <c r="J23" s="322">
        <v>3637000000</v>
      </c>
      <c r="K23" s="323"/>
      <c r="L23" s="322">
        <v>3704000000</v>
      </c>
      <c r="M23" s="323"/>
      <c r="N23" s="322">
        <v>4155735000</v>
      </c>
      <c r="O23" s="323"/>
      <c r="P23" s="322">
        <v>4129137000</v>
      </c>
      <c r="Q23" s="323"/>
      <c r="R23" s="322">
        <v>4102709235.4948044</v>
      </c>
      <c r="S23" s="323"/>
      <c r="T23" s="20">
        <v>4076450616.9241567</v>
      </c>
      <c r="U23" s="342"/>
      <c r="V23" s="361"/>
    </row>
    <row r="24" spans="1:22" ht="24.75" customHeight="1" x14ac:dyDescent="0.25">
      <c r="A24" s="382" t="s">
        <v>524</v>
      </c>
      <c r="B24" s="383">
        <v>42166726</v>
      </c>
      <c r="C24" s="384"/>
      <c r="D24" s="383">
        <v>46909934</v>
      </c>
      <c r="E24" s="384"/>
      <c r="F24" s="383">
        <v>76624882</v>
      </c>
      <c r="G24" s="384"/>
      <c r="H24" s="383">
        <v>78729531</v>
      </c>
      <c r="I24" s="384"/>
      <c r="J24" s="383">
        <v>56396532</v>
      </c>
      <c r="K24" s="384"/>
      <c r="L24" s="383">
        <v>81181406.489999995</v>
      </c>
      <c r="M24" s="384"/>
      <c r="N24" s="383">
        <v>120672000</v>
      </c>
      <c r="O24" s="384"/>
      <c r="P24" s="383">
        <v>112671000</v>
      </c>
      <c r="Q24" s="384"/>
      <c r="R24" s="383">
        <v>110000000</v>
      </c>
      <c r="S24" s="384"/>
      <c r="T24" s="346">
        <v>110000000</v>
      </c>
      <c r="U24" s="348"/>
      <c r="V24" s="361"/>
    </row>
    <row r="25" spans="1:22" ht="24.75" customHeight="1" x14ac:dyDescent="0.25">
      <c r="A25" s="375" t="s">
        <v>88</v>
      </c>
      <c r="B25" s="376">
        <v>231746059</v>
      </c>
      <c r="C25" s="377"/>
      <c r="D25" s="376">
        <v>317637949</v>
      </c>
      <c r="E25" s="377"/>
      <c r="F25" s="376">
        <v>280528954</v>
      </c>
      <c r="G25" s="377"/>
      <c r="H25" s="376">
        <v>348598688</v>
      </c>
      <c r="I25" s="377"/>
      <c r="J25" s="322">
        <v>343676049</v>
      </c>
      <c r="K25" s="323"/>
      <c r="L25" s="322">
        <f>367114999+1182543</f>
        <v>368297542</v>
      </c>
      <c r="M25" s="323"/>
      <c r="N25" s="322">
        <v>307778072</v>
      </c>
      <c r="O25" s="323"/>
      <c r="P25" s="322">
        <v>293538424</v>
      </c>
      <c r="Q25" s="323"/>
      <c r="R25" s="322">
        <v>231375700</v>
      </c>
      <c r="S25" s="323"/>
      <c r="T25" s="20">
        <v>231375700</v>
      </c>
      <c r="U25" s="342"/>
      <c r="V25" s="361"/>
    </row>
    <row r="26" spans="1:22" ht="24.75" customHeight="1" x14ac:dyDescent="0.25">
      <c r="A26" s="382" t="s">
        <v>526</v>
      </c>
      <c r="B26" s="383">
        <f>888802+2284392+1622969</f>
        <v>4796163</v>
      </c>
      <c r="C26" s="384"/>
      <c r="D26" s="383">
        <f>12476497-B26</f>
        <v>7680334</v>
      </c>
      <c r="E26" s="384"/>
      <c r="F26" s="383">
        <f>1741900+4988015+2154965</f>
        <v>8884880</v>
      </c>
      <c r="G26" s="384"/>
      <c r="H26" s="383">
        <f>3979873+14577741+4438395-F26</f>
        <v>14111129</v>
      </c>
      <c r="I26" s="384"/>
      <c r="J26" s="383">
        <f>61973000-24855000+2110143-4366000</f>
        <v>34862143</v>
      </c>
      <c r="K26" s="384"/>
      <c r="L26" s="383">
        <f>140319000-49464000-J26+2926000+3448000-2110143</f>
        <v>60256714</v>
      </c>
      <c r="M26" s="384"/>
      <c r="N26" s="383">
        <f>113629092-25025980</f>
        <v>88603112</v>
      </c>
      <c r="O26" s="384"/>
      <c r="P26" s="383">
        <f>225248372-50018624-N26</f>
        <v>86626636</v>
      </c>
      <c r="Q26" s="384"/>
      <c r="R26" s="383"/>
      <c r="S26" s="384"/>
      <c r="T26" s="346"/>
      <c r="U26" s="348"/>
      <c r="V26" s="361"/>
    </row>
    <row r="27" spans="1:22" ht="24.75" customHeight="1" x14ac:dyDescent="0.25">
      <c r="A27" s="168" t="s">
        <v>544</v>
      </c>
      <c r="B27" s="372">
        <v>112972000</v>
      </c>
      <c r="C27" s="323"/>
      <c r="D27" s="372">
        <v>105608000</v>
      </c>
      <c r="E27" s="323"/>
      <c r="F27" s="372">
        <v>174494000</v>
      </c>
      <c r="G27" s="323"/>
      <c r="H27" s="372">
        <v>199178000</v>
      </c>
      <c r="I27" s="323"/>
      <c r="J27" s="322">
        <v>216165000</v>
      </c>
      <c r="K27" s="323"/>
      <c r="L27" s="322">
        <v>295107000</v>
      </c>
      <c r="M27" s="323"/>
      <c r="N27" s="322">
        <v>375833000</v>
      </c>
      <c r="O27" s="323"/>
      <c r="P27" s="322">
        <f>672419000-375833000</f>
        <v>296586000</v>
      </c>
      <c r="Q27" s="323"/>
      <c r="R27" s="322">
        <v>225000000</v>
      </c>
      <c r="S27" s="323"/>
      <c r="T27" s="20">
        <v>225000000</v>
      </c>
      <c r="U27" s="342"/>
      <c r="V27" s="361"/>
    </row>
    <row r="28" spans="1:22" ht="24.75" customHeight="1" x14ac:dyDescent="0.25">
      <c r="A28" s="382" t="s">
        <v>545</v>
      </c>
      <c r="B28" s="383">
        <v>26542475</v>
      </c>
      <c r="C28" s="384"/>
      <c r="D28" s="383">
        <f>52087947-B28</f>
        <v>25545472</v>
      </c>
      <c r="E28" s="384"/>
      <c r="F28" s="383">
        <f>84620000+11530000</f>
        <v>96150000</v>
      </c>
      <c r="G28" s="384"/>
      <c r="H28" s="383">
        <f>196580000+24992000-F28</f>
        <v>125422000</v>
      </c>
      <c r="I28" s="384"/>
      <c r="J28" s="383">
        <f>116971000+9115000</f>
        <v>126086000</v>
      </c>
      <c r="K28" s="384"/>
      <c r="L28" s="383">
        <f>257963000+18950000-J28</f>
        <v>150827000</v>
      </c>
      <c r="M28" s="384"/>
      <c r="N28" s="383">
        <f>152788000+2416000</f>
        <v>155204000</v>
      </c>
      <c r="O28" s="384"/>
      <c r="P28" s="383">
        <f>298299000+2368000-N28</f>
        <v>145463000</v>
      </c>
      <c r="Q28" s="384"/>
      <c r="R28" s="383">
        <f>(163800000+57000+88600000)/2</f>
        <v>126228500</v>
      </c>
      <c r="S28" s="384"/>
      <c r="T28" s="346">
        <f>(163800000+57000+88600000)/2</f>
        <v>126228500</v>
      </c>
      <c r="U28" s="348"/>
      <c r="V28" s="365"/>
    </row>
    <row r="29" spans="1:22" ht="24.75" customHeight="1" x14ac:dyDescent="0.25">
      <c r="A29" s="168" t="s">
        <v>546</v>
      </c>
      <c r="B29" s="372">
        <f>815823740-1952171</f>
        <v>813871569</v>
      </c>
      <c r="C29" s="373">
        <v>1952171</v>
      </c>
      <c r="D29" s="372">
        <f>928766059-1227334</f>
        <v>927538725</v>
      </c>
      <c r="E29" s="373">
        <v>1227334</v>
      </c>
      <c r="F29" s="372">
        <f>962270689-1418000</f>
        <v>960852689</v>
      </c>
      <c r="G29" s="373">
        <v>1418000</v>
      </c>
      <c r="H29" s="372">
        <f>1095614990-6625000</f>
        <v>1088989990</v>
      </c>
      <c r="I29" s="373">
        <f>5578000+1047000</f>
        <v>6625000</v>
      </c>
      <c r="J29" s="322">
        <f>1080160062-K29</f>
        <v>1072309062</v>
      </c>
      <c r="K29" s="323">
        <v>7851000</v>
      </c>
      <c r="L29" s="322">
        <f>1268373052-M29</f>
        <v>1260534052</v>
      </c>
      <c r="M29" s="323">
        <v>7839000</v>
      </c>
      <c r="N29" s="322">
        <f>1598113726-O29</f>
        <v>1588454726</v>
      </c>
      <c r="O29" s="323">
        <v>9659000</v>
      </c>
      <c r="P29" s="322">
        <f>1715628236-Q29</f>
        <v>1703358236</v>
      </c>
      <c r="Q29" s="323">
        <v>12270000</v>
      </c>
      <c r="R29" s="322">
        <f>1652800000-S29</f>
        <v>1647600000</v>
      </c>
      <c r="S29" s="323">
        <v>5200000</v>
      </c>
      <c r="T29" s="20"/>
      <c r="U29" s="342"/>
      <c r="V29" s="361"/>
    </row>
    <row r="30" spans="1:22" ht="24.75" customHeight="1" x14ac:dyDescent="0.25">
      <c r="A30" s="382" t="s">
        <v>548</v>
      </c>
      <c r="B30" s="383">
        <f>240556000+505117000-C30</f>
        <v>740989500</v>
      </c>
      <c r="C30" s="384">
        <v>4683500</v>
      </c>
      <c r="D30" s="383">
        <f>513158000+442929000-E30</f>
        <v>951403329</v>
      </c>
      <c r="E30" s="384">
        <v>4683671</v>
      </c>
      <c r="F30" s="383">
        <f>795507000+391073000-G30</f>
        <v>1182840918.5999999</v>
      </c>
      <c r="G30" s="384">
        <f>3739.0814*1000</f>
        <v>3739081.4</v>
      </c>
      <c r="H30" s="383">
        <f>820451000+1129184000-I30</f>
        <v>1921251317.7</v>
      </c>
      <c r="I30" s="384">
        <f>28383.6823*1000</f>
        <v>28383682.300000001</v>
      </c>
      <c r="J30" s="383">
        <f>1124417036+600406665-K30</f>
        <v>1712781422.79</v>
      </c>
      <c r="K30" s="384">
        <v>12042278.210000001</v>
      </c>
      <c r="L30" s="383">
        <f>1378247613+528624457-M30</f>
        <v>1894199891.26</v>
      </c>
      <c r="M30" s="384">
        <v>12672178.74</v>
      </c>
      <c r="N30" s="383">
        <f>1570433215+734741434-O30</f>
        <v>2293810756</v>
      </c>
      <c r="O30" s="384">
        <v>11363893</v>
      </c>
      <c r="P30" s="383">
        <f>1527166011+663285071-Q30</f>
        <v>2180866561</v>
      </c>
      <c r="Q30" s="384">
        <v>9584521</v>
      </c>
      <c r="R30" s="383">
        <v>2244000000</v>
      </c>
      <c r="S30" s="384"/>
      <c r="T30" s="346">
        <v>1970000000</v>
      </c>
      <c r="U30" s="348"/>
      <c r="V30" s="361"/>
    </row>
    <row r="31" spans="1:22" ht="24.75" customHeight="1" x14ac:dyDescent="0.25">
      <c r="A31" s="168" t="s">
        <v>549</v>
      </c>
      <c r="B31" s="372">
        <f>80612930+10543600</f>
        <v>91156530</v>
      </c>
      <c r="C31" s="373"/>
      <c r="D31" s="372">
        <f>102722527+7744600</f>
        <v>110467127</v>
      </c>
      <c r="E31" s="373"/>
      <c r="F31" s="372">
        <f>136363430+7544100</f>
        <v>143907530</v>
      </c>
      <c r="G31" s="373"/>
      <c r="H31" s="372">
        <f>150540320+6429500</f>
        <v>156969820</v>
      </c>
      <c r="I31" s="373"/>
      <c r="J31" s="322">
        <f>87270000+6916200</f>
        <v>94186200</v>
      </c>
      <c r="K31" s="323"/>
      <c r="L31" s="322">
        <f>143809000+10364100</f>
        <v>154173100</v>
      </c>
      <c r="M31" s="323"/>
      <c r="N31" s="322">
        <v>148151000</v>
      </c>
      <c r="O31" s="323"/>
      <c r="P31" s="322">
        <v>141967618</v>
      </c>
      <c r="Q31" s="323"/>
      <c r="R31" s="322"/>
      <c r="S31" s="323"/>
      <c r="T31" s="20"/>
      <c r="U31" s="342"/>
      <c r="V31" s="361"/>
    </row>
    <row r="32" spans="1:22" ht="24.75" customHeight="1" x14ac:dyDescent="0.25">
      <c r="A32" s="382" t="s">
        <v>314</v>
      </c>
      <c r="B32" s="383">
        <v>6777800</v>
      </c>
      <c r="C32" s="384"/>
      <c r="D32" s="383">
        <f>15992602-B32</f>
        <v>9214802</v>
      </c>
      <c r="E32" s="384"/>
      <c r="F32" s="383">
        <v>13216459</v>
      </c>
      <c r="G32" s="384"/>
      <c r="H32" s="383">
        <f>29135555-F32</f>
        <v>15919096</v>
      </c>
      <c r="I32" s="384"/>
      <c r="J32" s="383">
        <v>12273028</v>
      </c>
      <c r="K32" s="384"/>
      <c r="L32" s="383">
        <f>27332827-J32</f>
        <v>15059799</v>
      </c>
      <c r="M32" s="384"/>
      <c r="N32" s="383">
        <v>17766256</v>
      </c>
      <c r="O32" s="384"/>
      <c r="P32" s="383">
        <v>16405744</v>
      </c>
      <c r="Q32" s="384"/>
      <c r="R32" s="383">
        <v>23450000</v>
      </c>
      <c r="S32" s="384"/>
      <c r="T32" s="346">
        <v>23450000</v>
      </c>
      <c r="U32" s="348"/>
      <c r="V32" s="361"/>
    </row>
    <row r="33" spans="1:22" ht="24.75" customHeight="1" x14ac:dyDescent="0.25">
      <c r="A33" s="168" t="s">
        <v>61</v>
      </c>
      <c r="B33" s="322">
        <f>76590474+5020910</f>
        <v>81611384</v>
      </c>
      <c r="C33" s="323"/>
      <c r="D33" s="322">
        <f>75474361+9669724+2616306</f>
        <v>87760391</v>
      </c>
      <c r="E33" s="323"/>
      <c r="F33" s="322">
        <f>85965967+16927646</f>
        <v>102893613</v>
      </c>
      <c r="G33" s="323"/>
      <c r="H33" s="322">
        <f>81497238+42435683</f>
        <v>123932921</v>
      </c>
      <c r="I33" s="323"/>
      <c r="J33" s="322">
        <v>125453918</v>
      </c>
      <c r="K33" s="323"/>
      <c r="L33" s="322">
        <v>238872294</v>
      </c>
      <c r="M33" s="323"/>
      <c r="N33" s="322">
        <v>288176000</v>
      </c>
      <c r="O33" s="323">
        <v>3812000</v>
      </c>
      <c r="P33" s="322">
        <v>218744000</v>
      </c>
      <c r="Q33" s="323">
        <v>1569000</v>
      </c>
      <c r="R33" s="322">
        <v>167495000</v>
      </c>
      <c r="S33" s="323"/>
      <c r="T33" s="20">
        <v>165775000</v>
      </c>
      <c r="U33" s="342"/>
      <c r="V33" s="361"/>
    </row>
    <row r="34" spans="1:22" ht="24.75" customHeight="1" x14ac:dyDescent="0.25">
      <c r="A34" s="382" t="s">
        <v>313</v>
      </c>
      <c r="B34" s="383">
        <v>376264576</v>
      </c>
      <c r="C34" s="384">
        <v>15083103</v>
      </c>
      <c r="D34" s="383">
        <v>385606574</v>
      </c>
      <c r="E34" s="384">
        <v>17020424</v>
      </c>
      <c r="F34" s="383">
        <v>434695569</v>
      </c>
      <c r="G34" s="384">
        <v>19941138</v>
      </c>
      <c r="H34" s="383">
        <v>527933644</v>
      </c>
      <c r="I34" s="384">
        <v>15548574</v>
      </c>
      <c r="J34" s="383">
        <v>566162781</v>
      </c>
      <c r="K34" s="384">
        <v>5102133</v>
      </c>
      <c r="L34" s="383">
        <v>624889688.11599994</v>
      </c>
      <c r="M34" s="384">
        <v>6555569.1760000009</v>
      </c>
      <c r="N34" s="383">
        <v>766628883.02100003</v>
      </c>
      <c r="O34" s="384">
        <v>16274616</v>
      </c>
      <c r="P34" s="383">
        <v>920211374.75700033</v>
      </c>
      <c r="Q34" s="384">
        <v>9420497</v>
      </c>
      <c r="R34" s="383">
        <v>704600000</v>
      </c>
      <c r="S34" s="384">
        <v>6800000</v>
      </c>
      <c r="T34" s="346">
        <v>739830000</v>
      </c>
      <c r="U34" s="348">
        <v>7140000</v>
      </c>
      <c r="V34" s="361"/>
    </row>
    <row r="35" spans="1:22" ht="24.75" customHeight="1" x14ac:dyDescent="0.25">
      <c r="A35" s="168" t="s">
        <v>298</v>
      </c>
      <c r="B35" s="322">
        <f>14507837+119109-25000</f>
        <v>14601946</v>
      </c>
      <c r="C35" s="323"/>
      <c r="D35" s="322">
        <f>15137145+1000000</f>
        <v>16137145</v>
      </c>
      <c r="E35" s="323"/>
      <c r="F35" s="322">
        <f>18033811+235532</f>
        <v>18269343</v>
      </c>
      <c r="G35" s="371"/>
      <c r="H35" s="322">
        <f>18059149+1661279</f>
        <v>19720428</v>
      </c>
      <c r="I35" s="323"/>
      <c r="J35" s="322">
        <f>19586033+4638700</f>
        <v>24224733</v>
      </c>
      <c r="K35" s="323"/>
      <c r="L35" s="322">
        <f>25995267+4000000</f>
        <v>29995267</v>
      </c>
      <c r="M35" s="323"/>
      <c r="N35" s="322">
        <f>31493323+4000000</f>
        <v>35493323</v>
      </c>
      <c r="O35" s="323"/>
      <c r="P35" s="322">
        <f>36123774+4000000</f>
        <v>40123774</v>
      </c>
      <c r="Q35" s="323"/>
      <c r="R35" s="322">
        <v>52409000</v>
      </c>
      <c r="S35" s="323"/>
      <c r="T35" s="20">
        <v>52409000</v>
      </c>
      <c r="U35" s="342"/>
      <c r="V35" s="361"/>
    </row>
    <row r="36" spans="1:22" ht="24.75" customHeight="1" x14ac:dyDescent="0.25">
      <c r="A36" s="382" t="s">
        <v>320</v>
      </c>
      <c r="B36" s="383">
        <v>2552233.9229853861</v>
      </c>
      <c r="C36" s="384"/>
      <c r="D36" s="383">
        <v>2714662.6174906362</v>
      </c>
      <c r="E36" s="384"/>
      <c r="F36" s="383">
        <v>4191143.4570691995</v>
      </c>
      <c r="G36" s="384"/>
      <c r="H36" s="383">
        <v>2712416.6089349114</v>
      </c>
      <c r="I36" s="384"/>
      <c r="J36" s="383">
        <v>2981714</v>
      </c>
      <c r="K36" s="384"/>
      <c r="L36" s="383">
        <v>3863230</v>
      </c>
      <c r="M36" s="384"/>
      <c r="N36" s="383">
        <v>6540232.8165808301</v>
      </c>
      <c r="O36" s="384"/>
      <c r="P36" s="383">
        <v>6638365.1549783545</v>
      </c>
      <c r="Q36" s="384"/>
      <c r="R36" s="383">
        <v>6750000</v>
      </c>
      <c r="S36" s="384"/>
      <c r="T36" s="346">
        <v>7700000</v>
      </c>
      <c r="U36" s="348"/>
      <c r="V36" s="361"/>
    </row>
    <row r="37" spans="1:22" ht="24.75" customHeight="1" x14ac:dyDescent="0.25">
      <c r="A37" s="168" t="s">
        <v>98</v>
      </c>
      <c r="B37" s="322">
        <f>(755000+2895000+1327000+177000)/1.68</f>
        <v>3067857.1428571432</v>
      </c>
      <c r="C37" s="378"/>
      <c r="D37" s="322">
        <f>(497000+3058000+1159000+245000)/1.68</f>
        <v>2951785.7142857146</v>
      </c>
      <c r="E37" s="323"/>
      <c r="F37" s="322">
        <f>(900000+3550000+1303000+64000)/1.3</f>
        <v>4474615.384615384</v>
      </c>
      <c r="G37" s="323"/>
      <c r="H37" s="324">
        <f>(1778000-213000+4251000+1262000+339000)/1.3</f>
        <v>5705384.615384615</v>
      </c>
      <c r="I37" s="325"/>
      <c r="J37" s="322">
        <f>(196307+674116+510277+4606000+1480000)/1.21</f>
        <v>6170826.4462809917</v>
      </c>
      <c r="K37" s="323"/>
      <c r="L37" s="322">
        <f>(198328+526947+1030437+4557000+1561000)/1.21</f>
        <v>6507200</v>
      </c>
      <c r="M37" s="323"/>
      <c r="N37" s="322">
        <f>(200000+500000+500000+4600000+1400000)/1.14</f>
        <v>6315789.4736842113</v>
      </c>
      <c r="O37" s="323"/>
      <c r="P37" s="322">
        <f>(200000+500000+500000+4600000+1400000)/1.14</f>
        <v>6315789.4736842113</v>
      </c>
      <c r="Q37" s="323"/>
      <c r="R37" s="322"/>
      <c r="S37" s="323"/>
      <c r="T37" s="20"/>
      <c r="U37" s="342"/>
      <c r="V37" s="361"/>
    </row>
    <row r="38" spans="1:22" ht="24.75" customHeight="1" x14ac:dyDescent="0.25">
      <c r="A38" s="382" t="s">
        <v>310</v>
      </c>
      <c r="B38" s="383">
        <v>1941462730</v>
      </c>
      <c r="C38" s="384"/>
      <c r="D38" s="383">
        <v>3713227860</v>
      </c>
      <c r="E38" s="384"/>
      <c r="F38" s="383">
        <v>3267640392.3000002</v>
      </c>
      <c r="G38" s="384"/>
      <c r="H38" s="383">
        <v>2963462320</v>
      </c>
      <c r="I38" s="384"/>
      <c r="J38" s="383">
        <v>2353589000</v>
      </c>
      <c r="K38" s="384">
        <v>387410000</v>
      </c>
      <c r="L38" s="383">
        <v>2386487000</v>
      </c>
      <c r="M38" s="384">
        <v>460787000</v>
      </c>
      <c r="N38" s="383">
        <v>4303900000</v>
      </c>
      <c r="O38" s="384">
        <v>918000000</v>
      </c>
      <c r="P38" s="383">
        <v>3507800000</v>
      </c>
      <c r="Q38" s="384">
        <v>764100000</v>
      </c>
      <c r="R38" s="383"/>
      <c r="S38" s="384"/>
      <c r="T38" s="346"/>
      <c r="U38" s="348"/>
      <c r="V38" s="361"/>
    </row>
    <row r="39" spans="1:22" s="366" customFormat="1" ht="24.75" customHeight="1" x14ac:dyDescent="0.25">
      <c r="A39" s="168" t="s">
        <v>551</v>
      </c>
      <c r="B39" s="322">
        <v>606903833</v>
      </c>
      <c r="C39" s="323">
        <v>10887850</v>
      </c>
      <c r="D39" s="322">
        <v>677551538</v>
      </c>
      <c r="E39" s="323">
        <v>69930180</v>
      </c>
      <c r="F39" s="322">
        <v>854768083</v>
      </c>
      <c r="G39" s="323">
        <v>15909050</v>
      </c>
      <c r="H39" s="322">
        <v>1117016997</v>
      </c>
      <c r="I39" s="323">
        <v>35821529</v>
      </c>
      <c r="J39" s="322">
        <f>1506996238-K39</f>
        <v>1496690586</v>
      </c>
      <c r="K39" s="323">
        <v>10305652</v>
      </c>
      <c r="L39" s="322">
        <f>3183160863-M39-J39-K39</f>
        <v>1638923634</v>
      </c>
      <c r="M39" s="323">
        <f>47546643-K39</f>
        <v>37240991</v>
      </c>
      <c r="N39" s="322">
        <f>+P39</f>
        <v>1309263791.5</v>
      </c>
      <c r="O39" s="323">
        <f>+Q39</f>
        <v>63245490.5</v>
      </c>
      <c r="P39" s="322">
        <f>(2745018564-126490981)/2</f>
        <v>1309263791.5</v>
      </c>
      <c r="Q39" s="323">
        <f>126490981/2</f>
        <v>63245490.5</v>
      </c>
      <c r="R39" s="322">
        <v>1235258000</v>
      </c>
      <c r="S39" s="323"/>
      <c r="T39" s="20">
        <v>1235258000</v>
      </c>
      <c r="U39" s="342"/>
      <c r="V39" s="361"/>
    </row>
    <row r="40" spans="1:22" ht="24.75" customHeight="1" x14ac:dyDescent="0.25">
      <c r="A40" s="382" t="s">
        <v>553</v>
      </c>
      <c r="B40" s="383">
        <v>4932370</v>
      </c>
      <c r="C40" s="384"/>
      <c r="D40" s="383">
        <v>3332738</v>
      </c>
      <c r="E40" s="384"/>
      <c r="F40" s="383">
        <v>6177175</v>
      </c>
      <c r="G40" s="384"/>
      <c r="H40" s="383">
        <v>4517827</v>
      </c>
      <c r="I40" s="384"/>
      <c r="J40" s="383">
        <v>4482766</v>
      </c>
      <c r="K40" s="384"/>
      <c r="L40" s="383">
        <v>9089985</v>
      </c>
      <c r="M40" s="384"/>
      <c r="N40" s="383">
        <v>7801311</v>
      </c>
      <c r="O40" s="384"/>
      <c r="P40" s="383">
        <v>9058001</v>
      </c>
      <c r="Q40" s="384"/>
      <c r="R40" s="383">
        <v>5509709</v>
      </c>
      <c r="S40" s="384"/>
      <c r="T40" s="346">
        <v>5509709</v>
      </c>
      <c r="U40" s="348"/>
      <c r="V40" s="361"/>
    </row>
    <row r="41" spans="1:22" ht="24.75" customHeight="1" x14ac:dyDescent="0.25">
      <c r="A41" s="168" t="s">
        <v>93</v>
      </c>
      <c r="B41" s="322">
        <v>22239200</v>
      </c>
      <c r="C41" s="323">
        <v>7200000</v>
      </c>
      <c r="D41" s="322">
        <v>24586300</v>
      </c>
      <c r="E41" s="323">
        <v>7200000</v>
      </c>
      <c r="F41" s="322">
        <v>17726000</v>
      </c>
      <c r="G41" s="323">
        <v>7700000</v>
      </c>
      <c r="H41" s="322">
        <v>18738000</v>
      </c>
      <c r="I41" s="323"/>
      <c r="J41" s="20">
        <f>14825000+605000</f>
        <v>15430000</v>
      </c>
      <c r="K41" s="323"/>
      <c r="L41" s="20">
        <f>16168000+1388000</f>
        <v>17556000</v>
      </c>
      <c r="M41" s="323"/>
      <c r="N41" s="322">
        <f>29952658.65/1.097</f>
        <v>27304155.560619872</v>
      </c>
      <c r="O41" s="323"/>
      <c r="P41" s="322">
        <f>30342912.55/1.001</f>
        <v>30312599.950049955</v>
      </c>
      <c r="Q41" s="323"/>
      <c r="R41" s="322">
        <v>30000000</v>
      </c>
      <c r="S41" s="323"/>
      <c r="T41" s="20">
        <v>30000000</v>
      </c>
      <c r="U41" s="342"/>
      <c r="V41" s="361"/>
    </row>
    <row r="42" spans="1:22" ht="24.75" customHeight="1" thickBot="1" x14ac:dyDescent="0.3">
      <c r="A42" s="382" t="s">
        <v>493</v>
      </c>
      <c r="B42" s="383">
        <f>19270249.88/1.49</f>
        <v>12933053.610738255</v>
      </c>
      <c r="C42" s="384"/>
      <c r="D42" s="383">
        <f>22228725.51/1.3</f>
        <v>17099019.623076923</v>
      </c>
      <c r="E42" s="384"/>
      <c r="F42" s="383">
        <f>30982941.2/1.14</f>
        <v>27178018.596491229</v>
      </c>
      <c r="G42" s="384"/>
      <c r="H42" s="383">
        <f>27863158.56/1.31</f>
        <v>21269586.687022898</v>
      </c>
      <c r="I42" s="384"/>
      <c r="J42" s="383">
        <f>28441203.53/1.21</f>
        <v>23505126.884297524</v>
      </c>
      <c r="K42" s="384"/>
      <c r="L42" s="383">
        <f>31283241.4/1.12</f>
        <v>27931465.535714284</v>
      </c>
      <c r="M42" s="384"/>
      <c r="N42" s="383">
        <f>28558882.25/1.12</f>
        <v>25499002.008928567</v>
      </c>
      <c r="O42" s="384"/>
      <c r="P42" s="383">
        <v>24026250</v>
      </c>
      <c r="Q42" s="384"/>
      <c r="R42" s="383">
        <v>24000000</v>
      </c>
      <c r="S42" s="384"/>
      <c r="T42" s="346">
        <v>24000000</v>
      </c>
      <c r="U42" s="348"/>
      <c r="V42" s="361"/>
    </row>
    <row r="43" spans="1:22" s="368" customFormat="1" ht="24.75" customHeight="1" thickTop="1" thickBot="1" x14ac:dyDescent="0.25">
      <c r="A43" s="385" t="s">
        <v>97</v>
      </c>
      <c r="B43" s="386">
        <f t="shared" ref="B43:U43" si="0">SUM(B7:B42)</f>
        <v>8992017079.5018826</v>
      </c>
      <c r="C43" s="387">
        <f t="shared" si="0"/>
        <v>43379751.5</v>
      </c>
      <c r="D43" s="386">
        <f t="shared" si="0"/>
        <v>11672233338.174854</v>
      </c>
      <c r="E43" s="387">
        <f t="shared" si="0"/>
        <v>105812736.5</v>
      </c>
      <c r="F43" s="386">
        <f t="shared" si="0"/>
        <v>12473272023.338175</v>
      </c>
      <c r="G43" s="387">
        <f t="shared" si="0"/>
        <v>56004269.399999999</v>
      </c>
      <c r="H43" s="386">
        <f t="shared" si="0"/>
        <v>15217602220.511343</v>
      </c>
      <c r="I43" s="387">
        <f t="shared" si="0"/>
        <v>94912785.299999997</v>
      </c>
      <c r="J43" s="386">
        <f t="shared" si="0"/>
        <v>14834428106.309397</v>
      </c>
      <c r="K43" s="387">
        <f t="shared" si="0"/>
        <v>432052063.20999998</v>
      </c>
      <c r="L43" s="386">
        <f t="shared" si="0"/>
        <v>16670482832.284031</v>
      </c>
      <c r="M43" s="387">
        <f t="shared" si="0"/>
        <v>533244738.91600001</v>
      </c>
      <c r="N43" s="386">
        <f t="shared" si="0"/>
        <v>19866014912.094955</v>
      </c>
      <c r="O43" s="387">
        <f t="shared" si="0"/>
        <v>1034131538.5</v>
      </c>
      <c r="P43" s="386">
        <f t="shared" si="0"/>
        <v>18374557881.798874</v>
      </c>
      <c r="Q43" s="387">
        <f t="shared" si="0"/>
        <v>872669512.5</v>
      </c>
      <c r="R43" s="386">
        <f t="shared" si="0"/>
        <v>12114639586.494804</v>
      </c>
      <c r="S43" s="387">
        <f t="shared" si="0"/>
        <v>23740000</v>
      </c>
      <c r="T43" s="388">
        <f t="shared" si="0"/>
        <v>10153601725.924156</v>
      </c>
      <c r="U43" s="389">
        <f t="shared" si="0"/>
        <v>18431000</v>
      </c>
      <c r="V43" s="367"/>
    </row>
    <row r="44" spans="1:22" ht="15.75" thickTop="1" x14ac:dyDescent="0.2">
      <c r="A44" s="24"/>
      <c r="B44" s="21"/>
      <c r="C44" s="21"/>
      <c r="D44" s="21"/>
      <c r="E44" s="21"/>
      <c r="F44" s="23"/>
      <c r="G44" s="23"/>
      <c r="H44" s="21"/>
      <c r="I44" s="21"/>
      <c r="J44" s="21"/>
      <c r="K44" s="21"/>
      <c r="L44" s="21"/>
      <c r="M44" s="21"/>
      <c r="N44" s="21"/>
      <c r="O44" s="21"/>
      <c r="P44" s="21"/>
      <c r="Q44" s="21"/>
      <c r="R44" s="21"/>
      <c r="S44" s="21"/>
      <c r="T44" s="21"/>
      <c r="U44" s="21"/>
      <c r="V44" s="361"/>
    </row>
    <row r="45" spans="1:22" ht="15" x14ac:dyDescent="0.2">
      <c r="A45" s="18"/>
      <c r="B45" s="21"/>
      <c r="C45" s="21"/>
      <c r="D45" s="21"/>
      <c r="E45" s="21"/>
      <c r="F45" s="23"/>
      <c r="G45" s="23"/>
      <c r="H45" s="21"/>
      <c r="I45" s="21"/>
      <c r="J45" s="21"/>
      <c r="K45" s="21"/>
      <c r="L45" s="21"/>
      <c r="M45" s="21"/>
      <c r="N45" s="21"/>
      <c r="O45" s="21"/>
      <c r="P45" s="21"/>
      <c r="Q45" s="21"/>
      <c r="R45" s="21"/>
      <c r="S45" s="21"/>
      <c r="T45" s="21"/>
      <c r="U45" s="21"/>
      <c r="V45" s="361"/>
    </row>
    <row r="46" spans="1:22" ht="15" x14ac:dyDescent="0.2">
      <c r="A46" s="24"/>
      <c r="B46" s="21"/>
      <c r="C46" s="21"/>
      <c r="D46" s="21"/>
      <c r="E46" s="21"/>
      <c r="F46" s="23"/>
      <c r="G46" s="23"/>
      <c r="H46" s="21"/>
      <c r="I46" s="21"/>
      <c r="J46" s="21"/>
      <c r="K46" s="21"/>
      <c r="L46" s="21"/>
      <c r="M46" s="21"/>
      <c r="N46" s="21"/>
      <c r="O46" s="21"/>
      <c r="P46" s="21"/>
      <c r="Q46" s="21"/>
      <c r="R46" s="21"/>
      <c r="S46" s="21"/>
      <c r="T46" s="21"/>
      <c r="U46" s="21"/>
      <c r="V46" s="361"/>
    </row>
    <row r="47" spans="1:22" ht="15" x14ac:dyDescent="0.2">
      <c r="A47" s="21"/>
      <c r="B47" s="21"/>
      <c r="C47" s="21"/>
      <c r="D47" s="21"/>
      <c r="E47" s="21"/>
      <c r="F47" s="23"/>
      <c r="G47" s="23"/>
      <c r="H47" s="21"/>
      <c r="I47" s="21"/>
      <c r="J47" s="21"/>
      <c r="K47" s="21"/>
      <c r="L47" s="21"/>
      <c r="M47" s="21"/>
      <c r="N47" s="21"/>
      <c r="O47" s="21"/>
      <c r="P47" s="21"/>
      <c r="Q47" s="21"/>
      <c r="R47" s="21"/>
      <c r="S47" s="21"/>
      <c r="T47" s="21"/>
      <c r="U47" s="21"/>
      <c r="V47" s="361"/>
    </row>
    <row r="48" spans="1:22" ht="15" x14ac:dyDescent="0.2">
      <c r="A48" s="21"/>
      <c r="B48" s="21"/>
      <c r="C48" s="21"/>
      <c r="D48" s="21"/>
      <c r="E48" s="21"/>
      <c r="F48" s="23"/>
      <c r="G48" s="23"/>
      <c r="H48" s="21"/>
      <c r="I48" s="21"/>
      <c r="J48" s="21"/>
      <c r="K48" s="21"/>
      <c r="L48" s="21"/>
      <c r="M48" s="21"/>
      <c r="N48" s="21"/>
      <c r="O48" s="21"/>
      <c r="P48" s="21"/>
      <c r="Q48" s="21"/>
      <c r="R48" s="21"/>
      <c r="S48" s="21"/>
      <c r="T48" s="21"/>
      <c r="U48" s="21"/>
      <c r="V48" s="361"/>
    </row>
    <row r="49" spans="1:22" ht="15" x14ac:dyDescent="0.2">
      <c r="A49" s="21"/>
      <c r="B49" s="21"/>
      <c r="C49" s="21"/>
      <c r="D49" s="21"/>
      <c r="E49" s="21"/>
      <c r="F49" s="23"/>
      <c r="G49" s="23"/>
      <c r="H49" s="21"/>
      <c r="I49" s="21"/>
      <c r="J49" s="21"/>
      <c r="K49" s="21"/>
      <c r="L49" s="21"/>
      <c r="M49" s="21"/>
      <c r="N49" s="21"/>
      <c r="O49" s="21"/>
      <c r="P49" s="21"/>
      <c r="Q49" s="21"/>
      <c r="R49" s="21"/>
      <c r="S49" s="21"/>
      <c r="T49" s="21"/>
      <c r="U49" s="21"/>
      <c r="V49" s="361"/>
    </row>
    <row r="50" spans="1:22" ht="15" x14ac:dyDescent="0.2">
      <c r="A50" s="21"/>
      <c r="B50" s="21"/>
      <c r="C50" s="21"/>
      <c r="D50" s="21"/>
      <c r="E50" s="21"/>
      <c r="F50" s="23"/>
      <c r="G50" s="23"/>
      <c r="H50" s="21"/>
      <c r="I50" s="21"/>
      <c r="J50" s="21"/>
      <c r="K50" s="21"/>
      <c r="L50" s="21"/>
      <c r="M50" s="21"/>
      <c r="N50" s="21"/>
      <c r="O50" s="21"/>
      <c r="P50" s="21"/>
      <c r="Q50" s="21"/>
      <c r="R50" s="21"/>
      <c r="S50" s="21"/>
      <c r="T50" s="21"/>
      <c r="U50" s="21"/>
      <c r="V50" s="361"/>
    </row>
    <row r="51" spans="1:22" ht="15" x14ac:dyDescent="0.2">
      <c r="A51" s="21"/>
      <c r="B51" s="21"/>
      <c r="C51" s="21"/>
      <c r="D51" s="21"/>
      <c r="E51" s="21"/>
      <c r="F51" s="23"/>
      <c r="G51" s="23"/>
      <c r="H51" s="21"/>
      <c r="I51" s="21"/>
      <c r="J51" s="21"/>
      <c r="K51" s="21"/>
      <c r="L51" s="21"/>
      <c r="M51" s="21"/>
      <c r="N51" s="21"/>
      <c r="O51" s="21"/>
      <c r="P51" s="21"/>
      <c r="Q51" s="21"/>
      <c r="R51" s="21"/>
      <c r="S51" s="21"/>
      <c r="T51" s="21"/>
      <c r="U51" s="21"/>
      <c r="V51" s="361"/>
    </row>
    <row r="52" spans="1:22" ht="15" x14ac:dyDescent="0.2">
      <c r="A52" s="21"/>
      <c r="B52" s="21"/>
      <c r="C52" s="21"/>
      <c r="D52" s="21"/>
      <c r="E52" s="21"/>
      <c r="F52" s="23"/>
      <c r="G52" s="23"/>
      <c r="H52" s="21"/>
      <c r="I52" s="21"/>
      <c r="J52" s="21"/>
      <c r="K52" s="21"/>
      <c r="L52" s="21"/>
      <c r="M52" s="21"/>
      <c r="N52" s="21"/>
      <c r="O52" s="21"/>
      <c r="P52" s="21"/>
      <c r="Q52" s="21"/>
      <c r="R52" s="21"/>
      <c r="S52" s="21"/>
      <c r="T52" s="21"/>
      <c r="U52" s="21"/>
      <c r="V52" s="361"/>
    </row>
    <row r="53" spans="1:22" ht="15" x14ac:dyDescent="0.2">
      <c r="A53" s="21"/>
      <c r="B53" s="21"/>
      <c r="C53" s="21"/>
      <c r="D53" s="21"/>
      <c r="E53" s="21"/>
      <c r="F53" s="23"/>
      <c r="G53" s="23"/>
      <c r="H53" s="21"/>
      <c r="I53" s="21"/>
      <c r="J53" s="21"/>
      <c r="K53" s="21"/>
      <c r="L53" s="21"/>
      <c r="M53" s="21"/>
      <c r="N53" s="21"/>
      <c r="O53" s="21"/>
      <c r="P53" s="21"/>
      <c r="Q53" s="21"/>
      <c r="R53" s="21"/>
      <c r="S53" s="21"/>
      <c r="T53" s="21"/>
      <c r="U53" s="21"/>
      <c r="V53" s="361"/>
    </row>
    <row r="54" spans="1:22" ht="15" x14ac:dyDescent="0.2">
      <c r="A54" s="21"/>
      <c r="B54" s="21"/>
      <c r="C54" s="21"/>
      <c r="D54" s="21"/>
      <c r="E54" s="21"/>
      <c r="F54" s="23"/>
      <c r="G54" s="23"/>
      <c r="H54" s="21"/>
      <c r="I54" s="21"/>
      <c r="J54" s="21"/>
      <c r="K54" s="21"/>
      <c r="L54" s="21"/>
      <c r="M54" s="21"/>
      <c r="N54" s="21"/>
      <c r="O54" s="21"/>
      <c r="P54" s="21"/>
      <c r="Q54" s="21"/>
      <c r="R54" s="21"/>
      <c r="S54" s="21"/>
      <c r="T54" s="21"/>
      <c r="U54" s="21"/>
      <c r="V54" s="361"/>
    </row>
    <row r="55" spans="1:22" ht="15" x14ac:dyDescent="0.2">
      <c r="A55" s="21"/>
      <c r="B55" s="21"/>
      <c r="C55" s="21"/>
      <c r="D55" s="21"/>
      <c r="E55" s="21"/>
      <c r="F55" s="23"/>
      <c r="G55" s="23"/>
      <c r="H55" s="21"/>
      <c r="I55" s="21"/>
      <c r="J55" s="21"/>
      <c r="K55" s="21"/>
      <c r="L55" s="21"/>
      <c r="M55" s="21"/>
      <c r="N55" s="21"/>
      <c r="O55" s="21"/>
      <c r="P55" s="21"/>
      <c r="Q55" s="21"/>
      <c r="R55" s="21"/>
      <c r="S55" s="21"/>
      <c r="T55" s="21"/>
      <c r="U55" s="21"/>
      <c r="V55" s="361"/>
    </row>
    <row r="56" spans="1:22" ht="15" x14ac:dyDescent="0.2">
      <c r="A56" s="21"/>
      <c r="B56" s="21"/>
      <c r="C56" s="21"/>
      <c r="D56" s="21"/>
      <c r="E56" s="21"/>
      <c r="F56" s="23"/>
      <c r="G56" s="23"/>
      <c r="H56" s="21"/>
      <c r="I56" s="21"/>
      <c r="J56" s="21"/>
      <c r="K56" s="21"/>
      <c r="L56" s="21"/>
      <c r="M56" s="21"/>
      <c r="N56" s="21"/>
      <c r="O56" s="21"/>
      <c r="P56" s="21"/>
      <c r="Q56" s="21"/>
      <c r="R56" s="21"/>
      <c r="S56" s="21"/>
      <c r="T56" s="21"/>
      <c r="U56" s="21"/>
      <c r="V56" s="361"/>
    </row>
    <row r="57" spans="1:22" ht="15" x14ac:dyDescent="0.2">
      <c r="A57" s="21"/>
      <c r="B57" s="21"/>
      <c r="C57" s="21"/>
      <c r="D57" s="21"/>
      <c r="E57" s="21"/>
      <c r="F57" s="23"/>
      <c r="G57" s="23"/>
      <c r="H57" s="21"/>
      <c r="I57" s="21"/>
      <c r="J57" s="21"/>
      <c r="K57" s="21"/>
      <c r="L57" s="21"/>
      <c r="M57" s="21"/>
      <c r="N57" s="21"/>
      <c r="O57" s="21"/>
      <c r="P57" s="21"/>
      <c r="Q57" s="21"/>
      <c r="R57" s="21"/>
      <c r="S57" s="21"/>
      <c r="T57" s="21"/>
      <c r="U57" s="21"/>
      <c r="V57" s="361"/>
    </row>
    <row r="58" spans="1:22" ht="15" x14ac:dyDescent="0.2">
      <c r="A58" s="21"/>
      <c r="B58" s="21"/>
      <c r="C58" s="21"/>
      <c r="D58" s="21"/>
      <c r="E58" s="21"/>
      <c r="F58" s="23"/>
      <c r="G58" s="23"/>
      <c r="H58" s="21"/>
      <c r="I58" s="21"/>
      <c r="J58" s="21"/>
      <c r="K58" s="21"/>
      <c r="L58" s="21"/>
      <c r="M58" s="21"/>
      <c r="N58" s="21"/>
      <c r="O58" s="21"/>
      <c r="P58" s="21"/>
      <c r="Q58" s="21"/>
      <c r="R58" s="21"/>
      <c r="S58" s="21"/>
      <c r="T58" s="21"/>
      <c r="U58" s="21"/>
      <c r="V58" s="361"/>
    </row>
    <row r="59" spans="1:22" ht="15" x14ac:dyDescent="0.2">
      <c r="A59" s="21"/>
      <c r="B59" s="21"/>
      <c r="C59" s="21"/>
      <c r="D59" s="21"/>
      <c r="E59" s="21"/>
      <c r="F59" s="23"/>
      <c r="G59" s="23"/>
      <c r="H59" s="21"/>
      <c r="I59" s="21"/>
      <c r="J59" s="21"/>
      <c r="K59" s="21"/>
      <c r="L59" s="21"/>
      <c r="M59" s="21"/>
      <c r="N59" s="21"/>
      <c r="O59" s="21"/>
      <c r="P59" s="21"/>
      <c r="Q59" s="21"/>
      <c r="R59" s="21"/>
      <c r="S59" s="21"/>
      <c r="T59" s="21"/>
      <c r="U59" s="21"/>
      <c r="V59" s="361"/>
    </row>
    <row r="60" spans="1:22" ht="15" x14ac:dyDescent="0.2">
      <c r="A60" s="21"/>
      <c r="B60" s="21"/>
      <c r="C60" s="21"/>
      <c r="D60" s="21"/>
      <c r="E60" s="21"/>
      <c r="F60" s="23"/>
      <c r="G60" s="23"/>
      <c r="H60" s="21"/>
      <c r="I60" s="21"/>
      <c r="J60" s="21"/>
      <c r="K60" s="21"/>
      <c r="L60" s="21"/>
      <c r="M60" s="21"/>
      <c r="N60" s="21"/>
      <c r="O60" s="21"/>
      <c r="P60" s="21"/>
      <c r="Q60" s="21"/>
      <c r="R60" s="21"/>
      <c r="S60" s="21"/>
      <c r="T60" s="21"/>
      <c r="U60" s="21"/>
      <c r="V60" s="361"/>
    </row>
    <row r="61" spans="1:22" ht="15" x14ac:dyDescent="0.2">
      <c r="A61" s="21"/>
      <c r="B61" s="21"/>
      <c r="C61" s="21"/>
      <c r="D61" s="21"/>
      <c r="E61" s="21"/>
      <c r="F61" s="23"/>
      <c r="G61" s="23"/>
      <c r="H61" s="21"/>
      <c r="I61" s="21"/>
      <c r="J61" s="21"/>
      <c r="K61" s="21"/>
      <c r="L61" s="21"/>
      <c r="M61" s="21"/>
      <c r="N61" s="21"/>
      <c r="O61" s="21"/>
      <c r="P61" s="21"/>
      <c r="Q61" s="21"/>
      <c r="R61" s="21"/>
      <c r="S61" s="21"/>
      <c r="T61" s="21"/>
      <c r="U61" s="21"/>
      <c r="V61" s="361"/>
    </row>
    <row r="62" spans="1:22" ht="15" x14ac:dyDescent="0.2">
      <c r="A62" s="21"/>
      <c r="B62" s="21"/>
      <c r="C62" s="21"/>
      <c r="D62" s="21"/>
      <c r="E62" s="21"/>
      <c r="F62" s="23"/>
      <c r="G62" s="23"/>
      <c r="H62" s="21"/>
      <c r="I62" s="21"/>
      <c r="J62" s="21"/>
      <c r="K62" s="21"/>
      <c r="L62" s="21"/>
      <c r="M62" s="21"/>
      <c r="N62" s="21"/>
      <c r="O62" s="21"/>
      <c r="P62" s="21"/>
      <c r="Q62" s="21"/>
      <c r="R62" s="21"/>
      <c r="S62" s="21"/>
      <c r="T62" s="21"/>
      <c r="U62" s="21"/>
      <c r="V62" s="361"/>
    </row>
    <row r="63" spans="1:22" ht="15" x14ac:dyDescent="0.2">
      <c r="A63" s="21"/>
      <c r="B63" s="21"/>
      <c r="C63" s="21"/>
      <c r="D63" s="21"/>
      <c r="E63" s="21"/>
      <c r="F63" s="23"/>
      <c r="G63" s="23"/>
      <c r="H63" s="21"/>
      <c r="I63" s="21"/>
      <c r="J63" s="21"/>
      <c r="K63" s="21"/>
      <c r="L63" s="21"/>
      <c r="M63" s="21"/>
      <c r="N63" s="21"/>
      <c r="O63" s="21"/>
      <c r="P63" s="21"/>
      <c r="Q63" s="21"/>
      <c r="R63" s="21"/>
      <c r="S63" s="21"/>
      <c r="T63" s="21"/>
      <c r="U63" s="21"/>
      <c r="V63" s="361"/>
    </row>
    <row r="64" spans="1:22" ht="15" x14ac:dyDescent="0.2">
      <c r="A64" s="21"/>
      <c r="B64" s="21"/>
      <c r="C64" s="21"/>
      <c r="D64" s="21"/>
      <c r="E64" s="21"/>
      <c r="F64" s="23"/>
      <c r="G64" s="23"/>
      <c r="H64" s="21"/>
      <c r="I64" s="21"/>
      <c r="J64" s="21"/>
      <c r="K64" s="21"/>
      <c r="L64" s="21"/>
      <c r="M64" s="21"/>
      <c r="N64" s="21"/>
      <c r="O64" s="21"/>
      <c r="P64" s="21"/>
      <c r="Q64" s="21"/>
      <c r="R64" s="21"/>
      <c r="S64" s="21"/>
      <c r="T64" s="21"/>
      <c r="U64" s="21"/>
      <c r="V64" s="361"/>
    </row>
    <row r="65" spans="1:22" ht="15" x14ac:dyDescent="0.2">
      <c r="A65" s="21"/>
      <c r="B65" s="21"/>
      <c r="C65" s="21"/>
      <c r="D65" s="21"/>
      <c r="E65" s="21"/>
      <c r="F65" s="23"/>
      <c r="G65" s="23"/>
      <c r="H65" s="21"/>
      <c r="I65" s="21"/>
      <c r="J65" s="21"/>
      <c r="K65" s="21"/>
      <c r="L65" s="21"/>
      <c r="M65" s="21"/>
      <c r="N65" s="21"/>
      <c r="O65" s="21"/>
      <c r="P65" s="21"/>
      <c r="Q65" s="21"/>
      <c r="R65" s="21"/>
      <c r="S65" s="21"/>
      <c r="T65" s="21"/>
      <c r="U65" s="21"/>
      <c r="V65" s="361"/>
    </row>
    <row r="66" spans="1:22" ht="15" x14ac:dyDescent="0.2">
      <c r="A66" s="21"/>
      <c r="B66" s="21"/>
      <c r="C66" s="21"/>
      <c r="D66" s="21"/>
      <c r="E66" s="21"/>
      <c r="F66" s="23"/>
      <c r="G66" s="23"/>
      <c r="H66" s="21"/>
      <c r="I66" s="21"/>
      <c r="J66" s="21"/>
      <c r="K66" s="21"/>
      <c r="L66" s="21"/>
      <c r="M66" s="21"/>
      <c r="N66" s="21"/>
      <c r="O66" s="21"/>
      <c r="P66" s="21"/>
      <c r="Q66" s="21"/>
      <c r="R66" s="21"/>
      <c r="S66" s="21"/>
      <c r="T66" s="21"/>
      <c r="U66" s="21"/>
      <c r="V66" s="361"/>
    </row>
    <row r="67" spans="1:22" ht="15" x14ac:dyDescent="0.2">
      <c r="A67" s="21"/>
      <c r="B67" s="21"/>
      <c r="C67" s="21"/>
      <c r="D67" s="21"/>
      <c r="E67" s="21"/>
      <c r="F67" s="23"/>
      <c r="G67" s="23"/>
      <c r="H67" s="21"/>
      <c r="I67" s="21"/>
      <c r="J67" s="21"/>
      <c r="K67" s="21"/>
      <c r="L67" s="21"/>
      <c r="M67" s="21"/>
      <c r="N67" s="21"/>
      <c r="O67" s="21"/>
      <c r="P67" s="21"/>
      <c r="Q67" s="21"/>
      <c r="R67" s="21"/>
      <c r="S67" s="21"/>
      <c r="T67" s="21"/>
      <c r="U67" s="21"/>
      <c r="V67" s="361"/>
    </row>
    <row r="68" spans="1:22" ht="15" x14ac:dyDescent="0.2">
      <c r="A68" s="21"/>
      <c r="B68" s="21"/>
      <c r="C68" s="21"/>
      <c r="D68" s="21"/>
      <c r="E68" s="21"/>
      <c r="F68" s="23"/>
      <c r="G68" s="23"/>
      <c r="H68" s="21"/>
      <c r="I68" s="21"/>
      <c r="J68" s="21"/>
      <c r="K68" s="21"/>
      <c r="L68" s="21"/>
      <c r="M68" s="21"/>
      <c r="N68" s="21"/>
      <c r="O68" s="21"/>
      <c r="P68" s="21"/>
      <c r="Q68" s="21"/>
      <c r="R68" s="21"/>
      <c r="S68" s="21"/>
      <c r="T68" s="21"/>
      <c r="U68" s="21"/>
      <c r="V68" s="361"/>
    </row>
    <row r="69" spans="1:22" ht="15" x14ac:dyDescent="0.2">
      <c r="A69" s="21"/>
      <c r="B69" s="21"/>
      <c r="C69" s="21"/>
      <c r="D69" s="21"/>
      <c r="E69" s="21"/>
      <c r="F69" s="23"/>
      <c r="G69" s="23"/>
      <c r="H69" s="21"/>
      <c r="I69" s="21"/>
      <c r="J69" s="21"/>
      <c r="K69" s="21"/>
      <c r="L69" s="21"/>
      <c r="M69" s="21"/>
      <c r="N69" s="21"/>
      <c r="O69" s="21"/>
      <c r="P69" s="21"/>
      <c r="Q69" s="21"/>
      <c r="R69" s="21"/>
      <c r="S69" s="21"/>
      <c r="T69" s="21"/>
      <c r="U69" s="21"/>
      <c r="V69" s="361"/>
    </row>
    <row r="70" spans="1:22" ht="15" x14ac:dyDescent="0.2">
      <c r="A70" s="21"/>
      <c r="B70" s="21"/>
      <c r="C70" s="21"/>
      <c r="D70" s="21"/>
      <c r="E70" s="21"/>
      <c r="F70" s="23"/>
      <c r="G70" s="23"/>
      <c r="H70" s="21"/>
      <c r="I70" s="21"/>
      <c r="J70" s="21"/>
      <c r="K70" s="21"/>
      <c r="L70" s="21"/>
      <c r="M70" s="21"/>
      <c r="N70" s="21"/>
      <c r="O70" s="21"/>
      <c r="P70" s="21"/>
      <c r="Q70" s="21"/>
      <c r="R70" s="21"/>
      <c r="S70" s="21"/>
      <c r="T70" s="21"/>
      <c r="U70" s="21"/>
      <c r="V70" s="361"/>
    </row>
    <row r="71" spans="1:22" ht="15" x14ac:dyDescent="0.2">
      <c r="A71" s="21"/>
      <c r="B71" s="21"/>
      <c r="C71" s="21"/>
      <c r="D71" s="21"/>
      <c r="E71" s="21"/>
      <c r="F71" s="23"/>
      <c r="G71" s="23"/>
      <c r="H71" s="21"/>
      <c r="I71" s="21"/>
      <c r="J71" s="21"/>
      <c r="K71" s="21"/>
      <c r="L71" s="21"/>
      <c r="M71" s="21"/>
      <c r="N71" s="21"/>
      <c r="O71" s="21"/>
      <c r="P71" s="21"/>
      <c r="Q71" s="21"/>
      <c r="R71" s="21"/>
      <c r="S71" s="21"/>
      <c r="T71" s="21"/>
      <c r="U71" s="21"/>
      <c r="V71" s="361"/>
    </row>
    <row r="72" spans="1:22" ht="15" x14ac:dyDescent="0.2">
      <c r="A72" s="21"/>
      <c r="B72" s="21"/>
      <c r="C72" s="21"/>
      <c r="D72" s="21"/>
      <c r="E72" s="21"/>
      <c r="F72" s="23"/>
      <c r="G72" s="23"/>
      <c r="H72" s="21"/>
      <c r="I72" s="21"/>
      <c r="J72" s="21"/>
      <c r="K72" s="21"/>
      <c r="L72" s="21"/>
      <c r="M72" s="21"/>
      <c r="N72" s="21"/>
      <c r="O72" s="21"/>
      <c r="P72" s="21"/>
      <c r="Q72" s="21"/>
      <c r="R72" s="21"/>
      <c r="S72" s="21"/>
      <c r="T72" s="21"/>
      <c r="U72" s="21"/>
      <c r="V72" s="361"/>
    </row>
    <row r="73" spans="1:22" ht="15" x14ac:dyDescent="0.2">
      <c r="A73" s="21"/>
      <c r="B73" s="21"/>
      <c r="C73" s="21"/>
      <c r="D73" s="21"/>
      <c r="E73" s="21"/>
      <c r="F73" s="23"/>
      <c r="G73" s="23"/>
      <c r="H73" s="21"/>
      <c r="I73" s="21"/>
      <c r="J73" s="21"/>
      <c r="K73" s="21"/>
      <c r="L73" s="21"/>
      <c r="M73" s="21"/>
      <c r="N73" s="21"/>
      <c r="O73" s="21"/>
      <c r="P73" s="21"/>
      <c r="Q73" s="21"/>
      <c r="R73" s="21"/>
      <c r="S73" s="21"/>
      <c r="T73" s="21"/>
      <c r="U73" s="21"/>
      <c r="V73" s="361"/>
    </row>
    <row r="74" spans="1:22" ht="15" x14ac:dyDescent="0.2">
      <c r="A74" s="21"/>
      <c r="B74" s="21"/>
      <c r="C74" s="21"/>
      <c r="D74" s="21"/>
      <c r="E74" s="21"/>
      <c r="F74" s="23"/>
      <c r="G74" s="23"/>
      <c r="H74" s="21"/>
      <c r="I74" s="21"/>
      <c r="J74" s="21"/>
      <c r="K74" s="21"/>
      <c r="L74" s="21"/>
      <c r="M74" s="21"/>
      <c r="N74" s="21"/>
      <c r="O74" s="21"/>
      <c r="P74" s="21"/>
      <c r="Q74" s="21"/>
      <c r="R74" s="21"/>
      <c r="S74" s="21"/>
      <c r="T74" s="21"/>
      <c r="U74" s="21"/>
      <c r="V74" s="361"/>
    </row>
    <row r="75" spans="1:22" ht="15" x14ac:dyDescent="0.2">
      <c r="A75" s="21"/>
      <c r="B75" s="21"/>
      <c r="C75" s="21"/>
      <c r="D75" s="21"/>
      <c r="E75" s="21"/>
      <c r="F75" s="23"/>
      <c r="G75" s="23"/>
      <c r="H75" s="21"/>
      <c r="I75" s="21"/>
      <c r="J75" s="21"/>
      <c r="K75" s="21"/>
      <c r="L75" s="21"/>
      <c r="M75" s="21"/>
      <c r="N75" s="21"/>
      <c r="O75" s="21"/>
      <c r="P75" s="21"/>
      <c r="Q75" s="21"/>
      <c r="R75" s="21"/>
      <c r="S75" s="21"/>
      <c r="T75" s="21"/>
      <c r="U75" s="21"/>
      <c r="V75" s="361"/>
    </row>
    <row r="76" spans="1:22" ht="15" x14ac:dyDescent="0.2">
      <c r="A76" s="21"/>
      <c r="B76" s="21"/>
      <c r="C76" s="21"/>
      <c r="D76" s="21"/>
      <c r="E76" s="21"/>
      <c r="F76" s="23"/>
      <c r="G76" s="23"/>
      <c r="H76" s="21"/>
      <c r="I76" s="21"/>
      <c r="J76" s="21"/>
      <c r="K76" s="21"/>
      <c r="L76" s="21"/>
      <c r="M76" s="21"/>
      <c r="N76" s="21"/>
      <c r="O76" s="21"/>
      <c r="P76" s="21"/>
      <c r="Q76" s="21"/>
      <c r="R76" s="21"/>
      <c r="S76" s="21"/>
      <c r="T76" s="21"/>
      <c r="U76" s="21"/>
      <c r="V76" s="361"/>
    </row>
    <row r="77" spans="1:22" ht="15" x14ac:dyDescent="0.2">
      <c r="A77" s="21"/>
      <c r="B77" s="21"/>
      <c r="C77" s="21"/>
      <c r="D77" s="21"/>
      <c r="E77" s="21"/>
      <c r="F77" s="23"/>
      <c r="G77" s="23"/>
      <c r="H77" s="21"/>
      <c r="I77" s="21"/>
      <c r="J77" s="21"/>
      <c r="K77" s="21"/>
      <c r="L77" s="21"/>
      <c r="M77" s="21"/>
      <c r="N77" s="21"/>
      <c r="O77" s="21"/>
      <c r="P77" s="21"/>
      <c r="Q77" s="21"/>
      <c r="R77" s="21"/>
      <c r="S77" s="21"/>
      <c r="T77" s="21"/>
      <c r="U77" s="21"/>
      <c r="V77" s="361"/>
    </row>
    <row r="78" spans="1:22" ht="15" x14ac:dyDescent="0.2">
      <c r="A78" s="21"/>
      <c r="B78" s="21"/>
      <c r="C78" s="21"/>
      <c r="D78" s="21"/>
      <c r="E78" s="21"/>
      <c r="F78" s="23"/>
      <c r="G78" s="23"/>
      <c r="H78" s="21"/>
      <c r="I78" s="21"/>
      <c r="J78" s="21"/>
      <c r="K78" s="21"/>
      <c r="L78" s="21"/>
      <c r="M78" s="21"/>
      <c r="N78" s="21"/>
      <c r="O78" s="21"/>
      <c r="P78" s="21"/>
      <c r="Q78" s="21"/>
      <c r="R78" s="21"/>
      <c r="S78" s="21"/>
      <c r="T78" s="21"/>
      <c r="U78" s="21"/>
      <c r="V78" s="361"/>
    </row>
    <row r="79" spans="1:22" ht="15" x14ac:dyDescent="0.2">
      <c r="A79" s="21"/>
      <c r="B79" s="21"/>
      <c r="C79" s="21"/>
      <c r="D79" s="21"/>
      <c r="E79" s="21"/>
      <c r="F79" s="23"/>
      <c r="G79" s="23"/>
      <c r="H79" s="21"/>
      <c r="I79" s="21"/>
      <c r="J79" s="21"/>
      <c r="K79" s="21"/>
      <c r="L79" s="21"/>
      <c r="M79" s="21"/>
      <c r="N79" s="21"/>
      <c r="O79" s="21"/>
      <c r="P79" s="21"/>
      <c r="Q79" s="21"/>
      <c r="R79" s="21"/>
      <c r="S79" s="21"/>
      <c r="T79" s="21"/>
      <c r="U79" s="21"/>
      <c r="V79" s="361"/>
    </row>
    <row r="80" spans="1:22" ht="15" x14ac:dyDescent="0.2">
      <c r="A80" s="21"/>
      <c r="B80" s="21"/>
      <c r="C80" s="21"/>
      <c r="D80" s="21"/>
      <c r="E80" s="21"/>
      <c r="F80" s="23"/>
      <c r="G80" s="23"/>
      <c r="H80" s="21"/>
      <c r="I80" s="21"/>
      <c r="J80" s="21"/>
      <c r="K80" s="21"/>
      <c r="L80" s="21"/>
      <c r="M80" s="21"/>
      <c r="N80" s="21"/>
      <c r="O80" s="21"/>
      <c r="P80" s="21"/>
      <c r="Q80" s="21"/>
      <c r="R80" s="21"/>
      <c r="S80" s="21"/>
      <c r="T80" s="21"/>
      <c r="U80" s="21"/>
      <c r="V80" s="361"/>
    </row>
    <row r="81" spans="1:22" ht="15" x14ac:dyDescent="0.2">
      <c r="A81" s="21"/>
      <c r="B81" s="21"/>
      <c r="C81" s="21"/>
      <c r="D81" s="21"/>
      <c r="E81" s="21"/>
      <c r="F81" s="23"/>
      <c r="G81" s="23"/>
      <c r="H81" s="21"/>
      <c r="I81" s="21"/>
      <c r="J81" s="21"/>
      <c r="K81" s="21"/>
      <c r="L81" s="21"/>
      <c r="M81" s="21"/>
      <c r="N81" s="21"/>
      <c r="O81" s="21"/>
      <c r="P81" s="21"/>
      <c r="Q81" s="21"/>
      <c r="R81" s="21"/>
      <c r="S81" s="21"/>
      <c r="T81" s="21"/>
      <c r="U81" s="21"/>
      <c r="V81" s="361"/>
    </row>
    <row r="82" spans="1:22" ht="15" x14ac:dyDescent="0.2">
      <c r="A82" s="21"/>
      <c r="B82" s="21"/>
      <c r="C82" s="21"/>
      <c r="D82" s="21"/>
      <c r="E82" s="21"/>
      <c r="F82" s="23"/>
      <c r="G82" s="23"/>
      <c r="H82" s="21"/>
      <c r="I82" s="21"/>
      <c r="J82" s="21"/>
      <c r="K82" s="21"/>
      <c r="L82" s="21"/>
      <c r="M82" s="21"/>
      <c r="N82" s="21"/>
      <c r="O82" s="21"/>
      <c r="P82" s="21"/>
      <c r="Q82" s="21"/>
      <c r="R82" s="21"/>
      <c r="S82" s="21"/>
      <c r="T82" s="21"/>
      <c r="U82" s="21"/>
      <c r="V82" s="361"/>
    </row>
    <row r="83" spans="1:22" ht="15" x14ac:dyDescent="0.2">
      <c r="A83" s="21"/>
      <c r="B83" s="21"/>
      <c r="C83" s="21"/>
      <c r="D83" s="21"/>
      <c r="E83" s="21"/>
      <c r="F83" s="23"/>
      <c r="G83" s="23"/>
      <c r="H83" s="21"/>
      <c r="I83" s="21"/>
      <c r="J83" s="21"/>
      <c r="K83" s="21"/>
      <c r="L83" s="21"/>
      <c r="M83" s="21"/>
      <c r="N83" s="21"/>
      <c r="O83" s="21"/>
      <c r="P83" s="21"/>
      <c r="Q83" s="21"/>
      <c r="R83" s="21"/>
      <c r="S83" s="21"/>
      <c r="T83" s="21"/>
      <c r="U83" s="21"/>
      <c r="V83" s="361"/>
    </row>
    <row r="84" spans="1:22" ht="15" x14ac:dyDescent="0.2">
      <c r="A84" s="21"/>
      <c r="B84" s="21"/>
      <c r="C84" s="21"/>
      <c r="D84" s="21"/>
      <c r="E84" s="21"/>
      <c r="F84" s="23"/>
      <c r="G84" s="23"/>
      <c r="H84" s="21"/>
      <c r="I84" s="21"/>
      <c r="J84" s="21"/>
      <c r="K84" s="21"/>
      <c r="L84" s="21"/>
      <c r="M84" s="21"/>
      <c r="N84" s="21"/>
      <c r="O84" s="21"/>
      <c r="P84" s="21"/>
      <c r="Q84" s="21"/>
      <c r="R84" s="21"/>
      <c r="S84" s="21"/>
      <c r="T84" s="21"/>
      <c r="U84" s="21"/>
      <c r="V84" s="361"/>
    </row>
    <row r="85" spans="1:22" ht="15" x14ac:dyDescent="0.2">
      <c r="A85" s="21"/>
      <c r="B85" s="21"/>
      <c r="C85" s="21"/>
      <c r="D85" s="21"/>
      <c r="E85" s="21"/>
      <c r="F85" s="23"/>
      <c r="G85" s="23"/>
      <c r="H85" s="21"/>
      <c r="I85" s="21"/>
      <c r="J85" s="21"/>
      <c r="K85" s="21"/>
      <c r="L85" s="21"/>
      <c r="M85" s="21"/>
      <c r="N85" s="21"/>
      <c r="O85" s="21"/>
      <c r="P85" s="21"/>
      <c r="Q85" s="21"/>
      <c r="R85" s="21"/>
      <c r="S85" s="21"/>
      <c r="T85" s="21"/>
      <c r="U85" s="21"/>
      <c r="V85" s="361"/>
    </row>
  </sheetData>
  <mergeCells count="11">
    <mergeCell ref="L5:M5"/>
    <mergeCell ref="R5:S5"/>
    <mergeCell ref="T5:U5"/>
    <mergeCell ref="A5:A6"/>
    <mergeCell ref="B5:C5"/>
    <mergeCell ref="D5:E5"/>
    <mergeCell ref="F5:G5"/>
    <mergeCell ref="N5:O5"/>
    <mergeCell ref="P5:Q5"/>
    <mergeCell ref="H5:I5"/>
    <mergeCell ref="J5:K5"/>
  </mergeCells>
  <phoneticPr fontId="0" type="noConversion"/>
  <printOptions horizontalCentered="1"/>
  <pageMargins left="0.9055118110236221" right="0.43307086614173229" top="0.47244094488188981" bottom="0.31496062992125984" header="0.39370078740157483" footer="0.19685039370078741"/>
  <pageSetup paperSize="9" scale="54" firstPageNumber="9" fitToWidth="2" orientation="landscape" useFirstPageNumber="1" horizontalDpi="1200" verticalDpi="1200" r:id="rId1"/>
  <headerFooter alignWithMargins="0">
    <oddFooter>&amp;C&amp;16&amp;P</oddFooter>
  </headerFooter>
  <colBreaks count="1" manualBreakCount="1">
    <brk id="11" min="6" max="4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B18" sqref="B18"/>
    </sheetView>
  </sheetViews>
  <sheetFormatPr defaultRowHeight="12.75" x14ac:dyDescent="0.2"/>
  <cols>
    <col min="1" max="1" width="15" style="78" bestFit="1" customWidth="1"/>
    <col min="2" max="2" width="92.85546875" style="78" customWidth="1"/>
    <col min="3" max="3" width="4.42578125" style="79" bestFit="1" customWidth="1"/>
    <col min="4" max="16384" width="9.140625" style="79"/>
  </cols>
  <sheetData>
    <row r="1" spans="1:3" x14ac:dyDescent="0.2">
      <c r="A1" s="390" t="s">
        <v>378</v>
      </c>
      <c r="B1" s="350"/>
    </row>
    <row r="2" spans="1:3" x14ac:dyDescent="0.2">
      <c r="A2" s="350"/>
      <c r="B2" s="350"/>
    </row>
    <row r="3" spans="1:3" s="167" customFormat="1" ht="105.75" customHeight="1" x14ac:dyDescent="0.2">
      <c r="A3" s="391" t="s">
        <v>95</v>
      </c>
      <c r="B3" s="392" t="s">
        <v>399</v>
      </c>
    </row>
    <row r="4" spans="1:3" s="167" customFormat="1" ht="71.25" customHeight="1" x14ac:dyDescent="0.2">
      <c r="A4" s="393" t="s">
        <v>379</v>
      </c>
      <c r="B4" s="392" t="s">
        <v>536</v>
      </c>
    </row>
    <row r="5" spans="1:3" s="167" customFormat="1" ht="58.5" customHeight="1" x14ac:dyDescent="0.2">
      <c r="A5" s="201" t="s">
        <v>538</v>
      </c>
      <c r="B5" s="356" t="s">
        <v>426</v>
      </c>
    </row>
    <row r="6" spans="1:3" s="167" customFormat="1" ht="45" customHeight="1" x14ac:dyDescent="0.2">
      <c r="A6" s="201" t="s">
        <v>13</v>
      </c>
      <c r="B6" s="356" t="s">
        <v>752</v>
      </c>
    </row>
    <row r="7" spans="1:3" s="167" customFormat="1" ht="30" customHeight="1" x14ac:dyDescent="0.2">
      <c r="A7" s="393" t="s">
        <v>380</v>
      </c>
      <c r="B7" s="359" t="s">
        <v>401</v>
      </c>
    </row>
    <row r="8" spans="1:3" s="167" customFormat="1" ht="18" customHeight="1" x14ac:dyDescent="0.2">
      <c r="A8" s="391" t="s">
        <v>542</v>
      </c>
      <c r="B8" s="391" t="s">
        <v>448</v>
      </c>
    </row>
    <row r="9" spans="1:3" s="167" customFormat="1" ht="20.100000000000001" customHeight="1" x14ac:dyDescent="0.2">
      <c r="A9" s="201" t="s">
        <v>522</v>
      </c>
      <c r="B9" s="200" t="s">
        <v>385</v>
      </c>
    </row>
    <row r="10" spans="1:3" s="167" customFormat="1" ht="30" customHeight="1" x14ac:dyDescent="0.2">
      <c r="A10" s="393" t="s">
        <v>525</v>
      </c>
      <c r="B10" s="359" t="s">
        <v>435</v>
      </c>
    </row>
    <row r="11" spans="1:3" s="167" customFormat="1" ht="120.75" customHeight="1" x14ac:dyDescent="0.2">
      <c r="A11" s="201" t="s">
        <v>377</v>
      </c>
      <c r="B11" s="356" t="s">
        <v>484</v>
      </c>
      <c r="C11" s="301"/>
    </row>
    <row r="12" spans="1:3" s="167" customFormat="1" ht="30.75" customHeight="1" x14ac:dyDescent="0.2">
      <c r="A12" s="391" t="s">
        <v>527</v>
      </c>
      <c r="B12" s="394" t="s">
        <v>56</v>
      </c>
    </row>
    <row r="13" spans="1:3" s="167" customFormat="1" ht="32.25" customHeight="1" x14ac:dyDescent="0.2">
      <c r="A13" s="391" t="s">
        <v>529</v>
      </c>
      <c r="B13" s="356" t="s">
        <v>465</v>
      </c>
    </row>
    <row r="14" spans="1:3" s="167" customFormat="1" ht="32.25" customHeight="1" x14ac:dyDescent="0.2">
      <c r="A14" s="201" t="s">
        <v>547</v>
      </c>
      <c r="B14" s="394" t="s">
        <v>480</v>
      </c>
    </row>
    <row r="15" spans="1:3" s="167" customFormat="1" ht="20.100000000000001" customHeight="1" x14ac:dyDescent="0.2">
      <c r="A15" s="395" t="s">
        <v>369</v>
      </c>
      <c r="B15" s="359" t="s">
        <v>367</v>
      </c>
    </row>
    <row r="16" spans="1:3" s="167" customFormat="1" ht="30" customHeight="1" x14ac:dyDescent="0.2">
      <c r="A16" s="393" t="s">
        <v>550</v>
      </c>
      <c r="B16" s="359" t="s">
        <v>509</v>
      </c>
    </row>
    <row r="17" spans="1:2" s="167" customFormat="1" ht="45" customHeight="1" x14ac:dyDescent="0.2">
      <c r="A17" s="201" t="s">
        <v>552</v>
      </c>
      <c r="B17" s="356" t="s">
        <v>504</v>
      </c>
    </row>
    <row r="18" spans="1:2" s="167" customFormat="1" ht="20.100000000000001" customHeight="1" x14ac:dyDescent="0.2">
      <c r="A18" s="395" t="s">
        <v>554</v>
      </c>
      <c r="B18" s="391" t="s">
        <v>12</v>
      </c>
    </row>
  </sheetData>
  <phoneticPr fontId="0" type="noConversion"/>
  <pageMargins left="0.59055118110236227" right="0.59055118110236227" top="0.98425196850393704" bottom="0.98425196850393704" header="0.51181102362204722" footer="0.51181102362204722"/>
  <pageSetup scale="76" firstPageNumber="11" orientation="portrait" useFirstPageNumber="1"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C1746"/>
  <sheetViews>
    <sheetView zoomScale="55" zoomScaleNormal="55" zoomScaleSheetLayoutView="50" workbookViewId="0">
      <pane xSplit="2" ySplit="10" topLeftCell="U1466" activePane="bottomRight" state="frozen"/>
      <selection activeCell="B32" sqref="B32"/>
      <selection pane="topRight" activeCell="B32" sqref="B32"/>
      <selection pane="bottomLeft" activeCell="B32" sqref="B32"/>
      <selection pane="bottomRight" activeCell="A1499" sqref="A1499:A1506"/>
    </sheetView>
  </sheetViews>
  <sheetFormatPr defaultRowHeight="12.75" x14ac:dyDescent="0.2"/>
  <cols>
    <col min="1" max="1" width="41.85546875" style="31" customWidth="1"/>
    <col min="2" max="2" width="9.42578125" style="31" customWidth="1"/>
    <col min="3" max="3" width="14" style="31" customWidth="1"/>
    <col min="4" max="4" width="16.85546875" style="31" customWidth="1"/>
    <col min="5" max="8" width="12.7109375" style="31" customWidth="1"/>
    <col min="9" max="9" width="12.7109375" style="257" customWidth="1"/>
    <col min="10" max="10" width="12.7109375" style="31" customWidth="1"/>
    <col min="11" max="13" width="12.7109375" style="257" customWidth="1"/>
    <col min="14" max="21" width="12.7109375" style="31" customWidth="1"/>
    <col min="22" max="22" width="13.42578125" style="31" customWidth="1"/>
    <col min="23" max="23" width="12.7109375" style="31" customWidth="1"/>
    <col min="24" max="24" width="18.5703125" style="31" customWidth="1"/>
    <col min="25" max="35" width="12.7109375" style="31" customWidth="1"/>
    <col min="36" max="36" width="11.42578125" style="31" customWidth="1"/>
    <col min="37" max="38" width="12.7109375" style="31" customWidth="1"/>
    <col min="39" max="39" width="16" style="31" bestFit="1" customWidth="1"/>
    <col min="40" max="40" width="13.42578125" style="3" customWidth="1"/>
    <col min="41" max="41" width="14.7109375" style="3" bestFit="1" customWidth="1"/>
    <col min="42" max="16384" width="9.140625" style="3"/>
  </cols>
  <sheetData>
    <row r="1" spans="1:43" ht="26.25" x14ac:dyDescent="0.2">
      <c r="A1" s="25"/>
      <c r="B1" s="26"/>
      <c r="C1" s="170" t="s">
        <v>560</v>
      </c>
      <c r="D1" s="170"/>
      <c r="E1" s="170"/>
      <c r="F1" s="248"/>
      <c r="G1" s="170"/>
      <c r="H1" s="170"/>
      <c r="I1" s="170"/>
      <c r="J1" s="170"/>
      <c r="K1" s="170"/>
      <c r="L1" s="248"/>
      <c r="M1" s="170"/>
      <c r="N1" s="170"/>
      <c r="O1" s="170"/>
      <c r="P1" s="170"/>
      <c r="Q1" s="170"/>
      <c r="R1" s="170"/>
      <c r="S1" s="170"/>
      <c r="T1" s="170"/>
      <c r="U1" s="170" t="s">
        <v>404</v>
      </c>
      <c r="V1" s="170"/>
      <c r="W1" s="170"/>
      <c r="X1" s="170"/>
      <c r="Y1" s="170"/>
      <c r="Z1" s="170"/>
      <c r="AA1" s="170"/>
      <c r="AB1" s="170"/>
      <c r="AC1" s="170"/>
      <c r="AD1" s="170"/>
      <c r="AE1" s="170"/>
      <c r="AF1" s="170"/>
      <c r="AG1" s="170"/>
      <c r="AH1" s="248"/>
      <c r="AI1" s="170"/>
      <c r="AJ1" s="170"/>
      <c r="AL1" s="170"/>
      <c r="AM1" s="62"/>
    </row>
    <row r="2" spans="1:43" ht="18.75" x14ac:dyDescent="0.2">
      <c r="A2" s="25"/>
      <c r="B2" s="26"/>
      <c r="C2" s="171" t="s">
        <v>288</v>
      </c>
      <c r="D2" s="171"/>
      <c r="E2" s="171"/>
      <c r="F2" s="249"/>
      <c r="G2" s="171"/>
      <c r="H2" s="171"/>
      <c r="I2" s="171"/>
      <c r="J2" s="171"/>
      <c r="K2" s="171"/>
      <c r="L2" s="249"/>
      <c r="M2" s="171"/>
      <c r="N2" s="171"/>
      <c r="O2" s="171"/>
      <c r="P2" s="171"/>
      <c r="Q2" s="171"/>
      <c r="R2" s="171"/>
      <c r="S2" s="171"/>
      <c r="T2" s="171"/>
      <c r="U2" s="171" t="s">
        <v>288</v>
      </c>
      <c r="V2" s="171"/>
      <c r="W2" s="171"/>
      <c r="X2" s="171"/>
      <c r="Y2" s="171"/>
      <c r="Z2" s="171"/>
      <c r="AA2" s="171"/>
      <c r="AB2" s="171"/>
      <c r="AC2" s="171"/>
      <c r="AD2" s="171"/>
      <c r="AE2" s="171"/>
      <c r="AF2" s="171"/>
      <c r="AG2" s="171"/>
      <c r="AH2" s="249"/>
      <c r="AI2" s="171"/>
      <c r="AJ2" s="171"/>
      <c r="AL2" s="171"/>
      <c r="AM2" s="63"/>
    </row>
    <row r="3" spans="1:43" ht="9.9499999999999993" customHeight="1" x14ac:dyDescent="0.25">
      <c r="A3" s="27"/>
      <c r="B3" s="28"/>
      <c r="C3" s="28"/>
      <c r="D3" s="28"/>
      <c r="E3" s="28"/>
      <c r="F3" s="250"/>
      <c r="G3" s="28"/>
      <c r="H3" s="28"/>
      <c r="I3" s="28"/>
      <c r="J3" s="28"/>
      <c r="K3" s="28"/>
      <c r="L3" s="250"/>
      <c r="M3" s="28"/>
      <c r="N3" s="28"/>
      <c r="O3" s="28"/>
      <c r="P3" s="28"/>
      <c r="Q3" s="28"/>
      <c r="R3" s="28"/>
      <c r="S3" s="28"/>
      <c r="T3" s="28"/>
      <c r="U3" s="28"/>
      <c r="V3" s="28"/>
      <c r="W3" s="28"/>
      <c r="X3" s="28"/>
      <c r="Y3" s="28"/>
      <c r="Z3" s="28"/>
      <c r="AA3" s="28"/>
      <c r="AB3" s="28"/>
      <c r="AC3" s="28"/>
      <c r="AD3" s="28"/>
      <c r="AE3" s="28"/>
      <c r="AF3" s="28"/>
      <c r="AG3" s="28"/>
      <c r="AH3" s="250"/>
      <c r="AI3" s="28"/>
      <c r="AJ3" s="28"/>
      <c r="AL3" s="28"/>
      <c r="AM3" s="28"/>
    </row>
    <row r="4" spans="1:43" ht="15.75" customHeight="1" x14ac:dyDescent="0.2">
      <c r="A4" s="29"/>
      <c r="B4" s="30"/>
      <c r="C4" s="172" t="s">
        <v>1</v>
      </c>
      <c r="D4" s="172"/>
      <c r="E4" s="172"/>
      <c r="F4" s="251"/>
      <c r="G4" s="172"/>
      <c r="H4" s="172"/>
      <c r="I4" s="172"/>
      <c r="J4" s="172"/>
      <c r="K4" s="172"/>
      <c r="L4" s="251"/>
      <c r="M4" s="172"/>
      <c r="N4" s="172"/>
      <c r="O4" s="172"/>
      <c r="P4" s="172"/>
      <c r="Q4" s="172"/>
      <c r="R4" s="172"/>
      <c r="S4" s="172"/>
      <c r="T4" s="172"/>
      <c r="U4" s="172" t="s">
        <v>1</v>
      </c>
      <c r="V4" s="172"/>
      <c r="W4" s="172"/>
      <c r="X4" s="172"/>
      <c r="Y4" s="172"/>
      <c r="Z4" s="172"/>
      <c r="AA4" s="172"/>
      <c r="AB4" s="172"/>
      <c r="AC4" s="172"/>
      <c r="AD4" s="172"/>
      <c r="AE4" s="172"/>
      <c r="AF4" s="172"/>
      <c r="AG4" s="172"/>
      <c r="AH4" s="251"/>
      <c r="AI4" s="172"/>
      <c r="AJ4" s="172"/>
      <c r="AK4" s="172"/>
      <c r="AL4" s="172"/>
      <c r="AM4" s="64"/>
    </row>
    <row r="5" spans="1:43" ht="9.9499999999999993" customHeight="1" thickBot="1" x14ac:dyDescent="0.3">
      <c r="A5" s="2"/>
      <c r="B5" s="1"/>
      <c r="C5" s="1"/>
      <c r="D5" s="1"/>
      <c r="E5" s="1"/>
      <c r="F5" s="252"/>
      <c r="G5" s="1"/>
      <c r="H5" s="1"/>
      <c r="I5" s="1"/>
      <c r="J5" s="1"/>
      <c r="K5" s="1"/>
      <c r="L5" s="252"/>
      <c r="M5" s="1"/>
      <c r="N5" s="1"/>
      <c r="O5" s="1"/>
      <c r="P5" s="1"/>
      <c r="Q5" s="1"/>
      <c r="R5" s="1"/>
      <c r="S5" s="1"/>
      <c r="T5" s="1"/>
      <c r="U5" s="1"/>
      <c r="V5" s="1"/>
      <c r="W5" s="1"/>
      <c r="X5" s="1"/>
      <c r="Y5" s="1"/>
      <c r="Z5" s="1"/>
      <c r="AA5" s="1"/>
      <c r="AB5" s="1"/>
      <c r="AC5" s="1"/>
      <c r="AD5" s="1"/>
      <c r="AE5" s="1"/>
      <c r="AF5" s="1"/>
      <c r="AG5" s="1"/>
      <c r="AH5" s="252"/>
      <c r="AI5" s="1"/>
      <c r="AJ5" s="1"/>
      <c r="AK5" s="1"/>
      <c r="AL5" s="1"/>
      <c r="AM5" s="1"/>
    </row>
    <row r="6" spans="1:43" ht="19.5" thickTop="1" x14ac:dyDescent="0.3">
      <c r="A6" s="66"/>
      <c r="B6" s="114"/>
      <c r="C6" s="302"/>
      <c r="D6" s="67"/>
      <c r="E6" s="67"/>
      <c r="F6" s="253"/>
      <c r="G6" s="67"/>
      <c r="H6" s="67"/>
      <c r="I6" s="67"/>
      <c r="J6" s="67"/>
      <c r="K6" s="67"/>
      <c r="L6" s="253"/>
      <c r="M6" s="67"/>
      <c r="N6" s="67"/>
      <c r="O6" s="67"/>
      <c r="P6" s="67"/>
      <c r="Q6" s="67"/>
      <c r="R6" s="67"/>
      <c r="S6" s="67"/>
      <c r="T6" s="330"/>
      <c r="U6" s="67"/>
      <c r="V6" s="67"/>
      <c r="W6" s="67"/>
      <c r="X6" s="67"/>
      <c r="Y6" s="67"/>
      <c r="Z6" s="67"/>
      <c r="AA6" s="67"/>
      <c r="AB6" s="67"/>
      <c r="AC6" s="67"/>
      <c r="AD6" s="67"/>
      <c r="AE6" s="67"/>
      <c r="AF6" s="67"/>
      <c r="AG6" s="67"/>
      <c r="AH6" s="253"/>
      <c r="AI6" s="67"/>
      <c r="AJ6" s="67"/>
      <c r="AK6" s="67"/>
      <c r="AL6" s="67"/>
      <c r="AM6" s="68"/>
    </row>
    <row r="7" spans="1:43" s="19" customFormat="1" ht="18.75" x14ac:dyDescent="0.3">
      <c r="A7" s="396"/>
      <c r="B7" s="397"/>
      <c r="C7" s="398"/>
      <c r="D7" s="398"/>
      <c r="E7" s="399"/>
      <c r="F7" s="400"/>
      <c r="G7" s="399"/>
      <c r="H7" s="398"/>
      <c r="I7" s="399"/>
      <c r="J7" s="398"/>
      <c r="K7" s="399"/>
      <c r="L7" s="400"/>
      <c r="M7" s="399"/>
      <c r="N7" s="399"/>
      <c r="O7" s="401"/>
      <c r="P7" s="399"/>
      <c r="Q7" s="398"/>
      <c r="R7" s="398"/>
      <c r="S7" s="398"/>
      <c r="T7" s="397"/>
      <c r="U7" s="399"/>
      <c r="V7" s="399"/>
      <c r="W7" s="398"/>
      <c r="X7" s="399"/>
      <c r="Y7" s="398"/>
      <c r="Z7" s="398"/>
      <c r="AA7" s="399"/>
      <c r="AB7" s="399"/>
      <c r="AC7" s="399"/>
      <c r="AD7" s="398"/>
      <c r="AE7" s="399"/>
      <c r="AF7" s="399"/>
      <c r="AG7" s="398"/>
      <c r="AH7" s="400"/>
      <c r="AI7" s="398"/>
      <c r="AJ7" s="399"/>
      <c r="AK7" s="398"/>
      <c r="AL7" s="399"/>
      <c r="AM7" s="402"/>
    </row>
    <row r="8" spans="1:43" s="404" customFormat="1" ht="19.5" thickBot="1" x14ac:dyDescent="0.35">
      <c r="A8" s="396"/>
      <c r="B8" s="397"/>
      <c r="C8" s="403"/>
      <c r="D8" s="398"/>
      <c r="E8" s="399"/>
      <c r="F8" s="400"/>
      <c r="G8" s="399"/>
      <c r="H8" s="398"/>
      <c r="I8" s="399"/>
      <c r="J8" s="398"/>
      <c r="K8" s="399"/>
      <c r="L8" s="400"/>
      <c r="M8" s="399"/>
      <c r="N8" s="399"/>
      <c r="O8" s="401"/>
      <c r="P8" s="399"/>
      <c r="Q8" s="398"/>
      <c r="R8" s="398"/>
      <c r="S8" s="398"/>
      <c r="T8" s="397"/>
      <c r="U8" s="399"/>
      <c r="V8" s="399"/>
      <c r="W8" s="398"/>
      <c r="X8" s="399"/>
      <c r="Y8" s="398"/>
      <c r="Z8" s="398"/>
      <c r="AA8" s="399"/>
      <c r="AB8" s="399"/>
      <c r="AC8" s="399"/>
      <c r="AD8" s="398"/>
      <c r="AE8" s="399"/>
      <c r="AG8" s="398"/>
      <c r="AH8" s="400"/>
      <c r="AI8" s="398"/>
      <c r="AJ8" s="399"/>
      <c r="AK8" s="398"/>
      <c r="AL8" s="399"/>
      <c r="AM8" s="402"/>
    </row>
    <row r="9" spans="1:43" s="404" customFormat="1" ht="38.25" thickTop="1" x14ac:dyDescent="0.2">
      <c r="A9" s="405" t="s">
        <v>307</v>
      </c>
      <c r="B9" s="406"/>
      <c r="C9" s="407" t="s">
        <v>382</v>
      </c>
      <c r="D9" s="408" t="s">
        <v>381</v>
      </c>
      <c r="E9" s="409" t="s">
        <v>41</v>
      </c>
      <c r="F9" s="410" t="s">
        <v>87</v>
      </c>
      <c r="G9" s="408" t="s">
        <v>561</v>
      </c>
      <c r="H9" s="408" t="s">
        <v>562</v>
      </c>
      <c r="I9" s="409" t="s">
        <v>42</v>
      </c>
      <c r="J9" s="409" t="s">
        <v>315</v>
      </c>
      <c r="K9" s="409" t="s">
        <v>312</v>
      </c>
      <c r="L9" s="410" t="s">
        <v>86</v>
      </c>
      <c r="M9" s="409" t="s">
        <v>94</v>
      </c>
      <c r="N9" s="409" t="s">
        <v>58</v>
      </c>
      <c r="O9" s="408" t="s">
        <v>564</v>
      </c>
      <c r="P9" s="409" t="s">
        <v>92</v>
      </c>
      <c r="Q9" s="408" t="s">
        <v>566</v>
      </c>
      <c r="R9" s="408" t="s">
        <v>567</v>
      </c>
      <c r="S9" s="408" t="s">
        <v>296</v>
      </c>
      <c r="T9" s="411" t="s">
        <v>569</v>
      </c>
      <c r="U9" s="630" t="s">
        <v>88</v>
      </c>
      <c r="V9" s="408" t="s">
        <v>576</v>
      </c>
      <c r="W9" s="408" t="s">
        <v>577</v>
      </c>
      <c r="X9" s="408" t="s">
        <v>578</v>
      </c>
      <c r="Y9" s="408" t="s">
        <v>581</v>
      </c>
      <c r="Z9" s="408" t="s">
        <v>583</v>
      </c>
      <c r="AA9" s="408" t="s">
        <v>585</v>
      </c>
      <c r="AB9" s="408" t="s">
        <v>314</v>
      </c>
      <c r="AC9" s="408" t="s">
        <v>587</v>
      </c>
      <c r="AD9" s="408" t="s">
        <v>313</v>
      </c>
      <c r="AE9" s="408" t="s">
        <v>298</v>
      </c>
      <c r="AF9" s="408" t="s">
        <v>589</v>
      </c>
      <c r="AG9" s="409" t="s">
        <v>91</v>
      </c>
      <c r="AH9" s="408" t="s">
        <v>591</v>
      </c>
      <c r="AI9" s="408" t="s">
        <v>593</v>
      </c>
      <c r="AJ9" s="408" t="s">
        <v>595</v>
      </c>
      <c r="AK9" s="408" t="s">
        <v>93</v>
      </c>
      <c r="AL9" s="408" t="s">
        <v>493</v>
      </c>
      <c r="AM9" s="637" t="s">
        <v>97</v>
      </c>
    </row>
    <row r="10" spans="1:43" s="417" customFormat="1" ht="9.9499999999999993" customHeight="1" x14ac:dyDescent="0.3">
      <c r="A10" s="412"/>
      <c r="B10" s="413"/>
      <c r="C10" s="414"/>
      <c r="D10" s="414"/>
      <c r="E10" s="414"/>
      <c r="F10" s="415"/>
      <c r="G10" s="414"/>
      <c r="H10" s="414"/>
      <c r="I10" s="414"/>
      <c r="J10" s="414"/>
      <c r="K10" s="414"/>
      <c r="L10" s="415"/>
      <c r="M10" s="414"/>
      <c r="N10" s="414"/>
      <c r="O10" s="414"/>
      <c r="P10" s="414"/>
      <c r="Q10" s="414"/>
      <c r="R10" s="414"/>
      <c r="S10" s="414"/>
      <c r="T10" s="416"/>
      <c r="U10" s="631"/>
      <c r="V10" s="414"/>
      <c r="W10" s="414"/>
      <c r="X10" s="414"/>
      <c r="Y10" s="414"/>
      <c r="Z10" s="414"/>
      <c r="AA10" s="414"/>
      <c r="AB10" s="414"/>
      <c r="AC10" s="414"/>
      <c r="AD10" s="414"/>
      <c r="AE10" s="414"/>
      <c r="AF10" s="414"/>
      <c r="AG10" s="414"/>
      <c r="AH10" s="415"/>
      <c r="AI10" s="414"/>
      <c r="AJ10" s="414"/>
      <c r="AK10" s="414"/>
      <c r="AL10" s="414"/>
      <c r="AM10" s="638"/>
    </row>
    <row r="11" spans="1:43" s="61" customFormat="1" ht="21" customHeight="1" x14ac:dyDescent="0.3">
      <c r="A11" s="705" t="s">
        <v>101</v>
      </c>
      <c r="B11" s="179" t="s">
        <v>293</v>
      </c>
      <c r="C11" s="135"/>
      <c r="D11" s="136"/>
      <c r="E11" s="136"/>
      <c r="F11" s="262"/>
      <c r="G11" s="136"/>
      <c r="H11" s="136">
        <v>285</v>
      </c>
      <c r="I11" s="326"/>
      <c r="J11" s="136"/>
      <c r="K11" s="136"/>
      <c r="L11" s="262"/>
      <c r="M11" s="136"/>
      <c r="N11" s="326"/>
      <c r="O11" s="136"/>
      <c r="P11" s="136"/>
      <c r="Q11" s="136"/>
      <c r="R11" s="136"/>
      <c r="S11" s="136"/>
      <c r="T11" s="137"/>
      <c r="U11" s="632"/>
      <c r="V11" s="122"/>
      <c r="W11" s="122"/>
      <c r="X11" s="122">
        <v>458</v>
      </c>
      <c r="Y11" s="122"/>
      <c r="Z11" s="122"/>
      <c r="AA11" s="122"/>
      <c r="AB11" s="122"/>
      <c r="AC11" s="122"/>
      <c r="AD11" s="122"/>
      <c r="AE11" s="122"/>
      <c r="AF11" s="122"/>
      <c r="AG11" s="122"/>
      <c r="AH11" s="122"/>
      <c r="AI11" s="122"/>
      <c r="AJ11" s="122"/>
      <c r="AK11" s="122"/>
      <c r="AL11" s="122"/>
      <c r="AM11" s="639">
        <f t="shared" ref="AM11:AM16" si="0">SUM(C11:AL11)</f>
        <v>743</v>
      </c>
      <c r="AO11" s="289"/>
    </row>
    <row r="12" spans="1:43" s="61" customFormat="1" ht="19.5" customHeight="1" x14ac:dyDescent="0.3">
      <c r="A12" s="706"/>
      <c r="B12" s="116" t="s">
        <v>294</v>
      </c>
      <c r="C12" s="138"/>
      <c r="D12" s="109"/>
      <c r="E12" s="109"/>
      <c r="F12" s="263">
        <v>299.89999999999998</v>
      </c>
      <c r="G12" s="109"/>
      <c r="H12" s="109">
        <v>342</v>
      </c>
      <c r="I12" s="123"/>
      <c r="J12" s="109"/>
      <c r="K12" s="109"/>
      <c r="L12" s="263"/>
      <c r="M12" s="109"/>
      <c r="N12" s="123"/>
      <c r="O12" s="109"/>
      <c r="P12" s="109"/>
      <c r="Q12" s="109"/>
      <c r="R12" s="109"/>
      <c r="S12" s="109"/>
      <c r="T12" s="139"/>
      <c r="U12" s="138"/>
      <c r="V12" s="109"/>
      <c r="W12" s="109"/>
      <c r="X12" s="109">
        <v>411</v>
      </c>
      <c r="Y12" s="109"/>
      <c r="Z12" s="109"/>
      <c r="AA12" s="109"/>
      <c r="AB12" s="109"/>
      <c r="AC12" s="109"/>
      <c r="AD12" s="109"/>
      <c r="AE12" s="109"/>
      <c r="AF12" s="109"/>
      <c r="AG12" s="109"/>
      <c r="AH12" s="109"/>
      <c r="AI12" s="109"/>
      <c r="AJ12" s="109"/>
      <c r="AK12" s="109"/>
      <c r="AL12" s="109"/>
      <c r="AM12" s="640">
        <f t="shared" si="0"/>
        <v>1052.9000000000001</v>
      </c>
      <c r="AO12" s="289"/>
    </row>
    <row r="13" spans="1:43" s="61" customFormat="1" ht="22.5" customHeight="1" x14ac:dyDescent="0.3">
      <c r="A13" s="706"/>
      <c r="B13" s="117" t="s">
        <v>326</v>
      </c>
      <c r="C13" s="140"/>
      <c r="D13" s="110"/>
      <c r="E13" s="110"/>
      <c r="F13" s="264">
        <v>2584</v>
      </c>
      <c r="G13" s="110"/>
      <c r="H13" s="110">
        <v>210</v>
      </c>
      <c r="I13" s="124"/>
      <c r="J13" s="110"/>
      <c r="K13" s="110"/>
      <c r="L13" s="264"/>
      <c r="M13" s="110"/>
      <c r="N13" s="124"/>
      <c r="O13" s="110"/>
      <c r="P13" s="110"/>
      <c r="Q13" s="110"/>
      <c r="R13" s="110"/>
      <c r="S13" s="110">
        <v>3002</v>
      </c>
      <c r="T13" s="141"/>
      <c r="U13" s="140">
        <v>4.2220000000000004</v>
      </c>
      <c r="V13" s="110"/>
      <c r="W13" s="110"/>
      <c r="X13" s="110"/>
      <c r="Y13" s="110"/>
      <c r="Z13" s="110"/>
      <c r="AA13" s="110"/>
      <c r="AB13" s="110"/>
      <c r="AC13" s="110"/>
      <c r="AD13" s="110"/>
      <c r="AE13" s="110"/>
      <c r="AF13" s="110"/>
      <c r="AG13" s="110"/>
      <c r="AH13" s="110"/>
      <c r="AI13" s="110"/>
      <c r="AJ13" s="110"/>
      <c r="AK13" s="110"/>
      <c r="AL13" s="110"/>
      <c r="AM13" s="641">
        <f t="shared" si="0"/>
        <v>5800.2219999999998</v>
      </c>
      <c r="AO13" s="289"/>
      <c r="AP13" s="97"/>
    </row>
    <row r="14" spans="1:43" s="61" customFormat="1" ht="25.5" customHeight="1" x14ac:dyDescent="0.3">
      <c r="A14" s="706"/>
      <c r="B14" s="175" t="s">
        <v>327</v>
      </c>
      <c r="C14" s="176"/>
      <c r="D14" s="127"/>
      <c r="E14" s="127"/>
      <c r="F14" s="265">
        <v>1637</v>
      </c>
      <c r="G14" s="127"/>
      <c r="H14" s="127">
        <v>656</v>
      </c>
      <c r="I14" s="178"/>
      <c r="J14" s="127"/>
      <c r="K14" s="127"/>
      <c r="L14" s="265"/>
      <c r="M14" s="127"/>
      <c r="N14" s="178"/>
      <c r="O14" s="127"/>
      <c r="P14" s="127"/>
      <c r="Q14" s="127"/>
      <c r="R14" s="127"/>
      <c r="S14" s="127">
        <v>2764</v>
      </c>
      <c r="T14" s="177"/>
      <c r="U14" s="176">
        <v>6.0999999999999999E-2</v>
      </c>
      <c r="V14" s="127"/>
      <c r="W14" s="127"/>
      <c r="X14" s="127"/>
      <c r="Y14" s="127"/>
      <c r="Z14" s="127">
        <v>5.2190000000000003</v>
      </c>
      <c r="AA14" s="127"/>
      <c r="AB14" s="127"/>
      <c r="AC14" s="127"/>
      <c r="AD14" s="127"/>
      <c r="AE14" s="127"/>
      <c r="AF14" s="127"/>
      <c r="AG14" s="127"/>
      <c r="AH14" s="127"/>
      <c r="AI14" s="127"/>
      <c r="AJ14" s="127"/>
      <c r="AK14" s="127"/>
      <c r="AL14" s="127"/>
      <c r="AM14" s="642">
        <f t="shared" si="0"/>
        <v>5062.28</v>
      </c>
      <c r="AO14" s="289"/>
    </row>
    <row r="15" spans="1:43" s="61" customFormat="1" ht="25.5" customHeight="1" x14ac:dyDescent="0.3">
      <c r="A15" s="706"/>
      <c r="B15" s="180" t="s">
        <v>361</v>
      </c>
      <c r="C15" s="300"/>
      <c r="D15" s="173"/>
      <c r="E15" s="173"/>
      <c r="F15" s="266">
        <v>3075</v>
      </c>
      <c r="G15" s="173"/>
      <c r="H15" s="173">
        <v>331</v>
      </c>
      <c r="I15" s="174"/>
      <c r="J15" s="173"/>
      <c r="K15" s="173"/>
      <c r="L15" s="266">
        <v>187</v>
      </c>
      <c r="M15" s="173"/>
      <c r="N15" s="174"/>
      <c r="O15" s="173"/>
      <c r="P15" s="173"/>
      <c r="Q15" s="173"/>
      <c r="R15" s="173"/>
      <c r="S15" s="173">
        <v>6352</v>
      </c>
      <c r="T15" s="327"/>
      <c r="U15" s="300">
        <v>6.0999999999999999E-2</v>
      </c>
      <c r="V15" s="173"/>
      <c r="W15" s="173"/>
      <c r="X15" s="173">
        <v>2353</v>
      </c>
      <c r="Y15" s="173"/>
      <c r="Z15" s="173"/>
      <c r="AA15" s="173">
        <v>2.725E-3</v>
      </c>
      <c r="AB15" s="173"/>
      <c r="AC15" s="173"/>
      <c r="AD15" s="173"/>
      <c r="AE15" s="173"/>
      <c r="AF15" s="173"/>
      <c r="AG15" s="173"/>
      <c r="AH15" s="173"/>
      <c r="AI15" s="173"/>
      <c r="AJ15" s="173"/>
      <c r="AK15" s="173"/>
      <c r="AL15" s="173"/>
      <c r="AM15" s="643">
        <f t="shared" si="0"/>
        <v>12298.063725</v>
      </c>
      <c r="AO15" s="289"/>
      <c r="AP15" s="97"/>
      <c r="AQ15" s="97"/>
    </row>
    <row r="16" spans="1:43" s="61" customFormat="1" ht="25.5" customHeight="1" x14ac:dyDescent="0.3">
      <c r="A16" s="706"/>
      <c r="B16" s="180" t="s">
        <v>362</v>
      </c>
      <c r="C16" s="300"/>
      <c r="D16" s="173"/>
      <c r="E16" s="173"/>
      <c r="F16" s="266">
        <v>2875</v>
      </c>
      <c r="G16" s="173">
        <v>2</v>
      </c>
      <c r="H16" s="173">
        <v>7379</v>
      </c>
      <c r="I16" s="174"/>
      <c r="J16" s="173"/>
      <c r="K16" s="173"/>
      <c r="L16" s="266">
        <v>94</v>
      </c>
      <c r="M16" s="173"/>
      <c r="N16" s="174"/>
      <c r="O16" s="173"/>
      <c r="P16" s="173"/>
      <c r="Q16" s="173"/>
      <c r="R16" s="173"/>
      <c r="S16" s="173">
        <v>25644</v>
      </c>
      <c r="T16" s="327"/>
      <c r="U16" s="300">
        <v>3.1E-2</v>
      </c>
      <c r="V16" s="173"/>
      <c r="W16" s="173"/>
      <c r="X16" s="173">
        <v>2289</v>
      </c>
      <c r="Y16" s="173"/>
      <c r="Z16" s="173">
        <v>600</v>
      </c>
      <c r="AA16" s="173"/>
      <c r="AB16" s="173"/>
      <c r="AC16" s="173"/>
      <c r="AD16" s="173"/>
      <c r="AE16" s="173"/>
      <c r="AF16" s="173"/>
      <c r="AG16" s="173"/>
      <c r="AH16" s="173">
        <v>591</v>
      </c>
      <c r="AI16" s="173">
        <v>225</v>
      </c>
      <c r="AJ16" s="173"/>
      <c r="AK16" s="173"/>
      <c r="AL16" s="173"/>
      <c r="AM16" s="644">
        <f t="shared" si="0"/>
        <v>39699.031000000003</v>
      </c>
      <c r="AO16" s="289"/>
      <c r="AP16" s="97"/>
    </row>
    <row r="17" spans="1:42" s="61" customFormat="1" ht="22.5" customHeight="1" x14ac:dyDescent="0.3">
      <c r="A17" s="706"/>
      <c r="B17" s="115" t="s">
        <v>402</v>
      </c>
      <c r="C17" s="142">
        <v>0.98199999999999998</v>
      </c>
      <c r="D17" s="111"/>
      <c r="E17" s="111"/>
      <c r="F17" s="267">
        <v>3946.9</v>
      </c>
      <c r="G17" s="111"/>
      <c r="H17" s="111">
        <v>13945</v>
      </c>
      <c r="I17" s="125"/>
      <c r="J17" s="111"/>
      <c r="K17" s="111"/>
      <c r="L17" s="267">
        <v>0</v>
      </c>
      <c r="M17" s="111"/>
      <c r="N17" s="125"/>
      <c r="O17" s="111"/>
      <c r="P17" s="111">
        <v>0</v>
      </c>
      <c r="Q17" s="111"/>
      <c r="R17" s="111"/>
      <c r="S17" s="111">
        <v>4188.1040000000003</v>
      </c>
      <c r="T17" s="143">
        <v>0</v>
      </c>
      <c r="U17" s="142">
        <v>0.5</v>
      </c>
      <c r="V17" s="111"/>
      <c r="W17" s="111"/>
      <c r="X17" s="111">
        <v>647</v>
      </c>
      <c r="Y17" s="111"/>
      <c r="Z17" s="111"/>
      <c r="AA17" s="111"/>
      <c r="AB17" s="111"/>
      <c r="AC17" s="111"/>
      <c r="AD17" s="111"/>
      <c r="AE17" s="111"/>
      <c r="AF17" s="111"/>
      <c r="AG17" s="111"/>
      <c r="AH17" s="111" t="s">
        <v>482</v>
      </c>
      <c r="AI17" s="111"/>
      <c r="AJ17" s="111"/>
      <c r="AK17" s="111"/>
      <c r="AL17" s="111"/>
      <c r="AM17" s="645">
        <f t="shared" ref="AM17:AM100" si="1">SUM(C17:AL17)</f>
        <v>22728.486000000001</v>
      </c>
      <c r="AO17" s="289"/>
    </row>
    <row r="18" spans="1:42" s="61" customFormat="1" ht="21" customHeight="1" x14ac:dyDescent="0.3">
      <c r="A18" s="707"/>
      <c r="B18" s="181" t="s">
        <v>403</v>
      </c>
      <c r="C18" s="144">
        <v>3.4445299999999999</v>
      </c>
      <c r="D18" s="112"/>
      <c r="E18" s="112"/>
      <c r="F18" s="268">
        <v>6805.1</v>
      </c>
      <c r="G18" s="112"/>
      <c r="H18" s="112"/>
      <c r="I18" s="126"/>
      <c r="J18" s="112"/>
      <c r="K18" s="112"/>
      <c r="L18" s="268"/>
      <c r="M18" s="112"/>
      <c r="N18" s="126"/>
      <c r="O18" s="112"/>
      <c r="P18" s="112">
        <v>5</v>
      </c>
      <c r="Q18" s="112"/>
      <c r="R18" s="112"/>
      <c r="S18" s="112"/>
      <c r="T18" s="145">
        <v>0</v>
      </c>
      <c r="U18" s="144">
        <v>0.08</v>
      </c>
      <c r="V18" s="112"/>
      <c r="W18" s="112"/>
      <c r="X18" s="112">
        <v>941</v>
      </c>
      <c r="Y18" s="112"/>
      <c r="Z18" s="112"/>
      <c r="AA18" s="112"/>
      <c r="AB18" s="112"/>
      <c r="AC18" s="112"/>
      <c r="AD18" s="112"/>
      <c r="AE18" s="112"/>
      <c r="AF18" s="112"/>
      <c r="AG18" s="112"/>
      <c r="AH18" s="112" t="s">
        <v>482</v>
      </c>
      <c r="AI18" s="112"/>
      <c r="AJ18" s="112"/>
      <c r="AK18" s="112"/>
      <c r="AL18" s="112"/>
      <c r="AM18" s="646">
        <f t="shared" si="1"/>
        <v>7754.62453</v>
      </c>
      <c r="AO18" s="289"/>
    </row>
    <row r="19" spans="1:42" s="61" customFormat="1" ht="21" customHeight="1" x14ac:dyDescent="0.3">
      <c r="A19" s="705" t="s">
        <v>102</v>
      </c>
      <c r="B19" s="179" t="s">
        <v>293</v>
      </c>
      <c r="C19" s="135"/>
      <c r="D19" s="136"/>
      <c r="E19" s="136"/>
      <c r="F19" s="262"/>
      <c r="G19" s="136"/>
      <c r="H19" s="136"/>
      <c r="I19" s="326"/>
      <c r="J19" s="136"/>
      <c r="K19" s="136"/>
      <c r="L19" s="262"/>
      <c r="M19" s="136"/>
      <c r="N19" s="326"/>
      <c r="O19" s="136"/>
      <c r="P19" s="136"/>
      <c r="Q19" s="136"/>
      <c r="R19" s="136"/>
      <c r="S19" s="136"/>
      <c r="T19" s="137"/>
      <c r="U19" s="632"/>
      <c r="V19" s="122"/>
      <c r="W19" s="122"/>
      <c r="X19" s="122"/>
      <c r="Y19" s="122"/>
      <c r="Z19" s="122"/>
      <c r="AA19" s="122"/>
      <c r="AB19" s="122"/>
      <c r="AC19" s="122"/>
      <c r="AD19" s="122"/>
      <c r="AE19" s="122"/>
      <c r="AF19" s="122"/>
      <c r="AG19" s="122"/>
      <c r="AH19" s="122"/>
      <c r="AI19" s="122"/>
      <c r="AJ19" s="122"/>
      <c r="AK19" s="122"/>
      <c r="AL19" s="122"/>
      <c r="AM19" s="639">
        <f t="shared" si="1"/>
        <v>0</v>
      </c>
      <c r="AO19" s="289"/>
    </row>
    <row r="20" spans="1:42" s="61" customFormat="1" ht="19.5" customHeight="1" x14ac:dyDescent="0.3">
      <c r="A20" s="706"/>
      <c r="B20" s="116" t="s">
        <v>294</v>
      </c>
      <c r="C20" s="138"/>
      <c r="D20" s="109"/>
      <c r="E20" s="109"/>
      <c r="F20" s="263"/>
      <c r="G20" s="109">
        <v>69</v>
      </c>
      <c r="H20" s="109"/>
      <c r="I20" s="123"/>
      <c r="J20" s="109"/>
      <c r="K20" s="109"/>
      <c r="L20" s="263"/>
      <c r="M20" s="109"/>
      <c r="N20" s="123"/>
      <c r="O20" s="109"/>
      <c r="P20" s="109"/>
      <c r="Q20" s="109"/>
      <c r="R20" s="109"/>
      <c r="S20" s="109"/>
      <c r="T20" s="139">
        <v>1.2</v>
      </c>
      <c r="U20" s="138"/>
      <c r="V20" s="109"/>
      <c r="W20" s="109"/>
      <c r="X20" s="109"/>
      <c r="Y20" s="109"/>
      <c r="Z20" s="109"/>
      <c r="AA20" s="109"/>
      <c r="AB20" s="109"/>
      <c r="AC20" s="109"/>
      <c r="AD20" s="109"/>
      <c r="AE20" s="109"/>
      <c r="AF20" s="109"/>
      <c r="AG20" s="109"/>
      <c r="AH20" s="109"/>
      <c r="AI20" s="109"/>
      <c r="AJ20" s="109"/>
      <c r="AK20" s="109"/>
      <c r="AL20" s="109"/>
      <c r="AM20" s="640">
        <f t="shared" si="1"/>
        <v>70.2</v>
      </c>
      <c r="AO20" s="289"/>
    </row>
    <row r="21" spans="1:42" s="61" customFormat="1" ht="22.5" customHeight="1" x14ac:dyDescent="0.3">
      <c r="A21" s="706"/>
      <c r="B21" s="117" t="s">
        <v>326</v>
      </c>
      <c r="C21" s="140"/>
      <c r="D21" s="110"/>
      <c r="E21" s="110"/>
      <c r="F21" s="264"/>
      <c r="G21" s="110">
        <v>3</v>
      </c>
      <c r="H21" s="110"/>
      <c r="I21" s="124"/>
      <c r="J21" s="110"/>
      <c r="K21" s="110"/>
      <c r="L21" s="264"/>
      <c r="M21" s="110"/>
      <c r="N21" s="124"/>
      <c r="O21" s="110"/>
      <c r="P21" s="110"/>
      <c r="Q21" s="110"/>
      <c r="R21" s="110"/>
      <c r="S21" s="110">
        <v>5</v>
      </c>
      <c r="T21" s="141"/>
      <c r="U21" s="140"/>
      <c r="V21" s="110"/>
      <c r="W21" s="110"/>
      <c r="X21" s="110"/>
      <c r="Y21" s="110"/>
      <c r="Z21" s="110"/>
      <c r="AA21" s="110"/>
      <c r="AB21" s="110"/>
      <c r="AC21" s="110"/>
      <c r="AD21" s="110"/>
      <c r="AE21" s="110"/>
      <c r="AF21" s="110"/>
      <c r="AG21" s="110"/>
      <c r="AH21" s="110"/>
      <c r="AI21" s="110"/>
      <c r="AJ21" s="110"/>
      <c r="AK21" s="110"/>
      <c r="AL21" s="110"/>
      <c r="AM21" s="641">
        <f t="shared" si="1"/>
        <v>8</v>
      </c>
      <c r="AO21" s="289"/>
      <c r="AP21" s="97"/>
    </row>
    <row r="22" spans="1:42" s="61" customFormat="1" ht="25.5" customHeight="1" x14ac:dyDescent="0.3">
      <c r="A22" s="706"/>
      <c r="B22" s="175" t="s">
        <v>327</v>
      </c>
      <c r="C22" s="176"/>
      <c r="D22" s="127"/>
      <c r="E22" s="127"/>
      <c r="F22" s="265"/>
      <c r="G22" s="127">
        <v>4</v>
      </c>
      <c r="H22" s="127">
        <v>10</v>
      </c>
      <c r="I22" s="178"/>
      <c r="J22" s="127"/>
      <c r="K22" s="127"/>
      <c r="L22" s="265"/>
      <c r="M22" s="127"/>
      <c r="N22" s="178"/>
      <c r="O22" s="127"/>
      <c r="P22" s="127"/>
      <c r="Q22" s="127"/>
      <c r="R22" s="127"/>
      <c r="S22" s="127">
        <v>90</v>
      </c>
      <c r="T22" s="177"/>
      <c r="U22" s="176"/>
      <c r="V22" s="127"/>
      <c r="W22" s="127"/>
      <c r="X22" s="127"/>
      <c r="Y22" s="127"/>
      <c r="Z22" s="127"/>
      <c r="AA22" s="127"/>
      <c r="AB22" s="127"/>
      <c r="AC22" s="127"/>
      <c r="AD22" s="127"/>
      <c r="AE22" s="127"/>
      <c r="AF22" s="127"/>
      <c r="AG22" s="127"/>
      <c r="AH22" s="127"/>
      <c r="AI22" s="127"/>
      <c r="AJ22" s="127"/>
      <c r="AK22" s="127"/>
      <c r="AL22" s="127"/>
      <c r="AM22" s="642">
        <f t="shared" si="1"/>
        <v>104</v>
      </c>
      <c r="AO22" s="289"/>
    </row>
    <row r="23" spans="1:42" s="61" customFormat="1" ht="25.5" customHeight="1" x14ac:dyDescent="0.3">
      <c r="A23" s="706"/>
      <c r="B23" s="180" t="s">
        <v>361</v>
      </c>
      <c r="C23" s="300">
        <v>53.569000000000003</v>
      </c>
      <c r="D23" s="173"/>
      <c r="E23" s="173"/>
      <c r="F23" s="266"/>
      <c r="G23" s="173">
        <f>4+100</f>
        <v>104</v>
      </c>
      <c r="H23" s="173"/>
      <c r="I23" s="174"/>
      <c r="J23" s="173"/>
      <c r="K23" s="173"/>
      <c r="L23" s="266"/>
      <c r="M23" s="173"/>
      <c r="N23" s="174"/>
      <c r="O23" s="173"/>
      <c r="P23" s="173">
        <v>29</v>
      </c>
      <c r="Q23" s="173"/>
      <c r="R23" s="173"/>
      <c r="S23" s="173">
        <v>137</v>
      </c>
      <c r="T23" s="327"/>
      <c r="U23" s="300">
        <v>1326.5830000000001</v>
      </c>
      <c r="V23" s="173"/>
      <c r="W23" s="173"/>
      <c r="X23" s="173"/>
      <c r="Y23" s="173"/>
      <c r="Z23" s="173">
        <v>17.058</v>
      </c>
      <c r="AA23" s="173"/>
      <c r="AB23" s="173"/>
      <c r="AC23" s="173"/>
      <c r="AD23" s="173"/>
      <c r="AE23" s="173"/>
      <c r="AF23" s="173"/>
      <c r="AG23" s="173"/>
      <c r="AH23" s="173"/>
      <c r="AI23" s="173"/>
      <c r="AJ23" s="173"/>
      <c r="AK23" s="173"/>
      <c r="AL23" s="173"/>
      <c r="AM23" s="643">
        <f t="shared" si="1"/>
        <v>1667.21</v>
      </c>
      <c r="AO23" s="289"/>
      <c r="AP23" s="97"/>
    </row>
    <row r="24" spans="1:42" s="61" customFormat="1" ht="25.5" customHeight="1" x14ac:dyDescent="0.3">
      <c r="A24" s="706"/>
      <c r="B24" s="180" t="s">
        <v>362</v>
      </c>
      <c r="C24" s="300">
        <v>533.37599999999998</v>
      </c>
      <c r="D24" s="173"/>
      <c r="E24" s="173"/>
      <c r="F24" s="266"/>
      <c r="G24" s="173">
        <v>4</v>
      </c>
      <c r="H24" s="173"/>
      <c r="I24" s="174"/>
      <c r="J24" s="173"/>
      <c r="K24" s="173"/>
      <c r="L24" s="266"/>
      <c r="M24" s="173"/>
      <c r="N24" s="174"/>
      <c r="O24" s="173"/>
      <c r="P24" s="173"/>
      <c r="Q24" s="173"/>
      <c r="R24" s="173"/>
      <c r="S24" s="173">
        <v>367</v>
      </c>
      <c r="T24" s="327"/>
      <c r="U24" s="300">
        <v>167.887</v>
      </c>
      <c r="V24" s="173"/>
      <c r="W24" s="173"/>
      <c r="X24" s="173"/>
      <c r="Y24" s="173"/>
      <c r="Z24" s="173">
        <v>14.598000000000001</v>
      </c>
      <c r="AA24" s="173"/>
      <c r="AB24" s="173"/>
      <c r="AC24" s="173"/>
      <c r="AD24" s="173"/>
      <c r="AE24" s="173"/>
      <c r="AF24" s="173"/>
      <c r="AG24" s="173"/>
      <c r="AH24" s="173"/>
      <c r="AI24" s="173"/>
      <c r="AJ24" s="173"/>
      <c r="AK24" s="173"/>
      <c r="AL24" s="173"/>
      <c r="AM24" s="644">
        <f t="shared" si="1"/>
        <v>1086.8609999999999</v>
      </c>
      <c r="AO24" s="289"/>
      <c r="AP24" s="97"/>
    </row>
    <row r="25" spans="1:42" s="61" customFormat="1" ht="22.5" customHeight="1" x14ac:dyDescent="0.3">
      <c r="A25" s="706"/>
      <c r="B25" s="115" t="s">
        <v>402</v>
      </c>
      <c r="C25" s="142">
        <v>292.18900000000002</v>
      </c>
      <c r="D25" s="111"/>
      <c r="E25" s="111"/>
      <c r="F25" s="267"/>
      <c r="G25" s="111"/>
      <c r="H25" s="111"/>
      <c r="I25" s="125"/>
      <c r="J25" s="111"/>
      <c r="K25" s="111"/>
      <c r="L25" s="267">
        <v>0</v>
      </c>
      <c r="M25" s="111"/>
      <c r="N25" s="125"/>
      <c r="O25" s="111"/>
      <c r="P25" s="111"/>
      <c r="Q25" s="111"/>
      <c r="R25" s="111"/>
      <c r="S25" s="111">
        <v>381.57172300000002</v>
      </c>
      <c r="T25" s="143">
        <v>0</v>
      </c>
      <c r="U25" s="142">
        <v>0.44800000000000001</v>
      </c>
      <c r="V25" s="111"/>
      <c r="W25" s="111"/>
      <c r="X25" s="111"/>
      <c r="Y25" s="111"/>
      <c r="Z25" s="111"/>
      <c r="AA25" s="111"/>
      <c r="AB25" s="111"/>
      <c r="AC25" s="111"/>
      <c r="AD25" s="111"/>
      <c r="AE25" s="111"/>
      <c r="AF25" s="111"/>
      <c r="AG25" s="111"/>
      <c r="AH25" s="111" t="s">
        <v>482</v>
      </c>
      <c r="AI25" s="111"/>
      <c r="AJ25" s="111"/>
      <c r="AK25" s="111"/>
      <c r="AL25" s="111"/>
      <c r="AM25" s="645">
        <f t="shared" si="1"/>
        <v>674.20872300000008</v>
      </c>
      <c r="AO25" s="289"/>
    </row>
    <row r="26" spans="1:42" s="61" customFormat="1" ht="21" customHeight="1" x14ac:dyDescent="0.3">
      <c r="A26" s="707"/>
      <c r="B26" s="181" t="s">
        <v>403</v>
      </c>
      <c r="C26" s="144">
        <v>171.185</v>
      </c>
      <c r="D26" s="112"/>
      <c r="E26" s="112"/>
      <c r="F26" s="268"/>
      <c r="G26" s="112"/>
      <c r="H26" s="112"/>
      <c r="I26" s="126"/>
      <c r="J26" s="112"/>
      <c r="K26" s="112"/>
      <c r="L26" s="268"/>
      <c r="M26" s="112"/>
      <c r="N26" s="126"/>
      <c r="O26" s="112"/>
      <c r="P26" s="112"/>
      <c r="Q26" s="112"/>
      <c r="R26" s="112"/>
      <c r="S26" s="112">
        <v>363.85424</v>
      </c>
      <c r="T26" s="145">
        <v>0</v>
      </c>
      <c r="U26" s="144">
        <v>6.8029999999999999</v>
      </c>
      <c r="V26" s="112"/>
      <c r="W26" s="112"/>
      <c r="X26" s="112"/>
      <c r="Y26" s="112"/>
      <c r="Z26" s="112"/>
      <c r="AA26" s="112"/>
      <c r="AB26" s="112"/>
      <c r="AC26" s="112"/>
      <c r="AD26" s="112"/>
      <c r="AE26" s="112"/>
      <c r="AF26" s="112"/>
      <c r="AG26" s="112"/>
      <c r="AH26" s="112" t="s">
        <v>482</v>
      </c>
      <c r="AI26" s="112"/>
      <c r="AJ26" s="112"/>
      <c r="AK26" s="112"/>
      <c r="AL26" s="112"/>
      <c r="AM26" s="646">
        <f t="shared" si="1"/>
        <v>541.84224000000006</v>
      </c>
      <c r="AO26" s="289"/>
    </row>
    <row r="27" spans="1:42" s="61" customFormat="1" ht="21" customHeight="1" x14ac:dyDescent="0.3">
      <c r="A27" s="705" t="s">
        <v>103</v>
      </c>
      <c r="B27" s="179" t="s">
        <v>293</v>
      </c>
      <c r="C27" s="135">
        <v>57</v>
      </c>
      <c r="D27" s="136">
        <v>585</v>
      </c>
      <c r="E27" s="136"/>
      <c r="F27" s="262">
        <v>99.98</v>
      </c>
      <c r="G27" s="136">
        <v>50</v>
      </c>
      <c r="H27" s="136"/>
      <c r="I27" s="326"/>
      <c r="J27" s="136"/>
      <c r="K27" s="136"/>
      <c r="L27" s="262"/>
      <c r="M27" s="136"/>
      <c r="N27" s="326"/>
      <c r="O27" s="136"/>
      <c r="P27" s="136"/>
      <c r="Q27" s="136"/>
      <c r="R27" s="136"/>
      <c r="S27" s="136">
        <v>100</v>
      </c>
      <c r="T27" s="137">
        <v>10</v>
      </c>
      <c r="U27" s="632">
        <v>3.8559999999999999</v>
      </c>
      <c r="V27" s="122"/>
      <c r="W27" s="122"/>
      <c r="X27" s="122">
        <v>10</v>
      </c>
      <c r="Y27" s="122">
        <v>50</v>
      </c>
      <c r="Z27" s="122">
        <v>520</v>
      </c>
      <c r="AA27" s="122"/>
      <c r="AB27" s="122">
        <v>5</v>
      </c>
      <c r="AC27" s="122"/>
      <c r="AD27" s="122"/>
      <c r="AE27" s="122"/>
      <c r="AF27" s="122"/>
      <c r="AG27" s="122"/>
      <c r="AH27" s="122">
        <v>10</v>
      </c>
      <c r="AI27" s="122"/>
      <c r="AJ27" s="122"/>
      <c r="AK27" s="122"/>
      <c r="AL27" s="122"/>
      <c r="AM27" s="639">
        <f t="shared" si="1"/>
        <v>1500.836</v>
      </c>
      <c r="AO27" s="289"/>
    </row>
    <row r="28" spans="1:42" s="61" customFormat="1" ht="19.5" customHeight="1" x14ac:dyDescent="0.3">
      <c r="A28" s="706"/>
      <c r="B28" s="116" t="s">
        <v>294</v>
      </c>
      <c r="C28" s="138">
        <v>85.57</v>
      </c>
      <c r="D28" s="109">
        <v>318</v>
      </c>
      <c r="E28" s="109"/>
      <c r="F28" s="263"/>
      <c r="G28" s="109">
        <v>50</v>
      </c>
      <c r="H28" s="109"/>
      <c r="I28" s="123"/>
      <c r="J28" s="109"/>
      <c r="K28" s="109"/>
      <c r="L28" s="263"/>
      <c r="M28" s="109"/>
      <c r="N28" s="123"/>
      <c r="O28" s="109"/>
      <c r="P28" s="109"/>
      <c r="Q28" s="109"/>
      <c r="R28" s="109"/>
      <c r="S28" s="109">
        <v>100</v>
      </c>
      <c r="T28" s="139">
        <v>10</v>
      </c>
      <c r="U28" s="138">
        <v>3.8849999999999998</v>
      </c>
      <c r="V28" s="109"/>
      <c r="W28" s="109"/>
      <c r="X28" s="109">
        <v>10</v>
      </c>
      <c r="Y28" s="109">
        <v>50</v>
      </c>
      <c r="Z28" s="109">
        <v>20</v>
      </c>
      <c r="AA28" s="109">
        <v>16.83314</v>
      </c>
      <c r="AB28" s="109">
        <v>5</v>
      </c>
      <c r="AC28" s="109"/>
      <c r="AD28" s="109"/>
      <c r="AE28" s="109"/>
      <c r="AF28" s="109"/>
      <c r="AG28" s="109"/>
      <c r="AH28" s="109">
        <v>9986.34</v>
      </c>
      <c r="AI28" s="109"/>
      <c r="AJ28" s="109"/>
      <c r="AK28" s="109"/>
      <c r="AL28" s="109"/>
      <c r="AM28" s="640">
        <f t="shared" si="1"/>
        <v>10655.628140000001</v>
      </c>
      <c r="AO28" s="289"/>
    </row>
    <row r="29" spans="1:42" s="61" customFormat="1" ht="22.5" customHeight="1" x14ac:dyDescent="0.3">
      <c r="A29" s="706"/>
      <c r="B29" s="117" t="s">
        <v>326</v>
      </c>
      <c r="C29" s="140">
        <v>60</v>
      </c>
      <c r="D29" s="110">
        <v>329.697</v>
      </c>
      <c r="E29" s="110"/>
      <c r="F29" s="264"/>
      <c r="G29" s="110">
        <v>50</v>
      </c>
      <c r="H29" s="110">
        <v>75</v>
      </c>
      <c r="I29" s="124"/>
      <c r="J29" s="110"/>
      <c r="K29" s="110"/>
      <c r="L29" s="264"/>
      <c r="M29" s="110"/>
      <c r="N29" s="124"/>
      <c r="O29" s="110"/>
      <c r="P29" s="110"/>
      <c r="Q29" s="110"/>
      <c r="R29" s="110"/>
      <c r="S29" s="110">
        <v>1054</v>
      </c>
      <c r="T29" s="141"/>
      <c r="U29" s="140">
        <v>2.3490000000000002</v>
      </c>
      <c r="V29" s="110"/>
      <c r="W29" s="110">
        <v>157</v>
      </c>
      <c r="X29" s="110">
        <v>10</v>
      </c>
      <c r="Y29" s="110">
        <v>50</v>
      </c>
      <c r="Z29" s="110">
        <v>24</v>
      </c>
      <c r="AA29" s="110"/>
      <c r="AB29" s="110">
        <v>5</v>
      </c>
      <c r="AC29" s="110"/>
      <c r="AD29" s="110">
        <v>20</v>
      </c>
      <c r="AE29" s="110"/>
      <c r="AF29" s="110"/>
      <c r="AG29" s="110"/>
      <c r="AH29" s="110"/>
      <c r="AI29" s="110"/>
      <c r="AJ29" s="110"/>
      <c r="AK29" s="110"/>
      <c r="AL29" s="110"/>
      <c r="AM29" s="641">
        <f t="shared" si="1"/>
        <v>1837.046</v>
      </c>
      <c r="AO29" s="289"/>
      <c r="AP29" s="97"/>
    </row>
    <row r="30" spans="1:42" s="61" customFormat="1" ht="25.5" customHeight="1" x14ac:dyDescent="0.3">
      <c r="A30" s="706"/>
      <c r="B30" s="175" t="s">
        <v>327</v>
      </c>
      <c r="C30" s="176">
        <v>220.52500000000001</v>
      </c>
      <c r="D30" s="127">
        <v>408.12</v>
      </c>
      <c r="E30" s="127"/>
      <c r="F30" s="265">
        <v>118</v>
      </c>
      <c r="G30" s="127">
        <v>57</v>
      </c>
      <c r="H30" s="127"/>
      <c r="I30" s="178"/>
      <c r="J30" s="127"/>
      <c r="K30" s="127"/>
      <c r="L30" s="265"/>
      <c r="M30" s="127"/>
      <c r="N30" s="178"/>
      <c r="O30" s="127"/>
      <c r="P30" s="127"/>
      <c r="Q30" s="127"/>
      <c r="R30" s="127"/>
      <c r="S30" s="127">
        <v>3821</v>
      </c>
      <c r="T30" s="177"/>
      <c r="U30" s="176">
        <v>2.3490000000000002</v>
      </c>
      <c r="V30" s="127"/>
      <c r="W30" s="127">
        <v>151</v>
      </c>
      <c r="X30" s="127">
        <v>10</v>
      </c>
      <c r="Y30" s="127">
        <v>60</v>
      </c>
      <c r="Z30" s="127">
        <v>58</v>
      </c>
      <c r="AA30" s="127"/>
      <c r="AB30" s="127">
        <v>5</v>
      </c>
      <c r="AC30" s="127">
        <v>20</v>
      </c>
      <c r="AD30" s="127"/>
      <c r="AE30" s="127"/>
      <c r="AF30" s="127"/>
      <c r="AG30" s="127"/>
      <c r="AH30" s="127">
        <v>14850.21</v>
      </c>
      <c r="AI30" s="127"/>
      <c r="AJ30" s="127"/>
      <c r="AK30" s="127"/>
      <c r="AL30" s="127"/>
      <c r="AM30" s="642">
        <f t="shared" si="1"/>
        <v>19781.203999999998</v>
      </c>
      <c r="AO30" s="289"/>
    </row>
    <row r="31" spans="1:42" s="61" customFormat="1" ht="25.5" customHeight="1" x14ac:dyDescent="0.3">
      <c r="A31" s="706"/>
      <c r="B31" s="180" t="s">
        <v>361</v>
      </c>
      <c r="C31" s="300">
        <v>83.33</v>
      </c>
      <c r="D31" s="173">
        <v>420</v>
      </c>
      <c r="E31" s="173"/>
      <c r="F31" s="266"/>
      <c r="G31" s="173">
        <f>57+60</f>
        <v>117</v>
      </c>
      <c r="H31" s="173"/>
      <c r="I31" s="174"/>
      <c r="J31" s="173"/>
      <c r="K31" s="173"/>
      <c r="L31" s="266"/>
      <c r="M31" s="173"/>
      <c r="N31" s="174"/>
      <c r="O31" s="173"/>
      <c r="P31" s="173"/>
      <c r="Q31" s="173"/>
      <c r="R31" s="173"/>
      <c r="S31" s="173">
        <v>210</v>
      </c>
      <c r="T31" s="327"/>
      <c r="U31" s="300">
        <v>1.6259999999999999</v>
      </c>
      <c r="V31" s="173"/>
      <c r="W31" s="173">
        <v>153</v>
      </c>
      <c r="X31" s="173">
        <v>10</v>
      </c>
      <c r="Y31" s="173">
        <v>60</v>
      </c>
      <c r="Z31" s="173">
        <v>39.603589999999997</v>
      </c>
      <c r="AA31" s="173"/>
      <c r="AB31" s="173">
        <v>5</v>
      </c>
      <c r="AC31" s="173">
        <v>10</v>
      </c>
      <c r="AD31" s="173"/>
      <c r="AE31" s="173"/>
      <c r="AF31" s="173"/>
      <c r="AG31" s="173"/>
      <c r="AH31" s="173"/>
      <c r="AI31" s="173"/>
      <c r="AJ31" s="173"/>
      <c r="AK31" s="173"/>
      <c r="AL31" s="173"/>
      <c r="AM31" s="643">
        <f t="shared" si="1"/>
        <v>1109.5595899999998</v>
      </c>
      <c r="AO31" s="289"/>
      <c r="AP31" s="97"/>
    </row>
    <row r="32" spans="1:42" s="61" customFormat="1" ht="25.5" customHeight="1" x14ac:dyDescent="0.3">
      <c r="A32" s="706"/>
      <c r="B32" s="180" t="s">
        <v>362</v>
      </c>
      <c r="C32" s="300">
        <v>81.375</v>
      </c>
      <c r="D32" s="173">
        <v>438</v>
      </c>
      <c r="E32" s="173"/>
      <c r="F32" s="266"/>
      <c r="G32" s="173">
        <v>58</v>
      </c>
      <c r="H32" s="173"/>
      <c r="I32" s="174"/>
      <c r="J32" s="173"/>
      <c r="K32" s="173">
        <v>94</v>
      </c>
      <c r="L32" s="266"/>
      <c r="M32" s="173"/>
      <c r="N32" s="174"/>
      <c r="O32" s="173"/>
      <c r="P32" s="173"/>
      <c r="Q32" s="173"/>
      <c r="R32" s="173"/>
      <c r="S32" s="173">
        <v>1145</v>
      </c>
      <c r="T32" s="327">
        <v>100</v>
      </c>
      <c r="U32" s="300">
        <v>2.5779999999999998</v>
      </c>
      <c r="V32" s="173"/>
      <c r="W32" s="173"/>
      <c r="X32" s="173">
        <v>10</v>
      </c>
      <c r="Y32" s="173">
        <v>60</v>
      </c>
      <c r="Z32" s="173">
        <v>54.5488</v>
      </c>
      <c r="AA32" s="173"/>
      <c r="AB32" s="173">
        <v>5</v>
      </c>
      <c r="AC32" s="173">
        <v>10</v>
      </c>
      <c r="AD32" s="173"/>
      <c r="AE32" s="173"/>
      <c r="AF32" s="173"/>
      <c r="AG32" s="173"/>
      <c r="AH32" s="173"/>
      <c r="AI32" s="173"/>
      <c r="AJ32" s="173"/>
      <c r="AK32" s="173"/>
      <c r="AL32" s="173"/>
      <c r="AM32" s="644">
        <f t="shared" si="1"/>
        <v>2058.5018</v>
      </c>
      <c r="AO32" s="289"/>
      <c r="AP32" s="97"/>
    </row>
    <row r="33" spans="1:42" s="61" customFormat="1" ht="22.5" customHeight="1" x14ac:dyDescent="0.3">
      <c r="A33" s="706"/>
      <c r="B33" s="115" t="s">
        <v>402</v>
      </c>
      <c r="C33" s="142">
        <v>25</v>
      </c>
      <c r="D33" s="111">
        <v>323</v>
      </c>
      <c r="E33" s="111"/>
      <c r="F33" s="267"/>
      <c r="G33" s="111">
        <v>82</v>
      </c>
      <c r="H33" s="111"/>
      <c r="I33" s="125"/>
      <c r="J33" s="111"/>
      <c r="K33" s="111"/>
      <c r="L33" s="267">
        <v>0</v>
      </c>
      <c r="M33" s="111"/>
      <c r="N33" s="125"/>
      <c r="O33" s="111"/>
      <c r="P33" s="111"/>
      <c r="Q33" s="111"/>
      <c r="R33" s="111"/>
      <c r="S33" s="111">
        <v>478.48466400000007</v>
      </c>
      <c r="T33" s="143">
        <v>0</v>
      </c>
      <c r="U33" s="142">
        <v>10.257</v>
      </c>
      <c r="V33" s="111"/>
      <c r="W33" s="111"/>
      <c r="X33" s="111">
        <v>10</v>
      </c>
      <c r="Y33" s="111">
        <v>60</v>
      </c>
      <c r="Z33" s="111">
        <v>22</v>
      </c>
      <c r="AA33" s="111"/>
      <c r="AB33" s="111">
        <v>5</v>
      </c>
      <c r="AC33" s="111">
        <v>10</v>
      </c>
      <c r="AD33" s="111"/>
      <c r="AE33" s="111"/>
      <c r="AF33" s="111"/>
      <c r="AG33" s="111"/>
      <c r="AH33" s="111" t="s">
        <v>482</v>
      </c>
      <c r="AI33" s="111"/>
      <c r="AJ33" s="111"/>
      <c r="AK33" s="111"/>
      <c r="AL33" s="111"/>
      <c r="AM33" s="645">
        <f t="shared" si="1"/>
        <v>1025.7416640000001</v>
      </c>
      <c r="AO33" s="289"/>
    </row>
    <row r="34" spans="1:42" s="61" customFormat="1" ht="21" customHeight="1" x14ac:dyDescent="0.3">
      <c r="A34" s="707"/>
      <c r="B34" s="181" t="s">
        <v>403</v>
      </c>
      <c r="C34" s="144">
        <v>145</v>
      </c>
      <c r="D34" s="112">
        <v>352</v>
      </c>
      <c r="E34" s="112"/>
      <c r="F34" s="268"/>
      <c r="G34" s="112">
        <v>44</v>
      </c>
      <c r="H34" s="112"/>
      <c r="I34" s="126"/>
      <c r="J34" s="112"/>
      <c r="K34" s="112"/>
      <c r="L34" s="268"/>
      <c r="M34" s="112"/>
      <c r="N34" s="126"/>
      <c r="O34" s="112"/>
      <c r="P34" s="112"/>
      <c r="Q34" s="112"/>
      <c r="R34" s="112"/>
      <c r="S34" s="112">
        <v>90.129315000000005</v>
      </c>
      <c r="T34" s="145">
        <v>0</v>
      </c>
      <c r="U34" s="144">
        <v>2.6749999999999998</v>
      </c>
      <c r="V34" s="112"/>
      <c r="W34" s="112"/>
      <c r="X34" s="112">
        <v>10</v>
      </c>
      <c r="Y34" s="112">
        <v>100</v>
      </c>
      <c r="Z34" s="112"/>
      <c r="AA34" s="112"/>
      <c r="AB34" s="112">
        <v>5</v>
      </c>
      <c r="AC34" s="112">
        <v>10</v>
      </c>
      <c r="AD34" s="112"/>
      <c r="AE34" s="112"/>
      <c r="AF34" s="112"/>
      <c r="AG34" s="112"/>
      <c r="AH34" s="112" t="s">
        <v>482</v>
      </c>
      <c r="AI34" s="112"/>
      <c r="AJ34" s="112"/>
      <c r="AK34" s="112"/>
      <c r="AL34" s="112"/>
      <c r="AM34" s="646">
        <f t="shared" si="1"/>
        <v>758.80431499999997</v>
      </c>
      <c r="AO34" s="289"/>
    </row>
    <row r="35" spans="1:42" s="61" customFormat="1" ht="21" customHeight="1" x14ac:dyDescent="0.3">
      <c r="A35" s="705" t="s">
        <v>104</v>
      </c>
      <c r="B35" s="179" t="s">
        <v>293</v>
      </c>
      <c r="C35" s="135">
        <v>52</v>
      </c>
      <c r="D35" s="136"/>
      <c r="E35" s="136"/>
      <c r="F35" s="262"/>
      <c r="G35" s="136"/>
      <c r="H35" s="136"/>
      <c r="I35" s="326"/>
      <c r="J35" s="136"/>
      <c r="K35" s="136"/>
      <c r="L35" s="262"/>
      <c r="M35" s="136"/>
      <c r="N35" s="326"/>
      <c r="O35" s="136"/>
      <c r="P35" s="136"/>
      <c r="Q35" s="136"/>
      <c r="R35" s="136"/>
      <c r="S35" s="136">
        <v>12.925000000000001</v>
      </c>
      <c r="T35" s="137">
        <v>7.81</v>
      </c>
      <c r="U35" s="632"/>
      <c r="V35" s="122"/>
      <c r="W35" s="122"/>
      <c r="X35" s="122"/>
      <c r="Y35" s="122">
        <v>49.554000000000002</v>
      </c>
      <c r="Z35" s="122">
        <v>337</v>
      </c>
      <c r="AA35" s="122"/>
      <c r="AB35" s="122"/>
      <c r="AC35" s="122"/>
      <c r="AD35" s="122"/>
      <c r="AE35" s="122"/>
      <c r="AF35" s="122"/>
      <c r="AG35" s="122"/>
      <c r="AH35" s="122">
        <v>75.17</v>
      </c>
      <c r="AI35" s="122"/>
      <c r="AJ35" s="122"/>
      <c r="AK35" s="122"/>
      <c r="AL35" s="122"/>
      <c r="AM35" s="639">
        <f t="shared" si="1"/>
        <v>534.45899999999995</v>
      </c>
      <c r="AO35" s="289"/>
    </row>
    <row r="36" spans="1:42" s="61" customFormat="1" ht="19.5" customHeight="1" x14ac:dyDescent="0.3">
      <c r="A36" s="706"/>
      <c r="B36" s="116" t="s">
        <v>294</v>
      </c>
      <c r="C36" s="138">
        <v>75</v>
      </c>
      <c r="D36" s="109"/>
      <c r="E36" s="109"/>
      <c r="F36" s="263"/>
      <c r="G36" s="109"/>
      <c r="H36" s="109"/>
      <c r="I36" s="123"/>
      <c r="J36" s="109"/>
      <c r="K36" s="109"/>
      <c r="L36" s="263"/>
      <c r="M36" s="109"/>
      <c r="N36" s="123"/>
      <c r="O36" s="109"/>
      <c r="P36" s="109"/>
      <c r="Q36" s="109"/>
      <c r="R36" s="109"/>
      <c r="S36" s="109">
        <v>16.044</v>
      </c>
      <c r="T36" s="139">
        <v>11.952</v>
      </c>
      <c r="U36" s="138"/>
      <c r="V36" s="109"/>
      <c r="W36" s="109"/>
      <c r="X36" s="109"/>
      <c r="Y36" s="109">
        <v>71.259</v>
      </c>
      <c r="Z36" s="109">
        <v>426</v>
      </c>
      <c r="AA36" s="109"/>
      <c r="AB36" s="109"/>
      <c r="AC36" s="109"/>
      <c r="AD36" s="109"/>
      <c r="AE36" s="109"/>
      <c r="AF36" s="109"/>
      <c r="AG36" s="109"/>
      <c r="AH36" s="109">
        <v>67.33</v>
      </c>
      <c r="AI36" s="109"/>
      <c r="AJ36" s="109"/>
      <c r="AK36" s="109"/>
      <c r="AL36" s="109"/>
      <c r="AM36" s="640">
        <f t="shared" si="1"/>
        <v>667.58500000000004</v>
      </c>
      <c r="AO36" s="289"/>
    </row>
    <row r="37" spans="1:42" s="61" customFormat="1" ht="22.5" customHeight="1" x14ac:dyDescent="0.3">
      <c r="A37" s="706"/>
      <c r="B37" s="117" t="s">
        <v>326</v>
      </c>
      <c r="C37" s="140">
        <v>76.662999999999997</v>
      </c>
      <c r="D37" s="110"/>
      <c r="E37" s="110"/>
      <c r="F37" s="264">
        <v>38</v>
      </c>
      <c r="G37" s="110"/>
      <c r="H37" s="110"/>
      <c r="I37" s="124"/>
      <c r="J37" s="110"/>
      <c r="K37" s="110"/>
      <c r="L37" s="264"/>
      <c r="M37" s="110"/>
      <c r="N37" s="124"/>
      <c r="O37" s="110"/>
      <c r="P37" s="110"/>
      <c r="Q37" s="110"/>
      <c r="R37" s="110">
        <v>31.5</v>
      </c>
      <c r="S37" s="110">
        <v>19</v>
      </c>
      <c r="T37" s="141"/>
      <c r="U37" s="140">
        <v>13.019</v>
      </c>
      <c r="V37" s="110"/>
      <c r="W37" s="110"/>
      <c r="X37" s="110"/>
      <c r="Y37" s="110"/>
      <c r="Z37" s="110">
        <v>879</v>
      </c>
      <c r="AA37" s="110"/>
      <c r="AB37" s="110"/>
      <c r="AC37" s="110"/>
      <c r="AD37" s="110"/>
      <c r="AE37" s="110"/>
      <c r="AF37" s="110"/>
      <c r="AG37" s="110"/>
      <c r="AH37" s="110">
        <v>100.315</v>
      </c>
      <c r="AI37" s="110"/>
      <c r="AJ37" s="110"/>
      <c r="AK37" s="110"/>
      <c r="AL37" s="110"/>
      <c r="AM37" s="641">
        <f t="shared" si="1"/>
        <v>1157.4970000000001</v>
      </c>
      <c r="AO37" s="289"/>
      <c r="AP37" s="97"/>
    </row>
    <row r="38" spans="1:42" s="61" customFormat="1" ht="25.5" customHeight="1" x14ac:dyDescent="0.3">
      <c r="A38" s="706"/>
      <c r="B38" s="175" t="s">
        <v>327</v>
      </c>
      <c r="C38" s="176">
        <v>103.364</v>
      </c>
      <c r="D38" s="127"/>
      <c r="E38" s="127"/>
      <c r="F38" s="265"/>
      <c r="G38" s="127"/>
      <c r="H38" s="127"/>
      <c r="I38" s="178"/>
      <c r="J38" s="127"/>
      <c r="K38" s="127"/>
      <c r="L38" s="265"/>
      <c r="M38" s="127"/>
      <c r="N38" s="178"/>
      <c r="O38" s="127"/>
      <c r="P38" s="127"/>
      <c r="Q38" s="127"/>
      <c r="R38" s="127">
        <v>31.5</v>
      </c>
      <c r="S38" s="127">
        <v>26</v>
      </c>
      <c r="T38" s="177"/>
      <c r="U38" s="176">
        <v>26.187000000000001</v>
      </c>
      <c r="V38" s="127"/>
      <c r="W38" s="127"/>
      <c r="X38" s="127"/>
      <c r="Y38" s="127"/>
      <c r="Z38" s="127">
        <v>1544</v>
      </c>
      <c r="AA38" s="127"/>
      <c r="AB38" s="127"/>
      <c r="AC38" s="127"/>
      <c r="AD38" s="127"/>
      <c r="AE38" s="127"/>
      <c r="AF38" s="127"/>
      <c r="AG38" s="127"/>
      <c r="AH38" s="127">
        <v>31.9</v>
      </c>
      <c r="AI38" s="127"/>
      <c r="AJ38" s="127"/>
      <c r="AK38" s="127"/>
      <c r="AL38" s="127"/>
      <c r="AM38" s="642">
        <f t="shared" si="1"/>
        <v>1762.951</v>
      </c>
      <c r="AO38" s="289"/>
    </row>
    <row r="39" spans="1:42" s="61" customFormat="1" ht="25.5" customHeight="1" x14ac:dyDescent="0.3">
      <c r="A39" s="706"/>
      <c r="B39" s="180" t="s">
        <v>361</v>
      </c>
      <c r="C39" s="300">
        <v>57</v>
      </c>
      <c r="D39" s="173"/>
      <c r="E39" s="173"/>
      <c r="F39" s="266"/>
      <c r="G39" s="173"/>
      <c r="H39" s="173"/>
      <c r="I39" s="174"/>
      <c r="J39" s="173"/>
      <c r="K39" s="173"/>
      <c r="L39" s="266"/>
      <c r="M39" s="173"/>
      <c r="N39" s="174"/>
      <c r="O39" s="173"/>
      <c r="P39" s="173"/>
      <c r="Q39" s="173"/>
      <c r="R39" s="173"/>
      <c r="S39" s="173">
        <v>-19</v>
      </c>
      <c r="T39" s="327"/>
      <c r="U39" s="300">
        <v>62.822000000000003</v>
      </c>
      <c r="V39" s="173"/>
      <c r="W39" s="173"/>
      <c r="X39" s="173"/>
      <c r="Y39" s="173">
        <v>25</v>
      </c>
      <c r="Z39" s="173">
        <v>964.56143000000009</v>
      </c>
      <c r="AA39" s="173"/>
      <c r="AB39" s="173"/>
      <c r="AC39" s="173"/>
      <c r="AD39" s="173"/>
      <c r="AE39" s="173"/>
      <c r="AF39" s="173"/>
      <c r="AG39" s="173"/>
      <c r="AH39" s="173">
        <v>133</v>
      </c>
      <c r="AI39" s="173"/>
      <c r="AJ39" s="173"/>
      <c r="AK39" s="173"/>
      <c r="AL39" s="173"/>
      <c r="AM39" s="643">
        <f t="shared" si="1"/>
        <v>1223.3834300000001</v>
      </c>
      <c r="AO39" s="289"/>
      <c r="AP39" s="97"/>
    </row>
    <row r="40" spans="1:42" s="61" customFormat="1" ht="25.5" customHeight="1" x14ac:dyDescent="0.3">
      <c r="A40" s="706"/>
      <c r="B40" s="180" t="s">
        <v>362</v>
      </c>
      <c r="C40" s="300">
        <v>302</v>
      </c>
      <c r="D40" s="173"/>
      <c r="E40" s="173"/>
      <c r="F40" s="266"/>
      <c r="G40" s="173"/>
      <c r="H40" s="173">
        <v>20</v>
      </c>
      <c r="I40" s="174"/>
      <c r="J40" s="173"/>
      <c r="K40" s="173"/>
      <c r="L40" s="266"/>
      <c r="M40" s="173"/>
      <c r="N40" s="174"/>
      <c r="O40" s="173"/>
      <c r="P40" s="173"/>
      <c r="Q40" s="173"/>
      <c r="R40" s="173"/>
      <c r="S40" s="173">
        <v>195</v>
      </c>
      <c r="T40" s="327"/>
      <c r="U40" s="300">
        <v>70.947999999999993</v>
      </c>
      <c r="V40" s="173"/>
      <c r="W40" s="173"/>
      <c r="X40" s="173"/>
      <c r="Y40" s="173"/>
      <c r="Z40" s="173">
        <v>1873.9591200000002</v>
      </c>
      <c r="AA40" s="173"/>
      <c r="AB40" s="173"/>
      <c r="AC40" s="173"/>
      <c r="AD40" s="173"/>
      <c r="AE40" s="173"/>
      <c r="AF40" s="173"/>
      <c r="AG40" s="173"/>
      <c r="AH40" s="173">
        <v>130</v>
      </c>
      <c r="AI40" s="173"/>
      <c r="AJ40" s="173"/>
      <c r="AK40" s="173"/>
      <c r="AL40" s="173"/>
      <c r="AM40" s="644">
        <f t="shared" si="1"/>
        <v>2591.9071200000003</v>
      </c>
      <c r="AO40" s="289"/>
      <c r="AP40" s="97"/>
    </row>
    <row r="41" spans="1:42" s="61" customFormat="1" ht="22.5" customHeight="1" x14ac:dyDescent="0.3">
      <c r="A41" s="706"/>
      <c r="B41" s="115" t="s">
        <v>402</v>
      </c>
      <c r="C41" s="142">
        <v>262.00080000000003</v>
      </c>
      <c r="D41" s="111"/>
      <c r="E41" s="111"/>
      <c r="F41" s="267"/>
      <c r="G41" s="111"/>
      <c r="H41" s="111"/>
      <c r="I41" s="125"/>
      <c r="J41" s="111"/>
      <c r="K41" s="111"/>
      <c r="L41" s="267">
        <v>0</v>
      </c>
      <c r="M41" s="111"/>
      <c r="N41" s="125"/>
      <c r="O41" s="111"/>
      <c r="P41" s="111">
        <v>189</v>
      </c>
      <c r="Q41" s="111"/>
      <c r="R41" s="111">
        <v>0</v>
      </c>
      <c r="S41" s="111"/>
      <c r="T41" s="143">
        <v>0</v>
      </c>
      <c r="U41" s="142">
        <v>27.939</v>
      </c>
      <c r="V41" s="111"/>
      <c r="W41" s="111"/>
      <c r="X41" s="111"/>
      <c r="Y41" s="111">
        <v>28.384</v>
      </c>
      <c r="Z41" s="111">
        <v>1143</v>
      </c>
      <c r="AA41" s="111"/>
      <c r="AB41" s="111"/>
      <c r="AC41" s="111"/>
      <c r="AD41" s="111"/>
      <c r="AE41" s="111"/>
      <c r="AF41" s="111"/>
      <c r="AG41" s="111"/>
      <c r="AH41" s="111">
        <v>57.807000000000002</v>
      </c>
      <c r="AI41" s="111">
        <v>49</v>
      </c>
      <c r="AJ41" s="111"/>
      <c r="AK41" s="111"/>
      <c r="AL41" s="111"/>
      <c r="AM41" s="645">
        <f t="shared" si="1"/>
        <v>1757.1308000000001</v>
      </c>
      <c r="AO41" s="289"/>
    </row>
    <row r="42" spans="1:42" s="61" customFormat="1" ht="21" customHeight="1" x14ac:dyDescent="0.3">
      <c r="A42" s="707"/>
      <c r="B42" s="181" t="s">
        <v>403</v>
      </c>
      <c r="C42" s="144">
        <v>211.83878999999999</v>
      </c>
      <c r="D42" s="112"/>
      <c r="E42" s="112"/>
      <c r="F42" s="268"/>
      <c r="G42" s="112"/>
      <c r="H42" s="112"/>
      <c r="I42" s="126"/>
      <c r="J42" s="112"/>
      <c r="K42" s="112"/>
      <c r="L42" s="268"/>
      <c r="M42" s="112"/>
      <c r="N42" s="126"/>
      <c r="O42" s="112"/>
      <c r="P42" s="112">
        <v>0</v>
      </c>
      <c r="Q42" s="112"/>
      <c r="R42" s="112">
        <v>0</v>
      </c>
      <c r="S42" s="112">
        <v>-2.8620000000000001</v>
      </c>
      <c r="T42" s="145">
        <v>0</v>
      </c>
      <c r="U42" s="144">
        <v>65.626000000000005</v>
      </c>
      <c r="V42" s="112"/>
      <c r="W42" s="112">
        <v>73</v>
      </c>
      <c r="X42" s="112"/>
      <c r="Y42" s="112">
        <v>85.131</v>
      </c>
      <c r="Z42" s="112">
        <v>555</v>
      </c>
      <c r="AA42" s="112"/>
      <c r="AB42" s="112"/>
      <c r="AC42" s="112"/>
      <c r="AD42" s="112"/>
      <c r="AE42" s="112"/>
      <c r="AF42" s="112"/>
      <c r="AG42" s="112"/>
      <c r="AH42" s="112">
        <v>111.623</v>
      </c>
      <c r="AI42" s="112">
        <v>48</v>
      </c>
      <c r="AJ42" s="112"/>
      <c r="AK42" s="112"/>
      <c r="AL42" s="112"/>
      <c r="AM42" s="646">
        <f t="shared" si="1"/>
        <v>1147.35679</v>
      </c>
      <c r="AO42" s="289"/>
    </row>
    <row r="43" spans="1:42" s="61" customFormat="1" ht="21" customHeight="1" x14ac:dyDescent="0.3">
      <c r="A43" s="705" t="s">
        <v>105</v>
      </c>
      <c r="B43" s="179" t="s">
        <v>293</v>
      </c>
      <c r="C43" s="135"/>
      <c r="D43" s="136"/>
      <c r="E43" s="136"/>
      <c r="F43" s="262"/>
      <c r="G43" s="136">
        <v>1</v>
      </c>
      <c r="H43" s="136"/>
      <c r="I43" s="326"/>
      <c r="J43" s="136"/>
      <c r="K43" s="136"/>
      <c r="L43" s="262"/>
      <c r="M43" s="136"/>
      <c r="N43" s="326"/>
      <c r="O43" s="136"/>
      <c r="P43" s="136"/>
      <c r="Q43" s="136"/>
      <c r="R43" s="136"/>
      <c r="S43" s="136"/>
      <c r="T43" s="137"/>
      <c r="U43" s="632"/>
      <c r="V43" s="122"/>
      <c r="W43" s="122"/>
      <c r="X43" s="122"/>
      <c r="Y43" s="122"/>
      <c r="Z43" s="122"/>
      <c r="AA43" s="122">
        <v>0.66666999999999998</v>
      </c>
      <c r="AB43" s="122"/>
      <c r="AC43" s="122"/>
      <c r="AD43" s="122"/>
      <c r="AE43" s="122"/>
      <c r="AF43" s="122"/>
      <c r="AG43" s="122">
        <v>0.65</v>
      </c>
      <c r="AH43" s="122"/>
      <c r="AI43" s="122"/>
      <c r="AJ43" s="122"/>
      <c r="AK43" s="122"/>
      <c r="AL43" s="122"/>
      <c r="AM43" s="639">
        <f t="shared" si="1"/>
        <v>2.3166699999999998</v>
      </c>
      <c r="AO43" s="289"/>
    </row>
    <row r="44" spans="1:42" s="61" customFormat="1" ht="19.5" customHeight="1" x14ac:dyDescent="0.3">
      <c r="A44" s="706"/>
      <c r="B44" s="116" t="s">
        <v>294</v>
      </c>
      <c r="C44" s="138">
        <v>1</v>
      </c>
      <c r="D44" s="109"/>
      <c r="E44" s="109"/>
      <c r="F44" s="263"/>
      <c r="G44" s="109">
        <v>402</v>
      </c>
      <c r="H44" s="109"/>
      <c r="I44" s="123"/>
      <c r="J44" s="109"/>
      <c r="K44" s="109"/>
      <c r="L44" s="263"/>
      <c r="M44" s="109"/>
      <c r="N44" s="123"/>
      <c r="O44" s="109"/>
      <c r="P44" s="109"/>
      <c r="Q44" s="109"/>
      <c r="R44" s="109"/>
      <c r="S44" s="109">
        <v>2.5</v>
      </c>
      <c r="T44" s="139"/>
      <c r="U44" s="138"/>
      <c r="V44" s="109"/>
      <c r="W44" s="109"/>
      <c r="X44" s="109"/>
      <c r="Y44" s="109"/>
      <c r="Z44" s="109">
        <v>2</v>
      </c>
      <c r="AA44" s="109"/>
      <c r="AB44" s="109"/>
      <c r="AC44" s="109"/>
      <c r="AD44" s="109"/>
      <c r="AE44" s="109"/>
      <c r="AF44" s="109"/>
      <c r="AG44" s="109"/>
      <c r="AH44" s="109"/>
      <c r="AI44" s="109"/>
      <c r="AJ44" s="109"/>
      <c r="AK44" s="109"/>
      <c r="AL44" s="109"/>
      <c r="AM44" s="640">
        <f t="shared" si="1"/>
        <v>407.5</v>
      </c>
      <c r="AO44" s="289"/>
    </row>
    <row r="45" spans="1:42" s="61" customFormat="1" ht="22.5" customHeight="1" x14ac:dyDescent="0.3">
      <c r="A45" s="706"/>
      <c r="B45" s="117" t="s">
        <v>326</v>
      </c>
      <c r="C45" s="140">
        <v>5</v>
      </c>
      <c r="D45" s="110"/>
      <c r="E45" s="110"/>
      <c r="F45" s="264"/>
      <c r="G45" s="110">
        <v>1</v>
      </c>
      <c r="H45" s="110"/>
      <c r="I45" s="124"/>
      <c r="J45" s="110"/>
      <c r="K45" s="110"/>
      <c r="L45" s="264"/>
      <c r="M45" s="110"/>
      <c r="N45" s="124"/>
      <c r="O45" s="110"/>
      <c r="P45" s="110">
        <v>205</v>
      </c>
      <c r="Q45" s="110"/>
      <c r="R45" s="110"/>
      <c r="S45" s="110"/>
      <c r="T45" s="141"/>
      <c r="U45" s="140">
        <v>0.98</v>
      </c>
      <c r="V45" s="110"/>
      <c r="W45" s="110"/>
      <c r="X45" s="110"/>
      <c r="Y45" s="110">
        <v>297</v>
      </c>
      <c r="Z45" s="110"/>
      <c r="AA45" s="110"/>
      <c r="AB45" s="110"/>
      <c r="AC45" s="110"/>
      <c r="AD45" s="110"/>
      <c r="AE45" s="110"/>
      <c r="AF45" s="110"/>
      <c r="AG45" s="110">
        <f>1/1.3</f>
        <v>0.76923076923076916</v>
      </c>
      <c r="AH45" s="110">
        <v>4013.5900999999999</v>
      </c>
      <c r="AI45" s="110"/>
      <c r="AJ45" s="110"/>
      <c r="AK45" s="110"/>
      <c r="AL45" s="110"/>
      <c r="AM45" s="641">
        <f t="shared" si="1"/>
        <v>4523.3393307692304</v>
      </c>
      <c r="AO45" s="289"/>
      <c r="AP45" s="97"/>
    </row>
    <row r="46" spans="1:42" s="61" customFormat="1" ht="25.5" customHeight="1" x14ac:dyDescent="0.3">
      <c r="A46" s="706"/>
      <c r="B46" s="175" t="s">
        <v>327</v>
      </c>
      <c r="C46" s="176">
        <v>5</v>
      </c>
      <c r="D46" s="127"/>
      <c r="E46" s="127"/>
      <c r="F46" s="265"/>
      <c r="G46" s="127">
        <v>1</v>
      </c>
      <c r="H46" s="127"/>
      <c r="I46" s="178"/>
      <c r="J46" s="127"/>
      <c r="K46" s="127"/>
      <c r="L46" s="265"/>
      <c r="M46" s="127"/>
      <c r="N46" s="178"/>
      <c r="O46" s="127"/>
      <c r="P46" s="127">
        <v>115</v>
      </c>
      <c r="Q46" s="127"/>
      <c r="R46" s="127"/>
      <c r="S46" s="127">
        <v>77</v>
      </c>
      <c r="T46" s="177"/>
      <c r="U46" s="176"/>
      <c r="V46" s="127"/>
      <c r="W46" s="127"/>
      <c r="X46" s="127"/>
      <c r="Y46" s="127"/>
      <c r="Z46" s="127"/>
      <c r="AA46" s="127"/>
      <c r="AB46" s="127"/>
      <c r="AC46" s="127"/>
      <c r="AD46" s="127"/>
      <c r="AE46" s="127"/>
      <c r="AF46" s="127"/>
      <c r="AG46" s="127"/>
      <c r="AH46" s="127"/>
      <c r="AI46" s="127"/>
      <c r="AJ46" s="127"/>
      <c r="AK46" s="127"/>
      <c r="AL46" s="127"/>
      <c r="AM46" s="642">
        <f t="shared" si="1"/>
        <v>198</v>
      </c>
      <c r="AO46" s="289"/>
    </row>
    <row r="47" spans="1:42" s="61" customFormat="1" ht="25.5" customHeight="1" x14ac:dyDescent="0.3">
      <c r="A47" s="706"/>
      <c r="B47" s="180" t="s">
        <v>361</v>
      </c>
      <c r="C47" s="300"/>
      <c r="D47" s="173"/>
      <c r="E47" s="173"/>
      <c r="F47" s="266"/>
      <c r="G47" s="173">
        <v>1</v>
      </c>
      <c r="H47" s="173"/>
      <c r="I47" s="174"/>
      <c r="J47" s="173"/>
      <c r="K47" s="173"/>
      <c r="L47" s="266"/>
      <c r="M47" s="173"/>
      <c r="N47" s="174"/>
      <c r="O47" s="173"/>
      <c r="P47" s="173">
        <v>418</v>
      </c>
      <c r="Q47" s="173"/>
      <c r="R47" s="173"/>
      <c r="S47" s="173">
        <v>543</v>
      </c>
      <c r="T47" s="327"/>
      <c r="U47" s="300"/>
      <c r="V47" s="173"/>
      <c r="W47" s="173"/>
      <c r="X47" s="173"/>
      <c r="Y47" s="173"/>
      <c r="Z47" s="173"/>
      <c r="AA47" s="173"/>
      <c r="AB47" s="173"/>
      <c r="AC47" s="173"/>
      <c r="AD47" s="173"/>
      <c r="AE47" s="173"/>
      <c r="AF47" s="173"/>
      <c r="AG47" s="173"/>
      <c r="AH47" s="173">
        <v>3500</v>
      </c>
      <c r="AI47" s="173"/>
      <c r="AJ47" s="173"/>
      <c r="AK47" s="173"/>
      <c r="AL47" s="173"/>
      <c r="AM47" s="643">
        <f t="shared" si="1"/>
        <v>4462</v>
      </c>
      <c r="AO47" s="289"/>
      <c r="AP47" s="97"/>
    </row>
    <row r="48" spans="1:42" s="61" customFormat="1" ht="25.5" customHeight="1" x14ac:dyDescent="0.3">
      <c r="A48" s="706"/>
      <c r="B48" s="180" t="s">
        <v>362</v>
      </c>
      <c r="C48" s="300">
        <v>6</v>
      </c>
      <c r="D48" s="173"/>
      <c r="E48" s="173"/>
      <c r="F48" s="266"/>
      <c r="G48" s="173">
        <v>1</v>
      </c>
      <c r="H48" s="173"/>
      <c r="I48" s="174"/>
      <c r="J48" s="173"/>
      <c r="K48" s="173"/>
      <c r="L48" s="266"/>
      <c r="M48" s="173"/>
      <c r="N48" s="174"/>
      <c r="O48" s="173"/>
      <c r="P48" s="173">
        <v>96</v>
      </c>
      <c r="Q48" s="173"/>
      <c r="R48" s="173"/>
      <c r="S48" s="173">
        <v>365</v>
      </c>
      <c r="T48" s="327"/>
      <c r="U48" s="300"/>
      <c r="V48" s="173"/>
      <c r="W48" s="173"/>
      <c r="X48" s="173"/>
      <c r="Y48" s="173">
        <v>317</v>
      </c>
      <c r="Z48" s="173">
        <v>10</v>
      </c>
      <c r="AA48" s="173"/>
      <c r="AB48" s="173"/>
      <c r="AC48" s="173"/>
      <c r="AD48" s="173"/>
      <c r="AE48" s="173"/>
      <c r="AF48" s="173"/>
      <c r="AG48" s="173"/>
      <c r="AH48" s="173"/>
      <c r="AI48" s="173"/>
      <c r="AJ48" s="173"/>
      <c r="AK48" s="173"/>
      <c r="AL48" s="173"/>
      <c r="AM48" s="644">
        <f t="shared" si="1"/>
        <v>795</v>
      </c>
      <c r="AO48" s="289"/>
      <c r="AP48" s="97"/>
    </row>
    <row r="49" spans="1:42" s="61" customFormat="1" ht="22.5" customHeight="1" x14ac:dyDescent="0.3">
      <c r="A49" s="706"/>
      <c r="B49" s="115" t="s">
        <v>402</v>
      </c>
      <c r="C49" s="142">
        <v>50.784280000000003</v>
      </c>
      <c r="D49" s="111"/>
      <c r="E49" s="111"/>
      <c r="F49" s="267">
        <v>1137.5999999999999</v>
      </c>
      <c r="G49" s="111"/>
      <c r="H49" s="111">
        <v>104</v>
      </c>
      <c r="I49" s="125"/>
      <c r="J49" s="111"/>
      <c r="K49" s="111"/>
      <c r="L49" s="267">
        <v>0</v>
      </c>
      <c r="M49" s="111"/>
      <c r="N49" s="125"/>
      <c r="O49" s="111"/>
      <c r="P49" s="111"/>
      <c r="Q49" s="111"/>
      <c r="R49" s="111"/>
      <c r="S49" s="111">
        <v>1064.624341</v>
      </c>
      <c r="T49" s="143"/>
      <c r="U49" s="142">
        <v>7.7119999999999997</v>
      </c>
      <c r="V49" s="111"/>
      <c r="W49" s="111"/>
      <c r="X49" s="111"/>
      <c r="Y49" s="111"/>
      <c r="Z49" s="111">
        <v>350</v>
      </c>
      <c r="AA49" s="111"/>
      <c r="AB49" s="111"/>
      <c r="AC49" s="111"/>
      <c r="AD49" s="111"/>
      <c r="AE49" s="111"/>
      <c r="AF49" s="111"/>
      <c r="AG49" s="111"/>
      <c r="AH49" s="111" t="s">
        <v>482</v>
      </c>
      <c r="AI49" s="111">
        <v>626</v>
      </c>
      <c r="AJ49" s="111"/>
      <c r="AK49" s="111"/>
      <c r="AL49" s="111"/>
      <c r="AM49" s="645">
        <f t="shared" si="1"/>
        <v>3340.7206209999999</v>
      </c>
      <c r="AO49" s="289"/>
    </row>
    <row r="50" spans="1:42" s="61" customFormat="1" ht="21" customHeight="1" x14ac:dyDescent="0.3">
      <c r="A50" s="707"/>
      <c r="B50" s="181" t="s">
        <v>403</v>
      </c>
      <c r="C50" s="144">
        <v>177.35</v>
      </c>
      <c r="D50" s="112"/>
      <c r="E50" s="112"/>
      <c r="F50" s="268">
        <v>250</v>
      </c>
      <c r="G50" s="112"/>
      <c r="H50" s="112">
        <v>60.736980000000003</v>
      </c>
      <c r="I50" s="126"/>
      <c r="J50" s="112"/>
      <c r="K50" s="112"/>
      <c r="L50" s="268"/>
      <c r="M50" s="112"/>
      <c r="N50" s="126"/>
      <c r="O50" s="112"/>
      <c r="P50" s="112"/>
      <c r="Q50" s="112"/>
      <c r="R50" s="112"/>
      <c r="S50" s="112">
        <v>363.30397199999999</v>
      </c>
      <c r="T50" s="145"/>
      <c r="U50" s="144">
        <v>99.975999999999999</v>
      </c>
      <c r="V50" s="112"/>
      <c r="W50" s="112"/>
      <c r="X50" s="112"/>
      <c r="Y50" s="112"/>
      <c r="Z50" s="112">
        <v>1740</v>
      </c>
      <c r="AA50" s="112"/>
      <c r="AB50" s="112"/>
      <c r="AC50" s="112"/>
      <c r="AD50" s="112"/>
      <c r="AE50" s="112"/>
      <c r="AF50" s="112"/>
      <c r="AG50" s="112"/>
      <c r="AH50" s="112" t="s">
        <v>482</v>
      </c>
      <c r="AI50" s="112">
        <v>626</v>
      </c>
      <c r="AJ50" s="112"/>
      <c r="AK50" s="112"/>
      <c r="AL50" s="112"/>
      <c r="AM50" s="646">
        <f t="shared" si="1"/>
        <v>3317.3669519999999</v>
      </c>
      <c r="AO50" s="289"/>
    </row>
    <row r="51" spans="1:42" s="61" customFormat="1" ht="21" customHeight="1" x14ac:dyDescent="0.3">
      <c r="A51" s="705" t="s">
        <v>106</v>
      </c>
      <c r="B51" s="179" t="s">
        <v>293</v>
      </c>
      <c r="C51" s="135"/>
      <c r="D51" s="136"/>
      <c r="E51" s="136"/>
      <c r="F51" s="262"/>
      <c r="G51" s="136"/>
      <c r="H51" s="136"/>
      <c r="I51" s="326"/>
      <c r="J51" s="136"/>
      <c r="K51" s="136"/>
      <c r="L51" s="262"/>
      <c r="M51" s="136"/>
      <c r="N51" s="326"/>
      <c r="O51" s="136"/>
      <c r="P51" s="136"/>
      <c r="Q51" s="136"/>
      <c r="R51" s="136"/>
      <c r="S51" s="136"/>
      <c r="T51" s="137"/>
      <c r="U51" s="632"/>
      <c r="V51" s="122"/>
      <c r="W51" s="122"/>
      <c r="X51" s="122"/>
      <c r="Y51" s="122"/>
      <c r="Z51" s="122"/>
      <c r="AA51" s="122"/>
      <c r="AB51" s="122"/>
      <c r="AC51" s="122">
        <v>104.27500000000001</v>
      </c>
      <c r="AD51" s="122"/>
      <c r="AE51" s="122"/>
      <c r="AF51" s="122"/>
      <c r="AG51" s="122"/>
      <c r="AH51" s="122"/>
      <c r="AI51" s="122"/>
      <c r="AJ51" s="122"/>
      <c r="AK51" s="122"/>
      <c r="AL51" s="122"/>
      <c r="AM51" s="639">
        <f t="shared" si="1"/>
        <v>104.27500000000001</v>
      </c>
      <c r="AO51" s="289"/>
    </row>
    <row r="52" spans="1:42" s="61" customFormat="1" ht="19.5" customHeight="1" x14ac:dyDescent="0.3">
      <c r="A52" s="706"/>
      <c r="B52" s="116" t="s">
        <v>294</v>
      </c>
      <c r="C52" s="138"/>
      <c r="D52" s="109"/>
      <c r="E52" s="109"/>
      <c r="F52" s="263"/>
      <c r="G52" s="109"/>
      <c r="H52" s="109"/>
      <c r="I52" s="123"/>
      <c r="J52" s="109"/>
      <c r="K52" s="109"/>
      <c r="L52" s="263"/>
      <c r="M52" s="109"/>
      <c r="N52" s="123"/>
      <c r="O52" s="109"/>
      <c r="P52" s="109"/>
      <c r="Q52" s="109"/>
      <c r="R52" s="109"/>
      <c r="S52" s="109"/>
      <c r="T52" s="139">
        <v>1.2</v>
      </c>
      <c r="U52" s="138"/>
      <c r="V52" s="109"/>
      <c r="W52" s="109"/>
      <c r="X52" s="109"/>
      <c r="Y52" s="109"/>
      <c r="Z52" s="109"/>
      <c r="AA52" s="109"/>
      <c r="AB52" s="109"/>
      <c r="AC52" s="109"/>
      <c r="AD52" s="109"/>
      <c r="AE52" s="109"/>
      <c r="AF52" s="109"/>
      <c r="AG52" s="109"/>
      <c r="AH52" s="109"/>
      <c r="AI52" s="109"/>
      <c r="AJ52" s="109"/>
      <c r="AK52" s="109"/>
      <c r="AL52" s="109"/>
      <c r="AM52" s="640">
        <f t="shared" si="1"/>
        <v>1.2</v>
      </c>
      <c r="AO52" s="289"/>
    </row>
    <row r="53" spans="1:42" s="61" customFormat="1" ht="22.5" customHeight="1" x14ac:dyDescent="0.3">
      <c r="A53" s="706"/>
      <c r="B53" s="117" t="s">
        <v>326</v>
      </c>
      <c r="C53" s="140"/>
      <c r="D53" s="110"/>
      <c r="E53" s="110"/>
      <c r="F53" s="264"/>
      <c r="G53" s="110"/>
      <c r="H53" s="110"/>
      <c r="I53" s="124"/>
      <c r="J53" s="110"/>
      <c r="K53" s="110"/>
      <c r="L53" s="264">
        <v>23</v>
      </c>
      <c r="M53" s="110"/>
      <c r="N53" s="124"/>
      <c r="O53" s="110"/>
      <c r="P53" s="110"/>
      <c r="Q53" s="110"/>
      <c r="R53" s="110"/>
      <c r="S53" s="110"/>
      <c r="T53" s="141"/>
      <c r="U53" s="140"/>
      <c r="V53" s="110"/>
      <c r="W53" s="110"/>
      <c r="X53" s="110"/>
      <c r="Y53" s="110"/>
      <c r="Z53" s="110"/>
      <c r="AA53" s="110"/>
      <c r="AB53" s="110"/>
      <c r="AC53" s="110">
        <v>119.575</v>
      </c>
      <c r="AD53" s="110"/>
      <c r="AE53" s="110"/>
      <c r="AF53" s="110"/>
      <c r="AG53" s="110"/>
      <c r="AH53" s="110"/>
      <c r="AI53" s="110"/>
      <c r="AJ53" s="110"/>
      <c r="AK53" s="110"/>
      <c r="AL53" s="110"/>
      <c r="AM53" s="641">
        <f t="shared" si="1"/>
        <v>142.57499999999999</v>
      </c>
      <c r="AO53" s="289"/>
      <c r="AP53" s="97"/>
    </row>
    <row r="54" spans="1:42" s="61" customFormat="1" ht="25.5" customHeight="1" x14ac:dyDescent="0.3">
      <c r="A54" s="706"/>
      <c r="B54" s="175" t="s">
        <v>327</v>
      </c>
      <c r="C54" s="176"/>
      <c r="D54" s="127"/>
      <c r="E54" s="127"/>
      <c r="F54" s="265"/>
      <c r="G54" s="127"/>
      <c r="H54" s="127"/>
      <c r="I54" s="178"/>
      <c r="J54" s="127"/>
      <c r="K54" s="127"/>
      <c r="L54" s="265"/>
      <c r="M54" s="127"/>
      <c r="N54" s="178"/>
      <c r="O54" s="127"/>
      <c r="P54" s="127"/>
      <c r="Q54" s="127"/>
      <c r="R54" s="127"/>
      <c r="S54" s="127">
        <v>12</v>
      </c>
      <c r="T54" s="177"/>
      <c r="U54" s="176"/>
      <c r="V54" s="127"/>
      <c r="W54" s="127"/>
      <c r="X54" s="127"/>
      <c r="Y54" s="127"/>
      <c r="Z54" s="127"/>
      <c r="AA54" s="127"/>
      <c r="AB54" s="127"/>
      <c r="AC54" s="127"/>
      <c r="AD54" s="127"/>
      <c r="AE54" s="127"/>
      <c r="AF54" s="127"/>
      <c r="AG54" s="127"/>
      <c r="AH54" s="127"/>
      <c r="AI54" s="127"/>
      <c r="AJ54" s="127"/>
      <c r="AK54" s="127"/>
      <c r="AL54" s="127"/>
      <c r="AM54" s="642">
        <f t="shared" si="1"/>
        <v>12</v>
      </c>
      <c r="AO54" s="289"/>
    </row>
    <row r="55" spans="1:42" s="61" customFormat="1" ht="25.5" customHeight="1" x14ac:dyDescent="0.3">
      <c r="A55" s="706"/>
      <c r="B55" s="180" t="s">
        <v>361</v>
      </c>
      <c r="C55" s="300">
        <v>5</v>
      </c>
      <c r="D55" s="173"/>
      <c r="E55" s="173"/>
      <c r="F55" s="266"/>
      <c r="G55" s="173"/>
      <c r="H55" s="173"/>
      <c r="I55" s="174"/>
      <c r="J55" s="173"/>
      <c r="K55" s="173"/>
      <c r="L55" s="266"/>
      <c r="M55" s="173"/>
      <c r="N55" s="174"/>
      <c r="O55" s="173"/>
      <c r="P55" s="173"/>
      <c r="Q55" s="173"/>
      <c r="R55" s="173"/>
      <c r="S55" s="173">
        <v>18</v>
      </c>
      <c r="T55" s="327"/>
      <c r="U55" s="300"/>
      <c r="V55" s="173"/>
      <c r="W55" s="173"/>
      <c r="X55" s="173"/>
      <c r="Y55" s="173"/>
      <c r="Z55" s="173"/>
      <c r="AA55" s="173"/>
      <c r="AB55" s="173"/>
      <c r="AC55" s="173"/>
      <c r="AD55" s="173"/>
      <c r="AE55" s="173"/>
      <c r="AF55" s="173"/>
      <c r="AG55" s="173"/>
      <c r="AH55" s="173"/>
      <c r="AI55" s="173"/>
      <c r="AJ55" s="173"/>
      <c r="AK55" s="173"/>
      <c r="AL55" s="173"/>
      <c r="AM55" s="643">
        <f t="shared" si="1"/>
        <v>23</v>
      </c>
      <c r="AO55" s="289"/>
      <c r="AP55" s="97"/>
    </row>
    <row r="56" spans="1:42" s="61" customFormat="1" ht="25.5" customHeight="1" x14ac:dyDescent="0.3">
      <c r="A56" s="706"/>
      <c r="B56" s="180" t="s">
        <v>362</v>
      </c>
      <c r="C56" s="300">
        <v>5</v>
      </c>
      <c r="D56" s="173"/>
      <c r="E56" s="173"/>
      <c r="F56" s="266"/>
      <c r="G56" s="173"/>
      <c r="H56" s="173"/>
      <c r="I56" s="174"/>
      <c r="J56" s="173"/>
      <c r="K56" s="173"/>
      <c r="L56" s="266"/>
      <c r="M56" s="173"/>
      <c r="N56" s="174"/>
      <c r="O56" s="173"/>
      <c r="P56" s="173"/>
      <c r="Q56" s="173"/>
      <c r="R56" s="173"/>
      <c r="S56" s="173">
        <v>23</v>
      </c>
      <c r="T56" s="327"/>
      <c r="U56" s="300"/>
      <c r="V56" s="173"/>
      <c r="W56" s="173"/>
      <c r="X56" s="173"/>
      <c r="Y56" s="173"/>
      <c r="Z56" s="173"/>
      <c r="AA56" s="173"/>
      <c r="AB56" s="173"/>
      <c r="AC56" s="173"/>
      <c r="AD56" s="173"/>
      <c r="AE56" s="173"/>
      <c r="AF56" s="173"/>
      <c r="AG56" s="173"/>
      <c r="AH56" s="173"/>
      <c r="AI56" s="173"/>
      <c r="AJ56" s="173"/>
      <c r="AK56" s="173"/>
      <c r="AL56" s="173"/>
      <c r="AM56" s="644">
        <f t="shared" si="1"/>
        <v>28</v>
      </c>
      <c r="AO56" s="289"/>
      <c r="AP56" s="97"/>
    </row>
    <row r="57" spans="1:42" s="61" customFormat="1" ht="22.5" customHeight="1" x14ac:dyDescent="0.3">
      <c r="A57" s="706"/>
      <c r="B57" s="115" t="s">
        <v>402</v>
      </c>
      <c r="C57" s="142">
        <v>5</v>
      </c>
      <c r="D57" s="111"/>
      <c r="E57" s="111"/>
      <c r="F57" s="267"/>
      <c r="G57" s="111"/>
      <c r="H57" s="111"/>
      <c r="I57" s="125"/>
      <c r="J57" s="111"/>
      <c r="K57" s="111"/>
      <c r="L57" s="267">
        <v>0</v>
      </c>
      <c r="M57" s="111"/>
      <c r="N57" s="125"/>
      <c r="O57" s="111"/>
      <c r="P57" s="111"/>
      <c r="Q57" s="111"/>
      <c r="R57" s="111"/>
      <c r="S57" s="111">
        <v>116</v>
      </c>
      <c r="T57" s="143"/>
      <c r="U57" s="142"/>
      <c r="V57" s="111"/>
      <c r="W57" s="111"/>
      <c r="X57" s="111"/>
      <c r="Y57" s="111"/>
      <c r="Z57" s="111"/>
      <c r="AA57" s="111"/>
      <c r="AB57" s="111"/>
      <c r="AC57" s="111"/>
      <c r="AD57" s="111"/>
      <c r="AE57" s="111"/>
      <c r="AF57" s="111"/>
      <c r="AG57" s="111"/>
      <c r="AH57" s="111" t="s">
        <v>482</v>
      </c>
      <c r="AI57" s="111"/>
      <c r="AJ57" s="111"/>
      <c r="AK57" s="111"/>
      <c r="AL57" s="111"/>
      <c r="AM57" s="645">
        <f t="shared" si="1"/>
        <v>121</v>
      </c>
      <c r="AO57" s="289"/>
    </row>
    <row r="58" spans="1:42" s="61" customFormat="1" ht="21" customHeight="1" x14ac:dyDescent="0.3">
      <c r="A58" s="707"/>
      <c r="B58" s="181" t="s">
        <v>403</v>
      </c>
      <c r="C58" s="144">
        <v>12.5</v>
      </c>
      <c r="D58" s="112"/>
      <c r="E58" s="112"/>
      <c r="F58" s="268"/>
      <c r="G58" s="112"/>
      <c r="H58" s="112"/>
      <c r="I58" s="126"/>
      <c r="J58" s="112"/>
      <c r="K58" s="112"/>
      <c r="L58" s="268"/>
      <c r="M58" s="112"/>
      <c r="N58" s="126"/>
      <c r="O58" s="112"/>
      <c r="P58" s="112"/>
      <c r="Q58" s="112"/>
      <c r="R58" s="112"/>
      <c r="S58" s="112">
        <v>19.8125</v>
      </c>
      <c r="T58" s="145"/>
      <c r="U58" s="144"/>
      <c r="V58" s="112"/>
      <c r="W58" s="112"/>
      <c r="X58" s="112"/>
      <c r="Y58" s="112"/>
      <c r="Z58" s="112"/>
      <c r="AA58" s="112"/>
      <c r="AB58" s="112"/>
      <c r="AC58" s="112"/>
      <c r="AD58" s="112"/>
      <c r="AE58" s="112"/>
      <c r="AF58" s="112"/>
      <c r="AG58" s="112"/>
      <c r="AH58" s="112" t="s">
        <v>482</v>
      </c>
      <c r="AI58" s="112"/>
      <c r="AJ58" s="112"/>
      <c r="AK58" s="112"/>
      <c r="AL58" s="112"/>
      <c r="AM58" s="646">
        <f t="shared" si="1"/>
        <v>32.3125</v>
      </c>
      <c r="AO58" s="289"/>
    </row>
    <row r="59" spans="1:42" s="61" customFormat="1" ht="21" customHeight="1" x14ac:dyDescent="0.3">
      <c r="A59" s="705" t="s">
        <v>107</v>
      </c>
      <c r="B59" s="179" t="s">
        <v>293</v>
      </c>
      <c r="C59" s="135">
        <v>616</v>
      </c>
      <c r="D59" s="136"/>
      <c r="E59" s="136"/>
      <c r="F59" s="262"/>
      <c r="G59" s="136"/>
      <c r="H59" s="136">
        <v>828</v>
      </c>
      <c r="I59" s="326"/>
      <c r="J59" s="136"/>
      <c r="K59" s="136"/>
      <c r="L59" s="262"/>
      <c r="M59" s="136"/>
      <c r="N59" s="326">
        <v>1309.6420000000001</v>
      </c>
      <c r="O59" s="136"/>
      <c r="P59" s="136"/>
      <c r="Q59" s="136">
        <v>85</v>
      </c>
      <c r="R59" s="136"/>
      <c r="S59" s="136"/>
      <c r="T59" s="137">
        <v>6</v>
      </c>
      <c r="U59" s="632">
        <v>28.369</v>
      </c>
      <c r="V59" s="122"/>
      <c r="W59" s="122"/>
      <c r="X59" s="122"/>
      <c r="Y59" s="122"/>
      <c r="Z59" s="122">
        <v>1157</v>
      </c>
      <c r="AA59" s="122"/>
      <c r="AB59" s="122"/>
      <c r="AC59" s="122"/>
      <c r="AD59" s="122"/>
      <c r="AE59" s="122"/>
      <c r="AF59" s="122"/>
      <c r="AG59" s="122"/>
      <c r="AH59" s="122"/>
      <c r="AI59" s="122"/>
      <c r="AJ59" s="122"/>
      <c r="AK59" s="122"/>
      <c r="AL59" s="122"/>
      <c r="AM59" s="639">
        <f t="shared" si="1"/>
        <v>4030.011</v>
      </c>
      <c r="AO59" s="289"/>
    </row>
    <row r="60" spans="1:42" s="61" customFormat="1" ht="19.5" customHeight="1" x14ac:dyDescent="0.3">
      <c r="A60" s="706"/>
      <c r="B60" s="116" t="s">
        <v>294</v>
      </c>
      <c r="C60" s="138">
        <v>544</v>
      </c>
      <c r="D60" s="109"/>
      <c r="E60" s="109"/>
      <c r="F60" s="263"/>
      <c r="G60" s="109"/>
      <c r="H60" s="109">
        <v>2758</v>
      </c>
      <c r="I60" s="123"/>
      <c r="J60" s="109"/>
      <c r="K60" s="109"/>
      <c r="L60" s="263"/>
      <c r="M60" s="109"/>
      <c r="N60" s="123">
        <v>171.97499999999999</v>
      </c>
      <c r="O60" s="109"/>
      <c r="P60" s="109"/>
      <c r="Q60" s="109">
        <v>50</v>
      </c>
      <c r="R60" s="109"/>
      <c r="S60" s="109">
        <v>65</v>
      </c>
      <c r="T60" s="139">
        <v>6</v>
      </c>
      <c r="U60" s="138">
        <v>259.53500000000003</v>
      </c>
      <c r="V60" s="109"/>
      <c r="W60" s="109"/>
      <c r="X60" s="109"/>
      <c r="Y60" s="109"/>
      <c r="Z60" s="109">
        <v>1284</v>
      </c>
      <c r="AA60" s="109">
        <v>57.946159999999999</v>
      </c>
      <c r="AB60" s="109"/>
      <c r="AC60" s="109"/>
      <c r="AD60" s="109"/>
      <c r="AE60" s="109"/>
      <c r="AF60" s="109"/>
      <c r="AG60" s="109"/>
      <c r="AH60" s="109"/>
      <c r="AI60" s="109"/>
      <c r="AJ60" s="109"/>
      <c r="AK60" s="109"/>
      <c r="AL60" s="109"/>
      <c r="AM60" s="640">
        <f t="shared" si="1"/>
        <v>5196.4561600000006</v>
      </c>
      <c r="AO60" s="289"/>
    </row>
    <row r="61" spans="1:42" s="61" customFormat="1" ht="22.5" customHeight="1" x14ac:dyDescent="0.3">
      <c r="A61" s="706"/>
      <c r="B61" s="117" t="s">
        <v>326</v>
      </c>
      <c r="C61" s="140">
        <v>27.498999999999999</v>
      </c>
      <c r="D61" s="110"/>
      <c r="E61" s="110"/>
      <c r="F61" s="264"/>
      <c r="G61" s="110"/>
      <c r="H61" s="110">
        <v>5592</v>
      </c>
      <c r="I61" s="124"/>
      <c r="J61" s="110"/>
      <c r="K61" s="110"/>
      <c r="L61" s="264"/>
      <c r="M61" s="110"/>
      <c r="N61" s="124">
        <v>316.69600000000003</v>
      </c>
      <c r="O61" s="110"/>
      <c r="P61" s="110"/>
      <c r="Q61" s="110">
        <v>125</v>
      </c>
      <c r="R61" s="110"/>
      <c r="S61" s="110">
        <v>287563</v>
      </c>
      <c r="T61" s="141"/>
      <c r="U61" s="140">
        <v>232.21</v>
      </c>
      <c r="V61" s="110"/>
      <c r="W61" s="110"/>
      <c r="X61" s="110"/>
      <c r="Y61" s="110">
        <v>20</v>
      </c>
      <c r="Z61" s="110">
        <v>1892</v>
      </c>
      <c r="AA61" s="110">
        <v>95.286190000000005</v>
      </c>
      <c r="AB61" s="110"/>
      <c r="AC61" s="110"/>
      <c r="AD61" s="110"/>
      <c r="AE61" s="110"/>
      <c r="AF61" s="110"/>
      <c r="AG61" s="110"/>
      <c r="AH61" s="110"/>
      <c r="AI61" s="110"/>
      <c r="AJ61" s="110"/>
      <c r="AK61" s="110"/>
      <c r="AL61" s="110"/>
      <c r="AM61" s="641">
        <f t="shared" si="1"/>
        <v>295863.69119000004</v>
      </c>
      <c r="AO61" s="289"/>
      <c r="AP61" s="97"/>
    </row>
    <row r="62" spans="1:42" s="61" customFormat="1" ht="25.5" customHeight="1" x14ac:dyDescent="0.3">
      <c r="A62" s="706"/>
      <c r="B62" s="175" t="s">
        <v>327</v>
      </c>
      <c r="C62" s="176">
        <v>96.822999999999993</v>
      </c>
      <c r="D62" s="127"/>
      <c r="E62" s="127"/>
      <c r="F62" s="265"/>
      <c r="G62" s="127">
        <v>110</v>
      </c>
      <c r="H62" s="127">
        <v>5794</v>
      </c>
      <c r="I62" s="178"/>
      <c r="J62" s="127"/>
      <c r="K62" s="127"/>
      <c r="L62" s="265"/>
      <c r="M62" s="127"/>
      <c r="N62" s="178">
        <v>1625.1590000000001</v>
      </c>
      <c r="O62" s="127"/>
      <c r="P62" s="127"/>
      <c r="Q62" s="127">
        <v>145</v>
      </c>
      <c r="R62" s="127"/>
      <c r="S62" s="127">
        <v>315714</v>
      </c>
      <c r="T62" s="177"/>
      <c r="U62" s="176">
        <v>924.95899999999995</v>
      </c>
      <c r="V62" s="127"/>
      <c r="W62" s="127"/>
      <c r="X62" s="127">
        <v>3</v>
      </c>
      <c r="Y62" s="127">
        <v>20</v>
      </c>
      <c r="Z62" s="127">
        <v>2701</v>
      </c>
      <c r="AA62" s="127">
        <v>-74.446380000000005</v>
      </c>
      <c r="AB62" s="127"/>
      <c r="AC62" s="127"/>
      <c r="AD62" s="127"/>
      <c r="AE62" s="127"/>
      <c r="AF62" s="127"/>
      <c r="AG62" s="127"/>
      <c r="AH62" s="127"/>
      <c r="AI62" s="127"/>
      <c r="AJ62" s="127"/>
      <c r="AK62" s="127"/>
      <c r="AL62" s="127"/>
      <c r="AM62" s="642">
        <f t="shared" si="1"/>
        <v>327059.49462000001</v>
      </c>
      <c r="AO62" s="289"/>
    </row>
    <row r="63" spans="1:42" s="61" customFormat="1" ht="25.5" customHeight="1" x14ac:dyDescent="0.3">
      <c r="A63" s="706"/>
      <c r="B63" s="180" t="s">
        <v>361</v>
      </c>
      <c r="C63" s="300">
        <v>780.05921000000001</v>
      </c>
      <c r="D63" s="173"/>
      <c r="E63" s="173"/>
      <c r="F63" s="266"/>
      <c r="G63" s="173">
        <f>150+377</f>
        <v>527</v>
      </c>
      <c r="H63" s="173">
        <v>5965</v>
      </c>
      <c r="I63" s="174"/>
      <c r="J63" s="173"/>
      <c r="K63" s="173"/>
      <c r="L63" s="266"/>
      <c r="M63" s="173"/>
      <c r="N63" s="174">
        <v>4636.424</v>
      </c>
      <c r="O63" s="173"/>
      <c r="P63" s="173"/>
      <c r="Q63" s="173">
        <v>1990</v>
      </c>
      <c r="R63" s="173"/>
      <c r="S63" s="173">
        <v>287723</v>
      </c>
      <c r="T63" s="327"/>
      <c r="U63" s="300">
        <v>1718.269</v>
      </c>
      <c r="V63" s="173"/>
      <c r="W63" s="173"/>
      <c r="X63" s="173">
        <v>3</v>
      </c>
      <c r="Y63" s="173"/>
      <c r="Z63" s="173">
        <v>3029.3012599999997</v>
      </c>
      <c r="AA63" s="173"/>
      <c r="AB63" s="173"/>
      <c r="AC63" s="173"/>
      <c r="AD63" s="173"/>
      <c r="AE63" s="173"/>
      <c r="AF63" s="173"/>
      <c r="AG63" s="173"/>
      <c r="AH63" s="173"/>
      <c r="AI63" s="173"/>
      <c r="AJ63" s="173"/>
      <c r="AK63" s="173"/>
      <c r="AL63" s="173"/>
      <c r="AM63" s="643">
        <f t="shared" si="1"/>
        <v>306372.05346999993</v>
      </c>
      <c r="AO63" s="289"/>
      <c r="AP63" s="97"/>
    </row>
    <row r="64" spans="1:42" s="61" customFormat="1" ht="25.5" customHeight="1" x14ac:dyDescent="0.3">
      <c r="A64" s="706"/>
      <c r="B64" s="180" t="s">
        <v>362</v>
      </c>
      <c r="C64" s="300">
        <v>812.39546999999993</v>
      </c>
      <c r="D64" s="173"/>
      <c r="E64" s="173"/>
      <c r="F64" s="266">
        <v>229</v>
      </c>
      <c r="G64" s="173">
        <f>113+440</f>
        <v>553</v>
      </c>
      <c r="H64" s="173">
        <v>37008</v>
      </c>
      <c r="I64" s="174"/>
      <c r="J64" s="173"/>
      <c r="K64" s="173"/>
      <c r="L64" s="266">
        <v>139</v>
      </c>
      <c r="M64" s="173"/>
      <c r="N64" s="174">
        <v>5424.4930000000004</v>
      </c>
      <c r="O64" s="173"/>
      <c r="P64" s="173"/>
      <c r="Q64" s="173">
        <v>488</v>
      </c>
      <c r="R64" s="173"/>
      <c r="S64" s="173">
        <v>224158</v>
      </c>
      <c r="T64" s="327"/>
      <c r="U64" s="300">
        <v>1753.9580000000001</v>
      </c>
      <c r="V64" s="173"/>
      <c r="W64" s="173"/>
      <c r="X64" s="173"/>
      <c r="Y64" s="173">
        <v>20</v>
      </c>
      <c r="Z64" s="173">
        <v>4013.9209700000001</v>
      </c>
      <c r="AA64" s="173">
        <v>2.1152299999999999</v>
      </c>
      <c r="AB64" s="173"/>
      <c r="AC64" s="173"/>
      <c r="AD64" s="173"/>
      <c r="AE64" s="173"/>
      <c r="AF64" s="173"/>
      <c r="AG64" s="173"/>
      <c r="AH64" s="173"/>
      <c r="AI64" s="173"/>
      <c r="AJ64" s="173"/>
      <c r="AK64" s="173"/>
      <c r="AL64" s="173"/>
      <c r="AM64" s="644">
        <f t="shared" si="1"/>
        <v>274601.88266999996</v>
      </c>
      <c r="AO64" s="289"/>
      <c r="AP64" s="97"/>
    </row>
    <row r="65" spans="1:42" s="61" customFormat="1" ht="22.5" customHeight="1" x14ac:dyDescent="0.3">
      <c r="A65" s="706"/>
      <c r="B65" s="115" t="s">
        <v>402</v>
      </c>
      <c r="C65" s="142">
        <v>1582.04952</v>
      </c>
      <c r="D65" s="111"/>
      <c r="E65" s="111"/>
      <c r="F65" s="267">
        <v>76.2</v>
      </c>
      <c r="G65" s="111">
        <v>23</v>
      </c>
      <c r="H65" s="111">
        <v>13981</v>
      </c>
      <c r="I65" s="125"/>
      <c r="J65" s="111"/>
      <c r="K65" s="111"/>
      <c r="L65" s="267">
        <v>0</v>
      </c>
      <c r="M65" s="111"/>
      <c r="N65" s="125"/>
      <c r="O65" s="111"/>
      <c r="P65" s="111"/>
      <c r="Q65" s="111">
        <v>885</v>
      </c>
      <c r="R65" s="111"/>
      <c r="S65" s="111">
        <v>157530.11642100001</v>
      </c>
      <c r="T65" s="143"/>
      <c r="U65" s="142">
        <v>1489.9079999999999</v>
      </c>
      <c r="V65" s="111"/>
      <c r="W65" s="111"/>
      <c r="X65" s="111"/>
      <c r="Y65" s="111">
        <v>30</v>
      </c>
      <c r="Z65" s="111">
        <v>5516</v>
      </c>
      <c r="AA65" s="111"/>
      <c r="AB65" s="111"/>
      <c r="AC65" s="111"/>
      <c r="AD65" s="111"/>
      <c r="AE65" s="111"/>
      <c r="AF65" s="111"/>
      <c r="AG65" s="111"/>
      <c r="AH65" s="111">
        <v>100</v>
      </c>
      <c r="AI65" s="111"/>
      <c r="AJ65" s="111"/>
      <c r="AK65" s="111">
        <f>14.478/1.097</f>
        <v>13.19781221513218</v>
      </c>
      <c r="AL65" s="111"/>
      <c r="AM65" s="645">
        <f t="shared" si="1"/>
        <v>181226.47175321513</v>
      </c>
      <c r="AO65" s="289"/>
    </row>
    <row r="66" spans="1:42" s="61" customFormat="1" ht="21" customHeight="1" x14ac:dyDescent="0.3">
      <c r="A66" s="707"/>
      <c r="B66" s="181" t="s">
        <v>403</v>
      </c>
      <c r="C66" s="144">
        <v>1649.3409099999999</v>
      </c>
      <c r="D66" s="112"/>
      <c r="E66" s="112"/>
      <c r="F66" s="268">
        <v>572.1</v>
      </c>
      <c r="G66" s="112">
        <v>1141</v>
      </c>
      <c r="H66" s="112">
        <v>19539</v>
      </c>
      <c r="I66" s="126"/>
      <c r="J66" s="112"/>
      <c r="K66" s="112"/>
      <c r="L66" s="268"/>
      <c r="M66" s="112">
        <v>19.835150000000002</v>
      </c>
      <c r="N66" s="126"/>
      <c r="O66" s="112"/>
      <c r="P66" s="112"/>
      <c r="Q66" s="112">
        <v>2079</v>
      </c>
      <c r="R66" s="112"/>
      <c r="S66" s="112">
        <v>118010.876756</v>
      </c>
      <c r="T66" s="145"/>
      <c r="U66" s="144">
        <v>1781.731</v>
      </c>
      <c r="V66" s="112"/>
      <c r="W66" s="112"/>
      <c r="X66" s="112">
        <v>2</v>
      </c>
      <c r="Y66" s="112"/>
      <c r="Z66" s="112">
        <v>6690</v>
      </c>
      <c r="AA66" s="112"/>
      <c r="AB66" s="112"/>
      <c r="AC66" s="112"/>
      <c r="AD66" s="112"/>
      <c r="AE66" s="112"/>
      <c r="AF66" s="112"/>
      <c r="AG66" s="112"/>
      <c r="AH66" s="112">
        <v>2.9489999999999998</v>
      </c>
      <c r="AI66" s="112"/>
      <c r="AJ66" s="112"/>
      <c r="AK66" s="112">
        <f>15.2975/1.001</f>
        <v>15.282217782217783</v>
      </c>
      <c r="AL66" s="112"/>
      <c r="AM66" s="646">
        <f t="shared" si="1"/>
        <v>151503.1150337822</v>
      </c>
      <c r="AO66" s="289"/>
    </row>
    <row r="67" spans="1:42" s="61" customFormat="1" ht="21" customHeight="1" x14ac:dyDescent="0.3">
      <c r="A67" s="705" t="s">
        <v>108</v>
      </c>
      <c r="B67" s="179" t="s">
        <v>293</v>
      </c>
      <c r="C67" s="135"/>
      <c r="D67" s="136"/>
      <c r="E67" s="136"/>
      <c r="F67" s="262"/>
      <c r="G67" s="136">
        <v>1</v>
      </c>
      <c r="H67" s="136"/>
      <c r="I67" s="326"/>
      <c r="J67" s="136"/>
      <c r="K67" s="136"/>
      <c r="L67" s="262"/>
      <c r="M67" s="136"/>
      <c r="N67" s="326"/>
      <c r="O67" s="136"/>
      <c r="P67" s="136"/>
      <c r="Q67" s="136"/>
      <c r="R67" s="136"/>
      <c r="S67" s="136"/>
      <c r="T67" s="137"/>
      <c r="U67" s="632"/>
      <c r="V67" s="122"/>
      <c r="W67" s="122"/>
      <c r="X67" s="122"/>
      <c r="Y67" s="122"/>
      <c r="Z67" s="122"/>
      <c r="AA67" s="122"/>
      <c r="AB67" s="122"/>
      <c r="AC67" s="122"/>
      <c r="AD67" s="122"/>
      <c r="AE67" s="122"/>
      <c r="AF67" s="122"/>
      <c r="AG67" s="122">
        <v>1.18</v>
      </c>
      <c r="AH67" s="122"/>
      <c r="AI67" s="122"/>
      <c r="AJ67" s="122"/>
      <c r="AK67" s="122"/>
      <c r="AL67" s="122"/>
      <c r="AM67" s="639">
        <f t="shared" si="1"/>
        <v>2.1799999999999997</v>
      </c>
      <c r="AO67" s="289"/>
    </row>
    <row r="68" spans="1:42" s="61" customFormat="1" ht="19.5" customHeight="1" x14ac:dyDescent="0.3">
      <c r="A68" s="706"/>
      <c r="B68" s="116" t="s">
        <v>294</v>
      </c>
      <c r="C68" s="138"/>
      <c r="D68" s="109"/>
      <c r="E68" s="109"/>
      <c r="F68" s="263"/>
      <c r="G68" s="109"/>
      <c r="H68" s="109"/>
      <c r="I68" s="123"/>
      <c r="J68" s="109"/>
      <c r="K68" s="109"/>
      <c r="L68" s="263"/>
      <c r="M68" s="109"/>
      <c r="N68" s="123"/>
      <c r="O68" s="109"/>
      <c r="P68" s="109"/>
      <c r="Q68" s="109"/>
      <c r="R68" s="109"/>
      <c r="S68" s="109"/>
      <c r="T68" s="139"/>
      <c r="U68" s="138"/>
      <c r="V68" s="109"/>
      <c r="W68" s="109"/>
      <c r="X68" s="109"/>
      <c r="Y68" s="109"/>
      <c r="Z68" s="109">
        <v>7</v>
      </c>
      <c r="AA68" s="109"/>
      <c r="AB68" s="109"/>
      <c r="AC68" s="109"/>
      <c r="AD68" s="109"/>
      <c r="AE68" s="109"/>
      <c r="AF68" s="109"/>
      <c r="AG68" s="109"/>
      <c r="AH68" s="109"/>
      <c r="AI68" s="109"/>
      <c r="AJ68" s="109"/>
      <c r="AK68" s="109"/>
      <c r="AL68" s="109"/>
      <c r="AM68" s="640">
        <f t="shared" si="1"/>
        <v>7</v>
      </c>
      <c r="AO68" s="289"/>
    </row>
    <row r="69" spans="1:42" s="61" customFormat="1" ht="22.5" customHeight="1" x14ac:dyDescent="0.3">
      <c r="A69" s="706"/>
      <c r="B69" s="117" t="s">
        <v>326</v>
      </c>
      <c r="C69" s="140">
        <v>1</v>
      </c>
      <c r="D69" s="110"/>
      <c r="E69" s="110"/>
      <c r="F69" s="264"/>
      <c r="G69" s="110"/>
      <c r="H69" s="110"/>
      <c r="I69" s="124"/>
      <c r="J69" s="110"/>
      <c r="K69" s="110"/>
      <c r="L69" s="264"/>
      <c r="M69" s="110"/>
      <c r="N69" s="124"/>
      <c r="O69" s="110"/>
      <c r="P69" s="110"/>
      <c r="Q69" s="110"/>
      <c r="R69" s="110"/>
      <c r="S69" s="110">
        <v>89</v>
      </c>
      <c r="T69" s="141"/>
      <c r="U69" s="140"/>
      <c r="V69" s="110"/>
      <c r="W69" s="110"/>
      <c r="X69" s="110"/>
      <c r="Y69" s="110"/>
      <c r="Z69" s="110"/>
      <c r="AA69" s="110"/>
      <c r="AB69" s="110"/>
      <c r="AC69" s="110"/>
      <c r="AD69" s="110"/>
      <c r="AE69" s="110"/>
      <c r="AF69" s="110"/>
      <c r="AG69" s="110"/>
      <c r="AH69" s="110"/>
      <c r="AI69" s="110"/>
      <c r="AJ69" s="110"/>
      <c r="AK69" s="110"/>
      <c r="AL69" s="110"/>
      <c r="AM69" s="641">
        <f t="shared" si="1"/>
        <v>90</v>
      </c>
      <c r="AO69" s="289"/>
      <c r="AP69" s="97"/>
    </row>
    <row r="70" spans="1:42" s="61" customFormat="1" ht="25.5" customHeight="1" x14ac:dyDescent="0.3">
      <c r="A70" s="706"/>
      <c r="B70" s="175" t="s">
        <v>327</v>
      </c>
      <c r="C70" s="176">
        <v>2.1960000000000002</v>
      </c>
      <c r="D70" s="127"/>
      <c r="E70" s="127"/>
      <c r="F70" s="265"/>
      <c r="G70" s="127"/>
      <c r="H70" s="127"/>
      <c r="I70" s="178"/>
      <c r="J70" s="127"/>
      <c r="K70" s="127"/>
      <c r="L70" s="265"/>
      <c r="M70" s="127"/>
      <c r="N70" s="178"/>
      <c r="O70" s="127"/>
      <c r="P70" s="127"/>
      <c r="Q70" s="127"/>
      <c r="R70" s="127"/>
      <c r="S70" s="127">
        <v>165</v>
      </c>
      <c r="T70" s="177"/>
      <c r="U70" s="176"/>
      <c r="V70" s="127"/>
      <c r="W70" s="127"/>
      <c r="X70" s="127"/>
      <c r="Y70" s="127"/>
      <c r="Z70" s="127">
        <v>32</v>
      </c>
      <c r="AA70" s="127"/>
      <c r="AB70" s="127"/>
      <c r="AC70" s="127"/>
      <c r="AD70" s="127"/>
      <c r="AE70" s="127"/>
      <c r="AF70" s="127"/>
      <c r="AG70" s="127"/>
      <c r="AH70" s="127"/>
      <c r="AI70" s="127"/>
      <c r="AJ70" s="127"/>
      <c r="AK70" s="127"/>
      <c r="AL70" s="127"/>
      <c r="AM70" s="642">
        <f t="shared" si="1"/>
        <v>199.196</v>
      </c>
      <c r="AO70" s="289"/>
    </row>
    <row r="71" spans="1:42" s="61" customFormat="1" ht="25.5" customHeight="1" x14ac:dyDescent="0.3">
      <c r="A71" s="706"/>
      <c r="B71" s="180" t="s">
        <v>361</v>
      </c>
      <c r="C71" s="300">
        <v>6</v>
      </c>
      <c r="D71" s="173"/>
      <c r="E71" s="173"/>
      <c r="F71" s="266"/>
      <c r="G71" s="173"/>
      <c r="H71" s="173"/>
      <c r="I71" s="174"/>
      <c r="J71" s="173"/>
      <c r="K71" s="173"/>
      <c r="L71" s="266"/>
      <c r="M71" s="173"/>
      <c r="N71" s="174"/>
      <c r="O71" s="173"/>
      <c r="P71" s="173"/>
      <c r="Q71" s="173"/>
      <c r="R71" s="173"/>
      <c r="S71" s="173">
        <v>356</v>
      </c>
      <c r="T71" s="327"/>
      <c r="U71" s="300"/>
      <c r="V71" s="173"/>
      <c r="W71" s="173"/>
      <c r="X71" s="173"/>
      <c r="Y71" s="173"/>
      <c r="Z71" s="173">
        <v>4</v>
      </c>
      <c r="AA71" s="173"/>
      <c r="AB71" s="173"/>
      <c r="AC71" s="173"/>
      <c r="AD71" s="173"/>
      <c r="AE71" s="173"/>
      <c r="AF71" s="173"/>
      <c r="AG71" s="173"/>
      <c r="AH71" s="173"/>
      <c r="AI71" s="173"/>
      <c r="AJ71" s="173"/>
      <c r="AK71" s="173"/>
      <c r="AL71" s="173"/>
      <c r="AM71" s="643">
        <f t="shared" si="1"/>
        <v>366</v>
      </c>
      <c r="AO71" s="289"/>
      <c r="AP71" s="97"/>
    </row>
    <row r="72" spans="1:42" s="61" customFormat="1" ht="25.5" customHeight="1" x14ac:dyDescent="0.3">
      <c r="A72" s="706"/>
      <c r="B72" s="180" t="s">
        <v>362</v>
      </c>
      <c r="C72" s="300">
        <v>73.5</v>
      </c>
      <c r="D72" s="173"/>
      <c r="E72" s="173"/>
      <c r="F72" s="266"/>
      <c r="G72" s="173">
        <v>2</v>
      </c>
      <c r="H72" s="173"/>
      <c r="I72" s="174"/>
      <c r="J72" s="173"/>
      <c r="K72" s="173"/>
      <c r="L72" s="266"/>
      <c r="M72" s="173"/>
      <c r="N72" s="174"/>
      <c r="O72" s="173"/>
      <c r="P72" s="173"/>
      <c r="Q72" s="173"/>
      <c r="R72" s="173"/>
      <c r="S72" s="173">
        <v>401</v>
      </c>
      <c r="T72" s="327"/>
      <c r="U72" s="300">
        <v>8.4000000000000005E-2</v>
      </c>
      <c r="V72" s="173"/>
      <c r="W72" s="173"/>
      <c r="X72" s="173"/>
      <c r="Y72" s="173"/>
      <c r="Z72" s="173">
        <v>65</v>
      </c>
      <c r="AA72" s="173"/>
      <c r="AB72" s="173"/>
      <c r="AC72" s="173"/>
      <c r="AD72" s="173"/>
      <c r="AE72" s="173"/>
      <c r="AF72" s="173"/>
      <c r="AG72" s="173"/>
      <c r="AH72" s="173"/>
      <c r="AI72" s="173"/>
      <c r="AJ72" s="173"/>
      <c r="AK72" s="173"/>
      <c r="AL72" s="173"/>
      <c r="AM72" s="644">
        <f t="shared" si="1"/>
        <v>541.58400000000006</v>
      </c>
      <c r="AO72" s="289"/>
      <c r="AP72" s="97"/>
    </row>
    <row r="73" spans="1:42" s="61" customFormat="1" ht="22.5" customHeight="1" x14ac:dyDescent="0.3">
      <c r="A73" s="706"/>
      <c r="B73" s="115" t="s">
        <v>402</v>
      </c>
      <c r="C73" s="142">
        <v>26.994</v>
      </c>
      <c r="D73" s="111"/>
      <c r="E73" s="111"/>
      <c r="F73" s="267"/>
      <c r="G73" s="111"/>
      <c r="H73" s="111"/>
      <c r="I73" s="125"/>
      <c r="J73" s="111"/>
      <c r="K73" s="111"/>
      <c r="L73" s="267">
        <v>0</v>
      </c>
      <c r="M73" s="111"/>
      <c r="N73" s="125"/>
      <c r="O73" s="111"/>
      <c r="P73" s="111"/>
      <c r="Q73" s="111"/>
      <c r="R73" s="111"/>
      <c r="S73" s="111">
        <v>433.860907</v>
      </c>
      <c r="T73" s="143"/>
      <c r="U73" s="142">
        <v>6.3E-2</v>
      </c>
      <c r="V73" s="111"/>
      <c r="W73" s="111"/>
      <c r="X73" s="111"/>
      <c r="Y73" s="111"/>
      <c r="Z73" s="111">
        <v>63</v>
      </c>
      <c r="AA73" s="111"/>
      <c r="AB73" s="111"/>
      <c r="AC73" s="111"/>
      <c r="AD73" s="111"/>
      <c r="AE73" s="111"/>
      <c r="AF73" s="111"/>
      <c r="AG73" s="111"/>
      <c r="AH73" s="111" t="s">
        <v>482</v>
      </c>
      <c r="AI73" s="111">
        <v>25</v>
      </c>
      <c r="AJ73" s="111"/>
      <c r="AK73" s="111"/>
      <c r="AL73" s="111"/>
      <c r="AM73" s="645">
        <f t="shared" si="1"/>
        <v>548.91790700000001</v>
      </c>
      <c r="AO73" s="289"/>
    </row>
    <row r="74" spans="1:42" s="61" customFormat="1" ht="21" customHeight="1" x14ac:dyDescent="0.3">
      <c r="A74" s="707"/>
      <c r="B74" s="181" t="s">
        <v>403</v>
      </c>
      <c r="C74" s="144">
        <v>26.797999999999998</v>
      </c>
      <c r="D74" s="112"/>
      <c r="E74" s="112"/>
      <c r="F74" s="268"/>
      <c r="G74" s="112"/>
      <c r="H74" s="112"/>
      <c r="I74" s="126"/>
      <c r="J74" s="112"/>
      <c r="K74" s="112"/>
      <c r="L74" s="268"/>
      <c r="M74" s="112"/>
      <c r="N74" s="126"/>
      <c r="O74" s="112"/>
      <c r="P74" s="112"/>
      <c r="Q74" s="112"/>
      <c r="R74" s="112"/>
      <c r="S74" s="112">
        <v>365.09492999999998</v>
      </c>
      <c r="T74" s="145"/>
      <c r="U74" s="144">
        <v>6.3E-2</v>
      </c>
      <c r="V74" s="112"/>
      <c r="W74" s="112"/>
      <c r="X74" s="112"/>
      <c r="Y74" s="112"/>
      <c r="Z74" s="112">
        <v>9</v>
      </c>
      <c r="AA74" s="112"/>
      <c r="AB74" s="112"/>
      <c r="AC74" s="112"/>
      <c r="AD74" s="112"/>
      <c r="AE74" s="112"/>
      <c r="AF74" s="112"/>
      <c r="AG74" s="112"/>
      <c r="AH74" s="112" t="s">
        <v>482</v>
      </c>
      <c r="AI74" s="112">
        <v>25</v>
      </c>
      <c r="AJ74" s="112"/>
      <c r="AK74" s="112"/>
      <c r="AL74" s="112"/>
      <c r="AM74" s="646">
        <f t="shared" si="1"/>
        <v>425.95592999999997</v>
      </c>
      <c r="AO74" s="289"/>
    </row>
    <row r="75" spans="1:42" s="61" customFormat="1" ht="21" customHeight="1" x14ac:dyDescent="0.3">
      <c r="A75" s="705" t="s">
        <v>109</v>
      </c>
      <c r="B75" s="179" t="s">
        <v>293</v>
      </c>
      <c r="C75" s="135"/>
      <c r="D75" s="136"/>
      <c r="E75" s="136"/>
      <c r="F75" s="262"/>
      <c r="G75" s="136"/>
      <c r="H75" s="136"/>
      <c r="I75" s="326"/>
      <c r="J75" s="136"/>
      <c r="K75" s="136"/>
      <c r="L75" s="262"/>
      <c r="M75" s="136"/>
      <c r="N75" s="326"/>
      <c r="O75" s="136"/>
      <c r="P75" s="136"/>
      <c r="Q75" s="136"/>
      <c r="R75" s="136"/>
      <c r="S75" s="136"/>
      <c r="T75" s="137"/>
      <c r="U75" s="632"/>
      <c r="V75" s="122"/>
      <c r="W75" s="122"/>
      <c r="X75" s="122"/>
      <c r="Y75" s="122"/>
      <c r="Z75" s="122"/>
      <c r="AA75" s="122"/>
      <c r="AB75" s="122"/>
      <c r="AC75" s="122"/>
      <c r="AD75" s="122"/>
      <c r="AE75" s="122"/>
      <c r="AF75" s="122"/>
      <c r="AG75" s="122"/>
      <c r="AH75" s="122"/>
      <c r="AI75" s="122"/>
      <c r="AJ75" s="122"/>
      <c r="AK75" s="122"/>
      <c r="AL75" s="122"/>
      <c r="AM75" s="639">
        <f t="shared" si="1"/>
        <v>0</v>
      </c>
      <c r="AO75" s="289"/>
    </row>
    <row r="76" spans="1:42" s="61" customFormat="1" ht="19.5" customHeight="1" x14ac:dyDescent="0.3">
      <c r="A76" s="706"/>
      <c r="B76" s="116" t="s">
        <v>294</v>
      </c>
      <c r="C76" s="138"/>
      <c r="D76" s="109"/>
      <c r="E76" s="109"/>
      <c r="F76" s="263"/>
      <c r="G76" s="109"/>
      <c r="H76" s="109"/>
      <c r="I76" s="123"/>
      <c r="J76" s="109"/>
      <c r="K76" s="109"/>
      <c r="L76" s="263">
        <v>24.882999999999999</v>
      </c>
      <c r="M76" s="109"/>
      <c r="N76" s="123"/>
      <c r="O76" s="109"/>
      <c r="P76" s="109"/>
      <c r="Q76" s="109"/>
      <c r="R76" s="109"/>
      <c r="S76" s="109"/>
      <c r="T76" s="139"/>
      <c r="U76" s="138"/>
      <c r="V76" s="109"/>
      <c r="W76" s="109"/>
      <c r="X76" s="109"/>
      <c r="Y76" s="109"/>
      <c r="Z76" s="109"/>
      <c r="AA76" s="109"/>
      <c r="AB76" s="109"/>
      <c r="AC76" s="109"/>
      <c r="AD76" s="109"/>
      <c r="AE76" s="109"/>
      <c r="AF76" s="109"/>
      <c r="AG76" s="109"/>
      <c r="AH76" s="109"/>
      <c r="AI76" s="109"/>
      <c r="AJ76" s="109"/>
      <c r="AK76" s="109"/>
      <c r="AL76" s="109"/>
      <c r="AM76" s="640">
        <f t="shared" si="1"/>
        <v>24.882999999999999</v>
      </c>
      <c r="AO76" s="289"/>
    </row>
    <row r="77" spans="1:42" s="61" customFormat="1" ht="22.5" customHeight="1" x14ac:dyDescent="0.3">
      <c r="A77" s="706"/>
      <c r="B77" s="117" t="s">
        <v>326</v>
      </c>
      <c r="C77" s="140"/>
      <c r="D77" s="110"/>
      <c r="E77" s="110"/>
      <c r="F77" s="264"/>
      <c r="G77" s="110"/>
      <c r="H77" s="110"/>
      <c r="I77" s="124"/>
      <c r="J77" s="110"/>
      <c r="K77" s="110"/>
      <c r="L77" s="264">
        <v>32</v>
      </c>
      <c r="M77" s="110"/>
      <c r="N77" s="124"/>
      <c r="O77" s="110"/>
      <c r="P77" s="110"/>
      <c r="Q77" s="110"/>
      <c r="R77" s="110"/>
      <c r="S77" s="110"/>
      <c r="T77" s="141"/>
      <c r="U77" s="140"/>
      <c r="V77" s="110"/>
      <c r="W77" s="110"/>
      <c r="X77" s="110"/>
      <c r="Y77" s="110"/>
      <c r="Z77" s="110"/>
      <c r="AA77" s="110"/>
      <c r="AB77" s="110"/>
      <c r="AC77" s="110"/>
      <c r="AD77" s="110"/>
      <c r="AE77" s="110"/>
      <c r="AF77" s="110"/>
      <c r="AG77" s="110"/>
      <c r="AH77" s="110"/>
      <c r="AI77" s="110"/>
      <c r="AJ77" s="110"/>
      <c r="AK77" s="110"/>
      <c r="AL77" s="110"/>
      <c r="AM77" s="641">
        <f t="shared" si="1"/>
        <v>32</v>
      </c>
      <c r="AO77" s="289"/>
      <c r="AP77" s="97"/>
    </row>
    <row r="78" spans="1:42" s="61" customFormat="1" ht="25.5" customHeight="1" x14ac:dyDescent="0.3">
      <c r="A78" s="706"/>
      <c r="B78" s="175" t="s">
        <v>327</v>
      </c>
      <c r="C78" s="176"/>
      <c r="D78" s="127"/>
      <c r="E78" s="127"/>
      <c r="F78" s="265"/>
      <c r="G78" s="127"/>
      <c r="H78" s="127"/>
      <c r="I78" s="178"/>
      <c r="J78" s="127"/>
      <c r="K78" s="127"/>
      <c r="L78" s="265"/>
      <c r="M78" s="127"/>
      <c r="N78" s="178"/>
      <c r="O78" s="127"/>
      <c r="P78" s="127"/>
      <c r="Q78" s="127"/>
      <c r="R78" s="127"/>
      <c r="S78" s="127">
        <v>2</v>
      </c>
      <c r="T78" s="177"/>
      <c r="U78" s="176"/>
      <c r="V78" s="127"/>
      <c r="W78" s="127"/>
      <c r="X78" s="127"/>
      <c r="Y78" s="127"/>
      <c r="Z78" s="127"/>
      <c r="AA78" s="127"/>
      <c r="AB78" s="127"/>
      <c r="AC78" s="127"/>
      <c r="AD78" s="127"/>
      <c r="AE78" s="127"/>
      <c r="AF78" s="127"/>
      <c r="AG78" s="127"/>
      <c r="AH78" s="127"/>
      <c r="AI78" s="127"/>
      <c r="AJ78" s="127"/>
      <c r="AK78" s="127"/>
      <c r="AL78" s="127"/>
      <c r="AM78" s="642">
        <f t="shared" si="1"/>
        <v>2</v>
      </c>
      <c r="AO78" s="289"/>
    </row>
    <row r="79" spans="1:42" s="61" customFormat="1" ht="25.5" customHeight="1" x14ac:dyDescent="0.3">
      <c r="A79" s="706"/>
      <c r="B79" s="180" t="s">
        <v>361</v>
      </c>
      <c r="C79" s="300"/>
      <c r="D79" s="173"/>
      <c r="E79" s="173"/>
      <c r="F79" s="266"/>
      <c r="G79" s="173"/>
      <c r="H79" s="173"/>
      <c r="I79" s="174"/>
      <c r="J79" s="173"/>
      <c r="K79" s="173"/>
      <c r="L79" s="266"/>
      <c r="M79" s="173"/>
      <c r="N79" s="174"/>
      <c r="O79" s="173"/>
      <c r="P79" s="173"/>
      <c r="Q79" s="173"/>
      <c r="R79" s="173"/>
      <c r="S79" s="173">
        <v>4</v>
      </c>
      <c r="T79" s="327"/>
      <c r="U79" s="300"/>
      <c r="V79" s="173"/>
      <c r="W79" s="173"/>
      <c r="X79" s="173"/>
      <c r="Y79" s="173"/>
      <c r="Z79" s="173"/>
      <c r="AA79" s="173"/>
      <c r="AB79" s="173"/>
      <c r="AC79" s="173"/>
      <c r="AD79" s="173"/>
      <c r="AE79" s="173"/>
      <c r="AF79" s="173"/>
      <c r="AG79" s="173"/>
      <c r="AH79" s="173"/>
      <c r="AI79" s="173"/>
      <c r="AJ79" s="173"/>
      <c r="AK79" s="173"/>
      <c r="AL79" s="173"/>
      <c r="AM79" s="643">
        <f t="shared" si="1"/>
        <v>4</v>
      </c>
      <c r="AO79" s="289"/>
      <c r="AP79" s="97"/>
    </row>
    <row r="80" spans="1:42" s="61" customFormat="1" ht="25.5" customHeight="1" x14ac:dyDescent="0.3">
      <c r="A80" s="706"/>
      <c r="B80" s="180" t="s">
        <v>362</v>
      </c>
      <c r="C80" s="300"/>
      <c r="D80" s="173"/>
      <c r="E80" s="173"/>
      <c r="F80" s="266"/>
      <c r="G80" s="173"/>
      <c r="H80" s="173"/>
      <c r="I80" s="174"/>
      <c r="J80" s="173"/>
      <c r="K80" s="173"/>
      <c r="L80" s="266"/>
      <c r="M80" s="173"/>
      <c r="N80" s="174"/>
      <c r="O80" s="173"/>
      <c r="P80" s="173"/>
      <c r="Q80" s="173"/>
      <c r="R80" s="173"/>
      <c r="S80" s="173">
        <v>4</v>
      </c>
      <c r="T80" s="327"/>
      <c r="U80" s="300"/>
      <c r="V80" s="173"/>
      <c r="W80" s="173"/>
      <c r="X80" s="173"/>
      <c r="Y80" s="173"/>
      <c r="Z80" s="173"/>
      <c r="AA80" s="173"/>
      <c r="AB80" s="173"/>
      <c r="AC80" s="173"/>
      <c r="AD80" s="173"/>
      <c r="AE80" s="173"/>
      <c r="AF80" s="173"/>
      <c r="AG80" s="173"/>
      <c r="AH80" s="173"/>
      <c r="AI80" s="173"/>
      <c r="AJ80" s="173"/>
      <c r="AK80" s="173"/>
      <c r="AL80" s="173"/>
      <c r="AM80" s="644">
        <f t="shared" si="1"/>
        <v>4</v>
      </c>
      <c r="AO80" s="289"/>
      <c r="AP80" s="97"/>
    </row>
    <row r="81" spans="1:42" s="61" customFormat="1" ht="22.5" customHeight="1" x14ac:dyDescent="0.3">
      <c r="A81" s="706"/>
      <c r="B81" s="115" t="s">
        <v>402</v>
      </c>
      <c r="C81" s="142"/>
      <c r="D81" s="111"/>
      <c r="E81" s="111"/>
      <c r="F81" s="267"/>
      <c r="G81" s="111"/>
      <c r="H81" s="111"/>
      <c r="I81" s="125"/>
      <c r="J81" s="111"/>
      <c r="K81" s="111"/>
      <c r="L81" s="267">
        <v>0</v>
      </c>
      <c r="M81" s="111"/>
      <c r="N81" s="125"/>
      <c r="O81" s="111"/>
      <c r="P81" s="111"/>
      <c r="Q81" s="111"/>
      <c r="R81" s="111"/>
      <c r="S81" s="111"/>
      <c r="T81" s="143"/>
      <c r="U81" s="142"/>
      <c r="V81" s="111"/>
      <c r="W81" s="111"/>
      <c r="X81" s="111"/>
      <c r="Y81" s="111"/>
      <c r="Z81" s="111"/>
      <c r="AA81" s="111"/>
      <c r="AB81" s="111"/>
      <c r="AC81" s="111"/>
      <c r="AD81" s="111"/>
      <c r="AE81" s="111"/>
      <c r="AF81" s="111"/>
      <c r="AG81" s="111"/>
      <c r="AH81" s="111" t="s">
        <v>482</v>
      </c>
      <c r="AI81" s="111"/>
      <c r="AJ81" s="111"/>
      <c r="AK81" s="111"/>
      <c r="AL81" s="111"/>
      <c r="AM81" s="645">
        <f t="shared" si="1"/>
        <v>0</v>
      </c>
      <c r="AO81" s="289"/>
    </row>
    <row r="82" spans="1:42" s="61" customFormat="1" ht="21" customHeight="1" x14ac:dyDescent="0.3">
      <c r="A82" s="707"/>
      <c r="B82" s="181" t="s">
        <v>403</v>
      </c>
      <c r="C82" s="144"/>
      <c r="D82" s="112"/>
      <c r="E82" s="112"/>
      <c r="F82" s="268"/>
      <c r="G82" s="112"/>
      <c r="H82" s="112"/>
      <c r="I82" s="126"/>
      <c r="J82" s="112"/>
      <c r="K82" s="112"/>
      <c r="L82" s="268"/>
      <c r="M82" s="112"/>
      <c r="N82" s="126"/>
      <c r="O82" s="112"/>
      <c r="P82" s="112"/>
      <c r="Q82" s="112"/>
      <c r="R82" s="112"/>
      <c r="S82" s="112"/>
      <c r="T82" s="145"/>
      <c r="U82" s="144"/>
      <c r="V82" s="112"/>
      <c r="W82" s="112"/>
      <c r="X82" s="112"/>
      <c r="Y82" s="112"/>
      <c r="Z82" s="112"/>
      <c r="AA82" s="112"/>
      <c r="AB82" s="112"/>
      <c r="AC82" s="112"/>
      <c r="AD82" s="112"/>
      <c r="AE82" s="112"/>
      <c r="AF82" s="112"/>
      <c r="AG82" s="112"/>
      <c r="AH82" s="112" t="s">
        <v>482</v>
      </c>
      <c r="AI82" s="112"/>
      <c r="AJ82" s="112"/>
      <c r="AK82" s="112"/>
      <c r="AL82" s="112"/>
      <c r="AM82" s="646">
        <f t="shared" si="1"/>
        <v>0</v>
      </c>
      <c r="AO82" s="289"/>
    </row>
    <row r="83" spans="1:42" s="61" customFormat="1" ht="21" customHeight="1" x14ac:dyDescent="0.3">
      <c r="A83" s="705" t="s">
        <v>110</v>
      </c>
      <c r="B83" s="179" t="s">
        <v>293</v>
      </c>
      <c r="C83" s="135">
        <v>3844</v>
      </c>
      <c r="D83" s="136">
        <v>60</v>
      </c>
      <c r="E83" s="136"/>
      <c r="F83" s="262">
        <v>97.331999999999994</v>
      </c>
      <c r="G83" s="136">
        <v>786</v>
      </c>
      <c r="H83" s="136">
        <v>255</v>
      </c>
      <c r="I83" s="326"/>
      <c r="J83" s="136"/>
      <c r="K83" s="136"/>
      <c r="L83" s="262">
        <v>241.97</v>
      </c>
      <c r="M83" s="136"/>
      <c r="N83" s="326">
        <v>55130.67</v>
      </c>
      <c r="O83" s="136"/>
      <c r="P83" s="136"/>
      <c r="Q83" s="136"/>
      <c r="R83" s="136">
        <v>576.5</v>
      </c>
      <c r="S83" s="136">
        <v>3672.3159999999998</v>
      </c>
      <c r="T83" s="137">
        <v>345.28</v>
      </c>
      <c r="U83" s="632">
        <v>63.685000000000002</v>
      </c>
      <c r="V83" s="122">
        <v>5.2919999999999998</v>
      </c>
      <c r="W83" s="122"/>
      <c r="X83" s="122"/>
      <c r="Y83" s="122">
        <v>13763.992</v>
      </c>
      <c r="Z83" s="122">
        <v>16318</v>
      </c>
      <c r="AA83" s="122"/>
      <c r="AB83" s="122"/>
      <c r="AC83" s="122">
        <v>680.52</v>
      </c>
      <c r="AD83" s="122">
        <v>2364</v>
      </c>
      <c r="AE83" s="122"/>
      <c r="AF83" s="122"/>
      <c r="AG83" s="122">
        <v>3.25</v>
      </c>
      <c r="AH83" s="122">
        <v>51595.01</v>
      </c>
      <c r="AI83" s="122">
        <v>4784</v>
      </c>
      <c r="AJ83" s="122"/>
      <c r="AK83" s="122">
        <v>202.67</v>
      </c>
      <c r="AL83" s="122">
        <v>268.70912080536914</v>
      </c>
      <c r="AM83" s="639">
        <f t="shared" si="1"/>
        <v>155058.1961208054</v>
      </c>
      <c r="AO83" s="289"/>
    </row>
    <row r="84" spans="1:42" s="61" customFormat="1" ht="19.5" customHeight="1" x14ac:dyDescent="0.3">
      <c r="A84" s="706"/>
      <c r="B84" s="116" t="s">
        <v>294</v>
      </c>
      <c r="C84" s="138">
        <v>7046</v>
      </c>
      <c r="D84" s="109">
        <v>60</v>
      </c>
      <c r="E84" s="109"/>
      <c r="F84" s="263">
        <v>2810.66</v>
      </c>
      <c r="G84" s="109">
        <v>1185</v>
      </c>
      <c r="H84" s="109"/>
      <c r="I84" s="123"/>
      <c r="J84" s="109"/>
      <c r="K84" s="109"/>
      <c r="L84" s="263">
        <v>26.742999999999999</v>
      </c>
      <c r="M84" s="109"/>
      <c r="N84" s="123">
        <v>30928.743999999999</v>
      </c>
      <c r="O84" s="109"/>
      <c r="P84" s="109">
        <v>37</v>
      </c>
      <c r="Q84" s="109"/>
      <c r="R84" s="109">
        <v>576.5</v>
      </c>
      <c r="S84" s="109">
        <v>4666.6670000000004</v>
      </c>
      <c r="T84" s="139">
        <v>328.84500000000003</v>
      </c>
      <c r="U84" s="138">
        <v>227.36199999999999</v>
      </c>
      <c r="V84" s="109">
        <f>(13240+5292)/1000-V83</f>
        <v>13.24</v>
      </c>
      <c r="W84" s="109"/>
      <c r="X84" s="109"/>
      <c r="Y84" s="109">
        <v>10468.02</v>
      </c>
      <c r="Z84" s="109">
        <v>31548</v>
      </c>
      <c r="AA84" s="109">
        <v>54.754709999999996</v>
      </c>
      <c r="AB84" s="109"/>
      <c r="AC84" s="109">
        <v>1432.7</v>
      </c>
      <c r="AD84" s="109">
        <v>3081</v>
      </c>
      <c r="AE84" s="109"/>
      <c r="AF84" s="109"/>
      <c r="AG84" s="109">
        <v>4.95</v>
      </c>
      <c r="AH84" s="109">
        <v>36496.51</v>
      </c>
      <c r="AI84" s="109">
        <v>7959</v>
      </c>
      <c r="AJ84" s="109"/>
      <c r="AK84" s="109">
        <v>238.41</v>
      </c>
      <c r="AL84" s="109">
        <v>332.96153846153845</v>
      </c>
      <c r="AM84" s="640">
        <f t="shared" si="1"/>
        <v>139523.06724846154</v>
      </c>
      <c r="AO84" s="289"/>
    </row>
    <row r="85" spans="1:42" s="61" customFormat="1" ht="22.5" customHeight="1" x14ac:dyDescent="0.3">
      <c r="A85" s="706"/>
      <c r="B85" s="117" t="s">
        <v>326</v>
      </c>
      <c r="C85" s="140">
        <v>4828.1589999999997</v>
      </c>
      <c r="D85" s="110">
        <v>90.210999999999999</v>
      </c>
      <c r="E85" s="110"/>
      <c r="F85" s="264">
        <v>2596</v>
      </c>
      <c r="G85" s="110">
        <v>1729</v>
      </c>
      <c r="H85" s="110"/>
      <c r="I85" s="124"/>
      <c r="J85" s="110"/>
      <c r="K85" s="110"/>
      <c r="L85" s="264">
        <v>670</v>
      </c>
      <c r="M85" s="110"/>
      <c r="N85" s="124">
        <v>32771.336000000003</v>
      </c>
      <c r="O85" s="110"/>
      <c r="P85" s="110">
        <v>465</v>
      </c>
      <c r="Q85" s="110"/>
      <c r="R85" s="110">
        <v>1214.5</v>
      </c>
      <c r="S85" s="110">
        <v>12042</v>
      </c>
      <c r="T85" s="141"/>
      <c r="U85" s="140">
        <v>129.83099999999999</v>
      </c>
      <c r="V85" s="110">
        <f>(18350+7780)/1000</f>
        <v>26.13</v>
      </c>
      <c r="W85" s="110">
        <f>75+75</f>
        <v>150</v>
      </c>
      <c r="X85" s="110"/>
      <c r="Y85" s="110">
        <v>13618</v>
      </c>
      <c r="Z85" s="110">
        <v>41638</v>
      </c>
      <c r="AA85" s="110">
        <v>0.29487000000000002</v>
      </c>
      <c r="AB85" s="110"/>
      <c r="AC85" s="110">
        <v>586</v>
      </c>
      <c r="AD85" s="110">
        <v>4944</v>
      </c>
      <c r="AE85" s="110"/>
      <c r="AF85" s="110"/>
      <c r="AG85" s="110"/>
      <c r="AH85" s="110">
        <v>45883.669399999999</v>
      </c>
      <c r="AI85" s="110">
        <v>8904</v>
      </c>
      <c r="AJ85" s="110"/>
      <c r="AK85" s="110">
        <f>269+7</f>
        <v>276</v>
      </c>
      <c r="AL85" s="110">
        <v>376.0526315789474</v>
      </c>
      <c r="AM85" s="641">
        <f t="shared" si="1"/>
        <v>172938.18390157897</v>
      </c>
      <c r="AO85" s="289"/>
      <c r="AP85" s="97"/>
    </row>
    <row r="86" spans="1:42" s="61" customFormat="1" ht="25.5" customHeight="1" x14ac:dyDescent="0.3">
      <c r="A86" s="706"/>
      <c r="B86" s="175" t="s">
        <v>327</v>
      </c>
      <c r="C86" s="176">
        <v>12593.545</v>
      </c>
      <c r="D86" s="127"/>
      <c r="E86" s="127"/>
      <c r="F86" s="265">
        <v>2885</v>
      </c>
      <c r="G86" s="127">
        <v>1550</v>
      </c>
      <c r="H86" s="127">
        <v>150</v>
      </c>
      <c r="I86" s="178"/>
      <c r="J86" s="127"/>
      <c r="K86" s="127"/>
      <c r="L86" s="265">
        <v>382</v>
      </c>
      <c r="M86" s="127"/>
      <c r="N86" s="178">
        <v>42466.082000000002</v>
      </c>
      <c r="O86" s="127"/>
      <c r="P86" s="127">
        <v>562</v>
      </c>
      <c r="Q86" s="127"/>
      <c r="R86" s="127">
        <v>1214.5</v>
      </c>
      <c r="S86" s="127">
        <v>22148</v>
      </c>
      <c r="T86" s="177"/>
      <c r="U86" s="176">
        <v>243.501</v>
      </c>
      <c r="V86" s="127">
        <f>(47774+121900)/1000-V85</f>
        <v>143.54400000000001</v>
      </c>
      <c r="W86" s="127">
        <v>1763</v>
      </c>
      <c r="X86" s="127"/>
      <c r="Y86" s="127">
        <v>13276</v>
      </c>
      <c r="Z86" s="127">
        <v>56039</v>
      </c>
      <c r="AA86" s="127"/>
      <c r="AB86" s="127"/>
      <c r="AC86" s="127">
        <v>2897.1329999999998</v>
      </c>
      <c r="AD86" s="127">
        <v>7886</v>
      </c>
      <c r="AE86" s="127">
        <v>77</v>
      </c>
      <c r="AF86" s="127"/>
      <c r="AG86" s="127"/>
      <c r="AH86" s="127">
        <v>63082.81</v>
      </c>
      <c r="AI86" s="127">
        <v>17542</v>
      </c>
      <c r="AJ86" s="127"/>
      <c r="AK86" s="127">
        <f>97+17-1</f>
        <v>113</v>
      </c>
      <c r="AL86" s="127">
        <v>504.34045801526713</v>
      </c>
      <c r="AM86" s="642">
        <f t="shared" si="1"/>
        <v>247518.45545801529</v>
      </c>
      <c r="AO86" s="289"/>
    </row>
    <row r="87" spans="1:42" s="61" customFormat="1" ht="25.5" customHeight="1" x14ac:dyDescent="0.3">
      <c r="A87" s="706"/>
      <c r="B87" s="180" t="s">
        <v>361</v>
      </c>
      <c r="C87" s="300">
        <v>12008.878000000001</v>
      </c>
      <c r="D87" s="173"/>
      <c r="E87" s="173"/>
      <c r="F87" s="266">
        <v>2978</v>
      </c>
      <c r="G87" s="173">
        <f>1505+577</f>
        <v>2082</v>
      </c>
      <c r="H87" s="173"/>
      <c r="I87" s="174"/>
      <c r="J87" s="173"/>
      <c r="K87" s="173"/>
      <c r="L87" s="266"/>
      <c r="M87" s="173"/>
      <c r="N87" s="174">
        <v>35159.500999999997</v>
      </c>
      <c r="O87" s="173"/>
      <c r="P87" s="173">
        <v>430</v>
      </c>
      <c r="Q87" s="173"/>
      <c r="R87" s="173">
        <f>763+1256</f>
        <v>2019</v>
      </c>
      <c r="S87" s="173">
        <v>29495</v>
      </c>
      <c r="T87" s="327">
        <v>47.9</v>
      </c>
      <c r="U87" s="300">
        <v>887.25800000000004</v>
      </c>
      <c r="V87" s="173">
        <f>(37115+118185)/1000</f>
        <v>155.30000000000001</v>
      </c>
      <c r="W87" s="173">
        <v>566</v>
      </c>
      <c r="X87" s="173"/>
      <c r="Y87" s="173">
        <v>13484</v>
      </c>
      <c r="Z87" s="173">
        <v>56938.092769999996</v>
      </c>
      <c r="AA87" s="173"/>
      <c r="AB87" s="173"/>
      <c r="AC87" s="173">
        <f>5118+321+1</f>
        <v>5440</v>
      </c>
      <c r="AD87" s="173">
        <v>6075</v>
      </c>
      <c r="AE87" s="173"/>
      <c r="AF87" s="173"/>
      <c r="AG87" s="173">
        <v>40</v>
      </c>
      <c r="AH87" s="173">
        <v>54300</v>
      </c>
      <c r="AI87" s="173">
        <v>25170.720000000001</v>
      </c>
      <c r="AJ87" s="173"/>
      <c r="AK87" s="173">
        <v>213</v>
      </c>
      <c r="AL87" s="173">
        <v>188.53305785123965</v>
      </c>
      <c r="AM87" s="643">
        <f t="shared" si="1"/>
        <v>247678.18282785124</v>
      </c>
      <c r="AO87" s="289"/>
      <c r="AP87" s="97"/>
    </row>
    <row r="88" spans="1:42" s="61" customFormat="1" ht="25.5" customHeight="1" x14ac:dyDescent="0.3">
      <c r="A88" s="706"/>
      <c r="B88" s="180" t="s">
        <v>362</v>
      </c>
      <c r="C88" s="300">
        <v>19674.4395</v>
      </c>
      <c r="D88" s="173"/>
      <c r="E88" s="173"/>
      <c r="F88" s="266">
        <v>7333</v>
      </c>
      <c r="G88" s="173">
        <f>1229+439</f>
        <v>1668</v>
      </c>
      <c r="H88" s="173"/>
      <c r="I88" s="174"/>
      <c r="J88" s="173"/>
      <c r="K88" s="173"/>
      <c r="L88" s="266">
        <v>127</v>
      </c>
      <c r="M88" s="173"/>
      <c r="N88" s="174">
        <v>54735.078000000001</v>
      </c>
      <c r="O88" s="173"/>
      <c r="P88" s="173">
        <v>474</v>
      </c>
      <c r="Q88" s="173"/>
      <c r="R88" s="173">
        <f>4124-R87</f>
        <v>2105</v>
      </c>
      <c r="S88" s="173">
        <v>23201</v>
      </c>
      <c r="T88" s="327">
        <v>220</v>
      </c>
      <c r="U88" s="300">
        <v>638.73800000000006</v>
      </c>
      <c r="V88" s="173">
        <f>(287315+209882)/1000-V87</f>
        <v>341.89699999999999</v>
      </c>
      <c r="W88" s="173">
        <v>2102</v>
      </c>
      <c r="X88" s="173"/>
      <c r="Y88" s="173">
        <v>16689</v>
      </c>
      <c r="Z88" s="173">
        <v>50202.017030000003</v>
      </c>
      <c r="AA88" s="173">
        <v>4.7944300000000002</v>
      </c>
      <c r="AB88" s="173"/>
      <c r="AC88" s="173">
        <f>10534-5118-1+140</f>
        <v>5555</v>
      </c>
      <c r="AD88" s="173">
        <v>14307</v>
      </c>
      <c r="AE88" s="173">
        <v>17</v>
      </c>
      <c r="AF88" s="173"/>
      <c r="AG88" s="173"/>
      <c r="AH88" s="173">
        <v>61490</v>
      </c>
      <c r="AI88" s="173">
        <v>17628.28</v>
      </c>
      <c r="AJ88" s="173"/>
      <c r="AK88" s="173">
        <v>352</v>
      </c>
      <c r="AL88" s="173">
        <v>657.03124999999989</v>
      </c>
      <c r="AM88" s="644">
        <f t="shared" si="1"/>
        <v>279522.27520999999</v>
      </c>
      <c r="AO88" s="289"/>
      <c r="AP88" s="97"/>
    </row>
    <row r="89" spans="1:42" s="61" customFormat="1" ht="22.5" customHeight="1" x14ac:dyDescent="0.3">
      <c r="A89" s="706"/>
      <c r="B89" s="115" t="s">
        <v>402</v>
      </c>
      <c r="C89" s="142">
        <v>30076.881109999998</v>
      </c>
      <c r="D89" s="111"/>
      <c r="E89" s="111">
        <v>9</v>
      </c>
      <c r="F89" s="267">
        <v>5684.9</v>
      </c>
      <c r="G89" s="111">
        <v>201</v>
      </c>
      <c r="H89" s="111">
        <v>29</v>
      </c>
      <c r="I89" s="125"/>
      <c r="J89" s="111"/>
      <c r="K89" s="111"/>
      <c r="L89" s="267">
        <v>2848</v>
      </c>
      <c r="M89" s="111">
        <v>118.11772000000001</v>
      </c>
      <c r="N89" s="125"/>
      <c r="O89" s="111"/>
      <c r="P89" s="111">
        <v>600</v>
      </c>
      <c r="Q89" s="111"/>
      <c r="R89" s="111">
        <v>5477</v>
      </c>
      <c r="S89" s="111">
        <v>41019.544280999995</v>
      </c>
      <c r="T89" s="143">
        <v>427.19900000000001</v>
      </c>
      <c r="U89" s="142">
        <v>2826.009</v>
      </c>
      <c r="V89" s="111">
        <f>978708.5/1000</f>
        <v>978.70849999999996</v>
      </c>
      <c r="W89" s="111">
        <f>3262</f>
        <v>3262</v>
      </c>
      <c r="X89" s="111"/>
      <c r="Y89" s="111">
        <v>28229.901000000002</v>
      </c>
      <c r="Z89" s="111">
        <v>64251</v>
      </c>
      <c r="AA89" s="111">
        <v>82</v>
      </c>
      <c r="AB89" s="111"/>
      <c r="AC89" s="111">
        <v>1813</v>
      </c>
      <c r="AD89" s="111">
        <v>13952</v>
      </c>
      <c r="AE89" s="111">
        <v>25</v>
      </c>
      <c r="AF89" s="111"/>
      <c r="AG89" s="111"/>
      <c r="AH89" s="111">
        <v>108443.03599999999</v>
      </c>
      <c r="AI89" s="111">
        <v>29123</v>
      </c>
      <c r="AJ89" s="111"/>
      <c r="AK89" s="111">
        <f>365.712/1.097</f>
        <v>333.37465815861441</v>
      </c>
      <c r="AL89" s="111">
        <v>880.40178571428567</v>
      </c>
      <c r="AM89" s="645">
        <f t="shared" si="1"/>
        <v>340690.07305487286</v>
      </c>
      <c r="AO89" s="289"/>
    </row>
    <row r="90" spans="1:42" s="61" customFormat="1" ht="21" customHeight="1" x14ac:dyDescent="0.3">
      <c r="A90" s="707"/>
      <c r="B90" s="181" t="s">
        <v>403</v>
      </c>
      <c r="C90" s="144">
        <v>26873.627960000002</v>
      </c>
      <c r="D90" s="112"/>
      <c r="E90" s="112"/>
      <c r="F90" s="268">
        <v>7743.5</v>
      </c>
      <c r="G90" s="112">
        <v>347</v>
      </c>
      <c r="H90" s="112">
        <v>45</v>
      </c>
      <c r="I90" s="126"/>
      <c r="J90" s="112"/>
      <c r="K90" s="112"/>
      <c r="L90" s="268">
        <v>1383</v>
      </c>
      <c r="M90" s="112"/>
      <c r="N90" s="126"/>
      <c r="O90" s="112">
        <v>261</v>
      </c>
      <c r="P90" s="112">
        <v>505</v>
      </c>
      <c r="Q90" s="112"/>
      <c r="R90" s="112">
        <f>8486-R89</f>
        <v>3009</v>
      </c>
      <c r="S90" s="112">
        <v>29612.752578000003</v>
      </c>
      <c r="T90" s="145">
        <v>46.59</v>
      </c>
      <c r="U90" s="144">
        <v>1374.7190000000001</v>
      </c>
      <c r="V90" s="112">
        <f>(981622+300872)/1000-V89</f>
        <v>303.78549999999996</v>
      </c>
      <c r="W90" s="112">
        <f>11580-3262</f>
        <v>8318</v>
      </c>
      <c r="X90" s="112"/>
      <c r="Y90" s="112">
        <v>32873.504999999997</v>
      </c>
      <c r="Z90" s="112">
        <v>58553</v>
      </c>
      <c r="AA90" s="112">
        <v>0</v>
      </c>
      <c r="AB90" s="112"/>
      <c r="AC90" s="112">
        <v>5364</v>
      </c>
      <c r="AD90" s="112">
        <v>7640</v>
      </c>
      <c r="AE90" s="112"/>
      <c r="AF90" s="112"/>
      <c r="AG90" s="112"/>
      <c r="AH90" s="112">
        <v>81575.884000000005</v>
      </c>
      <c r="AI90" s="112">
        <v>29123</v>
      </c>
      <c r="AJ90" s="112"/>
      <c r="AK90" s="112">
        <f>456.604/1.001</f>
        <v>456.14785214785218</v>
      </c>
      <c r="AL90" s="112">
        <v>1945</v>
      </c>
      <c r="AM90" s="646">
        <f t="shared" si="1"/>
        <v>297353.51189014787</v>
      </c>
      <c r="AO90" s="289"/>
    </row>
    <row r="91" spans="1:42" s="61" customFormat="1" ht="21" customHeight="1" x14ac:dyDescent="0.3">
      <c r="A91" s="705" t="s">
        <v>111</v>
      </c>
      <c r="B91" s="179" t="s">
        <v>293</v>
      </c>
      <c r="C91" s="135">
        <v>1559</v>
      </c>
      <c r="D91" s="136"/>
      <c r="E91" s="136"/>
      <c r="F91" s="262"/>
      <c r="G91" s="136">
        <v>660</v>
      </c>
      <c r="H91" s="136">
        <v>85</v>
      </c>
      <c r="I91" s="326"/>
      <c r="J91" s="136"/>
      <c r="K91" s="136"/>
      <c r="L91" s="262">
        <v>99.855000000000004</v>
      </c>
      <c r="M91" s="136"/>
      <c r="N91" s="326">
        <v>651.67499999999995</v>
      </c>
      <c r="O91" s="136"/>
      <c r="P91" s="136"/>
      <c r="Q91" s="136"/>
      <c r="R91" s="136"/>
      <c r="S91" s="136">
        <v>4170.8220000000001</v>
      </c>
      <c r="T91" s="137">
        <v>316.67700000000002</v>
      </c>
      <c r="U91" s="632">
        <v>34.241</v>
      </c>
      <c r="V91" s="122"/>
      <c r="W91" s="122"/>
      <c r="X91" s="122">
        <v>157</v>
      </c>
      <c r="Y91" s="122">
        <v>239.89699999999999</v>
      </c>
      <c r="Z91" s="122">
        <v>3551</v>
      </c>
      <c r="AA91" s="122">
        <v>2901.8459800000001</v>
      </c>
      <c r="AB91" s="122"/>
      <c r="AC91" s="122">
        <v>2923.9880000000003</v>
      </c>
      <c r="AD91" s="122">
        <v>801</v>
      </c>
      <c r="AE91" s="122">
        <v>94</v>
      </c>
      <c r="AF91" s="122"/>
      <c r="AG91" s="122">
        <v>13.83</v>
      </c>
      <c r="AH91" s="122">
        <v>3308.88</v>
      </c>
      <c r="AI91" s="122">
        <v>96</v>
      </c>
      <c r="AJ91" s="122"/>
      <c r="AK91" s="122">
        <v>1.68</v>
      </c>
      <c r="AL91" s="122">
        <v>195.9731543624161</v>
      </c>
      <c r="AM91" s="639">
        <f t="shared" si="1"/>
        <v>21862.364134362419</v>
      </c>
      <c r="AO91" s="289"/>
    </row>
    <row r="92" spans="1:42" s="61" customFormat="1" ht="19.5" customHeight="1" x14ac:dyDescent="0.3">
      <c r="A92" s="706"/>
      <c r="B92" s="116" t="s">
        <v>294</v>
      </c>
      <c r="C92" s="138">
        <v>1909.31</v>
      </c>
      <c r="D92" s="109"/>
      <c r="E92" s="109"/>
      <c r="F92" s="263">
        <v>-46.838000000000001</v>
      </c>
      <c r="G92" s="109">
        <v>737</v>
      </c>
      <c r="H92" s="109">
        <v>30</v>
      </c>
      <c r="I92" s="123"/>
      <c r="J92" s="109"/>
      <c r="K92" s="109"/>
      <c r="L92" s="263">
        <v>150</v>
      </c>
      <c r="M92" s="109"/>
      <c r="N92" s="123">
        <v>933.46400000000006</v>
      </c>
      <c r="O92" s="109"/>
      <c r="P92" s="109"/>
      <c r="Q92" s="109"/>
      <c r="R92" s="109"/>
      <c r="S92" s="109">
        <v>5379.643</v>
      </c>
      <c r="T92" s="139">
        <v>376.74</v>
      </c>
      <c r="U92" s="138">
        <v>55.771000000000001</v>
      </c>
      <c r="V92" s="109">
        <f>(5000+5000)/1000</f>
        <v>10</v>
      </c>
      <c r="W92" s="109">
        <v>646</v>
      </c>
      <c r="X92" s="109">
        <v>76</v>
      </c>
      <c r="Y92" s="109">
        <v>720.03300000000002</v>
      </c>
      <c r="Z92" s="109">
        <v>4122</v>
      </c>
      <c r="AA92" s="109">
        <v>2747.1163199999996</v>
      </c>
      <c r="AB92" s="109"/>
      <c r="AC92" s="109">
        <v>1921.07</v>
      </c>
      <c r="AD92" s="109">
        <v>778</v>
      </c>
      <c r="AE92" s="109"/>
      <c r="AF92" s="109"/>
      <c r="AG92" s="109"/>
      <c r="AH92" s="109">
        <v>2192.9499999999998</v>
      </c>
      <c r="AI92" s="109">
        <v>247</v>
      </c>
      <c r="AJ92" s="109">
        <v>113</v>
      </c>
      <c r="AK92" s="109">
        <v>34.619999999999997</v>
      </c>
      <c r="AL92" s="109">
        <v>237.8923076923077</v>
      </c>
      <c r="AM92" s="640">
        <f t="shared" si="1"/>
        <v>23370.771627692309</v>
      </c>
      <c r="AO92" s="289"/>
    </row>
    <row r="93" spans="1:42" s="61" customFormat="1" ht="22.5" customHeight="1" x14ac:dyDescent="0.3">
      <c r="A93" s="706"/>
      <c r="B93" s="117" t="s">
        <v>326</v>
      </c>
      <c r="C93" s="140">
        <v>1994.0730000000001</v>
      </c>
      <c r="D93" s="110"/>
      <c r="E93" s="110"/>
      <c r="F93" s="264">
        <v>539</v>
      </c>
      <c r="G93" s="110">
        <v>673</v>
      </c>
      <c r="H93" s="110"/>
      <c r="I93" s="124"/>
      <c r="J93" s="110"/>
      <c r="K93" s="110"/>
      <c r="L93" s="264">
        <v>5</v>
      </c>
      <c r="M93" s="110"/>
      <c r="N93" s="124">
        <v>500.80799999999999</v>
      </c>
      <c r="O93" s="110"/>
      <c r="P93" s="110">
        <v>39</v>
      </c>
      <c r="Q93" s="110"/>
      <c r="R93" s="110">
        <f>(121+179)/2</f>
        <v>150</v>
      </c>
      <c r="S93" s="110">
        <v>2839</v>
      </c>
      <c r="T93" s="141"/>
      <c r="U93" s="140">
        <v>141.23400000000001</v>
      </c>
      <c r="V93" s="110">
        <v>15</v>
      </c>
      <c r="W93" s="110">
        <f>152+61</f>
        <v>213</v>
      </c>
      <c r="X93" s="110">
        <v>98</v>
      </c>
      <c r="Y93" s="110">
        <v>1295</v>
      </c>
      <c r="Z93" s="110">
        <v>4742</v>
      </c>
      <c r="AA93" s="110">
        <v>4844.6719700000003</v>
      </c>
      <c r="AB93" s="110">
        <v>25</v>
      </c>
      <c r="AC93" s="110">
        <v>982.32100000000003</v>
      </c>
      <c r="AD93" s="110">
        <v>1885</v>
      </c>
      <c r="AE93" s="110"/>
      <c r="AF93" s="110"/>
      <c r="AG93" s="110"/>
      <c r="AH93" s="110">
        <v>2188.8908900000001</v>
      </c>
      <c r="AI93" s="110">
        <v>313</v>
      </c>
      <c r="AJ93" s="110">
        <v>117</v>
      </c>
      <c r="AK93" s="110">
        <v>2</v>
      </c>
      <c r="AL93" s="110">
        <v>271.22807017543857</v>
      </c>
      <c r="AM93" s="641">
        <f t="shared" si="1"/>
        <v>23873.226930175439</v>
      </c>
      <c r="AO93" s="289"/>
      <c r="AP93" s="97"/>
    </row>
    <row r="94" spans="1:42" s="61" customFormat="1" ht="25.5" customHeight="1" x14ac:dyDescent="0.3">
      <c r="A94" s="706"/>
      <c r="B94" s="175" t="s">
        <v>327</v>
      </c>
      <c r="C94" s="176">
        <v>1614.432</v>
      </c>
      <c r="D94" s="127"/>
      <c r="E94" s="127"/>
      <c r="F94" s="265"/>
      <c r="G94" s="127">
        <v>645</v>
      </c>
      <c r="H94" s="127">
        <v>37</v>
      </c>
      <c r="I94" s="178"/>
      <c r="J94" s="127"/>
      <c r="K94" s="127"/>
      <c r="L94" s="265">
        <v>41</v>
      </c>
      <c r="M94" s="127"/>
      <c r="N94" s="178">
        <v>1063.433</v>
      </c>
      <c r="O94" s="127"/>
      <c r="P94" s="127"/>
      <c r="Q94" s="127"/>
      <c r="R94" s="127">
        <f>(121+179)/2</f>
        <v>150</v>
      </c>
      <c r="S94" s="127">
        <v>4346</v>
      </c>
      <c r="T94" s="177"/>
      <c r="U94" s="176">
        <v>141.441</v>
      </c>
      <c r="V94" s="127">
        <f>45000/1000-V93</f>
        <v>30</v>
      </c>
      <c r="W94" s="127"/>
      <c r="X94" s="127">
        <v>85</v>
      </c>
      <c r="Y94" s="127">
        <v>1485</v>
      </c>
      <c r="Z94" s="127">
        <v>6991</v>
      </c>
      <c r="AA94" s="127">
        <v>4488.2050300000001</v>
      </c>
      <c r="AB94" s="127">
        <v>24</v>
      </c>
      <c r="AC94" s="127">
        <v>1300.1120000000001</v>
      </c>
      <c r="AD94" s="127">
        <v>2761</v>
      </c>
      <c r="AE94" s="127"/>
      <c r="AF94" s="127"/>
      <c r="AG94" s="127"/>
      <c r="AH94" s="127">
        <v>4342.95</v>
      </c>
      <c r="AI94" s="127">
        <v>656</v>
      </c>
      <c r="AJ94" s="127"/>
      <c r="AK94" s="127">
        <v>2</v>
      </c>
      <c r="AL94" s="127">
        <v>261.33893129770991</v>
      </c>
      <c r="AM94" s="642">
        <f t="shared" si="1"/>
        <v>30464.911961297712</v>
      </c>
      <c r="AO94" s="289"/>
    </row>
    <row r="95" spans="1:42" s="61" customFormat="1" ht="25.5" customHeight="1" x14ac:dyDescent="0.3">
      <c r="A95" s="706"/>
      <c r="B95" s="180" t="s">
        <v>361</v>
      </c>
      <c r="C95" s="300">
        <v>1936.5610300000001</v>
      </c>
      <c r="D95" s="173"/>
      <c r="E95" s="173"/>
      <c r="F95" s="266">
        <v>35</v>
      </c>
      <c r="G95" s="173">
        <v>642</v>
      </c>
      <c r="H95" s="173">
        <f>38+203</f>
        <v>241</v>
      </c>
      <c r="I95" s="174"/>
      <c r="J95" s="173"/>
      <c r="K95" s="173"/>
      <c r="L95" s="266"/>
      <c r="M95" s="173"/>
      <c r="N95" s="174">
        <v>995.12300000000005</v>
      </c>
      <c r="O95" s="173"/>
      <c r="P95" s="173"/>
      <c r="Q95" s="173"/>
      <c r="R95" s="173">
        <v>765</v>
      </c>
      <c r="S95" s="173">
        <v>7161</v>
      </c>
      <c r="T95" s="327">
        <v>552.20000000000005</v>
      </c>
      <c r="U95" s="300">
        <v>213.923</v>
      </c>
      <c r="V95" s="173">
        <f>(35000+174878)/1000</f>
        <v>209.87799999999999</v>
      </c>
      <c r="W95" s="173">
        <v>472</v>
      </c>
      <c r="X95" s="173">
        <v>78</v>
      </c>
      <c r="Y95" s="173">
        <v>1413</v>
      </c>
      <c r="Z95" s="173">
        <v>7262.3336900000004</v>
      </c>
      <c r="AA95" s="173">
        <f>2687.65755+53.727+277</f>
        <v>3018.3845499999998</v>
      </c>
      <c r="AB95" s="173">
        <v>26</v>
      </c>
      <c r="AC95" s="173">
        <f>770+137</f>
        <v>907</v>
      </c>
      <c r="AD95" s="173">
        <v>2390</v>
      </c>
      <c r="AE95" s="173"/>
      <c r="AF95" s="173"/>
      <c r="AG95" s="173"/>
      <c r="AH95" s="173">
        <v>1824</v>
      </c>
      <c r="AI95" s="173">
        <v>718</v>
      </c>
      <c r="AJ95" s="173"/>
      <c r="AK95" s="173">
        <v>63</v>
      </c>
      <c r="AL95" s="173">
        <v>256.65289256198349</v>
      </c>
      <c r="AM95" s="643">
        <f t="shared" si="1"/>
        <v>31180.056162561985</v>
      </c>
      <c r="AO95" s="289"/>
      <c r="AP95" s="97"/>
    </row>
    <row r="96" spans="1:42" s="61" customFormat="1" ht="25.5" customHeight="1" x14ac:dyDescent="0.3">
      <c r="A96" s="706"/>
      <c r="B96" s="180" t="s">
        <v>362</v>
      </c>
      <c r="C96" s="300">
        <v>4899.7071599999999</v>
      </c>
      <c r="D96" s="173"/>
      <c r="E96" s="173">
        <v>254</v>
      </c>
      <c r="F96" s="266"/>
      <c r="G96" s="173">
        <f>663+5</f>
        <v>668</v>
      </c>
      <c r="H96" s="173">
        <v>75</v>
      </c>
      <c r="I96" s="174"/>
      <c r="J96" s="173"/>
      <c r="K96" s="173"/>
      <c r="L96" s="266">
        <v>105</v>
      </c>
      <c r="M96" s="173"/>
      <c r="N96" s="174">
        <v>1694.615</v>
      </c>
      <c r="O96" s="173"/>
      <c r="P96" s="173"/>
      <c r="Q96" s="173"/>
      <c r="R96" s="173">
        <f>765-R95</f>
        <v>0</v>
      </c>
      <c r="S96" s="173">
        <v>8842</v>
      </c>
      <c r="T96" s="327">
        <v>705.2</v>
      </c>
      <c r="U96" s="300">
        <v>29.428999999999998</v>
      </c>
      <c r="V96" s="173">
        <f>(62284+296648)/1000-V95</f>
        <v>149.05400000000003</v>
      </c>
      <c r="W96" s="173">
        <v>587</v>
      </c>
      <c r="X96" s="173">
        <v>91</v>
      </c>
      <c r="Y96" s="173">
        <v>2550</v>
      </c>
      <c r="Z96" s="173">
        <v>10077.020620000001</v>
      </c>
      <c r="AA96" s="173">
        <f>2701.13526+251</f>
        <v>2952.13526</v>
      </c>
      <c r="AB96" s="173">
        <v>27</v>
      </c>
      <c r="AC96" s="173">
        <f>1562-770+1484</f>
        <v>2276</v>
      </c>
      <c r="AD96" s="173">
        <v>3395</v>
      </c>
      <c r="AE96" s="173"/>
      <c r="AF96" s="173"/>
      <c r="AG96" s="173"/>
      <c r="AH96" s="173">
        <v>3796</v>
      </c>
      <c r="AI96" s="173">
        <v>1877</v>
      </c>
      <c r="AJ96" s="173"/>
      <c r="AK96" s="173">
        <v>2</v>
      </c>
      <c r="AL96" s="173">
        <v>286.41071428571428</v>
      </c>
      <c r="AM96" s="644">
        <f t="shared" si="1"/>
        <v>45338.571754285724</v>
      </c>
      <c r="AO96" s="289"/>
      <c r="AP96" s="97"/>
    </row>
    <row r="97" spans="1:42" s="61" customFormat="1" ht="22.5" customHeight="1" x14ac:dyDescent="0.3">
      <c r="A97" s="706"/>
      <c r="B97" s="115" t="s">
        <v>402</v>
      </c>
      <c r="C97" s="142">
        <v>4618.4609899999996</v>
      </c>
      <c r="D97" s="111"/>
      <c r="E97" s="111">
        <v>218</v>
      </c>
      <c r="F97" s="267">
        <v>602</v>
      </c>
      <c r="G97" s="111"/>
      <c r="H97" s="111">
        <v>251</v>
      </c>
      <c r="I97" s="125"/>
      <c r="J97" s="111"/>
      <c r="K97" s="111"/>
      <c r="L97" s="267">
        <v>842</v>
      </c>
      <c r="M97" s="111"/>
      <c r="N97" s="125"/>
      <c r="O97" s="111"/>
      <c r="P97" s="111"/>
      <c r="Q97" s="111"/>
      <c r="R97" s="111">
        <v>617</v>
      </c>
      <c r="S97" s="111">
        <v>4493.2304700000004</v>
      </c>
      <c r="T97" s="143">
        <v>508.47</v>
      </c>
      <c r="U97" s="142">
        <v>12.112</v>
      </c>
      <c r="V97" s="111">
        <f>430887.1/1000</f>
        <v>430.88709999999998</v>
      </c>
      <c r="W97" s="111">
        <f>344</f>
        <v>344</v>
      </c>
      <c r="X97" s="111">
        <v>98</v>
      </c>
      <c r="Y97" s="111">
        <v>2844.1370000000002</v>
      </c>
      <c r="Z97" s="111">
        <v>2901</v>
      </c>
      <c r="AA97" s="111">
        <v>2443</v>
      </c>
      <c r="AB97" s="111">
        <v>30.2</v>
      </c>
      <c r="AC97" s="111">
        <v>1843</v>
      </c>
      <c r="AD97" s="111">
        <v>2751</v>
      </c>
      <c r="AE97" s="111">
        <v>22</v>
      </c>
      <c r="AF97" s="111"/>
      <c r="AG97" s="111"/>
      <c r="AH97" s="111">
        <v>3935.2849999999999</v>
      </c>
      <c r="AI97" s="111">
        <v>286</v>
      </c>
      <c r="AJ97" s="111"/>
      <c r="AK97" s="111">
        <f>36.366/1.097</f>
        <v>33.150410209662716</v>
      </c>
      <c r="AL97" s="111">
        <v>287.78571428571428</v>
      </c>
      <c r="AM97" s="645">
        <f t="shared" si="1"/>
        <v>30411.718684495376</v>
      </c>
      <c r="AO97" s="289"/>
    </row>
    <row r="98" spans="1:42" s="61" customFormat="1" ht="21" customHeight="1" x14ac:dyDescent="0.3">
      <c r="A98" s="707"/>
      <c r="B98" s="181" t="s">
        <v>403</v>
      </c>
      <c r="C98" s="144">
        <v>3252.4830000000002</v>
      </c>
      <c r="D98" s="112"/>
      <c r="E98" s="112">
        <v>283</v>
      </c>
      <c r="F98" s="268">
        <v>3943.9</v>
      </c>
      <c r="G98" s="112"/>
      <c r="H98" s="112"/>
      <c r="I98" s="126"/>
      <c r="J98" s="112"/>
      <c r="K98" s="112"/>
      <c r="L98" s="268"/>
      <c r="M98" s="112"/>
      <c r="N98" s="126"/>
      <c r="O98" s="112"/>
      <c r="P98" s="112"/>
      <c r="Q98" s="112"/>
      <c r="R98" s="112">
        <f>1089-R97</f>
        <v>472</v>
      </c>
      <c r="S98" s="112">
        <v>2740.1167650000002</v>
      </c>
      <c r="T98" s="145">
        <v>339.89</v>
      </c>
      <c r="U98" s="144">
        <v>96.376999999999995</v>
      </c>
      <c r="V98" s="112">
        <f>(47170+50502+395063+15552)/1000-V97</f>
        <v>77.399900000000002</v>
      </c>
      <c r="W98" s="112"/>
      <c r="X98" s="112">
        <v>5</v>
      </c>
      <c r="Y98" s="112">
        <v>2247.6779999999999</v>
      </c>
      <c r="Z98" s="112">
        <v>2451</v>
      </c>
      <c r="AA98" s="112">
        <v>2404</v>
      </c>
      <c r="AB98" s="112">
        <v>344.8</v>
      </c>
      <c r="AC98" s="112">
        <v>2273</v>
      </c>
      <c r="AD98" s="112">
        <v>4625</v>
      </c>
      <c r="AE98" s="112"/>
      <c r="AF98" s="112"/>
      <c r="AG98" s="112"/>
      <c r="AH98" s="112">
        <v>1721.903</v>
      </c>
      <c r="AI98" s="112">
        <v>286</v>
      </c>
      <c r="AJ98" s="112"/>
      <c r="AK98" s="112">
        <f>33.6545/1.001</f>
        <v>33.620879120879124</v>
      </c>
      <c r="AL98" s="112">
        <v>269</v>
      </c>
      <c r="AM98" s="646">
        <f t="shared" si="1"/>
        <v>27866.168544120876</v>
      </c>
      <c r="AO98" s="289"/>
    </row>
    <row r="99" spans="1:42" s="61" customFormat="1" ht="21" customHeight="1" x14ac:dyDescent="0.3">
      <c r="A99" s="705" t="s">
        <v>112</v>
      </c>
      <c r="B99" s="179" t="s">
        <v>293</v>
      </c>
      <c r="C99" s="135"/>
      <c r="D99" s="136"/>
      <c r="E99" s="136"/>
      <c r="F99" s="262"/>
      <c r="G99" s="136"/>
      <c r="H99" s="136">
        <v>4</v>
      </c>
      <c r="I99" s="326"/>
      <c r="J99" s="136"/>
      <c r="K99" s="136"/>
      <c r="L99" s="262"/>
      <c r="M99" s="136"/>
      <c r="N99" s="326"/>
      <c r="O99" s="136"/>
      <c r="P99" s="136"/>
      <c r="Q99" s="136"/>
      <c r="R99" s="136"/>
      <c r="S99" s="136"/>
      <c r="T99" s="137"/>
      <c r="U99" s="632"/>
      <c r="V99" s="122"/>
      <c r="W99" s="122"/>
      <c r="X99" s="122"/>
      <c r="Y99" s="122"/>
      <c r="Z99" s="122"/>
      <c r="AA99" s="122">
        <v>8.2000000000000003E-2</v>
      </c>
      <c r="AB99" s="122"/>
      <c r="AC99" s="122"/>
      <c r="AD99" s="122"/>
      <c r="AE99" s="122"/>
      <c r="AF99" s="122"/>
      <c r="AG99" s="122"/>
      <c r="AH99" s="122"/>
      <c r="AI99" s="122"/>
      <c r="AJ99" s="122"/>
      <c r="AK99" s="122"/>
      <c r="AL99" s="122"/>
      <c r="AM99" s="639">
        <f t="shared" si="1"/>
        <v>4.0819999999999999</v>
      </c>
      <c r="AO99" s="289"/>
    </row>
    <row r="100" spans="1:42" s="61" customFormat="1" ht="19.5" customHeight="1" x14ac:dyDescent="0.3">
      <c r="A100" s="706"/>
      <c r="B100" s="116" t="s">
        <v>294</v>
      </c>
      <c r="C100" s="138"/>
      <c r="D100" s="109"/>
      <c r="E100" s="109"/>
      <c r="F100" s="263"/>
      <c r="G100" s="109"/>
      <c r="H100" s="109">
        <v>3</v>
      </c>
      <c r="I100" s="123"/>
      <c r="J100" s="109"/>
      <c r="K100" s="109"/>
      <c r="L100" s="263"/>
      <c r="M100" s="109"/>
      <c r="N100" s="123"/>
      <c r="O100" s="109"/>
      <c r="P100" s="109"/>
      <c r="Q100" s="109"/>
      <c r="R100" s="109"/>
      <c r="S100" s="109"/>
      <c r="T100" s="139"/>
      <c r="U100" s="138"/>
      <c r="V100" s="109"/>
      <c r="W100" s="109"/>
      <c r="X100" s="109"/>
      <c r="Y100" s="109"/>
      <c r="Z100" s="109"/>
      <c r="AA100" s="109"/>
      <c r="AB100" s="109"/>
      <c r="AC100" s="109"/>
      <c r="AD100" s="109"/>
      <c r="AE100" s="109"/>
      <c r="AF100" s="109"/>
      <c r="AG100" s="109">
        <v>2.9</v>
      </c>
      <c r="AH100" s="109"/>
      <c r="AI100" s="109"/>
      <c r="AJ100" s="109"/>
      <c r="AK100" s="109"/>
      <c r="AL100" s="109"/>
      <c r="AM100" s="640">
        <f t="shared" si="1"/>
        <v>5.9</v>
      </c>
      <c r="AO100" s="289"/>
    </row>
    <row r="101" spans="1:42" s="61" customFormat="1" ht="22.5" customHeight="1" x14ac:dyDescent="0.3">
      <c r="A101" s="706"/>
      <c r="B101" s="117" t="s">
        <v>326</v>
      </c>
      <c r="C101" s="140"/>
      <c r="D101" s="110"/>
      <c r="E101" s="110"/>
      <c r="F101" s="264"/>
      <c r="G101" s="110">
        <v>153</v>
      </c>
      <c r="H101" s="110">
        <v>3</v>
      </c>
      <c r="I101" s="124"/>
      <c r="J101" s="110"/>
      <c r="K101" s="110"/>
      <c r="L101" s="264"/>
      <c r="M101" s="110"/>
      <c r="N101" s="124"/>
      <c r="O101" s="110"/>
      <c r="P101" s="110">
        <v>13</v>
      </c>
      <c r="Q101" s="110"/>
      <c r="R101" s="110"/>
      <c r="S101" s="110">
        <v>2718</v>
      </c>
      <c r="T101" s="141"/>
      <c r="U101" s="140"/>
      <c r="V101" s="110"/>
      <c r="W101" s="110"/>
      <c r="X101" s="110"/>
      <c r="Y101" s="110"/>
      <c r="Z101" s="110">
        <v>6</v>
      </c>
      <c r="AA101" s="110"/>
      <c r="AB101" s="110"/>
      <c r="AC101" s="110"/>
      <c r="AD101" s="110"/>
      <c r="AE101" s="110"/>
      <c r="AF101" s="110"/>
      <c r="AG101" s="110"/>
      <c r="AH101" s="110"/>
      <c r="AI101" s="110"/>
      <c r="AJ101" s="110"/>
      <c r="AK101" s="110"/>
      <c r="AL101" s="110"/>
      <c r="AM101" s="641">
        <f t="shared" ref="AM101:AM164" si="2">SUM(C101:AL101)</f>
        <v>2893</v>
      </c>
      <c r="AO101" s="289"/>
      <c r="AP101" s="97"/>
    </row>
    <row r="102" spans="1:42" s="61" customFormat="1" ht="25.5" customHeight="1" x14ac:dyDescent="0.3">
      <c r="A102" s="706"/>
      <c r="B102" s="175" t="s">
        <v>327</v>
      </c>
      <c r="C102" s="176">
        <v>1000</v>
      </c>
      <c r="D102" s="127"/>
      <c r="E102" s="127"/>
      <c r="F102" s="265"/>
      <c r="G102" s="127">
        <v>4</v>
      </c>
      <c r="H102" s="127"/>
      <c r="I102" s="178"/>
      <c r="J102" s="127"/>
      <c r="K102" s="127"/>
      <c r="L102" s="265"/>
      <c r="M102" s="127"/>
      <c r="N102" s="178"/>
      <c r="O102" s="127"/>
      <c r="P102" s="127"/>
      <c r="Q102" s="127"/>
      <c r="R102" s="127"/>
      <c r="S102" s="127">
        <v>6727</v>
      </c>
      <c r="T102" s="177"/>
      <c r="U102" s="176">
        <v>0.30599999999999999</v>
      </c>
      <c r="V102" s="127"/>
      <c r="W102" s="127"/>
      <c r="X102" s="127"/>
      <c r="Y102" s="127"/>
      <c r="Z102" s="127">
        <v>135</v>
      </c>
      <c r="AA102" s="127"/>
      <c r="AB102" s="127"/>
      <c r="AC102" s="127"/>
      <c r="AD102" s="127"/>
      <c r="AE102" s="127"/>
      <c r="AF102" s="127"/>
      <c r="AG102" s="127"/>
      <c r="AH102" s="127">
        <v>811.72</v>
      </c>
      <c r="AI102" s="127"/>
      <c r="AJ102" s="127"/>
      <c r="AK102" s="127"/>
      <c r="AL102" s="127"/>
      <c r="AM102" s="642">
        <f t="shared" si="2"/>
        <v>8678.0259999999998</v>
      </c>
      <c r="AO102" s="289"/>
    </row>
    <row r="103" spans="1:42" s="61" customFormat="1" ht="25.5" customHeight="1" x14ac:dyDescent="0.3">
      <c r="A103" s="706"/>
      <c r="B103" s="180" t="s">
        <v>361</v>
      </c>
      <c r="C103" s="300">
        <v>28</v>
      </c>
      <c r="D103" s="173"/>
      <c r="E103" s="173"/>
      <c r="F103" s="266"/>
      <c r="G103" s="173">
        <f>1250</f>
        <v>1250</v>
      </c>
      <c r="H103" s="173"/>
      <c r="I103" s="174"/>
      <c r="J103" s="173"/>
      <c r="K103" s="173"/>
      <c r="L103" s="266"/>
      <c r="M103" s="173"/>
      <c r="N103" s="174"/>
      <c r="O103" s="173"/>
      <c r="P103" s="173">
        <v>10</v>
      </c>
      <c r="Q103" s="173"/>
      <c r="R103" s="173"/>
      <c r="S103" s="173">
        <v>13172</v>
      </c>
      <c r="T103" s="327"/>
      <c r="U103" s="300">
        <v>0.153</v>
      </c>
      <c r="V103" s="173"/>
      <c r="W103" s="173"/>
      <c r="X103" s="173"/>
      <c r="Y103" s="173"/>
      <c r="Z103" s="173">
        <v>216.17491000000001</v>
      </c>
      <c r="AA103" s="173"/>
      <c r="AB103" s="173"/>
      <c r="AC103" s="173"/>
      <c r="AD103" s="173"/>
      <c r="AE103" s="173"/>
      <c r="AF103" s="173"/>
      <c r="AG103" s="173">
        <v>7</v>
      </c>
      <c r="AH103" s="173">
        <v>2085</v>
      </c>
      <c r="AI103" s="173"/>
      <c r="AJ103" s="173"/>
      <c r="AK103" s="173"/>
      <c r="AL103" s="173"/>
      <c r="AM103" s="643">
        <f t="shared" si="2"/>
        <v>16768.32791</v>
      </c>
      <c r="AO103" s="289"/>
      <c r="AP103" s="97"/>
    </row>
    <row r="104" spans="1:42" s="61" customFormat="1" ht="25.5" customHeight="1" x14ac:dyDescent="0.3">
      <c r="A104" s="706"/>
      <c r="B104" s="180" t="s">
        <v>362</v>
      </c>
      <c r="C104" s="300">
        <v>320</v>
      </c>
      <c r="D104" s="173"/>
      <c r="E104" s="173"/>
      <c r="F104" s="266"/>
      <c r="G104" s="173"/>
      <c r="H104" s="173"/>
      <c r="I104" s="174"/>
      <c r="J104" s="173"/>
      <c r="K104" s="173"/>
      <c r="L104" s="266"/>
      <c r="M104" s="173"/>
      <c r="N104" s="174"/>
      <c r="O104" s="173"/>
      <c r="P104" s="173"/>
      <c r="Q104" s="173"/>
      <c r="R104" s="173"/>
      <c r="S104" s="173">
        <v>9089</v>
      </c>
      <c r="T104" s="327"/>
      <c r="U104" s="300">
        <v>0.153</v>
      </c>
      <c r="V104" s="173"/>
      <c r="W104" s="173"/>
      <c r="X104" s="173"/>
      <c r="Y104" s="173"/>
      <c r="Z104" s="173">
        <v>131.72800000000001</v>
      </c>
      <c r="AA104" s="173"/>
      <c r="AB104" s="173"/>
      <c r="AC104" s="173"/>
      <c r="AD104" s="173"/>
      <c r="AE104" s="173"/>
      <c r="AF104" s="173"/>
      <c r="AG104" s="173"/>
      <c r="AH104" s="173">
        <v>2398</v>
      </c>
      <c r="AI104" s="173">
        <v>23</v>
      </c>
      <c r="AJ104" s="173"/>
      <c r="AK104" s="173"/>
      <c r="AL104" s="173"/>
      <c r="AM104" s="644">
        <f t="shared" si="2"/>
        <v>11961.880999999999</v>
      </c>
      <c r="AO104" s="289"/>
      <c r="AP104" s="97"/>
    </row>
    <row r="105" spans="1:42" s="61" customFormat="1" ht="22.5" customHeight="1" x14ac:dyDescent="0.3">
      <c r="A105" s="706"/>
      <c r="B105" s="115" t="s">
        <v>402</v>
      </c>
      <c r="C105" s="142">
        <v>66.834000000000003</v>
      </c>
      <c r="D105" s="111"/>
      <c r="E105" s="111"/>
      <c r="F105" s="267"/>
      <c r="G105" s="111">
        <v>112</v>
      </c>
      <c r="H105" s="111"/>
      <c r="I105" s="125"/>
      <c r="J105" s="111"/>
      <c r="K105" s="111"/>
      <c r="L105" s="267">
        <v>0</v>
      </c>
      <c r="M105" s="111"/>
      <c r="N105" s="125"/>
      <c r="O105" s="111"/>
      <c r="P105" s="111">
        <v>0</v>
      </c>
      <c r="Q105" s="111"/>
      <c r="R105" s="111"/>
      <c r="S105" s="111">
        <v>8080.1102229999997</v>
      </c>
      <c r="T105" s="143">
        <v>0</v>
      </c>
      <c r="U105" s="142">
        <v>35.070999999999998</v>
      </c>
      <c r="V105" s="111"/>
      <c r="W105" s="111"/>
      <c r="X105" s="111"/>
      <c r="Y105" s="111">
        <v>20</v>
      </c>
      <c r="Z105" s="111">
        <v>90</v>
      </c>
      <c r="AA105" s="111"/>
      <c r="AB105" s="111"/>
      <c r="AC105" s="111"/>
      <c r="AD105" s="111"/>
      <c r="AE105" s="111"/>
      <c r="AF105" s="111"/>
      <c r="AG105" s="111"/>
      <c r="AH105" s="111" t="s">
        <v>482</v>
      </c>
      <c r="AI105" s="111">
        <v>120</v>
      </c>
      <c r="AJ105" s="111"/>
      <c r="AK105" s="111"/>
      <c r="AL105" s="111"/>
      <c r="AM105" s="645">
        <f t="shared" si="2"/>
        <v>8524.0152230000003</v>
      </c>
      <c r="AO105" s="289"/>
    </row>
    <row r="106" spans="1:42" s="61" customFormat="1" ht="21" customHeight="1" x14ac:dyDescent="0.3">
      <c r="A106" s="707"/>
      <c r="B106" s="181" t="s">
        <v>403</v>
      </c>
      <c r="C106" s="144">
        <v>55.219000000000001</v>
      </c>
      <c r="D106" s="112"/>
      <c r="E106" s="112"/>
      <c r="F106" s="268"/>
      <c r="G106" s="112">
        <v>794</v>
      </c>
      <c r="H106" s="112">
        <v>4</v>
      </c>
      <c r="I106" s="126"/>
      <c r="J106" s="112"/>
      <c r="K106" s="112"/>
      <c r="L106" s="268"/>
      <c r="M106" s="112"/>
      <c r="N106" s="126"/>
      <c r="O106" s="112"/>
      <c r="P106" s="112">
        <v>25</v>
      </c>
      <c r="Q106" s="112"/>
      <c r="R106" s="112"/>
      <c r="S106" s="112">
        <v>5263.7474659999998</v>
      </c>
      <c r="T106" s="145">
        <v>72</v>
      </c>
      <c r="U106" s="144">
        <v>38.515000000000001</v>
      </c>
      <c r="V106" s="112"/>
      <c r="W106" s="112"/>
      <c r="X106" s="112"/>
      <c r="Y106" s="112">
        <v>20</v>
      </c>
      <c r="Z106" s="112"/>
      <c r="AA106" s="112"/>
      <c r="AB106" s="112"/>
      <c r="AC106" s="112"/>
      <c r="AD106" s="112"/>
      <c r="AE106" s="112"/>
      <c r="AF106" s="112"/>
      <c r="AG106" s="112"/>
      <c r="AH106" s="112" t="s">
        <v>482</v>
      </c>
      <c r="AI106" s="112">
        <v>120</v>
      </c>
      <c r="AJ106" s="112"/>
      <c r="AK106" s="112"/>
      <c r="AL106" s="112"/>
      <c r="AM106" s="646">
        <f t="shared" si="2"/>
        <v>6392.4814660000002</v>
      </c>
      <c r="AO106" s="289"/>
    </row>
    <row r="107" spans="1:42" s="61" customFormat="1" ht="21" customHeight="1" x14ac:dyDescent="0.3">
      <c r="A107" s="705" t="s">
        <v>113</v>
      </c>
      <c r="B107" s="179" t="s">
        <v>293</v>
      </c>
      <c r="C107" s="135">
        <v>2</v>
      </c>
      <c r="D107" s="136"/>
      <c r="E107" s="136"/>
      <c r="F107" s="262"/>
      <c r="G107" s="136"/>
      <c r="H107" s="136"/>
      <c r="I107" s="326"/>
      <c r="J107" s="136"/>
      <c r="K107" s="136"/>
      <c r="L107" s="262"/>
      <c r="M107" s="136"/>
      <c r="N107" s="326"/>
      <c r="O107" s="136"/>
      <c r="P107" s="136"/>
      <c r="Q107" s="136"/>
      <c r="R107" s="136"/>
      <c r="S107" s="136">
        <v>5.94</v>
      </c>
      <c r="T107" s="137"/>
      <c r="U107" s="632"/>
      <c r="V107" s="122"/>
      <c r="W107" s="122"/>
      <c r="X107" s="122"/>
      <c r="Y107" s="122">
        <v>6.54</v>
      </c>
      <c r="Z107" s="122">
        <v>0.98</v>
      </c>
      <c r="AA107" s="122"/>
      <c r="AB107" s="122"/>
      <c r="AC107" s="122">
        <v>1.98</v>
      </c>
      <c r="AD107" s="122"/>
      <c r="AE107" s="122"/>
      <c r="AF107" s="122"/>
      <c r="AG107" s="122">
        <v>1.85</v>
      </c>
      <c r="AH107" s="122"/>
      <c r="AI107" s="122"/>
      <c r="AJ107" s="122"/>
      <c r="AK107" s="122"/>
      <c r="AL107" s="122"/>
      <c r="AM107" s="639">
        <f t="shared" si="2"/>
        <v>19.290000000000003</v>
      </c>
      <c r="AO107" s="289"/>
    </row>
    <row r="108" spans="1:42" s="61" customFormat="1" ht="19.5" customHeight="1" x14ac:dyDescent="0.3">
      <c r="A108" s="706"/>
      <c r="B108" s="116" t="s">
        <v>294</v>
      </c>
      <c r="C108" s="138">
        <v>3</v>
      </c>
      <c r="D108" s="109"/>
      <c r="E108" s="109"/>
      <c r="F108" s="263"/>
      <c r="G108" s="109"/>
      <c r="H108" s="109"/>
      <c r="I108" s="123"/>
      <c r="J108" s="109"/>
      <c r="K108" s="109"/>
      <c r="L108" s="263"/>
      <c r="M108" s="109"/>
      <c r="N108" s="123"/>
      <c r="O108" s="109"/>
      <c r="P108" s="109"/>
      <c r="Q108" s="109"/>
      <c r="R108" s="109"/>
      <c r="S108" s="109">
        <v>3</v>
      </c>
      <c r="T108" s="139">
        <v>0.6</v>
      </c>
      <c r="U108" s="138"/>
      <c r="V108" s="109"/>
      <c r="W108" s="109"/>
      <c r="X108" s="109"/>
      <c r="Y108" s="109">
        <v>3</v>
      </c>
      <c r="Z108" s="109">
        <v>1.6</v>
      </c>
      <c r="AA108" s="109"/>
      <c r="AB108" s="109">
        <v>6</v>
      </c>
      <c r="AC108" s="109">
        <v>1</v>
      </c>
      <c r="AD108" s="109"/>
      <c r="AE108" s="109"/>
      <c r="AF108" s="109"/>
      <c r="AG108" s="109">
        <v>1.25</v>
      </c>
      <c r="AH108" s="109"/>
      <c r="AI108" s="109"/>
      <c r="AJ108" s="109"/>
      <c r="AK108" s="109"/>
      <c r="AL108" s="109"/>
      <c r="AM108" s="640">
        <f t="shared" si="2"/>
        <v>19.45</v>
      </c>
      <c r="AO108" s="289"/>
    </row>
    <row r="109" spans="1:42" s="61" customFormat="1" ht="22.5" customHeight="1" x14ac:dyDescent="0.3">
      <c r="A109" s="706"/>
      <c r="B109" s="117" t="s">
        <v>326</v>
      </c>
      <c r="C109" s="140">
        <v>0.5</v>
      </c>
      <c r="D109" s="110"/>
      <c r="E109" s="110"/>
      <c r="F109" s="264"/>
      <c r="G109" s="110"/>
      <c r="H109" s="110"/>
      <c r="I109" s="124"/>
      <c r="J109" s="110"/>
      <c r="K109" s="110"/>
      <c r="L109" s="264"/>
      <c r="M109" s="110"/>
      <c r="N109" s="124"/>
      <c r="O109" s="110"/>
      <c r="P109" s="110"/>
      <c r="Q109" s="110"/>
      <c r="R109" s="110"/>
      <c r="S109" s="110"/>
      <c r="T109" s="141"/>
      <c r="U109" s="140"/>
      <c r="V109" s="110"/>
      <c r="W109" s="110"/>
      <c r="X109" s="110"/>
      <c r="Y109" s="110"/>
      <c r="Z109" s="110"/>
      <c r="AA109" s="110"/>
      <c r="AB109" s="110">
        <v>3</v>
      </c>
      <c r="AC109" s="110"/>
      <c r="AD109" s="110"/>
      <c r="AE109" s="110"/>
      <c r="AF109" s="110"/>
      <c r="AG109" s="110"/>
      <c r="AH109" s="110"/>
      <c r="AI109" s="110"/>
      <c r="AJ109" s="110"/>
      <c r="AK109" s="110"/>
      <c r="AL109" s="110"/>
      <c r="AM109" s="641">
        <f t="shared" si="2"/>
        <v>3.5</v>
      </c>
      <c r="AO109" s="289"/>
      <c r="AP109" s="97"/>
    </row>
    <row r="110" spans="1:42" s="61" customFormat="1" ht="25.5" customHeight="1" x14ac:dyDescent="0.3">
      <c r="A110" s="706"/>
      <c r="B110" s="175" t="s">
        <v>327</v>
      </c>
      <c r="C110" s="176">
        <v>2.4</v>
      </c>
      <c r="D110" s="127"/>
      <c r="E110" s="127"/>
      <c r="F110" s="265"/>
      <c r="G110" s="127"/>
      <c r="H110" s="127">
        <v>2</v>
      </c>
      <c r="I110" s="178"/>
      <c r="J110" s="127"/>
      <c r="K110" s="127"/>
      <c r="L110" s="265"/>
      <c r="M110" s="127"/>
      <c r="N110" s="178"/>
      <c r="O110" s="127"/>
      <c r="P110" s="127"/>
      <c r="Q110" s="127">
        <v>25</v>
      </c>
      <c r="R110" s="127"/>
      <c r="S110" s="127"/>
      <c r="T110" s="177"/>
      <c r="U110" s="176"/>
      <c r="V110" s="127"/>
      <c r="W110" s="127"/>
      <c r="X110" s="127"/>
      <c r="Y110" s="127">
        <v>3</v>
      </c>
      <c r="Z110" s="127">
        <v>2</v>
      </c>
      <c r="AA110" s="127"/>
      <c r="AB110" s="127">
        <v>3</v>
      </c>
      <c r="AC110" s="127">
        <v>0.95</v>
      </c>
      <c r="AD110" s="127"/>
      <c r="AE110" s="127"/>
      <c r="AF110" s="127"/>
      <c r="AG110" s="127"/>
      <c r="AH110" s="127"/>
      <c r="AI110" s="127"/>
      <c r="AJ110" s="127"/>
      <c r="AK110" s="127"/>
      <c r="AL110" s="127"/>
      <c r="AM110" s="642">
        <f t="shared" si="2"/>
        <v>38.35</v>
      </c>
      <c r="AO110" s="289"/>
    </row>
    <row r="111" spans="1:42" s="61" customFormat="1" ht="25.5" customHeight="1" x14ac:dyDescent="0.3">
      <c r="A111" s="706"/>
      <c r="B111" s="180" t="s">
        <v>361</v>
      </c>
      <c r="C111" s="300"/>
      <c r="D111" s="173"/>
      <c r="E111" s="173"/>
      <c r="F111" s="266"/>
      <c r="G111" s="173"/>
      <c r="H111" s="173"/>
      <c r="I111" s="174"/>
      <c r="J111" s="173"/>
      <c r="K111" s="173"/>
      <c r="L111" s="266"/>
      <c r="M111" s="173"/>
      <c r="N111" s="174"/>
      <c r="O111" s="173"/>
      <c r="P111" s="173"/>
      <c r="Q111" s="173"/>
      <c r="R111" s="173"/>
      <c r="S111" s="173"/>
      <c r="T111" s="327"/>
      <c r="U111" s="300"/>
      <c r="V111" s="173"/>
      <c r="W111" s="173"/>
      <c r="X111" s="173"/>
      <c r="Y111" s="173">
        <v>5</v>
      </c>
      <c r="Z111" s="173"/>
      <c r="AA111" s="173"/>
      <c r="AB111" s="173">
        <v>3</v>
      </c>
      <c r="AC111" s="173"/>
      <c r="AD111" s="173"/>
      <c r="AE111" s="173"/>
      <c r="AF111" s="173"/>
      <c r="AG111" s="173"/>
      <c r="AH111" s="173"/>
      <c r="AI111" s="173"/>
      <c r="AJ111" s="173"/>
      <c r="AK111" s="173"/>
      <c r="AL111" s="173"/>
      <c r="AM111" s="643">
        <f t="shared" si="2"/>
        <v>8</v>
      </c>
      <c r="AO111" s="289"/>
      <c r="AP111" s="97"/>
    </row>
    <row r="112" spans="1:42" s="61" customFormat="1" ht="25.5" customHeight="1" x14ac:dyDescent="0.3">
      <c r="A112" s="706"/>
      <c r="B112" s="180" t="s">
        <v>362</v>
      </c>
      <c r="C112" s="300">
        <v>50</v>
      </c>
      <c r="D112" s="173"/>
      <c r="E112" s="173"/>
      <c r="F112" s="266"/>
      <c r="G112" s="173"/>
      <c r="H112" s="173"/>
      <c r="I112" s="174"/>
      <c r="J112" s="173"/>
      <c r="K112" s="173"/>
      <c r="L112" s="266"/>
      <c r="M112" s="173"/>
      <c r="N112" s="174"/>
      <c r="O112" s="173"/>
      <c r="P112" s="173"/>
      <c r="Q112" s="173"/>
      <c r="R112" s="173"/>
      <c r="S112" s="173"/>
      <c r="T112" s="327"/>
      <c r="U112" s="300"/>
      <c r="V112" s="173"/>
      <c r="W112" s="173"/>
      <c r="X112" s="173"/>
      <c r="Y112" s="173">
        <v>5</v>
      </c>
      <c r="Z112" s="173"/>
      <c r="AA112" s="173"/>
      <c r="AB112" s="173">
        <v>3</v>
      </c>
      <c r="AC112" s="173"/>
      <c r="AD112" s="173"/>
      <c r="AE112" s="173"/>
      <c r="AF112" s="173"/>
      <c r="AG112" s="173">
        <v>22</v>
      </c>
      <c r="AH112" s="173"/>
      <c r="AI112" s="173"/>
      <c r="AJ112" s="173"/>
      <c r="AK112" s="173"/>
      <c r="AL112" s="173"/>
      <c r="AM112" s="644">
        <f t="shared" si="2"/>
        <v>80</v>
      </c>
      <c r="AO112" s="289"/>
      <c r="AP112" s="97"/>
    </row>
    <row r="113" spans="1:42" s="61" customFormat="1" ht="22.5" customHeight="1" x14ac:dyDescent="0.3">
      <c r="A113" s="706"/>
      <c r="B113" s="115" t="s">
        <v>402</v>
      </c>
      <c r="C113" s="142"/>
      <c r="D113" s="111"/>
      <c r="E113" s="111"/>
      <c r="F113" s="267"/>
      <c r="G113" s="111"/>
      <c r="H113" s="111"/>
      <c r="I113" s="125"/>
      <c r="J113" s="111"/>
      <c r="K113" s="111"/>
      <c r="L113" s="267">
        <v>0</v>
      </c>
      <c r="M113" s="111"/>
      <c r="N113" s="125"/>
      <c r="O113" s="111"/>
      <c r="P113" s="111"/>
      <c r="Q113" s="111">
        <v>6</v>
      </c>
      <c r="R113" s="111"/>
      <c r="S113" s="111">
        <v>0.81591599999999997</v>
      </c>
      <c r="T113" s="143">
        <v>0</v>
      </c>
      <c r="U113" s="142"/>
      <c r="V113" s="111"/>
      <c r="W113" s="111"/>
      <c r="X113" s="111"/>
      <c r="Y113" s="111"/>
      <c r="Z113" s="111"/>
      <c r="AA113" s="111"/>
      <c r="AB113" s="111"/>
      <c r="AC113" s="111"/>
      <c r="AD113" s="111"/>
      <c r="AE113" s="111"/>
      <c r="AF113" s="111"/>
      <c r="AG113" s="111"/>
      <c r="AH113" s="111" t="s">
        <v>482</v>
      </c>
      <c r="AI113" s="111"/>
      <c r="AJ113" s="111"/>
      <c r="AK113" s="111"/>
      <c r="AL113" s="111"/>
      <c r="AM113" s="645">
        <f t="shared" si="2"/>
        <v>6.8159159999999996</v>
      </c>
      <c r="AO113" s="289"/>
    </row>
    <row r="114" spans="1:42" s="61" customFormat="1" ht="21" customHeight="1" x14ac:dyDescent="0.3">
      <c r="A114" s="707"/>
      <c r="B114" s="181" t="s">
        <v>403</v>
      </c>
      <c r="C114" s="144">
        <v>9.5</v>
      </c>
      <c r="D114" s="112"/>
      <c r="E114" s="112"/>
      <c r="F114" s="268"/>
      <c r="G114" s="112"/>
      <c r="H114" s="112"/>
      <c r="I114" s="126"/>
      <c r="J114" s="112"/>
      <c r="K114" s="112"/>
      <c r="L114" s="268"/>
      <c r="M114" s="112"/>
      <c r="N114" s="126"/>
      <c r="O114" s="112"/>
      <c r="P114" s="112"/>
      <c r="Q114" s="112">
        <v>8</v>
      </c>
      <c r="R114" s="112"/>
      <c r="S114" s="112">
        <v>26.135973</v>
      </c>
      <c r="T114" s="145">
        <v>0</v>
      </c>
      <c r="U114" s="144"/>
      <c r="V114" s="112"/>
      <c r="W114" s="112"/>
      <c r="X114" s="112"/>
      <c r="Y114" s="112">
        <v>2</v>
      </c>
      <c r="Z114" s="112"/>
      <c r="AA114" s="112"/>
      <c r="AB114" s="112">
        <v>3</v>
      </c>
      <c r="AC114" s="112">
        <v>1</v>
      </c>
      <c r="AD114" s="112"/>
      <c r="AE114" s="112"/>
      <c r="AF114" s="112"/>
      <c r="AG114" s="112"/>
      <c r="AH114" s="112" t="s">
        <v>482</v>
      </c>
      <c r="AI114" s="112"/>
      <c r="AJ114" s="112"/>
      <c r="AK114" s="112"/>
      <c r="AL114" s="112"/>
      <c r="AM114" s="646">
        <f t="shared" si="2"/>
        <v>49.635973</v>
      </c>
      <c r="AO114" s="289"/>
    </row>
    <row r="115" spans="1:42" s="61" customFormat="1" ht="21" customHeight="1" x14ac:dyDescent="0.3">
      <c r="A115" s="705" t="s">
        <v>114</v>
      </c>
      <c r="B115" s="179" t="s">
        <v>293</v>
      </c>
      <c r="C115" s="135"/>
      <c r="D115" s="136"/>
      <c r="E115" s="136"/>
      <c r="F115" s="262"/>
      <c r="G115" s="136"/>
      <c r="H115" s="136">
        <v>10</v>
      </c>
      <c r="I115" s="326"/>
      <c r="J115" s="136"/>
      <c r="K115" s="136"/>
      <c r="L115" s="262"/>
      <c r="M115" s="136"/>
      <c r="N115" s="326"/>
      <c r="O115" s="136"/>
      <c r="P115" s="136"/>
      <c r="Q115" s="136"/>
      <c r="R115" s="136"/>
      <c r="S115" s="136">
        <v>56</v>
      </c>
      <c r="T115" s="137"/>
      <c r="U115" s="632">
        <v>50.652999999999999</v>
      </c>
      <c r="V115" s="122"/>
      <c r="W115" s="122"/>
      <c r="X115" s="122"/>
      <c r="Y115" s="122"/>
      <c r="Z115" s="122"/>
      <c r="AA115" s="122">
        <v>645.58715000000007</v>
      </c>
      <c r="AB115" s="122"/>
      <c r="AC115" s="122"/>
      <c r="AD115" s="122">
        <v>30</v>
      </c>
      <c r="AE115" s="122"/>
      <c r="AF115" s="122"/>
      <c r="AG115" s="122"/>
      <c r="AH115" s="122"/>
      <c r="AI115" s="122"/>
      <c r="AJ115" s="122"/>
      <c r="AK115" s="122"/>
      <c r="AL115" s="122"/>
      <c r="AM115" s="639">
        <f t="shared" si="2"/>
        <v>792.24015000000009</v>
      </c>
      <c r="AO115" s="289"/>
    </row>
    <row r="116" spans="1:42" s="61" customFormat="1" ht="19.5" customHeight="1" x14ac:dyDescent="0.3">
      <c r="A116" s="706"/>
      <c r="B116" s="116" t="s">
        <v>294</v>
      </c>
      <c r="C116" s="138">
        <v>10</v>
      </c>
      <c r="D116" s="109"/>
      <c r="E116" s="109"/>
      <c r="F116" s="263"/>
      <c r="G116" s="109"/>
      <c r="H116" s="109"/>
      <c r="I116" s="123"/>
      <c r="J116" s="109"/>
      <c r="K116" s="109"/>
      <c r="L116" s="263"/>
      <c r="M116" s="109"/>
      <c r="N116" s="123"/>
      <c r="O116" s="109"/>
      <c r="P116" s="109"/>
      <c r="Q116" s="109"/>
      <c r="R116" s="109"/>
      <c r="S116" s="109">
        <v>56</v>
      </c>
      <c r="T116" s="139">
        <v>2.73</v>
      </c>
      <c r="U116" s="138">
        <v>50.643999999999998</v>
      </c>
      <c r="V116" s="109"/>
      <c r="W116" s="109"/>
      <c r="X116" s="109"/>
      <c r="Y116" s="109"/>
      <c r="Z116" s="109"/>
      <c r="AA116" s="109">
        <v>197.25014000000002</v>
      </c>
      <c r="AB116" s="109"/>
      <c r="AC116" s="109"/>
      <c r="AD116" s="109">
        <v>30</v>
      </c>
      <c r="AE116" s="109"/>
      <c r="AF116" s="109"/>
      <c r="AG116" s="109">
        <v>0.95</v>
      </c>
      <c r="AH116" s="109"/>
      <c r="AI116" s="109"/>
      <c r="AJ116" s="109"/>
      <c r="AK116" s="109"/>
      <c r="AL116" s="109"/>
      <c r="AM116" s="640">
        <f t="shared" si="2"/>
        <v>347.57414</v>
      </c>
      <c r="AO116" s="289"/>
    </row>
    <row r="117" spans="1:42" s="61" customFormat="1" ht="22.5" customHeight="1" x14ac:dyDescent="0.3">
      <c r="A117" s="706"/>
      <c r="B117" s="117" t="s">
        <v>326</v>
      </c>
      <c r="C117" s="140">
        <v>10</v>
      </c>
      <c r="D117" s="110"/>
      <c r="E117" s="110"/>
      <c r="F117" s="264">
        <v>8</v>
      </c>
      <c r="G117" s="110"/>
      <c r="H117" s="110"/>
      <c r="I117" s="124"/>
      <c r="J117" s="110"/>
      <c r="K117" s="110"/>
      <c r="L117" s="264"/>
      <c r="M117" s="110"/>
      <c r="N117" s="124"/>
      <c r="O117" s="110"/>
      <c r="P117" s="110"/>
      <c r="Q117" s="110"/>
      <c r="R117" s="110"/>
      <c r="S117" s="110">
        <v>827</v>
      </c>
      <c r="T117" s="141"/>
      <c r="U117" s="140">
        <v>158.255</v>
      </c>
      <c r="V117" s="110"/>
      <c r="W117" s="110"/>
      <c r="X117" s="110"/>
      <c r="Y117" s="110"/>
      <c r="Z117" s="110"/>
      <c r="AA117" s="110">
        <f>409.09+153.68</f>
        <v>562.77</v>
      </c>
      <c r="AB117" s="110"/>
      <c r="AC117" s="110"/>
      <c r="AD117" s="110">
        <v>30</v>
      </c>
      <c r="AE117" s="110"/>
      <c r="AF117" s="110"/>
      <c r="AG117" s="110">
        <f>2/1.3</f>
        <v>1.5384615384615383</v>
      </c>
      <c r="AH117" s="110"/>
      <c r="AI117" s="110"/>
      <c r="AJ117" s="110"/>
      <c r="AK117" s="110"/>
      <c r="AL117" s="110"/>
      <c r="AM117" s="641">
        <f t="shared" si="2"/>
        <v>1597.5634615384615</v>
      </c>
      <c r="AO117" s="289"/>
      <c r="AP117" s="97"/>
    </row>
    <row r="118" spans="1:42" s="61" customFormat="1" ht="25.5" customHeight="1" x14ac:dyDescent="0.3">
      <c r="A118" s="706"/>
      <c r="B118" s="175" t="s">
        <v>327</v>
      </c>
      <c r="C118" s="176">
        <v>5</v>
      </c>
      <c r="D118" s="127"/>
      <c r="E118" s="127"/>
      <c r="F118" s="265"/>
      <c r="G118" s="127"/>
      <c r="H118" s="127">
        <v>20</v>
      </c>
      <c r="I118" s="178"/>
      <c r="J118" s="127"/>
      <c r="K118" s="127"/>
      <c r="L118" s="265"/>
      <c r="M118" s="127"/>
      <c r="N118" s="178"/>
      <c r="O118" s="127"/>
      <c r="P118" s="127"/>
      <c r="Q118" s="127"/>
      <c r="R118" s="127"/>
      <c r="S118" s="127">
        <v>1231</v>
      </c>
      <c r="T118" s="177"/>
      <c r="U118" s="176">
        <v>393.79599999999999</v>
      </c>
      <c r="V118" s="127"/>
      <c r="W118" s="127"/>
      <c r="X118" s="127"/>
      <c r="Y118" s="127"/>
      <c r="Z118" s="127"/>
      <c r="AA118" s="127">
        <v>800.34524999999996</v>
      </c>
      <c r="AB118" s="127"/>
      <c r="AC118" s="127"/>
      <c r="AD118" s="127">
        <v>30</v>
      </c>
      <c r="AE118" s="127"/>
      <c r="AF118" s="127"/>
      <c r="AG118" s="127"/>
      <c r="AH118" s="127"/>
      <c r="AI118" s="127"/>
      <c r="AJ118" s="127"/>
      <c r="AK118" s="127"/>
      <c r="AL118" s="127"/>
      <c r="AM118" s="642">
        <f t="shared" si="2"/>
        <v>2480.1412500000001</v>
      </c>
      <c r="AO118" s="289"/>
    </row>
    <row r="119" spans="1:42" s="61" customFormat="1" ht="25.5" customHeight="1" x14ac:dyDescent="0.3">
      <c r="A119" s="706"/>
      <c r="B119" s="180" t="s">
        <v>361</v>
      </c>
      <c r="C119" s="300">
        <v>10</v>
      </c>
      <c r="D119" s="173"/>
      <c r="E119" s="173"/>
      <c r="F119" s="266"/>
      <c r="G119" s="173"/>
      <c r="H119" s="173"/>
      <c r="I119" s="174"/>
      <c r="J119" s="173"/>
      <c r="K119" s="173"/>
      <c r="L119" s="266"/>
      <c r="M119" s="173"/>
      <c r="N119" s="174"/>
      <c r="O119" s="173"/>
      <c r="P119" s="173"/>
      <c r="Q119" s="173"/>
      <c r="R119" s="173"/>
      <c r="S119" s="173">
        <v>1470</v>
      </c>
      <c r="T119" s="327"/>
      <c r="U119" s="300">
        <v>435.91500000000002</v>
      </c>
      <c r="V119" s="173"/>
      <c r="W119" s="173"/>
      <c r="X119" s="173"/>
      <c r="Y119" s="173">
        <v>10</v>
      </c>
      <c r="Z119" s="173">
        <v>1000</v>
      </c>
      <c r="AA119" s="173">
        <v>266.78174999999999</v>
      </c>
      <c r="AB119" s="173"/>
      <c r="AC119" s="173">
        <v>80</v>
      </c>
      <c r="AD119" s="173">
        <v>30</v>
      </c>
      <c r="AE119" s="173"/>
      <c r="AF119" s="173"/>
      <c r="AG119" s="173"/>
      <c r="AH119" s="173"/>
      <c r="AI119" s="173"/>
      <c r="AJ119" s="173"/>
      <c r="AK119" s="173"/>
      <c r="AL119" s="173"/>
      <c r="AM119" s="643">
        <f t="shared" si="2"/>
        <v>3302.6967500000001</v>
      </c>
      <c r="AO119" s="289"/>
      <c r="AP119" s="97"/>
    </row>
    <row r="120" spans="1:42" s="61" customFormat="1" ht="25.5" customHeight="1" x14ac:dyDescent="0.3">
      <c r="A120" s="706"/>
      <c r="B120" s="180" t="s">
        <v>362</v>
      </c>
      <c r="C120" s="300">
        <v>10</v>
      </c>
      <c r="D120" s="173"/>
      <c r="E120" s="173"/>
      <c r="F120" s="266"/>
      <c r="G120" s="173"/>
      <c r="H120" s="173"/>
      <c r="I120" s="174"/>
      <c r="J120" s="173"/>
      <c r="K120" s="173"/>
      <c r="L120" s="266"/>
      <c r="M120" s="173"/>
      <c r="N120" s="174"/>
      <c r="O120" s="173"/>
      <c r="P120" s="173"/>
      <c r="Q120" s="173"/>
      <c r="R120" s="173"/>
      <c r="S120" s="173">
        <v>1620</v>
      </c>
      <c r="T120" s="327"/>
      <c r="U120" s="300">
        <v>229.05799999999999</v>
      </c>
      <c r="V120" s="173"/>
      <c r="W120" s="173">
        <v>60</v>
      </c>
      <c r="X120" s="173">
        <v>1000</v>
      </c>
      <c r="Y120" s="173"/>
      <c r="Z120" s="173"/>
      <c r="AA120" s="173">
        <v>1001.8463</v>
      </c>
      <c r="AB120" s="173">
        <v>20</v>
      </c>
      <c r="AC120" s="173">
        <f>536-80</f>
        <v>456</v>
      </c>
      <c r="AD120" s="173">
        <v>50</v>
      </c>
      <c r="AE120" s="173"/>
      <c r="AF120" s="173">
        <v>82</v>
      </c>
      <c r="AG120" s="173"/>
      <c r="AH120" s="173"/>
      <c r="AI120" s="173"/>
      <c r="AJ120" s="173"/>
      <c r="AK120" s="173"/>
      <c r="AL120" s="173"/>
      <c r="AM120" s="644">
        <f t="shared" si="2"/>
        <v>4528.9043000000001</v>
      </c>
      <c r="AO120" s="289"/>
      <c r="AP120" s="97"/>
    </row>
    <row r="121" spans="1:42" s="61" customFormat="1" ht="22.5" customHeight="1" x14ac:dyDescent="0.3">
      <c r="A121" s="706"/>
      <c r="B121" s="115" t="s">
        <v>402</v>
      </c>
      <c r="C121" s="142">
        <v>625</v>
      </c>
      <c r="D121" s="111"/>
      <c r="E121" s="111"/>
      <c r="F121" s="267"/>
      <c r="G121" s="111"/>
      <c r="H121" s="111"/>
      <c r="I121" s="125"/>
      <c r="J121" s="111"/>
      <c r="K121" s="111"/>
      <c r="L121" s="267">
        <v>0</v>
      </c>
      <c r="M121" s="111"/>
      <c r="N121" s="125"/>
      <c r="O121" s="111"/>
      <c r="P121" s="111"/>
      <c r="Q121" s="111"/>
      <c r="R121" s="111"/>
      <c r="S121" s="111">
        <v>1449.4856420000001</v>
      </c>
      <c r="T121" s="143">
        <v>0</v>
      </c>
      <c r="U121" s="142">
        <v>324.64100000000002</v>
      </c>
      <c r="V121" s="111"/>
      <c r="W121" s="111"/>
      <c r="X121" s="111">
        <v>1166</v>
      </c>
      <c r="Y121" s="111">
        <v>10</v>
      </c>
      <c r="Z121" s="111"/>
      <c r="AA121" s="111">
        <v>320</v>
      </c>
      <c r="AB121" s="111"/>
      <c r="AC121" s="111"/>
      <c r="AD121" s="111">
        <v>50</v>
      </c>
      <c r="AE121" s="111"/>
      <c r="AF121" s="111"/>
      <c r="AG121" s="111"/>
      <c r="AH121" s="111" t="s">
        <v>482</v>
      </c>
      <c r="AI121" s="111"/>
      <c r="AJ121" s="111"/>
      <c r="AK121" s="111"/>
      <c r="AL121" s="111"/>
      <c r="AM121" s="645">
        <f t="shared" si="2"/>
        <v>3945.1266420000002</v>
      </c>
      <c r="AO121" s="289"/>
    </row>
    <row r="122" spans="1:42" s="61" customFormat="1" ht="21" customHeight="1" x14ac:dyDescent="0.3">
      <c r="A122" s="707"/>
      <c r="B122" s="181" t="s">
        <v>403</v>
      </c>
      <c r="C122" s="144">
        <v>20</v>
      </c>
      <c r="D122" s="112"/>
      <c r="E122" s="112"/>
      <c r="F122" s="268"/>
      <c r="G122" s="112"/>
      <c r="H122" s="112"/>
      <c r="I122" s="126"/>
      <c r="J122" s="112"/>
      <c r="K122" s="112"/>
      <c r="L122" s="268"/>
      <c r="M122" s="112"/>
      <c r="N122" s="126"/>
      <c r="O122" s="112"/>
      <c r="P122" s="112"/>
      <c r="Q122" s="112"/>
      <c r="R122" s="112"/>
      <c r="S122" s="112">
        <v>1520.4507050000002</v>
      </c>
      <c r="T122" s="145">
        <v>0</v>
      </c>
      <c r="U122" s="144">
        <v>1.0409999999999999</v>
      </c>
      <c r="V122" s="112"/>
      <c r="W122" s="112"/>
      <c r="X122" s="112">
        <v>30</v>
      </c>
      <c r="Y122" s="112"/>
      <c r="Z122" s="112"/>
      <c r="AA122" s="112">
        <v>1122</v>
      </c>
      <c r="AB122" s="112"/>
      <c r="AC122" s="112"/>
      <c r="AD122" s="112">
        <v>0</v>
      </c>
      <c r="AE122" s="112"/>
      <c r="AF122" s="112">
        <v>21</v>
      </c>
      <c r="AG122" s="112"/>
      <c r="AH122" s="112" t="s">
        <v>482</v>
      </c>
      <c r="AI122" s="112"/>
      <c r="AJ122" s="112"/>
      <c r="AK122" s="112"/>
      <c r="AL122" s="112"/>
      <c r="AM122" s="646">
        <f t="shared" si="2"/>
        <v>2714.4917050000004</v>
      </c>
      <c r="AO122" s="289"/>
    </row>
    <row r="123" spans="1:42" s="61" customFormat="1" ht="21" customHeight="1" x14ac:dyDescent="0.3">
      <c r="A123" s="705" t="s">
        <v>115</v>
      </c>
      <c r="B123" s="179" t="s">
        <v>293</v>
      </c>
      <c r="C123" s="135">
        <v>8.48</v>
      </c>
      <c r="D123" s="136"/>
      <c r="E123" s="136"/>
      <c r="F123" s="262">
        <v>383.17399999999998</v>
      </c>
      <c r="G123" s="136">
        <v>7</v>
      </c>
      <c r="H123" s="136"/>
      <c r="I123" s="326"/>
      <c r="J123" s="136"/>
      <c r="K123" s="136"/>
      <c r="L123" s="262"/>
      <c r="M123" s="136"/>
      <c r="N123" s="326"/>
      <c r="O123" s="136"/>
      <c r="P123" s="136"/>
      <c r="Q123" s="136"/>
      <c r="R123" s="136"/>
      <c r="S123" s="136">
        <v>800</v>
      </c>
      <c r="T123" s="137">
        <v>2.5499999999999998</v>
      </c>
      <c r="U123" s="632"/>
      <c r="V123" s="122"/>
      <c r="W123" s="122"/>
      <c r="X123" s="122">
        <v>2</v>
      </c>
      <c r="Y123" s="122"/>
      <c r="Z123" s="122">
        <v>191.61699999999999</v>
      </c>
      <c r="AA123" s="122">
        <v>0.6</v>
      </c>
      <c r="AB123" s="122"/>
      <c r="AC123" s="122">
        <v>2</v>
      </c>
      <c r="AD123" s="122"/>
      <c r="AE123" s="122"/>
      <c r="AF123" s="122"/>
      <c r="AG123" s="122"/>
      <c r="AH123" s="122">
        <v>947.25</v>
      </c>
      <c r="AI123" s="122"/>
      <c r="AJ123" s="122"/>
      <c r="AK123" s="122">
        <v>2.23</v>
      </c>
      <c r="AL123" s="122"/>
      <c r="AM123" s="639">
        <f t="shared" si="2"/>
        <v>2346.9009999999998</v>
      </c>
      <c r="AO123" s="289"/>
    </row>
    <row r="124" spans="1:42" s="61" customFormat="1" ht="19.5" customHeight="1" x14ac:dyDescent="0.3">
      <c r="A124" s="706"/>
      <c r="B124" s="116" t="s">
        <v>294</v>
      </c>
      <c r="C124" s="138">
        <v>1</v>
      </c>
      <c r="D124" s="109"/>
      <c r="E124" s="109"/>
      <c r="F124" s="263">
        <v>226.73599999999999</v>
      </c>
      <c r="G124" s="109">
        <v>9</v>
      </c>
      <c r="H124" s="109"/>
      <c r="I124" s="123"/>
      <c r="J124" s="109"/>
      <c r="K124" s="109"/>
      <c r="L124" s="263"/>
      <c r="M124" s="109"/>
      <c r="N124" s="123"/>
      <c r="O124" s="109"/>
      <c r="P124" s="109"/>
      <c r="Q124" s="109"/>
      <c r="R124" s="109"/>
      <c r="S124" s="109">
        <v>400</v>
      </c>
      <c r="T124" s="139">
        <v>2.5499999999999998</v>
      </c>
      <c r="U124" s="138">
        <v>0.71199999999999997</v>
      </c>
      <c r="V124" s="109"/>
      <c r="W124" s="109"/>
      <c r="X124" s="109">
        <v>2</v>
      </c>
      <c r="Y124" s="109"/>
      <c r="Z124" s="109">
        <v>1</v>
      </c>
      <c r="AA124" s="109"/>
      <c r="AB124" s="109"/>
      <c r="AC124" s="109"/>
      <c r="AD124" s="109"/>
      <c r="AE124" s="109"/>
      <c r="AF124" s="109"/>
      <c r="AG124" s="109"/>
      <c r="AH124" s="109"/>
      <c r="AI124" s="109"/>
      <c r="AJ124" s="109"/>
      <c r="AK124" s="109"/>
      <c r="AL124" s="109"/>
      <c r="AM124" s="640">
        <f t="shared" si="2"/>
        <v>642.99799999999993</v>
      </c>
      <c r="AO124" s="289"/>
    </row>
    <row r="125" spans="1:42" s="61" customFormat="1" ht="22.5" customHeight="1" x14ac:dyDescent="0.3">
      <c r="A125" s="706"/>
      <c r="B125" s="117" t="s">
        <v>326</v>
      </c>
      <c r="C125" s="140">
        <v>18.96</v>
      </c>
      <c r="D125" s="110"/>
      <c r="E125" s="110"/>
      <c r="F125" s="264">
        <v>-49</v>
      </c>
      <c r="G125" s="110">
        <v>7</v>
      </c>
      <c r="H125" s="110">
        <v>30</v>
      </c>
      <c r="I125" s="124"/>
      <c r="J125" s="110"/>
      <c r="K125" s="110"/>
      <c r="L125" s="264"/>
      <c r="M125" s="110"/>
      <c r="N125" s="124"/>
      <c r="O125" s="110"/>
      <c r="P125" s="110"/>
      <c r="Q125" s="110"/>
      <c r="R125" s="110"/>
      <c r="S125" s="110">
        <v>1</v>
      </c>
      <c r="T125" s="141"/>
      <c r="U125" s="140"/>
      <c r="V125" s="110"/>
      <c r="W125" s="110"/>
      <c r="X125" s="110"/>
      <c r="Y125" s="110"/>
      <c r="Z125" s="110">
        <v>77</v>
      </c>
      <c r="AA125" s="110"/>
      <c r="AB125" s="110"/>
      <c r="AC125" s="110">
        <v>1</v>
      </c>
      <c r="AD125" s="110"/>
      <c r="AE125" s="110"/>
      <c r="AF125" s="110"/>
      <c r="AG125" s="110"/>
      <c r="AH125" s="110"/>
      <c r="AI125" s="110"/>
      <c r="AJ125" s="110"/>
      <c r="AK125" s="110">
        <v>2</v>
      </c>
      <c r="AL125" s="110"/>
      <c r="AM125" s="641">
        <f t="shared" si="2"/>
        <v>87.960000000000008</v>
      </c>
      <c r="AO125" s="289"/>
      <c r="AP125" s="97"/>
    </row>
    <row r="126" spans="1:42" s="61" customFormat="1" ht="25.5" customHeight="1" x14ac:dyDescent="0.3">
      <c r="A126" s="706"/>
      <c r="B126" s="175" t="s">
        <v>327</v>
      </c>
      <c r="C126" s="176">
        <v>83.93</v>
      </c>
      <c r="D126" s="127"/>
      <c r="E126" s="127"/>
      <c r="F126" s="265"/>
      <c r="G126" s="127">
        <v>8</v>
      </c>
      <c r="H126" s="127">
        <v>32</v>
      </c>
      <c r="I126" s="178"/>
      <c r="J126" s="127"/>
      <c r="K126" s="127"/>
      <c r="L126" s="265"/>
      <c r="M126" s="127"/>
      <c r="N126" s="178"/>
      <c r="O126" s="127"/>
      <c r="P126" s="127"/>
      <c r="Q126" s="127"/>
      <c r="R126" s="127"/>
      <c r="S126" s="127">
        <v>256</v>
      </c>
      <c r="T126" s="177"/>
      <c r="U126" s="176">
        <v>0.61</v>
      </c>
      <c r="V126" s="127"/>
      <c r="W126" s="127"/>
      <c r="X126" s="127"/>
      <c r="Y126" s="127"/>
      <c r="Z126" s="127">
        <v>555.74630000000002</v>
      </c>
      <c r="AA126" s="127"/>
      <c r="AB126" s="127"/>
      <c r="AC126" s="127">
        <v>1</v>
      </c>
      <c r="AD126" s="127"/>
      <c r="AE126" s="127"/>
      <c r="AF126" s="127"/>
      <c r="AG126" s="127"/>
      <c r="AH126" s="127">
        <v>14347.31</v>
      </c>
      <c r="AI126" s="127"/>
      <c r="AJ126" s="127"/>
      <c r="AK126" s="127"/>
      <c r="AL126" s="127"/>
      <c r="AM126" s="642">
        <f t="shared" si="2"/>
        <v>15284.596299999999</v>
      </c>
      <c r="AO126" s="289"/>
    </row>
    <row r="127" spans="1:42" s="61" customFormat="1" ht="25.5" customHeight="1" x14ac:dyDescent="0.3">
      <c r="A127" s="706"/>
      <c r="B127" s="180" t="s">
        <v>361</v>
      </c>
      <c r="C127" s="300">
        <v>11</v>
      </c>
      <c r="D127" s="173"/>
      <c r="E127" s="173"/>
      <c r="F127" s="266">
        <v>-87</v>
      </c>
      <c r="G127" s="173">
        <v>8</v>
      </c>
      <c r="H127" s="173"/>
      <c r="I127" s="174"/>
      <c r="J127" s="173"/>
      <c r="K127" s="173"/>
      <c r="L127" s="266"/>
      <c r="M127" s="173"/>
      <c r="N127" s="174"/>
      <c r="O127" s="173"/>
      <c r="P127" s="173"/>
      <c r="Q127" s="173"/>
      <c r="R127" s="173"/>
      <c r="S127" s="173">
        <v>280</v>
      </c>
      <c r="T127" s="327"/>
      <c r="U127" s="300"/>
      <c r="V127" s="173"/>
      <c r="W127" s="173"/>
      <c r="X127" s="173"/>
      <c r="Y127" s="173"/>
      <c r="Z127" s="173">
        <v>49.134709999999998</v>
      </c>
      <c r="AA127" s="173"/>
      <c r="AB127" s="173"/>
      <c r="AC127" s="173">
        <v>1</v>
      </c>
      <c r="AD127" s="173"/>
      <c r="AE127" s="173"/>
      <c r="AF127" s="173"/>
      <c r="AG127" s="173"/>
      <c r="AH127" s="173">
        <v>19514</v>
      </c>
      <c r="AI127" s="173"/>
      <c r="AJ127" s="173"/>
      <c r="AK127" s="173"/>
      <c r="AL127" s="173"/>
      <c r="AM127" s="643">
        <f t="shared" si="2"/>
        <v>19776.134709999998</v>
      </c>
      <c r="AO127" s="289"/>
      <c r="AP127" s="97"/>
    </row>
    <row r="128" spans="1:42" s="61" customFormat="1" ht="25.5" customHeight="1" x14ac:dyDescent="0.3">
      <c r="A128" s="706"/>
      <c r="B128" s="180" t="s">
        <v>362</v>
      </c>
      <c r="C128" s="300">
        <v>1</v>
      </c>
      <c r="D128" s="173"/>
      <c r="E128" s="173"/>
      <c r="F128" s="266"/>
      <c r="G128" s="173">
        <v>8</v>
      </c>
      <c r="H128" s="173"/>
      <c r="I128" s="174"/>
      <c r="J128" s="173"/>
      <c r="K128" s="173"/>
      <c r="L128" s="266"/>
      <c r="M128" s="173">
        <v>10</v>
      </c>
      <c r="N128" s="174"/>
      <c r="O128" s="173"/>
      <c r="P128" s="173"/>
      <c r="Q128" s="173"/>
      <c r="R128" s="173"/>
      <c r="S128" s="173">
        <v>1124</v>
      </c>
      <c r="T128" s="327"/>
      <c r="U128" s="300">
        <v>0.30499999999999999</v>
      </c>
      <c r="V128" s="173"/>
      <c r="W128" s="173"/>
      <c r="X128" s="173"/>
      <c r="Y128" s="173"/>
      <c r="Z128" s="173">
        <v>51.087730000000001</v>
      </c>
      <c r="AA128" s="173"/>
      <c r="AB128" s="173"/>
      <c r="AC128" s="173">
        <v>1</v>
      </c>
      <c r="AD128" s="173"/>
      <c r="AE128" s="173"/>
      <c r="AF128" s="173"/>
      <c r="AG128" s="173"/>
      <c r="AH128" s="173">
        <v>11076</v>
      </c>
      <c r="AI128" s="173"/>
      <c r="AJ128" s="173"/>
      <c r="AK128" s="173"/>
      <c r="AL128" s="173"/>
      <c r="AM128" s="644">
        <f t="shared" si="2"/>
        <v>12271.39273</v>
      </c>
      <c r="AO128" s="289"/>
      <c r="AP128" s="97"/>
    </row>
    <row r="129" spans="1:42" s="61" customFormat="1" ht="22.5" customHeight="1" x14ac:dyDescent="0.3">
      <c r="A129" s="706"/>
      <c r="B129" s="115" t="s">
        <v>402</v>
      </c>
      <c r="C129" s="142">
        <v>28.31739</v>
      </c>
      <c r="D129" s="111"/>
      <c r="E129" s="111"/>
      <c r="F129" s="267"/>
      <c r="G129" s="111"/>
      <c r="H129" s="111"/>
      <c r="I129" s="125"/>
      <c r="J129" s="111"/>
      <c r="K129" s="111">
        <v>59</v>
      </c>
      <c r="L129" s="267">
        <v>0</v>
      </c>
      <c r="M129" s="111">
        <v>10</v>
      </c>
      <c r="N129" s="125"/>
      <c r="O129" s="111"/>
      <c r="P129" s="111">
        <v>8</v>
      </c>
      <c r="Q129" s="111"/>
      <c r="R129" s="111"/>
      <c r="S129" s="111">
        <v>2</v>
      </c>
      <c r="T129" s="143">
        <v>0</v>
      </c>
      <c r="U129" s="142">
        <v>0.30499999999999999</v>
      </c>
      <c r="V129" s="111"/>
      <c r="W129" s="111"/>
      <c r="X129" s="111">
        <v>8</v>
      </c>
      <c r="Y129" s="111"/>
      <c r="Z129" s="111">
        <v>7019</v>
      </c>
      <c r="AA129" s="111"/>
      <c r="AB129" s="111"/>
      <c r="AC129" s="111">
        <v>2</v>
      </c>
      <c r="AD129" s="111"/>
      <c r="AE129" s="111"/>
      <c r="AF129" s="111"/>
      <c r="AG129" s="111"/>
      <c r="AH129" s="111">
        <v>7186.9830000000002</v>
      </c>
      <c r="AI129" s="111">
        <v>4844</v>
      </c>
      <c r="AJ129" s="111"/>
      <c r="AK129" s="111"/>
      <c r="AL129" s="111"/>
      <c r="AM129" s="645">
        <f t="shared" si="2"/>
        <v>19167.605390000001</v>
      </c>
      <c r="AO129" s="289"/>
    </row>
    <row r="130" spans="1:42" s="61" customFormat="1" ht="21" customHeight="1" x14ac:dyDescent="0.3">
      <c r="A130" s="707"/>
      <c r="B130" s="181" t="s">
        <v>403</v>
      </c>
      <c r="C130" s="144">
        <v>12.34637</v>
      </c>
      <c r="D130" s="112"/>
      <c r="E130" s="112"/>
      <c r="F130" s="268"/>
      <c r="G130" s="112"/>
      <c r="H130" s="112"/>
      <c r="I130" s="126"/>
      <c r="J130" s="112"/>
      <c r="K130" s="112"/>
      <c r="L130" s="268"/>
      <c r="M130" s="112"/>
      <c r="N130" s="126"/>
      <c r="O130" s="112"/>
      <c r="P130" s="112">
        <v>0</v>
      </c>
      <c r="Q130" s="112"/>
      <c r="R130" s="112"/>
      <c r="S130" s="112"/>
      <c r="T130" s="145">
        <v>0</v>
      </c>
      <c r="U130" s="144">
        <v>0.63200000000000001</v>
      </c>
      <c r="V130" s="112"/>
      <c r="W130" s="112"/>
      <c r="X130" s="112"/>
      <c r="Y130" s="112"/>
      <c r="Z130" s="112"/>
      <c r="AA130" s="112"/>
      <c r="AB130" s="112"/>
      <c r="AC130" s="112">
        <v>1</v>
      </c>
      <c r="AD130" s="112"/>
      <c r="AE130" s="112"/>
      <c r="AF130" s="112"/>
      <c r="AG130" s="112"/>
      <c r="AH130" s="112">
        <v>5194.0190000000002</v>
      </c>
      <c r="AI130" s="112">
        <v>4845</v>
      </c>
      <c r="AJ130" s="112"/>
      <c r="AK130" s="112">
        <f>4.22/1.001</f>
        <v>4.2157842157842156</v>
      </c>
      <c r="AL130" s="112"/>
      <c r="AM130" s="646">
        <f t="shared" si="2"/>
        <v>10057.213154215786</v>
      </c>
      <c r="AO130" s="289"/>
    </row>
    <row r="131" spans="1:42" s="61" customFormat="1" ht="21" customHeight="1" x14ac:dyDescent="0.3">
      <c r="A131" s="705" t="s">
        <v>116</v>
      </c>
      <c r="B131" s="179" t="s">
        <v>293</v>
      </c>
      <c r="C131" s="135"/>
      <c r="D131" s="136"/>
      <c r="E131" s="136"/>
      <c r="F131" s="262"/>
      <c r="G131" s="136"/>
      <c r="H131" s="136"/>
      <c r="I131" s="326"/>
      <c r="J131" s="136"/>
      <c r="K131" s="136"/>
      <c r="L131" s="262"/>
      <c r="M131" s="136"/>
      <c r="N131" s="326"/>
      <c r="O131" s="136"/>
      <c r="P131" s="136"/>
      <c r="Q131" s="136"/>
      <c r="R131" s="136"/>
      <c r="S131" s="136">
        <v>10.175000000000001</v>
      </c>
      <c r="T131" s="137">
        <v>5</v>
      </c>
      <c r="U131" s="632"/>
      <c r="V131" s="122"/>
      <c r="W131" s="122"/>
      <c r="X131" s="122">
        <v>3</v>
      </c>
      <c r="Y131" s="122"/>
      <c r="Z131" s="122">
        <v>46.524500000000003</v>
      </c>
      <c r="AA131" s="122"/>
      <c r="AB131" s="122"/>
      <c r="AC131" s="122"/>
      <c r="AD131" s="122"/>
      <c r="AE131" s="122"/>
      <c r="AF131" s="122"/>
      <c r="AG131" s="122"/>
      <c r="AH131" s="122"/>
      <c r="AI131" s="122"/>
      <c r="AJ131" s="122"/>
      <c r="AK131" s="122"/>
      <c r="AL131" s="122"/>
      <c r="AM131" s="639">
        <f t="shared" si="2"/>
        <v>64.6995</v>
      </c>
      <c r="AO131" s="289"/>
    </row>
    <row r="132" spans="1:42" s="61" customFormat="1" ht="19.5" customHeight="1" x14ac:dyDescent="0.3">
      <c r="A132" s="706"/>
      <c r="B132" s="116" t="s">
        <v>294</v>
      </c>
      <c r="C132" s="138"/>
      <c r="D132" s="109"/>
      <c r="E132" s="109"/>
      <c r="F132" s="263"/>
      <c r="G132" s="109"/>
      <c r="H132" s="109"/>
      <c r="I132" s="123"/>
      <c r="J132" s="109"/>
      <c r="K132" s="109"/>
      <c r="L132" s="263"/>
      <c r="M132" s="109"/>
      <c r="N132" s="123"/>
      <c r="O132" s="109"/>
      <c r="P132" s="109"/>
      <c r="Q132" s="109"/>
      <c r="R132" s="109"/>
      <c r="S132" s="109"/>
      <c r="T132" s="139">
        <v>5</v>
      </c>
      <c r="U132" s="138"/>
      <c r="V132" s="109"/>
      <c r="W132" s="109"/>
      <c r="X132" s="109">
        <v>3</v>
      </c>
      <c r="Y132" s="109"/>
      <c r="Z132" s="109">
        <v>4</v>
      </c>
      <c r="AA132" s="109"/>
      <c r="AB132" s="109"/>
      <c r="AC132" s="109">
        <v>1</v>
      </c>
      <c r="AD132" s="109"/>
      <c r="AE132" s="109"/>
      <c r="AF132" s="109"/>
      <c r="AG132" s="109"/>
      <c r="AH132" s="109"/>
      <c r="AI132" s="109"/>
      <c r="AJ132" s="109"/>
      <c r="AK132" s="109">
        <v>10.85</v>
      </c>
      <c r="AL132" s="109"/>
      <c r="AM132" s="640">
        <f t="shared" si="2"/>
        <v>23.85</v>
      </c>
      <c r="AO132" s="289"/>
    </row>
    <row r="133" spans="1:42" s="61" customFormat="1" ht="22.5" customHeight="1" x14ac:dyDescent="0.3">
      <c r="A133" s="706"/>
      <c r="B133" s="117" t="s">
        <v>326</v>
      </c>
      <c r="C133" s="140">
        <v>174.06899999999999</v>
      </c>
      <c r="D133" s="110"/>
      <c r="E133" s="110"/>
      <c r="F133" s="264"/>
      <c r="G133" s="110"/>
      <c r="H133" s="110"/>
      <c r="I133" s="124"/>
      <c r="J133" s="110"/>
      <c r="K133" s="110"/>
      <c r="L133" s="264"/>
      <c r="M133" s="110"/>
      <c r="N133" s="124"/>
      <c r="O133" s="110"/>
      <c r="P133" s="110"/>
      <c r="Q133" s="110"/>
      <c r="R133" s="110"/>
      <c r="S133" s="110">
        <v>731</v>
      </c>
      <c r="T133" s="141"/>
      <c r="U133" s="140">
        <v>0.64900000000000002</v>
      </c>
      <c r="V133" s="110"/>
      <c r="W133" s="110"/>
      <c r="X133" s="110">
        <v>3</v>
      </c>
      <c r="Y133" s="110"/>
      <c r="Z133" s="110">
        <v>5</v>
      </c>
      <c r="AA133" s="110"/>
      <c r="AB133" s="110"/>
      <c r="AC133" s="110"/>
      <c r="AD133" s="110"/>
      <c r="AE133" s="110"/>
      <c r="AF133" s="110"/>
      <c r="AG133" s="110"/>
      <c r="AH133" s="110"/>
      <c r="AI133" s="110"/>
      <c r="AJ133" s="110"/>
      <c r="AK133" s="110">
        <v>11</v>
      </c>
      <c r="AL133" s="110"/>
      <c r="AM133" s="641">
        <f t="shared" si="2"/>
        <v>924.71799999999996</v>
      </c>
      <c r="AO133" s="289"/>
      <c r="AP133" s="97"/>
    </row>
    <row r="134" spans="1:42" s="61" customFormat="1" ht="25.5" customHeight="1" x14ac:dyDescent="0.3">
      <c r="A134" s="706"/>
      <c r="B134" s="175" t="s">
        <v>327</v>
      </c>
      <c r="C134" s="176">
        <v>158.459</v>
      </c>
      <c r="D134" s="127"/>
      <c r="E134" s="127"/>
      <c r="F134" s="265"/>
      <c r="G134" s="127"/>
      <c r="H134" s="127"/>
      <c r="I134" s="178"/>
      <c r="J134" s="127"/>
      <c r="K134" s="127"/>
      <c r="L134" s="265"/>
      <c r="M134" s="127"/>
      <c r="N134" s="178"/>
      <c r="O134" s="127"/>
      <c r="P134" s="127"/>
      <c r="Q134" s="127"/>
      <c r="R134" s="127"/>
      <c r="S134" s="127">
        <v>234</v>
      </c>
      <c r="T134" s="177"/>
      <c r="U134" s="176">
        <v>0.61</v>
      </c>
      <c r="V134" s="127"/>
      <c r="W134" s="127"/>
      <c r="X134" s="127"/>
      <c r="Y134" s="127"/>
      <c r="Z134" s="127">
        <v>4</v>
      </c>
      <c r="AA134" s="127"/>
      <c r="AB134" s="127"/>
      <c r="AC134" s="127"/>
      <c r="AD134" s="127"/>
      <c r="AE134" s="127"/>
      <c r="AF134" s="127"/>
      <c r="AG134" s="127"/>
      <c r="AH134" s="127"/>
      <c r="AI134" s="127"/>
      <c r="AJ134" s="127"/>
      <c r="AK134" s="127">
        <v>9</v>
      </c>
      <c r="AL134" s="127"/>
      <c r="AM134" s="642">
        <f t="shared" si="2"/>
        <v>406.06900000000002</v>
      </c>
      <c r="AO134" s="289"/>
    </row>
    <row r="135" spans="1:42" s="61" customFormat="1" ht="25.5" customHeight="1" x14ac:dyDescent="0.3">
      <c r="A135" s="706"/>
      <c r="B135" s="180" t="s">
        <v>361</v>
      </c>
      <c r="C135" s="300">
        <v>16</v>
      </c>
      <c r="D135" s="173"/>
      <c r="E135" s="173"/>
      <c r="F135" s="266"/>
      <c r="G135" s="173"/>
      <c r="H135" s="173"/>
      <c r="I135" s="174"/>
      <c r="J135" s="173"/>
      <c r="K135" s="173"/>
      <c r="L135" s="266"/>
      <c r="M135" s="173"/>
      <c r="N135" s="174"/>
      <c r="O135" s="173"/>
      <c r="P135" s="173"/>
      <c r="Q135" s="173"/>
      <c r="R135" s="173"/>
      <c r="S135" s="173">
        <v>298</v>
      </c>
      <c r="T135" s="327"/>
      <c r="U135" s="300">
        <v>0.30499999999999999</v>
      </c>
      <c r="V135" s="173"/>
      <c r="W135" s="173"/>
      <c r="X135" s="173">
        <v>3</v>
      </c>
      <c r="Y135" s="173"/>
      <c r="Z135" s="173">
        <v>4</v>
      </c>
      <c r="AA135" s="173"/>
      <c r="AB135" s="173"/>
      <c r="AC135" s="173"/>
      <c r="AD135" s="173"/>
      <c r="AE135" s="173"/>
      <c r="AF135" s="173"/>
      <c r="AG135" s="173">
        <v>4</v>
      </c>
      <c r="AH135" s="173"/>
      <c r="AI135" s="173"/>
      <c r="AJ135" s="173"/>
      <c r="AK135" s="173">
        <v>11</v>
      </c>
      <c r="AL135" s="173"/>
      <c r="AM135" s="643">
        <f t="shared" si="2"/>
        <v>336.30500000000001</v>
      </c>
      <c r="AO135" s="289"/>
      <c r="AP135" s="97"/>
    </row>
    <row r="136" spans="1:42" s="61" customFormat="1" ht="25.5" customHeight="1" x14ac:dyDescent="0.3">
      <c r="A136" s="706"/>
      <c r="B136" s="180" t="s">
        <v>362</v>
      </c>
      <c r="C136" s="300">
        <v>1</v>
      </c>
      <c r="D136" s="173"/>
      <c r="E136" s="173"/>
      <c r="F136" s="266"/>
      <c r="G136" s="173"/>
      <c r="H136" s="173"/>
      <c r="I136" s="174"/>
      <c r="J136" s="173"/>
      <c r="K136" s="173"/>
      <c r="L136" s="266"/>
      <c r="M136" s="173"/>
      <c r="N136" s="174"/>
      <c r="O136" s="173"/>
      <c r="P136" s="173"/>
      <c r="Q136" s="173"/>
      <c r="R136" s="173"/>
      <c r="S136" s="173">
        <v>54</v>
      </c>
      <c r="T136" s="327"/>
      <c r="U136" s="300">
        <v>0.27500000000000002</v>
      </c>
      <c r="V136" s="173"/>
      <c r="W136" s="173"/>
      <c r="X136" s="173">
        <v>3</v>
      </c>
      <c r="Y136" s="173"/>
      <c r="Z136" s="173">
        <v>4</v>
      </c>
      <c r="AA136" s="173"/>
      <c r="AB136" s="173"/>
      <c r="AC136" s="173"/>
      <c r="AD136" s="173"/>
      <c r="AE136" s="173"/>
      <c r="AF136" s="173"/>
      <c r="AG136" s="173"/>
      <c r="AH136" s="173"/>
      <c r="AI136" s="173">
        <v>1</v>
      </c>
      <c r="AJ136" s="173"/>
      <c r="AK136" s="173">
        <v>11</v>
      </c>
      <c r="AL136" s="173"/>
      <c r="AM136" s="644">
        <f t="shared" si="2"/>
        <v>74.275000000000006</v>
      </c>
      <c r="AO136" s="289"/>
      <c r="AP136" s="97"/>
    </row>
    <row r="137" spans="1:42" s="61" customFormat="1" ht="22.5" customHeight="1" x14ac:dyDescent="0.3">
      <c r="A137" s="706"/>
      <c r="B137" s="115" t="s">
        <v>402</v>
      </c>
      <c r="C137" s="142">
        <v>16</v>
      </c>
      <c r="D137" s="111"/>
      <c r="E137" s="111"/>
      <c r="F137" s="267"/>
      <c r="G137" s="111"/>
      <c r="H137" s="111"/>
      <c r="I137" s="125"/>
      <c r="J137" s="111"/>
      <c r="K137" s="111"/>
      <c r="L137" s="267">
        <v>0</v>
      </c>
      <c r="M137" s="111"/>
      <c r="N137" s="125"/>
      <c r="O137" s="111"/>
      <c r="P137" s="111"/>
      <c r="Q137" s="111"/>
      <c r="R137" s="111"/>
      <c r="S137" s="111"/>
      <c r="T137" s="143">
        <v>0</v>
      </c>
      <c r="U137" s="142">
        <v>0.28399999999999997</v>
      </c>
      <c r="V137" s="111"/>
      <c r="W137" s="111"/>
      <c r="X137" s="111">
        <v>3</v>
      </c>
      <c r="Y137" s="111"/>
      <c r="Z137" s="111"/>
      <c r="AA137" s="111"/>
      <c r="AB137" s="111"/>
      <c r="AC137" s="111"/>
      <c r="AD137" s="111"/>
      <c r="AE137" s="111"/>
      <c r="AF137" s="111"/>
      <c r="AG137" s="111"/>
      <c r="AH137" s="111" t="s">
        <v>482</v>
      </c>
      <c r="AI137" s="111"/>
      <c r="AJ137" s="111"/>
      <c r="AK137" s="111">
        <f>10.26/1.097</f>
        <v>9.3527803099361897</v>
      </c>
      <c r="AL137" s="111"/>
      <c r="AM137" s="645">
        <f t="shared" si="2"/>
        <v>28.636780309936189</v>
      </c>
      <c r="AO137" s="289"/>
    </row>
    <row r="138" spans="1:42" s="61" customFormat="1" ht="21" customHeight="1" x14ac:dyDescent="0.3">
      <c r="A138" s="707"/>
      <c r="B138" s="181" t="s">
        <v>403</v>
      </c>
      <c r="C138" s="144">
        <v>50.975000000000001</v>
      </c>
      <c r="D138" s="112"/>
      <c r="E138" s="112"/>
      <c r="F138" s="268"/>
      <c r="G138" s="112"/>
      <c r="H138" s="112"/>
      <c r="I138" s="126"/>
      <c r="J138" s="112"/>
      <c r="K138" s="112"/>
      <c r="L138" s="268"/>
      <c r="M138" s="112"/>
      <c r="N138" s="126"/>
      <c r="O138" s="112"/>
      <c r="P138" s="112"/>
      <c r="Q138" s="112"/>
      <c r="R138" s="112"/>
      <c r="S138" s="112">
        <v>75.111999999999995</v>
      </c>
      <c r="T138" s="145">
        <v>0</v>
      </c>
      <c r="U138" s="144">
        <v>5.5670000000000002</v>
      </c>
      <c r="V138" s="112"/>
      <c r="W138" s="112"/>
      <c r="X138" s="112">
        <v>3</v>
      </c>
      <c r="Y138" s="112"/>
      <c r="Z138" s="112"/>
      <c r="AA138" s="112"/>
      <c r="AB138" s="112"/>
      <c r="AC138" s="112"/>
      <c r="AD138" s="112"/>
      <c r="AE138" s="112"/>
      <c r="AF138" s="112"/>
      <c r="AG138" s="112"/>
      <c r="AH138" s="112" t="s">
        <v>482</v>
      </c>
      <c r="AI138" s="112"/>
      <c r="AJ138" s="112"/>
      <c r="AK138" s="112"/>
      <c r="AL138" s="112"/>
      <c r="AM138" s="646">
        <f t="shared" si="2"/>
        <v>134.654</v>
      </c>
      <c r="AO138" s="289"/>
    </row>
    <row r="139" spans="1:42" s="61" customFormat="1" ht="21" customHeight="1" x14ac:dyDescent="0.3">
      <c r="A139" s="705" t="s">
        <v>117</v>
      </c>
      <c r="B139" s="179" t="s">
        <v>293</v>
      </c>
      <c r="C139" s="135"/>
      <c r="D139" s="136"/>
      <c r="E139" s="136"/>
      <c r="F139" s="262"/>
      <c r="G139" s="136">
        <v>7</v>
      </c>
      <c r="H139" s="136"/>
      <c r="I139" s="326"/>
      <c r="J139" s="136"/>
      <c r="K139" s="136"/>
      <c r="L139" s="262"/>
      <c r="M139" s="136"/>
      <c r="N139" s="326"/>
      <c r="O139" s="136"/>
      <c r="P139" s="136"/>
      <c r="Q139" s="136"/>
      <c r="R139" s="136"/>
      <c r="S139" s="136"/>
      <c r="T139" s="137">
        <v>3.72</v>
      </c>
      <c r="U139" s="632">
        <v>0.68</v>
      </c>
      <c r="V139" s="122"/>
      <c r="W139" s="122"/>
      <c r="X139" s="122"/>
      <c r="Y139" s="122"/>
      <c r="Z139" s="122"/>
      <c r="AA139" s="122"/>
      <c r="AB139" s="122"/>
      <c r="AC139" s="122"/>
      <c r="AD139" s="122"/>
      <c r="AE139" s="122"/>
      <c r="AF139" s="122"/>
      <c r="AG139" s="122"/>
      <c r="AH139" s="122"/>
      <c r="AI139" s="122"/>
      <c r="AJ139" s="122"/>
      <c r="AK139" s="122"/>
      <c r="AL139" s="122"/>
      <c r="AM139" s="639">
        <f t="shared" si="2"/>
        <v>11.4</v>
      </c>
      <c r="AO139" s="289"/>
    </row>
    <row r="140" spans="1:42" s="61" customFormat="1" ht="19.5" customHeight="1" x14ac:dyDescent="0.3">
      <c r="A140" s="706"/>
      <c r="B140" s="116" t="s">
        <v>294</v>
      </c>
      <c r="C140" s="138"/>
      <c r="D140" s="109"/>
      <c r="E140" s="109"/>
      <c r="F140" s="263"/>
      <c r="G140" s="109">
        <v>13</v>
      </c>
      <c r="H140" s="109"/>
      <c r="I140" s="123"/>
      <c r="J140" s="109"/>
      <c r="K140" s="109"/>
      <c r="L140" s="263"/>
      <c r="M140" s="109"/>
      <c r="N140" s="123"/>
      <c r="O140" s="109"/>
      <c r="P140" s="109"/>
      <c r="Q140" s="109"/>
      <c r="R140" s="109"/>
      <c r="S140" s="109"/>
      <c r="T140" s="139">
        <v>11.3</v>
      </c>
      <c r="U140" s="138">
        <v>0.54</v>
      </c>
      <c r="V140" s="109"/>
      <c r="W140" s="109"/>
      <c r="X140" s="109"/>
      <c r="Y140" s="109"/>
      <c r="Z140" s="109"/>
      <c r="AA140" s="109"/>
      <c r="AB140" s="109"/>
      <c r="AC140" s="109"/>
      <c r="AD140" s="109"/>
      <c r="AE140" s="109"/>
      <c r="AF140" s="109"/>
      <c r="AG140" s="109">
        <v>2.5</v>
      </c>
      <c r="AH140" s="109"/>
      <c r="AI140" s="109"/>
      <c r="AJ140" s="109"/>
      <c r="AK140" s="109"/>
      <c r="AL140" s="109"/>
      <c r="AM140" s="640">
        <f t="shared" si="2"/>
        <v>27.34</v>
      </c>
      <c r="AO140" s="289"/>
    </row>
    <row r="141" spans="1:42" s="61" customFormat="1" ht="22.5" customHeight="1" x14ac:dyDescent="0.3">
      <c r="A141" s="706"/>
      <c r="B141" s="117" t="s">
        <v>326</v>
      </c>
      <c r="C141" s="140"/>
      <c r="D141" s="110"/>
      <c r="E141" s="110"/>
      <c r="F141" s="264"/>
      <c r="G141" s="110">
        <v>13</v>
      </c>
      <c r="H141" s="110"/>
      <c r="I141" s="124"/>
      <c r="J141" s="110"/>
      <c r="K141" s="110"/>
      <c r="L141" s="264"/>
      <c r="M141" s="110"/>
      <c r="N141" s="124"/>
      <c r="O141" s="110"/>
      <c r="P141" s="110"/>
      <c r="Q141" s="110"/>
      <c r="R141" s="110"/>
      <c r="S141" s="110">
        <v>98</v>
      </c>
      <c r="T141" s="141"/>
      <c r="U141" s="140">
        <v>0.68899999999999995</v>
      </c>
      <c r="V141" s="110"/>
      <c r="W141" s="110"/>
      <c r="X141" s="110"/>
      <c r="Y141" s="110"/>
      <c r="Z141" s="110"/>
      <c r="AA141" s="110"/>
      <c r="AB141" s="110"/>
      <c r="AC141" s="110"/>
      <c r="AD141" s="110"/>
      <c r="AE141" s="110"/>
      <c r="AF141" s="110"/>
      <c r="AG141" s="110"/>
      <c r="AH141" s="110"/>
      <c r="AI141" s="110"/>
      <c r="AJ141" s="110"/>
      <c r="AK141" s="110"/>
      <c r="AL141" s="110"/>
      <c r="AM141" s="641">
        <f t="shared" si="2"/>
        <v>111.68899999999999</v>
      </c>
      <c r="AO141" s="289"/>
      <c r="AP141" s="97"/>
    </row>
    <row r="142" spans="1:42" s="61" customFormat="1" ht="25.5" customHeight="1" x14ac:dyDescent="0.3">
      <c r="A142" s="706"/>
      <c r="B142" s="175" t="s">
        <v>327</v>
      </c>
      <c r="C142" s="176">
        <v>1</v>
      </c>
      <c r="D142" s="127"/>
      <c r="E142" s="127"/>
      <c r="F142" s="265"/>
      <c r="G142" s="127">
        <v>13</v>
      </c>
      <c r="H142" s="127"/>
      <c r="I142" s="178"/>
      <c r="J142" s="127"/>
      <c r="K142" s="127"/>
      <c r="L142" s="265"/>
      <c r="M142" s="127"/>
      <c r="N142" s="178"/>
      <c r="O142" s="127"/>
      <c r="P142" s="127"/>
      <c r="Q142" s="127"/>
      <c r="R142" s="127"/>
      <c r="S142" s="127">
        <v>54</v>
      </c>
      <c r="T142" s="177"/>
      <c r="U142" s="176">
        <v>0.68899999999999995</v>
      </c>
      <c r="V142" s="127"/>
      <c r="W142" s="127"/>
      <c r="X142" s="127"/>
      <c r="Y142" s="127"/>
      <c r="Z142" s="127"/>
      <c r="AA142" s="127"/>
      <c r="AB142" s="127"/>
      <c r="AC142" s="127"/>
      <c r="AD142" s="127"/>
      <c r="AE142" s="127"/>
      <c r="AF142" s="127"/>
      <c r="AG142" s="127"/>
      <c r="AH142" s="127"/>
      <c r="AI142" s="127"/>
      <c r="AJ142" s="127"/>
      <c r="AK142" s="127"/>
      <c r="AL142" s="127"/>
      <c r="AM142" s="642">
        <f t="shared" si="2"/>
        <v>68.688999999999993</v>
      </c>
      <c r="AO142" s="289"/>
    </row>
    <row r="143" spans="1:42" s="61" customFormat="1" ht="25.5" customHeight="1" x14ac:dyDescent="0.3">
      <c r="A143" s="706"/>
      <c r="B143" s="180" t="s">
        <v>361</v>
      </c>
      <c r="C143" s="300">
        <v>3</v>
      </c>
      <c r="D143" s="173"/>
      <c r="E143" s="173"/>
      <c r="F143" s="266"/>
      <c r="G143" s="173">
        <v>13</v>
      </c>
      <c r="H143" s="173"/>
      <c r="I143" s="174"/>
      <c r="J143" s="173"/>
      <c r="K143" s="173"/>
      <c r="L143" s="266"/>
      <c r="M143" s="173"/>
      <c r="N143" s="174">
        <v>8.8829999999999991</v>
      </c>
      <c r="O143" s="173"/>
      <c r="P143" s="173"/>
      <c r="Q143" s="173"/>
      <c r="R143" s="173"/>
      <c r="S143" s="173">
        <v>110</v>
      </c>
      <c r="T143" s="327"/>
      <c r="U143" s="300">
        <v>0.54900000000000004</v>
      </c>
      <c r="V143" s="173"/>
      <c r="W143" s="173"/>
      <c r="X143" s="173"/>
      <c r="Y143" s="173"/>
      <c r="Z143" s="173">
        <v>10</v>
      </c>
      <c r="AA143" s="173"/>
      <c r="AB143" s="173"/>
      <c r="AC143" s="173">
        <v>20</v>
      </c>
      <c r="AD143" s="173"/>
      <c r="AE143" s="173"/>
      <c r="AF143" s="173"/>
      <c r="AG143" s="173"/>
      <c r="AH143" s="173"/>
      <c r="AI143" s="173"/>
      <c r="AJ143" s="173"/>
      <c r="AK143" s="173"/>
      <c r="AL143" s="173"/>
      <c r="AM143" s="643">
        <f t="shared" si="2"/>
        <v>165.43200000000002</v>
      </c>
      <c r="AO143" s="289"/>
      <c r="AP143" s="97"/>
    </row>
    <row r="144" spans="1:42" s="61" customFormat="1" ht="25.5" customHeight="1" x14ac:dyDescent="0.3">
      <c r="A144" s="706"/>
      <c r="B144" s="180" t="s">
        <v>362</v>
      </c>
      <c r="C144" s="300">
        <v>2.2999999999999998</v>
      </c>
      <c r="D144" s="173"/>
      <c r="E144" s="173"/>
      <c r="F144" s="266"/>
      <c r="G144" s="173">
        <v>14</v>
      </c>
      <c r="H144" s="173"/>
      <c r="I144" s="174"/>
      <c r="J144" s="173"/>
      <c r="K144" s="173"/>
      <c r="L144" s="266"/>
      <c r="M144" s="173"/>
      <c r="N144" s="174">
        <v>7</v>
      </c>
      <c r="O144" s="173"/>
      <c r="P144" s="173"/>
      <c r="Q144" s="173"/>
      <c r="R144" s="173"/>
      <c r="S144" s="173">
        <v>134</v>
      </c>
      <c r="T144" s="327"/>
      <c r="U144" s="300">
        <v>1.4650000000000001</v>
      </c>
      <c r="V144" s="173"/>
      <c r="W144" s="173"/>
      <c r="X144" s="173"/>
      <c r="Y144" s="173"/>
      <c r="Z144" s="173"/>
      <c r="AA144" s="173"/>
      <c r="AB144" s="173"/>
      <c r="AC144" s="173"/>
      <c r="AD144" s="173"/>
      <c r="AE144" s="173"/>
      <c r="AF144" s="173"/>
      <c r="AG144" s="173"/>
      <c r="AH144" s="173"/>
      <c r="AI144" s="173"/>
      <c r="AJ144" s="173"/>
      <c r="AK144" s="173"/>
      <c r="AL144" s="173"/>
      <c r="AM144" s="644">
        <f t="shared" si="2"/>
        <v>158.76500000000001</v>
      </c>
      <c r="AO144" s="289"/>
      <c r="AP144" s="97"/>
    </row>
    <row r="145" spans="1:42" s="61" customFormat="1" ht="22.5" customHeight="1" x14ac:dyDescent="0.3">
      <c r="A145" s="706"/>
      <c r="B145" s="115" t="s">
        <v>402</v>
      </c>
      <c r="C145" s="142">
        <v>2.3450000000000002</v>
      </c>
      <c r="D145" s="111"/>
      <c r="E145" s="111"/>
      <c r="F145" s="267"/>
      <c r="G145" s="111"/>
      <c r="H145" s="111"/>
      <c r="I145" s="125"/>
      <c r="J145" s="111"/>
      <c r="K145" s="111"/>
      <c r="L145" s="267">
        <v>0</v>
      </c>
      <c r="M145" s="111"/>
      <c r="N145" s="125"/>
      <c r="O145" s="111"/>
      <c r="P145" s="111"/>
      <c r="Q145" s="111"/>
      <c r="R145" s="111"/>
      <c r="S145" s="111">
        <v>62.922807999999996</v>
      </c>
      <c r="T145" s="143">
        <v>0</v>
      </c>
      <c r="U145" s="142">
        <v>1.262</v>
      </c>
      <c r="V145" s="111"/>
      <c r="W145" s="111"/>
      <c r="X145" s="111"/>
      <c r="Y145" s="111"/>
      <c r="Z145" s="111">
        <v>16</v>
      </c>
      <c r="AA145" s="111"/>
      <c r="AB145" s="111"/>
      <c r="AC145" s="111"/>
      <c r="AD145" s="111"/>
      <c r="AE145" s="111"/>
      <c r="AF145" s="111"/>
      <c r="AG145" s="111"/>
      <c r="AH145" s="111" t="s">
        <v>482</v>
      </c>
      <c r="AI145" s="111">
        <v>50</v>
      </c>
      <c r="AJ145" s="111"/>
      <c r="AK145" s="111"/>
      <c r="AL145" s="111"/>
      <c r="AM145" s="645">
        <f t="shared" si="2"/>
        <v>132.529808</v>
      </c>
      <c r="AO145" s="289"/>
    </row>
    <row r="146" spans="1:42" s="61" customFormat="1" ht="21" customHeight="1" x14ac:dyDescent="0.3">
      <c r="A146" s="707"/>
      <c r="B146" s="181" t="s">
        <v>403</v>
      </c>
      <c r="C146" s="144">
        <v>2.3450000000000002</v>
      </c>
      <c r="D146" s="112"/>
      <c r="E146" s="112"/>
      <c r="F146" s="268"/>
      <c r="G146" s="112"/>
      <c r="H146" s="112"/>
      <c r="I146" s="126"/>
      <c r="J146" s="112"/>
      <c r="K146" s="112"/>
      <c r="L146" s="268"/>
      <c r="M146" s="112"/>
      <c r="N146" s="126"/>
      <c r="O146" s="112"/>
      <c r="P146" s="112"/>
      <c r="Q146" s="112"/>
      <c r="R146" s="112"/>
      <c r="S146" s="112">
        <v>8.1780200000000001</v>
      </c>
      <c r="T146" s="145">
        <v>0</v>
      </c>
      <c r="U146" s="144">
        <v>1.262</v>
      </c>
      <c r="V146" s="112"/>
      <c r="W146" s="112"/>
      <c r="X146" s="112"/>
      <c r="Y146" s="112"/>
      <c r="Z146" s="112"/>
      <c r="AA146" s="112"/>
      <c r="AB146" s="112"/>
      <c r="AC146" s="112"/>
      <c r="AD146" s="112"/>
      <c r="AE146" s="112"/>
      <c r="AF146" s="112"/>
      <c r="AG146" s="112"/>
      <c r="AH146" s="112" t="s">
        <v>482</v>
      </c>
      <c r="AI146" s="112">
        <v>50</v>
      </c>
      <c r="AJ146" s="112"/>
      <c r="AK146" s="112"/>
      <c r="AL146" s="112"/>
      <c r="AM146" s="646">
        <f t="shared" si="2"/>
        <v>61.785020000000003</v>
      </c>
      <c r="AO146" s="289"/>
    </row>
    <row r="147" spans="1:42" s="61" customFormat="1" ht="21" customHeight="1" x14ac:dyDescent="0.3">
      <c r="A147" s="705" t="s">
        <v>118</v>
      </c>
      <c r="B147" s="179" t="s">
        <v>293</v>
      </c>
      <c r="C147" s="135">
        <v>2994</v>
      </c>
      <c r="D147" s="136"/>
      <c r="E147" s="136"/>
      <c r="F147" s="262">
        <v>5693.509</v>
      </c>
      <c r="G147" s="136">
        <v>305</v>
      </c>
      <c r="H147" s="136"/>
      <c r="I147" s="326"/>
      <c r="J147" s="136"/>
      <c r="K147" s="136">
        <f>2713+13357</f>
        <v>16070</v>
      </c>
      <c r="L147" s="262">
        <v>2224.5949999999998</v>
      </c>
      <c r="M147" s="136"/>
      <c r="N147" s="326">
        <v>4094.915</v>
      </c>
      <c r="O147" s="136"/>
      <c r="P147" s="136"/>
      <c r="Q147" s="136">
        <v>323</v>
      </c>
      <c r="R147" s="136">
        <v>1198</v>
      </c>
      <c r="S147" s="136">
        <v>10686.601000000001</v>
      </c>
      <c r="T147" s="137">
        <v>505</v>
      </c>
      <c r="U147" s="632">
        <v>2657.0450000000001</v>
      </c>
      <c r="V147" s="122">
        <v>23.204999999999998</v>
      </c>
      <c r="W147" s="122">
        <v>2587</v>
      </c>
      <c r="X147" s="122">
        <v>1845</v>
      </c>
      <c r="Y147" s="122">
        <v>5979.924</v>
      </c>
      <c r="Z147" s="122">
        <v>12995</v>
      </c>
      <c r="AA147" s="122">
        <v>284.36950999999999</v>
      </c>
      <c r="AB147" s="122"/>
      <c r="AC147" s="122"/>
      <c r="AD147" s="122">
        <v>3986</v>
      </c>
      <c r="AE147" s="122">
        <v>254</v>
      </c>
      <c r="AF147" s="122"/>
      <c r="AG147" s="122">
        <v>3.9</v>
      </c>
      <c r="AH147" s="122">
        <v>3560.72</v>
      </c>
      <c r="AI147" s="122">
        <v>5500</v>
      </c>
      <c r="AJ147" s="122"/>
      <c r="AK147" s="122">
        <v>368.63</v>
      </c>
      <c r="AL147" s="122">
        <v>250.04375838926177</v>
      </c>
      <c r="AM147" s="639">
        <f t="shared" si="2"/>
        <v>84389.457268389262</v>
      </c>
      <c r="AO147" s="289"/>
    </row>
    <row r="148" spans="1:42" s="61" customFormat="1" ht="19.5" customHeight="1" x14ac:dyDescent="0.3">
      <c r="A148" s="706"/>
      <c r="B148" s="116" t="s">
        <v>294</v>
      </c>
      <c r="C148" s="138">
        <v>5045.2</v>
      </c>
      <c r="D148" s="109"/>
      <c r="E148" s="109"/>
      <c r="F148" s="263">
        <v>9034.6630000000005</v>
      </c>
      <c r="G148" s="109">
        <v>324</v>
      </c>
      <c r="H148" s="109">
        <v>56</v>
      </c>
      <c r="I148" s="123"/>
      <c r="J148" s="109"/>
      <c r="K148" s="109">
        <f>2+88+8504</f>
        <v>8594</v>
      </c>
      <c r="L148" s="263">
        <v>2384.3870000000002</v>
      </c>
      <c r="M148" s="109"/>
      <c r="N148" s="123">
        <v>6290.0420000000004</v>
      </c>
      <c r="O148" s="109"/>
      <c r="P148" s="109">
        <v>41</v>
      </c>
      <c r="Q148" s="109"/>
      <c r="R148" s="109">
        <f>(1926686+457685)/1000-R147</f>
        <v>1186.3710000000001</v>
      </c>
      <c r="S148" s="109">
        <v>12940.815000000001</v>
      </c>
      <c r="T148" s="139">
        <v>674.7</v>
      </c>
      <c r="U148" s="138">
        <v>3623.424</v>
      </c>
      <c r="V148" s="109">
        <f>37076/1000-V147</f>
        <v>13.871000000000002</v>
      </c>
      <c r="W148" s="109">
        <v>3096</v>
      </c>
      <c r="X148" s="109">
        <v>351</v>
      </c>
      <c r="Y148" s="109">
        <v>7729.4660000000003</v>
      </c>
      <c r="Z148" s="109">
        <v>17364</v>
      </c>
      <c r="AA148" s="109">
        <v>230.82349000000002</v>
      </c>
      <c r="AB148" s="109"/>
      <c r="AC148" s="109">
        <v>178.34299999999999</v>
      </c>
      <c r="AD148" s="109">
        <v>3558</v>
      </c>
      <c r="AE148" s="109">
        <f>150+326</f>
        <v>476</v>
      </c>
      <c r="AF148" s="109"/>
      <c r="AG148" s="109">
        <v>9.34</v>
      </c>
      <c r="AH148" s="109">
        <v>10621.61</v>
      </c>
      <c r="AI148" s="109">
        <v>5823</v>
      </c>
      <c r="AJ148" s="109"/>
      <c r="AK148" s="109">
        <v>72.64</v>
      </c>
      <c r="AL148" s="109">
        <v>356.11538461538464</v>
      </c>
      <c r="AM148" s="640">
        <f t="shared" si="2"/>
        <v>100074.81087461537</v>
      </c>
      <c r="AO148" s="289"/>
    </row>
    <row r="149" spans="1:42" s="61" customFormat="1" ht="22.5" customHeight="1" x14ac:dyDescent="0.3">
      <c r="A149" s="706"/>
      <c r="B149" s="117" t="s">
        <v>326</v>
      </c>
      <c r="C149" s="140">
        <v>4025.7080000000001</v>
      </c>
      <c r="D149" s="110"/>
      <c r="E149" s="110"/>
      <c r="F149" s="264">
        <v>14192</v>
      </c>
      <c r="G149" s="110">
        <v>11</v>
      </c>
      <c r="H149" s="110">
        <v>105</v>
      </c>
      <c r="I149" s="124"/>
      <c r="J149" s="110"/>
      <c r="K149" s="110">
        <f>2+4245</f>
        <v>4247</v>
      </c>
      <c r="L149" s="264">
        <v>2565</v>
      </c>
      <c r="M149" s="110"/>
      <c r="N149" s="124">
        <v>7113.3090000000002</v>
      </c>
      <c r="O149" s="110"/>
      <c r="P149" s="110"/>
      <c r="Q149" s="110">
        <v>-35</v>
      </c>
      <c r="R149" s="110">
        <f>(856.2+1748.5+459.7)/2</f>
        <v>1532.1999999999998</v>
      </c>
      <c r="S149" s="110">
        <v>20799</v>
      </c>
      <c r="T149" s="141"/>
      <c r="U149" s="140">
        <v>2844.614</v>
      </c>
      <c r="V149" s="110"/>
      <c r="W149" s="110"/>
      <c r="X149" s="110">
        <v>1492</v>
      </c>
      <c r="Y149" s="110">
        <v>8498</v>
      </c>
      <c r="Z149" s="110">
        <v>17251</v>
      </c>
      <c r="AA149" s="110">
        <v>233.24166</v>
      </c>
      <c r="AB149" s="110"/>
      <c r="AC149" s="110">
        <v>950.33299999999997</v>
      </c>
      <c r="AD149" s="110">
        <v>5546</v>
      </c>
      <c r="AE149" s="110"/>
      <c r="AF149" s="110"/>
      <c r="AG149" s="110"/>
      <c r="AH149" s="110">
        <v>11598.61075</v>
      </c>
      <c r="AI149" s="110">
        <v>3978</v>
      </c>
      <c r="AJ149" s="110"/>
      <c r="AK149" s="110">
        <v>70</v>
      </c>
      <c r="AL149" s="110">
        <v>337.71929824561403</v>
      </c>
      <c r="AM149" s="641">
        <f t="shared" si="2"/>
        <v>107354.73570824563</v>
      </c>
      <c r="AO149" s="289"/>
      <c r="AP149" s="97"/>
    </row>
    <row r="150" spans="1:42" s="61" customFormat="1" ht="25.5" customHeight="1" x14ac:dyDescent="0.3">
      <c r="A150" s="706"/>
      <c r="B150" s="175" t="s">
        <v>327</v>
      </c>
      <c r="C150" s="176">
        <v>3640.3</v>
      </c>
      <c r="D150" s="127"/>
      <c r="E150" s="127"/>
      <c r="F150" s="265">
        <v>19238</v>
      </c>
      <c r="G150" s="127">
        <v>828</v>
      </c>
      <c r="H150" s="127">
        <v>69</v>
      </c>
      <c r="I150" s="178"/>
      <c r="J150" s="127"/>
      <c r="K150" s="127">
        <f>182+4295</f>
        <v>4477</v>
      </c>
      <c r="L150" s="265">
        <v>4264</v>
      </c>
      <c r="M150" s="127"/>
      <c r="N150" s="178">
        <v>8025.6090000000004</v>
      </c>
      <c r="O150" s="127"/>
      <c r="P150" s="127"/>
      <c r="Q150" s="127"/>
      <c r="R150" s="127">
        <f>(856.2+1748.5+459.7)/2</f>
        <v>1532.1999999999998</v>
      </c>
      <c r="S150" s="127">
        <v>22780</v>
      </c>
      <c r="T150" s="177"/>
      <c r="U150" s="176">
        <v>3239.6849999999999</v>
      </c>
      <c r="V150" s="127">
        <f>116170/1000</f>
        <v>116.17</v>
      </c>
      <c r="W150" s="127">
        <v>2893</v>
      </c>
      <c r="X150" s="127">
        <v>1221</v>
      </c>
      <c r="Y150" s="127">
        <v>9613</v>
      </c>
      <c r="Z150" s="127">
        <v>40232</v>
      </c>
      <c r="AA150" s="127">
        <v>493.86070000000001</v>
      </c>
      <c r="AB150" s="127"/>
      <c r="AC150" s="127">
        <v>584.38800000000003</v>
      </c>
      <c r="AD150" s="127">
        <v>4899</v>
      </c>
      <c r="AE150" s="127">
        <v>336</v>
      </c>
      <c r="AF150" s="127"/>
      <c r="AG150" s="127"/>
      <c r="AH150" s="127">
        <v>14834.11</v>
      </c>
      <c r="AI150" s="127">
        <v>9247</v>
      </c>
      <c r="AJ150" s="127"/>
      <c r="AK150" s="127"/>
      <c r="AL150" s="127"/>
      <c r="AM150" s="642">
        <f t="shared" si="2"/>
        <v>152563.32270000002</v>
      </c>
      <c r="AO150" s="289"/>
    </row>
    <row r="151" spans="1:42" s="61" customFormat="1" ht="25.5" customHeight="1" x14ac:dyDescent="0.3">
      <c r="A151" s="706"/>
      <c r="B151" s="180" t="s">
        <v>361</v>
      </c>
      <c r="C151" s="300">
        <v>7400.5261200000004</v>
      </c>
      <c r="D151" s="173"/>
      <c r="E151" s="173"/>
      <c r="F151" s="266">
        <v>17059</v>
      </c>
      <c r="G151" s="173">
        <f>906+12</f>
        <v>918</v>
      </c>
      <c r="H151" s="173">
        <v>43</v>
      </c>
      <c r="I151" s="174"/>
      <c r="J151" s="173"/>
      <c r="K151" s="173">
        <v>2009</v>
      </c>
      <c r="L151" s="266">
        <v>3518</v>
      </c>
      <c r="M151" s="173"/>
      <c r="N151" s="174">
        <v>8490.1489999999994</v>
      </c>
      <c r="O151" s="173"/>
      <c r="P151" s="173"/>
      <c r="Q151" s="173"/>
      <c r="R151" s="173">
        <v>1506</v>
      </c>
      <c r="S151" s="173">
        <v>27432</v>
      </c>
      <c r="T151" s="327">
        <v>3058.5</v>
      </c>
      <c r="U151" s="300">
        <v>3288.114</v>
      </c>
      <c r="V151" s="173">
        <f>179054/1000</f>
        <v>179.054</v>
      </c>
      <c r="W151" s="173">
        <v>1262</v>
      </c>
      <c r="X151" s="173">
        <v>629</v>
      </c>
      <c r="Y151" s="173">
        <v>9655</v>
      </c>
      <c r="Z151" s="173">
        <v>27897.235359999999</v>
      </c>
      <c r="AA151" s="173">
        <v>2.7289699999999999</v>
      </c>
      <c r="AB151" s="173">
        <v>68</v>
      </c>
      <c r="AC151" s="173">
        <f>150+9</f>
        <v>159</v>
      </c>
      <c r="AD151" s="173">
        <v>3765</v>
      </c>
      <c r="AE151" s="173">
        <f>194+186</f>
        <v>380</v>
      </c>
      <c r="AF151" s="173"/>
      <c r="AG151" s="173">
        <v>8</v>
      </c>
      <c r="AH151" s="173">
        <v>11557</v>
      </c>
      <c r="AI151" s="173">
        <v>5227</v>
      </c>
      <c r="AJ151" s="173"/>
      <c r="AK151" s="173">
        <v>695</v>
      </c>
      <c r="AL151" s="173"/>
      <c r="AM151" s="643">
        <f t="shared" si="2"/>
        <v>136206.30744999999</v>
      </c>
      <c r="AO151" s="289"/>
      <c r="AP151" s="97"/>
    </row>
    <row r="152" spans="1:42" s="61" customFormat="1" ht="25.5" customHeight="1" x14ac:dyDescent="0.3">
      <c r="A152" s="706"/>
      <c r="B152" s="180" t="s">
        <v>362</v>
      </c>
      <c r="C152" s="300">
        <v>7857.1272600000002</v>
      </c>
      <c r="D152" s="173"/>
      <c r="E152" s="173"/>
      <c r="F152" s="266">
        <v>18859</v>
      </c>
      <c r="G152" s="173">
        <f>860+22</f>
        <v>882</v>
      </c>
      <c r="H152" s="173">
        <v>83</v>
      </c>
      <c r="I152" s="174"/>
      <c r="J152" s="173"/>
      <c r="K152" s="173">
        <v>13097</v>
      </c>
      <c r="L152" s="266">
        <v>3624</v>
      </c>
      <c r="M152" s="173"/>
      <c r="N152" s="174">
        <v>10997.130999999999</v>
      </c>
      <c r="O152" s="173"/>
      <c r="P152" s="173"/>
      <c r="Q152" s="173"/>
      <c r="R152" s="173">
        <f>3101-R151</f>
        <v>1595</v>
      </c>
      <c r="S152" s="173">
        <v>16463</v>
      </c>
      <c r="T152" s="327">
        <v>2305.4</v>
      </c>
      <c r="U152" s="300">
        <v>4024.6970000000001</v>
      </c>
      <c r="V152" s="173">
        <f>(28774+224094)/1000-V151</f>
        <v>73.813999999999993</v>
      </c>
      <c r="W152" s="173">
        <v>1972</v>
      </c>
      <c r="X152" s="173">
        <v>872</v>
      </c>
      <c r="Y152" s="173">
        <v>11952</v>
      </c>
      <c r="Z152" s="173">
        <v>24617.05557</v>
      </c>
      <c r="AA152" s="173">
        <f>5.06325+14.74099</f>
        <v>19.80424</v>
      </c>
      <c r="AB152" s="173"/>
      <c r="AC152" s="173">
        <f>465-150+100</f>
        <v>415</v>
      </c>
      <c r="AD152" s="173">
        <v>6339</v>
      </c>
      <c r="AE152" s="173">
        <v>206</v>
      </c>
      <c r="AF152" s="173">
        <v>129</v>
      </c>
      <c r="AG152" s="173">
        <v>8</v>
      </c>
      <c r="AH152" s="173">
        <v>16808</v>
      </c>
      <c r="AI152" s="173">
        <v>5828</v>
      </c>
      <c r="AJ152" s="173"/>
      <c r="AK152" s="173">
        <v>76</v>
      </c>
      <c r="AL152" s="173"/>
      <c r="AM152" s="644">
        <f t="shared" si="2"/>
        <v>149103.02906999999</v>
      </c>
      <c r="AO152" s="289"/>
      <c r="AP152" s="97"/>
    </row>
    <row r="153" spans="1:42" s="61" customFormat="1" ht="22.5" customHeight="1" x14ac:dyDescent="0.3">
      <c r="A153" s="706"/>
      <c r="B153" s="115" t="s">
        <v>402</v>
      </c>
      <c r="C153" s="142">
        <v>8337.8538000000008</v>
      </c>
      <c r="D153" s="111"/>
      <c r="E153" s="111"/>
      <c r="F153" s="267">
        <v>11815.7</v>
      </c>
      <c r="G153" s="111">
        <v>14</v>
      </c>
      <c r="H153" s="111"/>
      <c r="I153" s="125"/>
      <c r="J153" s="111"/>
      <c r="K153" s="111">
        <v>2962</v>
      </c>
      <c r="L153" s="267">
        <v>6357</v>
      </c>
      <c r="M153" s="111">
        <v>16.273610000000001</v>
      </c>
      <c r="N153" s="125"/>
      <c r="O153" s="111">
        <v>1212</v>
      </c>
      <c r="P153" s="111"/>
      <c r="Q153" s="111"/>
      <c r="R153" s="111">
        <v>0</v>
      </c>
      <c r="S153" s="111">
        <v>18162.537601</v>
      </c>
      <c r="T153" s="143">
        <v>2965.57</v>
      </c>
      <c r="U153" s="142">
        <v>3643.1779999999999</v>
      </c>
      <c r="V153" s="111">
        <f>90220.13/1000</f>
        <v>90.220130000000012</v>
      </c>
      <c r="W153" s="111">
        <f>648</f>
        <v>648</v>
      </c>
      <c r="X153" s="111">
        <v>222</v>
      </c>
      <c r="Y153" s="111">
        <v>15909.379000000001</v>
      </c>
      <c r="Z153" s="111">
        <v>13426</v>
      </c>
      <c r="AA153" s="111">
        <v>6</v>
      </c>
      <c r="AB153" s="111"/>
      <c r="AC153" s="111">
        <v>1661</v>
      </c>
      <c r="AD153" s="111">
        <v>8894</v>
      </c>
      <c r="AE153" s="111">
        <v>265</v>
      </c>
      <c r="AF153" s="111">
        <v>7.5</v>
      </c>
      <c r="AG153" s="111"/>
      <c r="AH153" s="111">
        <v>24784.25</v>
      </c>
      <c r="AI153" s="111">
        <v>8265</v>
      </c>
      <c r="AJ153" s="111"/>
      <c r="AK153" s="111"/>
      <c r="AL153" s="111"/>
      <c r="AM153" s="645">
        <f t="shared" si="2"/>
        <v>129664.462141</v>
      </c>
      <c r="AO153" s="289"/>
    </row>
    <row r="154" spans="1:42" s="61" customFormat="1" ht="21" customHeight="1" x14ac:dyDescent="0.3">
      <c r="A154" s="707"/>
      <c r="B154" s="181" t="s">
        <v>403</v>
      </c>
      <c r="C154" s="144">
        <v>13423.83635</v>
      </c>
      <c r="D154" s="112"/>
      <c r="E154" s="112"/>
      <c r="F154" s="268">
        <v>14610.3</v>
      </c>
      <c r="G154" s="112">
        <v>14</v>
      </c>
      <c r="H154" s="112"/>
      <c r="I154" s="126"/>
      <c r="J154" s="112"/>
      <c r="K154" s="112">
        <v>9694</v>
      </c>
      <c r="L154" s="268">
        <v>4374.7</v>
      </c>
      <c r="M154" s="112"/>
      <c r="N154" s="126"/>
      <c r="O154" s="112"/>
      <c r="P154" s="112"/>
      <c r="Q154" s="112"/>
      <c r="R154" s="112">
        <f>715+872</f>
        <v>1587</v>
      </c>
      <c r="S154" s="112">
        <v>17255.773630000003</v>
      </c>
      <c r="T154" s="145">
        <v>498.93</v>
      </c>
      <c r="U154" s="144">
        <v>2551.058</v>
      </c>
      <c r="V154" s="112">
        <f>(17086+103086+57377+44318)/1000-V153</f>
        <v>131.64686999999998</v>
      </c>
      <c r="W154" s="112"/>
      <c r="X154" s="112"/>
      <c r="Y154" s="112">
        <v>23840.967000000001</v>
      </c>
      <c r="Z154" s="112">
        <v>21171</v>
      </c>
      <c r="AA154" s="112">
        <v>560</v>
      </c>
      <c r="AB154" s="112"/>
      <c r="AC154" s="112">
        <v>475</v>
      </c>
      <c r="AD154" s="112">
        <f>4682+471</f>
        <v>5153</v>
      </c>
      <c r="AE154" s="112">
        <v>360</v>
      </c>
      <c r="AF154" s="112"/>
      <c r="AG154" s="112"/>
      <c r="AH154" s="112">
        <v>39111.031000000003</v>
      </c>
      <c r="AI154" s="112">
        <v>8265</v>
      </c>
      <c r="AJ154" s="112"/>
      <c r="AK154" s="112">
        <f>167.6395/1.001</f>
        <v>167.472027972028</v>
      </c>
      <c r="AL154" s="112"/>
      <c r="AM154" s="646">
        <f t="shared" si="2"/>
        <v>163244.714877972</v>
      </c>
      <c r="AO154" s="289"/>
    </row>
    <row r="155" spans="1:42" s="61" customFormat="1" ht="21" customHeight="1" x14ac:dyDescent="0.3">
      <c r="A155" s="705" t="s">
        <v>119</v>
      </c>
      <c r="B155" s="179" t="s">
        <v>293</v>
      </c>
      <c r="C155" s="135"/>
      <c r="D155" s="136"/>
      <c r="E155" s="136"/>
      <c r="F155" s="262"/>
      <c r="G155" s="136"/>
      <c r="H155" s="136"/>
      <c r="I155" s="326"/>
      <c r="J155" s="136"/>
      <c r="K155" s="136"/>
      <c r="L155" s="262"/>
      <c r="M155" s="136"/>
      <c r="N155" s="326">
        <v>5</v>
      </c>
      <c r="O155" s="136"/>
      <c r="P155" s="136"/>
      <c r="Q155" s="136"/>
      <c r="R155" s="136"/>
      <c r="S155" s="136"/>
      <c r="T155" s="137"/>
      <c r="U155" s="632"/>
      <c r="V155" s="122"/>
      <c r="W155" s="122"/>
      <c r="X155" s="122"/>
      <c r="Y155" s="122"/>
      <c r="Z155" s="122">
        <v>50.505000000000003</v>
      </c>
      <c r="AA155" s="122"/>
      <c r="AB155" s="122"/>
      <c r="AC155" s="122"/>
      <c r="AD155" s="122"/>
      <c r="AE155" s="122"/>
      <c r="AF155" s="122"/>
      <c r="AG155" s="122"/>
      <c r="AH155" s="122"/>
      <c r="AI155" s="122"/>
      <c r="AJ155" s="122"/>
      <c r="AK155" s="122"/>
      <c r="AL155" s="122"/>
      <c r="AM155" s="639">
        <f t="shared" si="2"/>
        <v>55.505000000000003</v>
      </c>
      <c r="AO155" s="289"/>
    </row>
    <row r="156" spans="1:42" s="61" customFormat="1" ht="19.5" customHeight="1" x14ac:dyDescent="0.3">
      <c r="A156" s="706"/>
      <c r="B156" s="116" t="s">
        <v>294</v>
      </c>
      <c r="C156" s="138"/>
      <c r="D156" s="109"/>
      <c r="E156" s="109"/>
      <c r="F156" s="263"/>
      <c r="G156" s="109"/>
      <c r="H156" s="109"/>
      <c r="I156" s="123"/>
      <c r="J156" s="109"/>
      <c r="K156" s="109"/>
      <c r="L156" s="263"/>
      <c r="M156" s="109"/>
      <c r="N156" s="123"/>
      <c r="O156" s="109"/>
      <c r="P156" s="109"/>
      <c r="Q156" s="109"/>
      <c r="R156" s="109"/>
      <c r="S156" s="109"/>
      <c r="T156" s="139">
        <v>0.6</v>
      </c>
      <c r="U156" s="138"/>
      <c r="V156" s="109"/>
      <c r="W156" s="109"/>
      <c r="X156" s="109"/>
      <c r="Y156" s="109"/>
      <c r="Z156" s="109">
        <v>50</v>
      </c>
      <c r="AA156" s="109"/>
      <c r="AB156" s="109"/>
      <c r="AC156" s="109"/>
      <c r="AD156" s="109"/>
      <c r="AE156" s="109"/>
      <c r="AF156" s="109"/>
      <c r="AG156" s="109"/>
      <c r="AH156" s="109"/>
      <c r="AI156" s="109"/>
      <c r="AJ156" s="109"/>
      <c r="AK156" s="109"/>
      <c r="AL156" s="109"/>
      <c r="AM156" s="640">
        <f t="shared" si="2"/>
        <v>50.6</v>
      </c>
      <c r="AO156" s="289"/>
    </row>
    <row r="157" spans="1:42" s="61" customFormat="1" ht="22.5" customHeight="1" x14ac:dyDescent="0.3">
      <c r="A157" s="706"/>
      <c r="B157" s="117" t="s">
        <v>326</v>
      </c>
      <c r="C157" s="140">
        <v>10.997</v>
      </c>
      <c r="D157" s="110"/>
      <c r="E157" s="110"/>
      <c r="F157" s="264"/>
      <c r="G157" s="110"/>
      <c r="H157" s="110"/>
      <c r="I157" s="124"/>
      <c r="J157" s="110"/>
      <c r="K157" s="110"/>
      <c r="L157" s="264"/>
      <c r="M157" s="110"/>
      <c r="N157" s="124"/>
      <c r="O157" s="110"/>
      <c r="P157" s="110"/>
      <c r="Q157" s="110"/>
      <c r="R157" s="110"/>
      <c r="S157" s="110">
        <v>1649</v>
      </c>
      <c r="T157" s="141"/>
      <c r="U157" s="140">
        <v>3.1E-2</v>
      </c>
      <c r="V157" s="110"/>
      <c r="W157" s="110"/>
      <c r="X157" s="110"/>
      <c r="Y157" s="110"/>
      <c r="Z157" s="110">
        <v>50</v>
      </c>
      <c r="AA157" s="110"/>
      <c r="AB157" s="110"/>
      <c r="AC157" s="110"/>
      <c r="AD157" s="110"/>
      <c r="AE157" s="110"/>
      <c r="AF157" s="110"/>
      <c r="AG157" s="110"/>
      <c r="AH157" s="110"/>
      <c r="AI157" s="110"/>
      <c r="AJ157" s="110"/>
      <c r="AK157" s="110"/>
      <c r="AL157" s="110"/>
      <c r="AM157" s="641">
        <f t="shared" si="2"/>
        <v>1710.028</v>
      </c>
      <c r="AO157" s="289"/>
      <c r="AP157" s="97"/>
    </row>
    <row r="158" spans="1:42" s="61" customFormat="1" ht="25.5" customHeight="1" x14ac:dyDescent="0.3">
      <c r="A158" s="706"/>
      <c r="B158" s="175" t="s">
        <v>327</v>
      </c>
      <c r="C158" s="176"/>
      <c r="D158" s="127"/>
      <c r="E158" s="127"/>
      <c r="F158" s="265"/>
      <c r="G158" s="127"/>
      <c r="H158" s="127"/>
      <c r="I158" s="178"/>
      <c r="J158" s="127"/>
      <c r="K158" s="127"/>
      <c r="L158" s="265"/>
      <c r="M158" s="127"/>
      <c r="N158" s="178"/>
      <c r="O158" s="127"/>
      <c r="P158" s="127"/>
      <c r="Q158" s="127">
        <v>10</v>
      </c>
      <c r="R158" s="127"/>
      <c r="S158" s="127">
        <v>54</v>
      </c>
      <c r="T158" s="177"/>
      <c r="U158" s="176">
        <v>3.1E-2</v>
      </c>
      <c r="V158" s="127"/>
      <c r="W158" s="127"/>
      <c r="X158" s="127"/>
      <c r="Y158" s="127"/>
      <c r="Z158" s="127">
        <v>54</v>
      </c>
      <c r="AA158" s="127"/>
      <c r="AB158" s="127"/>
      <c r="AC158" s="127"/>
      <c r="AD158" s="127"/>
      <c r="AE158" s="127"/>
      <c r="AF158" s="127"/>
      <c r="AG158" s="127"/>
      <c r="AH158" s="127"/>
      <c r="AI158" s="127"/>
      <c r="AJ158" s="127"/>
      <c r="AK158" s="127"/>
      <c r="AL158" s="127"/>
      <c r="AM158" s="642">
        <f t="shared" si="2"/>
        <v>118.03100000000001</v>
      </c>
      <c r="AO158" s="289"/>
    </row>
    <row r="159" spans="1:42" s="61" customFormat="1" ht="25.5" customHeight="1" x14ac:dyDescent="0.3">
      <c r="A159" s="706"/>
      <c r="B159" s="180" t="s">
        <v>361</v>
      </c>
      <c r="C159" s="300"/>
      <c r="D159" s="173"/>
      <c r="E159" s="173"/>
      <c r="F159" s="266"/>
      <c r="G159" s="173"/>
      <c r="H159" s="173"/>
      <c r="I159" s="174"/>
      <c r="J159" s="173"/>
      <c r="K159" s="173"/>
      <c r="L159" s="266"/>
      <c r="M159" s="173"/>
      <c r="N159" s="174"/>
      <c r="O159" s="173"/>
      <c r="P159" s="173"/>
      <c r="Q159" s="173"/>
      <c r="R159" s="173"/>
      <c r="S159" s="173">
        <v>2</v>
      </c>
      <c r="T159" s="327"/>
      <c r="U159" s="300">
        <v>3.1E-2</v>
      </c>
      <c r="V159" s="173"/>
      <c r="W159" s="173"/>
      <c r="X159" s="173"/>
      <c r="Y159" s="173"/>
      <c r="Z159" s="173">
        <v>50</v>
      </c>
      <c r="AA159" s="173"/>
      <c r="AB159" s="173"/>
      <c r="AC159" s="173"/>
      <c r="AD159" s="173"/>
      <c r="AE159" s="173"/>
      <c r="AF159" s="173"/>
      <c r="AG159" s="173"/>
      <c r="AH159" s="173"/>
      <c r="AI159" s="173"/>
      <c r="AJ159" s="173"/>
      <c r="AK159" s="173"/>
      <c r="AL159" s="173"/>
      <c r="AM159" s="643">
        <f t="shared" si="2"/>
        <v>52.030999999999999</v>
      </c>
      <c r="AO159" s="289"/>
      <c r="AP159" s="97"/>
    </row>
    <row r="160" spans="1:42" s="61" customFormat="1" ht="25.5" customHeight="1" x14ac:dyDescent="0.3">
      <c r="A160" s="706"/>
      <c r="B160" s="180" t="s">
        <v>362</v>
      </c>
      <c r="C160" s="300"/>
      <c r="D160" s="173"/>
      <c r="E160" s="173"/>
      <c r="F160" s="266"/>
      <c r="G160" s="173">
        <v>1</v>
      </c>
      <c r="H160" s="173"/>
      <c r="I160" s="174"/>
      <c r="J160" s="173"/>
      <c r="K160" s="173"/>
      <c r="L160" s="266"/>
      <c r="M160" s="173"/>
      <c r="N160" s="174"/>
      <c r="O160" s="173"/>
      <c r="P160" s="173"/>
      <c r="Q160" s="173"/>
      <c r="R160" s="173"/>
      <c r="S160" s="173">
        <v>3</v>
      </c>
      <c r="T160" s="327"/>
      <c r="U160" s="300">
        <v>3.1E-2</v>
      </c>
      <c r="V160" s="173"/>
      <c r="W160" s="173"/>
      <c r="X160" s="173"/>
      <c r="Y160" s="173"/>
      <c r="Z160" s="173">
        <v>62.4985</v>
      </c>
      <c r="AA160" s="173"/>
      <c r="AB160" s="173"/>
      <c r="AC160" s="173"/>
      <c r="AD160" s="173"/>
      <c r="AE160" s="173"/>
      <c r="AF160" s="173"/>
      <c r="AG160" s="173"/>
      <c r="AH160" s="173"/>
      <c r="AI160" s="173"/>
      <c r="AJ160" s="173"/>
      <c r="AK160" s="173"/>
      <c r="AL160" s="173"/>
      <c r="AM160" s="644">
        <f t="shared" si="2"/>
        <v>66.529499999999999</v>
      </c>
      <c r="AO160" s="289"/>
      <c r="AP160" s="97"/>
    </row>
    <row r="161" spans="1:42" s="61" customFormat="1" ht="22.5" customHeight="1" x14ac:dyDescent="0.3">
      <c r="A161" s="706"/>
      <c r="B161" s="115" t="s">
        <v>402</v>
      </c>
      <c r="C161" s="142">
        <v>1509.865</v>
      </c>
      <c r="D161" s="111"/>
      <c r="E161" s="111"/>
      <c r="F161" s="267"/>
      <c r="G161" s="111"/>
      <c r="H161" s="111"/>
      <c r="I161" s="125"/>
      <c r="J161" s="111"/>
      <c r="K161" s="111"/>
      <c r="L161" s="267"/>
      <c r="M161" s="111"/>
      <c r="N161" s="125"/>
      <c r="O161" s="111"/>
      <c r="P161" s="111"/>
      <c r="Q161" s="111"/>
      <c r="R161" s="111"/>
      <c r="S161" s="111">
        <v>49.344889999999999</v>
      </c>
      <c r="T161" s="143"/>
      <c r="U161" s="142">
        <v>5.8999999999999997E-2</v>
      </c>
      <c r="V161" s="111"/>
      <c r="W161" s="111"/>
      <c r="X161" s="111"/>
      <c r="Y161" s="111"/>
      <c r="Z161" s="111">
        <v>150</v>
      </c>
      <c r="AA161" s="111">
        <v>50</v>
      </c>
      <c r="AB161" s="111"/>
      <c r="AC161" s="111"/>
      <c r="AD161" s="111">
        <v>200</v>
      </c>
      <c r="AE161" s="111"/>
      <c r="AF161" s="111"/>
      <c r="AG161" s="111"/>
      <c r="AH161" s="111" t="s">
        <v>482</v>
      </c>
      <c r="AI161" s="111"/>
      <c r="AJ161" s="111"/>
      <c r="AK161" s="111"/>
      <c r="AL161" s="111"/>
      <c r="AM161" s="645">
        <f t="shared" si="2"/>
        <v>1959.2688900000001</v>
      </c>
      <c r="AO161" s="289"/>
    </row>
    <row r="162" spans="1:42" s="61" customFormat="1" ht="21" customHeight="1" x14ac:dyDescent="0.3">
      <c r="A162" s="707"/>
      <c r="B162" s="181" t="s">
        <v>403</v>
      </c>
      <c r="C162" s="144">
        <v>2</v>
      </c>
      <c r="D162" s="112"/>
      <c r="E162" s="112"/>
      <c r="F162" s="268"/>
      <c r="G162" s="112"/>
      <c r="H162" s="112"/>
      <c r="I162" s="126"/>
      <c r="J162" s="112"/>
      <c r="K162" s="112"/>
      <c r="L162" s="268"/>
      <c r="M162" s="112"/>
      <c r="N162" s="126"/>
      <c r="O162" s="112"/>
      <c r="P162" s="112"/>
      <c r="Q162" s="112"/>
      <c r="R162" s="112"/>
      <c r="S162" s="112">
        <v>9.5053649999999994</v>
      </c>
      <c r="T162" s="145"/>
      <c r="U162" s="144">
        <v>6.4000000000000001E-2</v>
      </c>
      <c r="V162" s="112"/>
      <c r="W162" s="112"/>
      <c r="X162" s="112"/>
      <c r="Y162" s="112"/>
      <c r="Z162" s="112">
        <v>37</v>
      </c>
      <c r="AA162" s="112"/>
      <c r="AB162" s="112"/>
      <c r="AC162" s="112"/>
      <c r="AD162" s="112">
        <v>0</v>
      </c>
      <c r="AE162" s="112"/>
      <c r="AF162" s="112"/>
      <c r="AG162" s="112"/>
      <c r="AH162" s="112" t="s">
        <v>482</v>
      </c>
      <c r="AI162" s="112"/>
      <c r="AJ162" s="112"/>
      <c r="AK162" s="112"/>
      <c r="AL162" s="112"/>
      <c r="AM162" s="646">
        <f t="shared" si="2"/>
        <v>48.569364999999998</v>
      </c>
      <c r="AO162" s="289"/>
    </row>
    <row r="163" spans="1:42" s="61" customFormat="1" ht="21" customHeight="1" x14ac:dyDescent="0.3">
      <c r="A163" s="705" t="s">
        <v>120</v>
      </c>
      <c r="B163" s="179" t="s">
        <v>293</v>
      </c>
      <c r="C163" s="135"/>
      <c r="D163" s="136"/>
      <c r="E163" s="136"/>
      <c r="F163" s="262"/>
      <c r="G163" s="136"/>
      <c r="H163" s="136"/>
      <c r="I163" s="326"/>
      <c r="J163" s="136"/>
      <c r="K163" s="136"/>
      <c r="L163" s="262"/>
      <c r="M163" s="136"/>
      <c r="N163" s="326"/>
      <c r="O163" s="136"/>
      <c r="P163" s="136"/>
      <c r="Q163" s="136"/>
      <c r="R163" s="136"/>
      <c r="S163" s="136"/>
      <c r="T163" s="137"/>
      <c r="U163" s="632"/>
      <c r="V163" s="122"/>
      <c r="W163" s="122"/>
      <c r="X163" s="122"/>
      <c r="Y163" s="122"/>
      <c r="Z163" s="122"/>
      <c r="AA163" s="122"/>
      <c r="AB163" s="122"/>
      <c r="AC163" s="122"/>
      <c r="AD163" s="122"/>
      <c r="AE163" s="122"/>
      <c r="AF163" s="122"/>
      <c r="AG163" s="122"/>
      <c r="AH163" s="122"/>
      <c r="AI163" s="122"/>
      <c r="AJ163" s="122"/>
      <c r="AK163" s="122"/>
      <c r="AL163" s="122"/>
      <c r="AM163" s="639">
        <f t="shared" si="2"/>
        <v>0</v>
      </c>
      <c r="AO163" s="289"/>
    </row>
    <row r="164" spans="1:42" s="61" customFormat="1" ht="19.5" customHeight="1" x14ac:dyDescent="0.3">
      <c r="A164" s="706"/>
      <c r="B164" s="116" t="s">
        <v>294</v>
      </c>
      <c r="C164" s="138"/>
      <c r="D164" s="109"/>
      <c r="E164" s="109"/>
      <c r="F164" s="263"/>
      <c r="G164" s="109"/>
      <c r="H164" s="109"/>
      <c r="I164" s="123"/>
      <c r="J164" s="109"/>
      <c r="K164" s="109"/>
      <c r="L164" s="263"/>
      <c r="M164" s="109"/>
      <c r="N164" s="123"/>
      <c r="O164" s="109"/>
      <c r="P164" s="109"/>
      <c r="Q164" s="109"/>
      <c r="R164" s="109"/>
      <c r="S164" s="109"/>
      <c r="T164" s="139"/>
      <c r="U164" s="138"/>
      <c r="V164" s="109"/>
      <c r="W164" s="109"/>
      <c r="X164" s="109"/>
      <c r="Y164" s="109"/>
      <c r="Z164" s="109"/>
      <c r="AA164" s="109"/>
      <c r="AB164" s="109"/>
      <c r="AC164" s="109"/>
      <c r="AD164" s="109"/>
      <c r="AE164" s="109"/>
      <c r="AF164" s="109"/>
      <c r="AG164" s="109"/>
      <c r="AH164" s="109"/>
      <c r="AI164" s="109"/>
      <c r="AJ164" s="109"/>
      <c r="AK164" s="109"/>
      <c r="AL164" s="109"/>
      <c r="AM164" s="640">
        <f t="shared" si="2"/>
        <v>0</v>
      </c>
      <c r="AO164" s="289"/>
    </row>
    <row r="165" spans="1:42" s="61" customFormat="1" ht="22.5" customHeight="1" x14ac:dyDescent="0.3">
      <c r="A165" s="706"/>
      <c r="B165" s="117" t="s">
        <v>326</v>
      </c>
      <c r="C165" s="140">
        <v>24.968</v>
      </c>
      <c r="D165" s="110"/>
      <c r="E165" s="110"/>
      <c r="F165" s="264"/>
      <c r="G165" s="110"/>
      <c r="H165" s="110"/>
      <c r="I165" s="124"/>
      <c r="J165" s="110"/>
      <c r="K165" s="110"/>
      <c r="L165" s="264"/>
      <c r="M165" s="110"/>
      <c r="N165" s="124"/>
      <c r="O165" s="110"/>
      <c r="P165" s="110"/>
      <c r="Q165" s="110"/>
      <c r="R165" s="110"/>
      <c r="S165" s="110"/>
      <c r="T165" s="141"/>
      <c r="U165" s="140">
        <v>7.1999999999999995E-2</v>
      </c>
      <c r="V165" s="110"/>
      <c r="W165" s="110"/>
      <c r="X165" s="110"/>
      <c r="Y165" s="110"/>
      <c r="Z165" s="110"/>
      <c r="AA165" s="110"/>
      <c r="AB165" s="110"/>
      <c r="AC165" s="110"/>
      <c r="AD165" s="110"/>
      <c r="AE165" s="110"/>
      <c r="AF165" s="110"/>
      <c r="AG165" s="110"/>
      <c r="AH165" s="110"/>
      <c r="AI165" s="110"/>
      <c r="AJ165" s="110"/>
      <c r="AK165" s="110"/>
      <c r="AL165" s="110"/>
      <c r="AM165" s="641">
        <f t="shared" ref="AM165:AM228" si="3">SUM(C165:AL165)</f>
        <v>25.04</v>
      </c>
      <c r="AO165" s="289"/>
      <c r="AP165" s="97"/>
    </row>
    <row r="166" spans="1:42" s="61" customFormat="1" ht="25.5" customHeight="1" x14ac:dyDescent="0.3">
      <c r="A166" s="706"/>
      <c r="B166" s="175" t="s">
        <v>327</v>
      </c>
      <c r="C166" s="176">
        <v>88.938000000000002</v>
      </c>
      <c r="D166" s="127"/>
      <c r="E166" s="127"/>
      <c r="F166" s="265"/>
      <c r="G166" s="127"/>
      <c r="H166" s="127"/>
      <c r="I166" s="178"/>
      <c r="J166" s="127"/>
      <c r="K166" s="127"/>
      <c r="L166" s="265"/>
      <c r="M166" s="127"/>
      <c r="N166" s="178"/>
      <c r="O166" s="127"/>
      <c r="P166" s="127"/>
      <c r="Q166" s="127"/>
      <c r="R166" s="127"/>
      <c r="S166" s="127">
        <v>204</v>
      </c>
      <c r="T166" s="177"/>
      <c r="U166" s="176">
        <v>1.04</v>
      </c>
      <c r="V166" s="127"/>
      <c r="W166" s="127"/>
      <c r="X166" s="127"/>
      <c r="Y166" s="127">
        <v>2</v>
      </c>
      <c r="Z166" s="127"/>
      <c r="AA166" s="127"/>
      <c r="AB166" s="127"/>
      <c r="AC166" s="127"/>
      <c r="AD166" s="127"/>
      <c r="AE166" s="127"/>
      <c r="AF166" s="127"/>
      <c r="AG166" s="127"/>
      <c r="AH166" s="127"/>
      <c r="AI166" s="127"/>
      <c r="AJ166" s="127"/>
      <c r="AK166" s="127"/>
      <c r="AL166" s="127"/>
      <c r="AM166" s="642">
        <f t="shared" si="3"/>
        <v>295.97800000000001</v>
      </c>
      <c r="AO166" s="289"/>
    </row>
    <row r="167" spans="1:42" s="61" customFormat="1" ht="25.5" customHeight="1" x14ac:dyDescent="0.3">
      <c r="A167" s="706"/>
      <c r="B167" s="180" t="s">
        <v>361</v>
      </c>
      <c r="C167" s="300">
        <v>8.0619999999999994</v>
      </c>
      <c r="D167" s="173"/>
      <c r="E167" s="173"/>
      <c r="F167" s="266"/>
      <c r="G167" s="173"/>
      <c r="H167" s="173"/>
      <c r="I167" s="174"/>
      <c r="J167" s="173"/>
      <c r="K167" s="173"/>
      <c r="L167" s="266"/>
      <c r="M167" s="173"/>
      <c r="N167" s="174"/>
      <c r="O167" s="173"/>
      <c r="P167" s="173"/>
      <c r="Q167" s="173"/>
      <c r="R167" s="173"/>
      <c r="S167" s="173">
        <v>236</v>
      </c>
      <c r="T167" s="327"/>
      <c r="U167" s="300"/>
      <c r="V167" s="173"/>
      <c r="W167" s="173"/>
      <c r="X167" s="173"/>
      <c r="Y167" s="173">
        <v>5</v>
      </c>
      <c r="Z167" s="173"/>
      <c r="AA167" s="173"/>
      <c r="AB167" s="173"/>
      <c r="AC167" s="173"/>
      <c r="AD167" s="173"/>
      <c r="AE167" s="173"/>
      <c r="AF167" s="173"/>
      <c r="AG167" s="173"/>
      <c r="AH167" s="173"/>
      <c r="AI167" s="173"/>
      <c r="AJ167" s="173"/>
      <c r="AK167" s="173"/>
      <c r="AL167" s="173"/>
      <c r="AM167" s="643">
        <f t="shared" si="3"/>
        <v>249.06200000000001</v>
      </c>
      <c r="AO167" s="289"/>
      <c r="AP167" s="97"/>
    </row>
    <row r="168" spans="1:42" s="61" customFormat="1" ht="25.5" customHeight="1" x14ac:dyDescent="0.3">
      <c r="A168" s="706"/>
      <c r="B168" s="180" t="s">
        <v>362</v>
      </c>
      <c r="C168" s="300">
        <v>24.966999999999999</v>
      </c>
      <c r="D168" s="173"/>
      <c r="E168" s="173"/>
      <c r="F168" s="266"/>
      <c r="G168" s="173"/>
      <c r="H168" s="173"/>
      <c r="I168" s="174"/>
      <c r="J168" s="173"/>
      <c r="K168" s="173"/>
      <c r="L168" s="266"/>
      <c r="M168" s="173"/>
      <c r="N168" s="174"/>
      <c r="O168" s="173"/>
      <c r="P168" s="173"/>
      <c r="Q168" s="173"/>
      <c r="R168" s="173"/>
      <c r="S168" s="173">
        <v>55</v>
      </c>
      <c r="T168" s="327"/>
      <c r="U168" s="300">
        <v>0.17599999999999999</v>
      </c>
      <c r="V168" s="173"/>
      <c r="W168" s="173"/>
      <c r="X168" s="173"/>
      <c r="Y168" s="173">
        <v>5</v>
      </c>
      <c r="Z168" s="173"/>
      <c r="AA168" s="173"/>
      <c r="AB168" s="173"/>
      <c r="AC168" s="173"/>
      <c r="AD168" s="173"/>
      <c r="AE168" s="173"/>
      <c r="AF168" s="173"/>
      <c r="AG168" s="173"/>
      <c r="AH168" s="173"/>
      <c r="AI168" s="173"/>
      <c r="AJ168" s="173"/>
      <c r="AK168" s="173"/>
      <c r="AL168" s="173"/>
      <c r="AM168" s="644">
        <f t="shared" si="3"/>
        <v>85.143000000000001</v>
      </c>
      <c r="AO168" s="289"/>
      <c r="AP168" s="97"/>
    </row>
    <row r="169" spans="1:42" s="61" customFormat="1" ht="22.5" customHeight="1" x14ac:dyDescent="0.3">
      <c r="A169" s="706"/>
      <c r="B169" s="115" t="s">
        <v>402</v>
      </c>
      <c r="C169" s="142">
        <v>25</v>
      </c>
      <c r="D169" s="111"/>
      <c r="E169" s="111"/>
      <c r="F169" s="267"/>
      <c r="G169" s="111"/>
      <c r="H169" s="111"/>
      <c r="I169" s="125"/>
      <c r="J169" s="111"/>
      <c r="K169" s="111"/>
      <c r="L169" s="267"/>
      <c r="M169" s="111"/>
      <c r="N169" s="125"/>
      <c r="O169" s="111"/>
      <c r="P169" s="111"/>
      <c r="Q169" s="111"/>
      <c r="R169" s="111"/>
      <c r="S169" s="111">
        <v>3342.0584899999999</v>
      </c>
      <c r="T169" s="143"/>
      <c r="U169" s="142"/>
      <c r="V169" s="111"/>
      <c r="W169" s="111"/>
      <c r="X169" s="111"/>
      <c r="Y169" s="111"/>
      <c r="Z169" s="111"/>
      <c r="AA169" s="111"/>
      <c r="AB169" s="111"/>
      <c r="AC169" s="111"/>
      <c r="AD169" s="111"/>
      <c r="AE169" s="111"/>
      <c r="AF169" s="111"/>
      <c r="AG169" s="111"/>
      <c r="AH169" s="111" t="s">
        <v>482</v>
      </c>
      <c r="AI169" s="111">
        <v>25</v>
      </c>
      <c r="AJ169" s="111"/>
      <c r="AK169" s="111"/>
      <c r="AL169" s="111"/>
      <c r="AM169" s="645">
        <f t="shared" si="3"/>
        <v>3392.0584899999999</v>
      </c>
      <c r="AO169" s="289"/>
    </row>
    <row r="170" spans="1:42" s="61" customFormat="1" ht="21" customHeight="1" x14ac:dyDescent="0.3">
      <c r="A170" s="707"/>
      <c r="B170" s="181" t="s">
        <v>403</v>
      </c>
      <c r="C170" s="144">
        <v>26.19631</v>
      </c>
      <c r="D170" s="112"/>
      <c r="E170" s="112"/>
      <c r="F170" s="268"/>
      <c r="G170" s="112"/>
      <c r="H170" s="112"/>
      <c r="I170" s="126"/>
      <c r="J170" s="112"/>
      <c r="K170" s="112"/>
      <c r="L170" s="268"/>
      <c r="M170" s="112"/>
      <c r="N170" s="126"/>
      <c r="O170" s="112"/>
      <c r="P170" s="112"/>
      <c r="Q170" s="112"/>
      <c r="R170" s="112"/>
      <c r="S170" s="112">
        <v>93.386290000000002</v>
      </c>
      <c r="T170" s="145"/>
      <c r="U170" s="144"/>
      <c r="V170" s="112"/>
      <c r="W170" s="112"/>
      <c r="X170" s="112"/>
      <c r="Y170" s="112"/>
      <c r="Z170" s="112">
        <v>10</v>
      </c>
      <c r="AA170" s="112"/>
      <c r="AB170" s="112"/>
      <c r="AC170" s="112"/>
      <c r="AD170" s="112"/>
      <c r="AE170" s="112"/>
      <c r="AF170" s="112"/>
      <c r="AG170" s="112"/>
      <c r="AH170" s="112" t="s">
        <v>482</v>
      </c>
      <c r="AI170" s="112">
        <v>25</v>
      </c>
      <c r="AJ170" s="112"/>
      <c r="AK170" s="112"/>
      <c r="AL170" s="112"/>
      <c r="AM170" s="646">
        <f t="shared" si="3"/>
        <v>154.58260000000001</v>
      </c>
      <c r="AO170" s="289"/>
    </row>
    <row r="171" spans="1:42" s="61" customFormat="1" ht="21" customHeight="1" x14ac:dyDescent="0.3">
      <c r="A171" s="705" t="s">
        <v>490</v>
      </c>
      <c r="B171" s="179" t="s">
        <v>293</v>
      </c>
      <c r="C171" s="135"/>
      <c r="D171" s="136"/>
      <c r="E171" s="136"/>
      <c r="F171" s="262"/>
      <c r="G171" s="136"/>
      <c r="H171" s="136"/>
      <c r="I171" s="326"/>
      <c r="J171" s="136"/>
      <c r="K171" s="136"/>
      <c r="L171" s="262"/>
      <c r="M171" s="136"/>
      <c r="N171" s="326"/>
      <c r="O171" s="136"/>
      <c r="P171" s="136"/>
      <c r="Q171" s="136"/>
      <c r="R171" s="136"/>
      <c r="S171" s="136"/>
      <c r="T171" s="137"/>
      <c r="U171" s="632"/>
      <c r="V171" s="122"/>
      <c r="W171" s="122"/>
      <c r="X171" s="122"/>
      <c r="Y171" s="122"/>
      <c r="Z171" s="122"/>
      <c r="AA171" s="122"/>
      <c r="AB171" s="122"/>
      <c r="AC171" s="122"/>
      <c r="AD171" s="122"/>
      <c r="AE171" s="122"/>
      <c r="AF171" s="122"/>
      <c r="AG171" s="122"/>
      <c r="AH171" s="122"/>
      <c r="AI171" s="122"/>
      <c r="AJ171" s="122"/>
      <c r="AK171" s="122"/>
      <c r="AL171" s="122"/>
      <c r="AM171" s="639">
        <f>SUM(C171:AL171)</f>
        <v>0</v>
      </c>
      <c r="AO171" s="289"/>
    </row>
    <row r="172" spans="1:42" s="61" customFormat="1" ht="19.5" customHeight="1" x14ac:dyDescent="0.3">
      <c r="A172" s="706"/>
      <c r="B172" s="116" t="s">
        <v>294</v>
      </c>
      <c r="C172" s="138"/>
      <c r="D172" s="109"/>
      <c r="E172" s="109"/>
      <c r="F172" s="263"/>
      <c r="G172" s="109"/>
      <c r="H172" s="109"/>
      <c r="I172" s="123"/>
      <c r="J172" s="109"/>
      <c r="K172" s="109"/>
      <c r="L172" s="263"/>
      <c r="M172" s="109"/>
      <c r="N172" s="123"/>
      <c r="O172" s="109"/>
      <c r="P172" s="109"/>
      <c r="Q172" s="109"/>
      <c r="R172" s="109"/>
      <c r="S172" s="109"/>
      <c r="T172" s="139"/>
      <c r="U172" s="138"/>
      <c r="V172" s="109"/>
      <c r="W172" s="109"/>
      <c r="X172" s="109"/>
      <c r="Y172" s="109"/>
      <c r="Z172" s="109"/>
      <c r="AA172" s="109"/>
      <c r="AB172" s="109"/>
      <c r="AC172" s="109"/>
      <c r="AD172" s="109"/>
      <c r="AE172" s="109"/>
      <c r="AF172" s="109"/>
      <c r="AG172" s="109"/>
      <c r="AH172" s="109"/>
      <c r="AI172" s="109"/>
      <c r="AJ172" s="109"/>
      <c r="AK172" s="109"/>
      <c r="AL172" s="109"/>
      <c r="AM172" s="640">
        <f>SUM(C172:AL172)</f>
        <v>0</v>
      </c>
      <c r="AO172" s="289"/>
    </row>
    <row r="173" spans="1:42" s="61" customFormat="1" ht="22.5" customHeight="1" x14ac:dyDescent="0.3">
      <c r="A173" s="706"/>
      <c r="B173" s="117" t="s">
        <v>326</v>
      </c>
      <c r="C173" s="140"/>
      <c r="D173" s="110"/>
      <c r="E173" s="110"/>
      <c r="F173" s="264"/>
      <c r="G173" s="110"/>
      <c r="H173" s="110"/>
      <c r="I173" s="124"/>
      <c r="J173" s="110"/>
      <c r="K173" s="110"/>
      <c r="L173" s="264"/>
      <c r="M173" s="110"/>
      <c r="N173" s="124"/>
      <c r="O173" s="110"/>
      <c r="P173" s="110"/>
      <c r="Q173" s="110"/>
      <c r="R173" s="110"/>
      <c r="S173" s="110"/>
      <c r="T173" s="141"/>
      <c r="U173" s="140"/>
      <c r="V173" s="110"/>
      <c r="W173" s="110"/>
      <c r="X173" s="110"/>
      <c r="Y173" s="110"/>
      <c r="Z173" s="110"/>
      <c r="AA173" s="110"/>
      <c r="AB173" s="110"/>
      <c r="AC173" s="110"/>
      <c r="AD173" s="110"/>
      <c r="AE173" s="110"/>
      <c r="AF173" s="110"/>
      <c r="AG173" s="110"/>
      <c r="AH173" s="110"/>
      <c r="AI173" s="110"/>
      <c r="AJ173" s="110"/>
      <c r="AK173" s="110"/>
      <c r="AL173" s="110"/>
      <c r="AM173" s="641">
        <f t="shared" ref="AM173:AM178" si="4">SUM(C173:AL173)</f>
        <v>0</v>
      </c>
      <c r="AO173" s="289"/>
      <c r="AP173" s="97"/>
    </row>
    <row r="174" spans="1:42" s="61" customFormat="1" ht="25.5" customHeight="1" x14ac:dyDescent="0.3">
      <c r="A174" s="706"/>
      <c r="B174" s="175" t="s">
        <v>327</v>
      </c>
      <c r="C174" s="176"/>
      <c r="D174" s="127"/>
      <c r="E174" s="127"/>
      <c r="F174" s="265"/>
      <c r="G174" s="127"/>
      <c r="H174" s="127"/>
      <c r="I174" s="178"/>
      <c r="J174" s="127"/>
      <c r="K174" s="127"/>
      <c r="L174" s="265"/>
      <c r="M174" s="127"/>
      <c r="N174" s="178"/>
      <c r="O174" s="127"/>
      <c r="P174" s="127"/>
      <c r="Q174" s="127"/>
      <c r="R174" s="127"/>
      <c r="S174" s="127"/>
      <c r="T174" s="177"/>
      <c r="U174" s="176"/>
      <c r="V174" s="127"/>
      <c r="W174" s="127"/>
      <c r="X174" s="127"/>
      <c r="Y174" s="127"/>
      <c r="Z174" s="127"/>
      <c r="AA174" s="127"/>
      <c r="AB174" s="127"/>
      <c r="AC174" s="127"/>
      <c r="AD174" s="127"/>
      <c r="AE174" s="127"/>
      <c r="AF174" s="127"/>
      <c r="AG174" s="127"/>
      <c r="AH174" s="127"/>
      <c r="AI174" s="127"/>
      <c r="AJ174" s="127"/>
      <c r="AK174" s="127"/>
      <c r="AL174" s="127"/>
      <c r="AM174" s="642">
        <f t="shared" si="4"/>
        <v>0</v>
      </c>
      <c r="AO174" s="289"/>
    </row>
    <row r="175" spans="1:42" s="61" customFormat="1" ht="25.5" customHeight="1" x14ac:dyDescent="0.3">
      <c r="A175" s="706"/>
      <c r="B175" s="180" t="s">
        <v>361</v>
      </c>
      <c r="C175" s="300"/>
      <c r="D175" s="173"/>
      <c r="E175" s="173"/>
      <c r="F175" s="266"/>
      <c r="G175" s="173"/>
      <c r="H175" s="173"/>
      <c r="I175" s="174"/>
      <c r="J175" s="173"/>
      <c r="K175" s="173"/>
      <c r="L175" s="266"/>
      <c r="M175" s="173"/>
      <c r="N175" s="174"/>
      <c r="O175" s="173"/>
      <c r="P175" s="173"/>
      <c r="Q175" s="173"/>
      <c r="R175" s="173"/>
      <c r="S175" s="173"/>
      <c r="T175" s="327"/>
      <c r="U175" s="300"/>
      <c r="V175" s="173"/>
      <c r="W175" s="173"/>
      <c r="X175" s="173"/>
      <c r="Y175" s="173"/>
      <c r="Z175" s="173"/>
      <c r="AA175" s="173"/>
      <c r="AB175" s="173"/>
      <c r="AC175" s="173"/>
      <c r="AD175" s="173"/>
      <c r="AE175" s="173"/>
      <c r="AF175" s="173"/>
      <c r="AG175" s="173"/>
      <c r="AH175" s="173"/>
      <c r="AI175" s="173"/>
      <c r="AJ175" s="173"/>
      <c r="AK175" s="173"/>
      <c r="AL175" s="173"/>
      <c r="AM175" s="643">
        <f t="shared" si="4"/>
        <v>0</v>
      </c>
      <c r="AO175" s="289"/>
      <c r="AP175" s="97"/>
    </row>
    <row r="176" spans="1:42" s="61" customFormat="1" ht="25.5" customHeight="1" x14ac:dyDescent="0.3">
      <c r="A176" s="706"/>
      <c r="B176" s="180" t="s">
        <v>362</v>
      </c>
      <c r="C176" s="300"/>
      <c r="D176" s="173"/>
      <c r="E176" s="173"/>
      <c r="F176" s="266"/>
      <c r="G176" s="173"/>
      <c r="H176" s="173"/>
      <c r="I176" s="174"/>
      <c r="J176" s="173"/>
      <c r="K176" s="173"/>
      <c r="L176" s="266"/>
      <c r="M176" s="173"/>
      <c r="N176" s="174"/>
      <c r="O176" s="173"/>
      <c r="P176" s="173"/>
      <c r="Q176" s="173"/>
      <c r="R176" s="173"/>
      <c r="S176" s="173"/>
      <c r="T176" s="327"/>
      <c r="U176" s="300"/>
      <c r="V176" s="173"/>
      <c r="W176" s="173"/>
      <c r="X176" s="173"/>
      <c r="Y176" s="173"/>
      <c r="Z176" s="173"/>
      <c r="AA176" s="173"/>
      <c r="AB176" s="173"/>
      <c r="AC176" s="173"/>
      <c r="AD176" s="173"/>
      <c r="AE176" s="173"/>
      <c r="AF176" s="173"/>
      <c r="AG176" s="173"/>
      <c r="AH176" s="173"/>
      <c r="AI176" s="173"/>
      <c r="AJ176" s="173"/>
      <c r="AK176" s="173"/>
      <c r="AL176" s="173"/>
      <c r="AM176" s="644">
        <f t="shared" si="4"/>
        <v>0</v>
      </c>
      <c r="AO176" s="289"/>
      <c r="AP176" s="97"/>
    </row>
    <row r="177" spans="1:42" s="61" customFormat="1" ht="22.5" customHeight="1" x14ac:dyDescent="0.3">
      <c r="A177" s="706"/>
      <c r="B177" s="115" t="s">
        <v>402</v>
      </c>
      <c r="C177" s="142"/>
      <c r="D177" s="111"/>
      <c r="E177" s="111"/>
      <c r="F177" s="267"/>
      <c r="G177" s="111"/>
      <c r="H177" s="111"/>
      <c r="I177" s="125"/>
      <c r="J177" s="111"/>
      <c r="K177" s="111"/>
      <c r="L177" s="267"/>
      <c r="M177" s="111"/>
      <c r="N177" s="125"/>
      <c r="O177" s="111"/>
      <c r="P177" s="111"/>
      <c r="Q177" s="111"/>
      <c r="R177" s="111"/>
      <c r="S177" s="111">
        <v>10</v>
      </c>
      <c r="T177" s="143"/>
      <c r="U177" s="142"/>
      <c r="V177" s="111"/>
      <c r="W177" s="111"/>
      <c r="X177" s="111"/>
      <c r="Y177" s="111"/>
      <c r="Z177" s="111"/>
      <c r="AA177" s="111"/>
      <c r="AB177" s="111"/>
      <c r="AC177" s="111"/>
      <c r="AD177" s="111"/>
      <c r="AE177" s="111"/>
      <c r="AF177" s="111"/>
      <c r="AG177" s="111"/>
      <c r="AH177" s="111"/>
      <c r="AI177" s="111"/>
      <c r="AJ177" s="111"/>
      <c r="AK177" s="111"/>
      <c r="AL177" s="111"/>
      <c r="AM177" s="645">
        <f t="shared" si="4"/>
        <v>10</v>
      </c>
      <c r="AO177" s="289"/>
    </row>
    <row r="178" spans="1:42" s="61" customFormat="1" ht="21" customHeight="1" x14ac:dyDescent="0.3">
      <c r="A178" s="707"/>
      <c r="B178" s="181" t="s">
        <v>403</v>
      </c>
      <c r="C178" s="144"/>
      <c r="D178" s="112"/>
      <c r="E178" s="112"/>
      <c r="F178" s="268"/>
      <c r="G178" s="112"/>
      <c r="H178" s="112"/>
      <c r="I178" s="126"/>
      <c r="J178" s="112"/>
      <c r="K178" s="112"/>
      <c r="L178" s="268"/>
      <c r="M178" s="112"/>
      <c r="N178" s="126"/>
      <c r="O178" s="112"/>
      <c r="P178" s="112"/>
      <c r="Q178" s="112"/>
      <c r="R178" s="112"/>
      <c r="S178" s="112">
        <v>16.130952000000001</v>
      </c>
      <c r="T178" s="145"/>
      <c r="U178" s="144"/>
      <c r="V178" s="112"/>
      <c r="W178" s="112"/>
      <c r="X178" s="112"/>
      <c r="Y178" s="112"/>
      <c r="Z178" s="112"/>
      <c r="AA178" s="112"/>
      <c r="AB178" s="112"/>
      <c r="AC178" s="112">
        <v>350</v>
      </c>
      <c r="AD178" s="112"/>
      <c r="AE178" s="112"/>
      <c r="AF178" s="112"/>
      <c r="AG178" s="112"/>
      <c r="AH178" s="112"/>
      <c r="AI178" s="112"/>
      <c r="AJ178" s="112"/>
      <c r="AK178" s="112"/>
      <c r="AL178" s="112"/>
      <c r="AM178" s="646">
        <f t="shared" si="4"/>
        <v>366.13095199999998</v>
      </c>
      <c r="AO178" s="289"/>
    </row>
    <row r="179" spans="1:42" s="61" customFormat="1" ht="21" customHeight="1" x14ac:dyDescent="0.3">
      <c r="A179" s="705" t="s">
        <v>121</v>
      </c>
      <c r="B179" s="179" t="s">
        <v>293</v>
      </c>
      <c r="C179" s="135">
        <v>5</v>
      </c>
      <c r="D179" s="136"/>
      <c r="E179" s="136"/>
      <c r="F179" s="262">
        <v>-72.304000000000002</v>
      </c>
      <c r="G179" s="136"/>
      <c r="H179" s="136"/>
      <c r="I179" s="326"/>
      <c r="J179" s="136"/>
      <c r="K179" s="136"/>
      <c r="L179" s="262"/>
      <c r="M179" s="136"/>
      <c r="N179" s="326"/>
      <c r="O179" s="136"/>
      <c r="P179" s="136"/>
      <c r="Q179" s="136"/>
      <c r="R179" s="136"/>
      <c r="S179" s="136">
        <v>13.654</v>
      </c>
      <c r="T179" s="137">
        <v>1.2350000000000001</v>
      </c>
      <c r="U179" s="632"/>
      <c r="V179" s="122"/>
      <c r="W179" s="122"/>
      <c r="X179" s="122">
        <v>1</v>
      </c>
      <c r="Y179" s="122"/>
      <c r="Z179" s="122">
        <v>13.35</v>
      </c>
      <c r="AA179" s="122"/>
      <c r="AB179" s="122"/>
      <c r="AC179" s="122"/>
      <c r="AD179" s="122"/>
      <c r="AE179" s="122"/>
      <c r="AF179" s="122"/>
      <c r="AG179" s="122"/>
      <c r="AH179" s="122"/>
      <c r="AI179" s="122"/>
      <c r="AJ179" s="122"/>
      <c r="AK179" s="122"/>
      <c r="AL179" s="122"/>
      <c r="AM179" s="639">
        <f t="shared" si="3"/>
        <v>-38.065000000000005</v>
      </c>
      <c r="AO179" s="289"/>
    </row>
    <row r="180" spans="1:42" s="61" customFormat="1" ht="19.5" customHeight="1" x14ac:dyDescent="0.3">
      <c r="A180" s="706"/>
      <c r="B180" s="116" t="s">
        <v>294</v>
      </c>
      <c r="C180" s="138">
        <v>9</v>
      </c>
      <c r="D180" s="109"/>
      <c r="E180" s="109"/>
      <c r="F180" s="263"/>
      <c r="G180" s="109"/>
      <c r="H180" s="109"/>
      <c r="I180" s="123"/>
      <c r="J180" s="109"/>
      <c r="K180" s="109"/>
      <c r="L180" s="263"/>
      <c r="M180" s="109"/>
      <c r="N180" s="123"/>
      <c r="O180" s="109"/>
      <c r="P180" s="109"/>
      <c r="Q180" s="109"/>
      <c r="R180" s="109"/>
      <c r="S180" s="109">
        <v>26.081</v>
      </c>
      <c r="T180" s="139"/>
      <c r="U180" s="138"/>
      <c r="V180" s="109"/>
      <c r="W180" s="109"/>
      <c r="X180" s="109"/>
      <c r="Y180" s="109"/>
      <c r="Z180" s="109">
        <v>14.7</v>
      </c>
      <c r="AA180" s="109"/>
      <c r="AB180" s="109"/>
      <c r="AC180" s="109"/>
      <c r="AD180" s="109"/>
      <c r="AE180" s="109"/>
      <c r="AF180" s="109"/>
      <c r="AG180" s="109"/>
      <c r="AH180" s="109"/>
      <c r="AI180" s="109"/>
      <c r="AJ180" s="109"/>
      <c r="AK180" s="109"/>
      <c r="AL180" s="109"/>
      <c r="AM180" s="640">
        <f t="shared" si="3"/>
        <v>49.781000000000006</v>
      </c>
      <c r="AO180" s="289"/>
    </row>
    <row r="181" spans="1:42" s="61" customFormat="1" ht="22.5" customHeight="1" x14ac:dyDescent="0.3">
      <c r="A181" s="706"/>
      <c r="B181" s="117" t="s">
        <v>326</v>
      </c>
      <c r="C181" s="140">
        <v>5.2069999999999999</v>
      </c>
      <c r="D181" s="110"/>
      <c r="E181" s="110"/>
      <c r="F181" s="264"/>
      <c r="G181" s="110"/>
      <c r="H181" s="110">
        <v>10</v>
      </c>
      <c r="I181" s="124"/>
      <c r="J181" s="110"/>
      <c r="K181" s="110"/>
      <c r="L181" s="264"/>
      <c r="M181" s="110"/>
      <c r="N181" s="124"/>
      <c r="O181" s="110"/>
      <c r="P181" s="110"/>
      <c r="Q181" s="110"/>
      <c r="R181" s="110"/>
      <c r="S181" s="110">
        <v>4</v>
      </c>
      <c r="T181" s="141"/>
      <c r="U181" s="140">
        <v>8.5000000000000006E-2</v>
      </c>
      <c r="V181" s="110"/>
      <c r="W181" s="110"/>
      <c r="X181" s="110"/>
      <c r="Y181" s="110"/>
      <c r="Z181" s="110"/>
      <c r="AA181" s="110"/>
      <c r="AB181" s="110"/>
      <c r="AC181" s="110"/>
      <c r="AD181" s="110"/>
      <c r="AE181" s="110"/>
      <c r="AF181" s="110"/>
      <c r="AG181" s="110"/>
      <c r="AH181" s="110"/>
      <c r="AI181" s="110"/>
      <c r="AJ181" s="110"/>
      <c r="AK181" s="110"/>
      <c r="AL181" s="110"/>
      <c r="AM181" s="641">
        <f t="shared" si="3"/>
        <v>19.292000000000002</v>
      </c>
      <c r="AO181" s="289"/>
      <c r="AP181" s="97"/>
    </row>
    <row r="182" spans="1:42" s="61" customFormat="1" ht="25.5" customHeight="1" x14ac:dyDescent="0.3">
      <c r="A182" s="706"/>
      <c r="B182" s="175" t="s">
        <v>327</v>
      </c>
      <c r="C182" s="176"/>
      <c r="D182" s="127"/>
      <c r="E182" s="127"/>
      <c r="F182" s="265"/>
      <c r="G182" s="127"/>
      <c r="H182" s="127">
        <v>10</v>
      </c>
      <c r="I182" s="178"/>
      <c r="J182" s="127"/>
      <c r="K182" s="127"/>
      <c r="L182" s="265"/>
      <c r="M182" s="127"/>
      <c r="N182" s="178"/>
      <c r="O182" s="127"/>
      <c r="P182" s="127"/>
      <c r="Q182" s="127"/>
      <c r="R182" s="127"/>
      <c r="S182" s="127">
        <v>7</v>
      </c>
      <c r="T182" s="177"/>
      <c r="U182" s="176"/>
      <c r="V182" s="127"/>
      <c r="W182" s="127"/>
      <c r="X182" s="127"/>
      <c r="Y182" s="127"/>
      <c r="Z182" s="127">
        <v>29</v>
      </c>
      <c r="AA182" s="127"/>
      <c r="AB182" s="127"/>
      <c r="AC182" s="127"/>
      <c r="AD182" s="127"/>
      <c r="AE182" s="127"/>
      <c r="AF182" s="127">
        <v>14.201183431952662</v>
      </c>
      <c r="AG182" s="127"/>
      <c r="AH182" s="127"/>
      <c r="AI182" s="127"/>
      <c r="AJ182" s="127"/>
      <c r="AK182" s="127"/>
      <c r="AL182" s="127"/>
      <c r="AM182" s="642">
        <f t="shared" si="3"/>
        <v>60.201183431952664</v>
      </c>
      <c r="AO182" s="289"/>
    </row>
    <row r="183" spans="1:42" s="61" customFormat="1" ht="25.5" customHeight="1" x14ac:dyDescent="0.3">
      <c r="A183" s="706"/>
      <c r="B183" s="180" t="s">
        <v>361</v>
      </c>
      <c r="C183" s="300">
        <v>6</v>
      </c>
      <c r="D183" s="173"/>
      <c r="E183" s="173"/>
      <c r="F183" s="266"/>
      <c r="G183" s="173"/>
      <c r="H183" s="173">
        <v>11</v>
      </c>
      <c r="I183" s="174"/>
      <c r="J183" s="173"/>
      <c r="K183" s="173"/>
      <c r="L183" s="266"/>
      <c r="M183" s="173"/>
      <c r="N183" s="174"/>
      <c r="O183" s="173"/>
      <c r="P183" s="173"/>
      <c r="Q183" s="173"/>
      <c r="R183" s="173"/>
      <c r="S183" s="173">
        <v>7</v>
      </c>
      <c r="T183" s="327"/>
      <c r="U183" s="300">
        <v>8.4000000000000005E-2</v>
      </c>
      <c r="V183" s="173"/>
      <c r="W183" s="173"/>
      <c r="X183" s="173"/>
      <c r="Y183" s="173"/>
      <c r="Z183" s="173">
        <v>14.7</v>
      </c>
      <c r="AA183" s="173"/>
      <c r="AB183" s="173"/>
      <c r="AC183" s="173"/>
      <c r="AD183" s="173"/>
      <c r="AE183" s="173"/>
      <c r="AF183" s="173"/>
      <c r="AG183" s="173"/>
      <c r="AH183" s="173"/>
      <c r="AI183" s="173"/>
      <c r="AJ183" s="173"/>
      <c r="AK183" s="173"/>
      <c r="AL183" s="173"/>
      <c r="AM183" s="643">
        <f t="shared" si="3"/>
        <v>38.783999999999999</v>
      </c>
      <c r="AO183" s="289"/>
      <c r="AP183" s="97"/>
    </row>
    <row r="184" spans="1:42" s="61" customFormat="1" ht="25.5" customHeight="1" x14ac:dyDescent="0.3">
      <c r="A184" s="706"/>
      <c r="B184" s="180" t="s">
        <v>362</v>
      </c>
      <c r="C184" s="300">
        <v>1</v>
      </c>
      <c r="D184" s="173"/>
      <c r="E184" s="173"/>
      <c r="F184" s="266"/>
      <c r="G184" s="173"/>
      <c r="H184" s="173"/>
      <c r="I184" s="174"/>
      <c r="J184" s="173"/>
      <c r="K184" s="173"/>
      <c r="L184" s="266"/>
      <c r="M184" s="173"/>
      <c r="N184" s="174"/>
      <c r="O184" s="173"/>
      <c r="P184" s="173"/>
      <c r="Q184" s="173"/>
      <c r="R184" s="173"/>
      <c r="S184" s="173">
        <v>10</v>
      </c>
      <c r="T184" s="327"/>
      <c r="U184" s="300">
        <v>6.2E-2</v>
      </c>
      <c r="V184" s="173"/>
      <c r="W184" s="173"/>
      <c r="X184" s="173"/>
      <c r="Y184" s="173"/>
      <c r="Z184" s="173">
        <v>14.7</v>
      </c>
      <c r="AA184" s="173"/>
      <c r="AB184" s="173"/>
      <c r="AC184" s="173"/>
      <c r="AD184" s="173"/>
      <c r="AE184" s="173"/>
      <c r="AF184" s="173"/>
      <c r="AG184" s="173"/>
      <c r="AH184" s="173"/>
      <c r="AI184" s="173"/>
      <c r="AJ184" s="173"/>
      <c r="AK184" s="173"/>
      <c r="AL184" s="173"/>
      <c r="AM184" s="644">
        <f t="shared" si="3"/>
        <v>25.762</v>
      </c>
      <c r="AO184" s="289"/>
      <c r="AP184" s="97"/>
    </row>
    <row r="185" spans="1:42" s="61" customFormat="1" ht="22.5" customHeight="1" x14ac:dyDescent="0.3">
      <c r="A185" s="706"/>
      <c r="B185" s="115" t="s">
        <v>402</v>
      </c>
      <c r="C185" s="142">
        <v>1.48</v>
      </c>
      <c r="D185" s="111"/>
      <c r="E185" s="111"/>
      <c r="F185" s="267"/>
      <c r="G185" s="111"/>
      <c r="H185" s="111"/>
      <c r="I185" s="125"/>
      <c r="J185" s="111"/>
      <c r="K185" s="111"/>
      <c r="L185" s="267"/>
      <c r="M185" s="111"/>
      <c r="N185" s="125"/>
      <c r="O185" s="111"/>
      <c r="P185" s="111"/>
      <c r="Q185" s="111"/>
      <c r="R185" s="111"/>
      <c r="S185" s="111">
        <v>1.9950000000000001</v>
      </c>
      <c r="T185" s="143"/>
      <c r="U185" s="142">
        <v>6.4000000000000001E-2</v>
      </c>
      <c r="V185" s="111"/>
      <c r="W185" s="111"/>
      <c r="X185" s="111"/>
      <c r="Y185" s="111"/>
      <c r="Z185" s="111"/>
      <c r="AA185" s="111"/>
      <c r="AB185" s="111"/>
      <c r="AC185" s="111"/>
      <c r="AD185" s="111"/>
      <c r="AE185" s="111"/>
      <c r="AF185" s="111"/>
      <c r="AG185" s="111"/>
      <c r="AH185" s="111">
        <v>5.0140000000000002</v>
      </c>
      <c r="AI185" s="111">
        <v>25</v>
      </c>
      <c r="AJ185" s="111"/>
      <c r="AK185" s="111"/>
      <c r="AL185" s="111"/>
      <c r="AM185" s="645">
        <f t="shared" si="3"/>
        <v>33.552999999999997</v>
      </c>
      <c r="AO185" s="289"/>
    </row>
    <row r="186" spans="1:42" s="61" customFormat="1" ht="21" customHeight="1" x14ac:dyDescent="0.3">
      <c r="A186" s="707"/>
      <c r="B186" s="181" t="s">
        <v>403</v>
      </c>
      <c r="C186" s="144">
        <v>1.5</v>
      </c>
      <c r="D186" s="112"/>
      <c r="E186" s="112"/>
      <c r="F186" s="268"/>
      <c r="G186" s="112"/>
      <c r="H186" s="112"/>
      <c r="I186" s="126"/>
      <c r="J186" s="112"/>
      <c r="K186" s="112"/>
      <c r="L186" s="268"/>
      <c r="M186" s="112"/>
      <c r="N186" s="126"/>
      <c r="O186" s="112"/>
      <c r="P186" s="112"/>
      <c r="Q186" s="112"/>
      <c r="R186" s="112"/>
      <c r="S186" s="112"/>
      <c r="T186" s="145"/>
      <c r="U186" s="144">
        <v>6.4000000000000001E-2</v>
      </c>
      <c r="V186" s="112"/>
      <c r="W186" s="112"/>
      <c r="X186" s="112"/>
      <c r="Y186" s="112"/>
      <c r="Z186" s="112"/>
      <c r="AA186" s="112"/>
      <c r="AB186" s="112"/>
      <c r="AC186" s="112"/>
      <c r="AD186" s="112"/>
      <c r="AE186" s="112"/>
      <c r="AF186" s="112"/>
      <c r="AG186" s="112"/>
      <c r="AH186" s="112">
        <v>5.1790000000000003</v>
      </c>
      <c r="AI186" s="112">
        <v>25</v>
      </c>
      <c r="AJ186" s="112"/>
      <c r="AK186" s="112"/>
      <c r="AL186" s="112"/>
      <c r="AM186" s="646">
        <f t="shared" si="3"/>
        <v>31.743000000000002</v>
      </c>
      <c r="AO186" s="289"/>
    </row>
    <row r="187" spans="1:42" s="61" customFormat="1" ht="21" customHeight="1" x14ac:dyDescent="0.3">
      <c r="A187" s="705" t="s">
        <v>122</v>
      </c>
      <c r="B187" s="179" t="s">
        <v>293</v>
      </c>
      <c r="C187" s="135"/>
      <c r="D187" s="136"/>
      <c r="E187" s="136"/>
      <c r="F187" s="262"/>
      <c r="G187" s="136"/>
      <c r="H187" s="136">
        <v>1771</v>
      </c>
      <c r="I187" s="326"/>
      <c r="J187" s="136"/>
      <c r="K187" s="136"/>
      <c r="L187" s="262"/>
      <c r="M187" s="136"/>
      <c r="N187" s="326"/>
      <c r="O187" s="136"/>
      <c r="P187" s="136"/>
      <c r="Q187" s="136">
        <v>67</v>
      </c>
      <c r="R187" s="136"/>
      <c r="S187" s="136"/>
      <c r="T187" s="137"/>
      <c r="U187" s="632"/>
      <c r="V187" s="122"/>
      <c r="W187" s="122"/>
      <c r="X187" s="122"/>
      <c r="Y187" s="122"/>
      <c r="Z187" s="122">
        <v>286</v>
      </c>
      <c r="AA187" s="122"/>
      <c r="AB187" s="122"/>
      <c r="AC187" s="122">
        <v>302.04700000000003</v>
      </c>
      <c r="AD187" s="122"/>
      <c r="AE187" s="122"/>
      <c r="AF187" s="122"/>
      <c r="AG187" s="122"/>
      <c r="AH187" s="122">
        <v>232.75</v>
      </c>
      <c r="AI187" s="122"/>
      <c r="AJ187" s="122"/>
      <c r="AK187" s="122"/>
      <c r="AL187" s="122"/>
      <c r="AM187" s="639">
        <f t="shared" si="3"/>
        <v>2658.797</v>
      </c>
      <c r="AO187" s="289"/>
    </row>
    <row r="188" spans="1:42" s="61" customFormat="1" ht="19.5" customHeight="1" x14ac:dyDescent="0.3">
      <c r="A188" s="706"/>
      <c r="B188" s="116" t="s">
        <v>294</v>
      </c>
      <c r="C188" s="138"/>
      <c r="D188" s="109"/>
      <c r="E188" s="109"/>
      <c r="F188" s="263"/>
      <c r="G188" s="109">
        <v>172</v>
      </c>
      <c r="H188" s="109">
        <v>2031</v>
      </c>
      <c r="I188" s="123"/>
      <c r="J188" s="109"/>
      <c r="K188" s="109"/>
      <c r="L188" s="263"/>
      <c r="M188" s="109"/>
      <c r="N188" s="123"/>
      <c r="O188" s="109"/>
      <c r="P188" s="109"/>
      <c r="Q188" s="109">
        <v>92</v>
      </c>
      <c r="R188" s="109"/>
      <c r="S188" s="109"/>
      <c r="T188" s="139"/>
      <c r="U188" s="138">
        <v>9.98</v>
      </c>
      <c r="V188" s="109"/>
      <c r="W188" s="109"/>
      <c r="X188" s="109"/>
      <c r="Y188" s="109"/>
      <c r="Z188" s="109">
        <v>441</v>
      </c>
      <c r="AA188" s="109"/>
      <c r="AB188" s="109"/>
      <c r="AC188" s="109">
        <v>132.63899999999995</v>
      </c>
      <c r="AD188" s="109"/>
      <c r="AE188" s="109"/>
      <c r="AF188" s="109"/>
      <c r="AG188" s="109"/>
      <c r="AH188" s="109"/>
      <c r="AI188" s="109"/>
      <c r="AJ188" s="109"/>
      <c r="AK188" s="109"/>
      <c r="AL188" s="109"/>
      <c r="AM188" s="640">
        <f t="shared" si="3"/>
        <v>2878.6190000000001</v>
      </c>
      <c r="AO188" s="289"/>
    </row>
    <row r="189" spans="1:42" s="61" customFormat="1" ht="22.5" customHeight="1" x14ac:dyDescent="0.3">
      <c r="A189" s="706"/>
      <c r="B189" s="117" t="s">
        <v>326</v>
      </c>
      <c r="C189" s="140">
        <v>5</v>
      </c>
      <c r="D189" s="110"/>
      <c r="E189" s="110"/>
      <c r="F189" s="264"/>
      <c r="G189" s="110"/>
      <c r="H189" s="110">
        <v>1341</v>
      </c>
      <c r="I189" s="124"/>
      <c r="J189" s="110"/>
      <c r="K189" s="110"/>
      <c r="L189" s="264"/>
      <c r="M189" s="110"/>
      <c r="N189" s="124"/>
      <c r="O189" s="110"/>
      <c r="P189" s="110"/>
      <c r="Q189" s="110">
        <v>18</v>
      </c>
      <c r="R189" s="110"/>
      <c r="S189" s="110">
        <v>11208</v>
      </c>
      <c r="T189" s="141"/>
      <c r="U189" s="140"/>
      <c r="V189" s="110"/>
      <c r="W189" s="110"/>
      <c r="X189" s="110"/>
      <c r="Y189" s="110"/>
      <c r="Z189" s="110">
        <v>87.318760000000012</v>
      </c>
      <c r="AA189" s="110"/>
      <c r="AB189" s="110"/>
      <c r="AC189" s="110"/>
      <c r="AD189" s="110"/>
      <c r="AE189" s="110"/>
      <c r="AF189" s="110"/>
      <c r="AG189" s="110"/>
      <c r="AH189" s="110"/>
      <c r="AI189" s="110"/>
      <c r="AJ189" s="110"/>
      <c r="AK189" s="110"/>
      <c r="AL189" s="110"/>
      <c r="AM189" s="641">
        <f t="shared" si="3"/>
        <v>12659.31876</v>
      </c>
      <c r="AO189" s="289"/>
      <c r="AP189" s="97"/>
    </row>
    <row r="190" spans="1:42" s="61" customFormat="1" ht="25.5" customHeight="1" x14ac:dyDescent="0.3">
      <c r="A190" s="706"/>
      <c r="B190" s="175" t="s">
        <v>327</v>
      </c>
      <c r="C190" s="176">
        <v>5</v>
      </c>
      <c r="D190" s="127"/>
      <c r="E190" s="127"/>
      <c r="F190" s="265"/>
      <c r="G190" s="127">
        <v>350</v>
      </c>
      <c r="H190" s="127">
        <v>1949</v>
      </c>
      <c r="I190" s="178"/>
      <c r="J190" s="127"/>
      <c r="K190" s="127"/>
      <c r="L190" s="265"/>
      <c r="M190" s="127"/>
      <c r="N190" s="178"/>
      <c r="O190" s="127"/>
      <c r="P190" s="127"/>
      <c r="Q190" s="127">
        <v>115</v>
      </c>
      <c r="R190" s="127"/>
      <c r="S190" s="127">
        <v>22445</v>
      </c>
      <c r="T190" s="177"/>
      <c r="U190" s="176">
        <v>1.1359999999999999</v>
      </c>
      <c r="V190" s="127"/>
      <c r="W190" s="127"/>
      <c r="X190" s="127"/>
      <c r="Y190" s="127"/>
      <c r="Z190" s="127">
        <v>99.75309</v>
      </c>
      <c r="AA190" s="127"/>
      <c r="AB190" s="127"/>
      <c r="AC190" s="127"/>
      <c r="AD190" s="127"/>
      <c r="AE190" s="127"/>
      <c r="AF190" s="127"/>
      <c r="AG190" s="127"/>
      <c r="AH190" s="127"/>
      <c r="AI190" s="127"/>
      <c r="AJ190" s="127"/>
      <c r="AK190" s="127"/>
      <c r="AL190" s="127"/>
      <c r="AM190" s="642">
        <f t="shared" si="3"/>
        <v>24964.889089999997</v>
      </c>
      <c r="AO190" s="289"/>
    </row>
    <row r="191" spans="1:42" s="61" customFormat="1" ht="25.5" customHeight="1" x14ac:dyDescent="0.3">
      <c r="A191" s="706"/>
      <c r="B191" s="180" t="s">
        <v>361</v>
      </c>
      <c r="C191" s="300">
        <v>10</v>
      </c>
      <c r="D191" s="173"/>
      <c r="E191" s="173"/>
      <c r="F191" s="266"/>
      <c r="G191" s="173">
        <f>41</f>
        <v>41</v>
      </c>
      <c r="H191" s="173">
        <v>2017</v>
      </c>
      <c r="I191" s="174"/>
      <c r="J191" s="173"/>
      <c r="K191" s="173"/>
      <c r="L191" s="266"/>
      <c r="M191" s="173"/>
      <c r="N191" s="174"/>
      <c r="O191" s="173"/>
      <c r="P191" s="173"/>
      <c r="Q191" s="173">
        <v>20</v>
      </c>
      <c r="R191" s="173"/>
      <c r="S191" s="173">
        <v>59244</v>
      </c>
      <c r="T191" s="327"/>
      <c r="U191" s="300">
        <v>12.843999999999999</v>
      </c>
      <c r="V191" s="173"/>
      <c r="W191" s="173"/>
      <c r="X191" s="173"/>
      <c r="Y191" s="173"/>
      <c r="Z191" s="173">
        <v>59.849809999999998</v>
      </c>
      <c r="AA191" s="173"/>
      <c r="AB191" s="173"/>
      <c r="AC191" s="173"/>
      <c r="AD191" s="173"/>
      <c r="AE191" s="173"/>
      <c r="AF191" s="173"/>
      <c r="AG191" s="173"/>
      <c r="AH191" s="173"/>
      <c r="AI191" s="173"/>
      <c r="AJ191" s="173"/>
      <c r="AK191" s="173"/>
      <c r="AL191" s="173"/>
      <c r="AM191" s="643">
        <f t="shared" si="3"/>
        <v>61404.693809999997</v>
      </c>
      <c r="AO191" s="289"/>
      <c r="AP191" s="97"/>
    </row>
    <row r="192" spans="1:42" s="61" customFormat="1" ht="25.5" customHeight="1" x14ac:dyDescent="0.3">
      <c r="A192" s="706"/>
      <c r="B192" s="180" t="s">
        <v>362</v>
      </c>
      <c r="C192" s="300">
        <v>5</v>
      </c>
      <c r="D192" s="173"/>
      <c r="E192" s="173"/>
      <c r="F192" s="266"/>
      <c r="G192" s="173"/>
      <c r="H192" s="173">
        <v>1818</v>
      </c>
      <c r="I192" s="174"/>
      <c r="J192" s="173"/>
      <c r="K192" s="173"/>
      <c r="L192" s="266"/>
      <c r="M192" s="173"/>
      <c r="N192" s="174"/>
      <c r="O192" s="173"/>
      <c r="P192" s="173"/>
      <c r="Q192" s="173">
        <v>20</v>
      </c>
      <c r="R192" s="173"/>
      <c r="S192" s="173">
        <v>18806</v>
      </c>
      <c r="T192" s="327"/>
      <c r="U192" s="300">
        <v>0.48499999999999999</v>
      </c>
      <c r="V192" s="173"/>
      <c r="W192" s="173"/>
      <c r="X192" s="173"/>
      <c r="Y192" s="173"/>
      <c r="Z192" s="173">
        <v>811.28962999999999</v>
      </c>
      <c r="AA192" s="173"/>
      <c r="AB192" s="173"/>
      <c r="AC192" s="173">
        <f>15+440</f>
        <v>455</v>
      </c>
      <c r="AD192" s="173"/>
      <c r="AE192" s="173"/>
      <c r="AF192" s="173"/>
      <c r="AG192" s="173"/>
      <c r="AH192" s="173">
        <v>68</v>
      </c>
      <c r="AI192" s="173"/>
      <c r="AJ192" s="173"/>
      <c r="AK192" s="173"/>
      <c r="AL192" s="173"/>
      <c r="AM192" s="644">
        <f t="shared" si="3"/>
        <v>21983.77463</v>
      </c>
      <c r="AO192" s="289"/>
      <c r="AP192" s="97"/>
    </row>
    <row r="193" spans="1:42" s="61" customFormat="1" ht="22.5" customHeight="1" x14ac:dyDescent="0.3">
      <c r="A193" s="706"/>
      <c r="B193" s="115" t="s">
        <v>402</v>
      </c>
      <c r="C193" s="142">
        <v>45</v>
      </c>
      <c r="D193" s="111"/>
      <c r="E193" s="111"/>
      <c r="F193" s="267"/>
      <c r="G193" s="111">
        <v>79</v>
      </c>
      <c r="H193" s="111">
        <v>3103</v>
      </c>
      <c r="I193" s="125"/>
      <c r="J193" s="111"/>
      <c r="K193" s="111"/>
      <c r="L193" s="267">
        <v>0</v>
      </c>
      <c r="M193" s="111"/>
      <c r="N193" s="125"/>
      <c r="O193" s="111"/>
      <c r="P193" s="111"/>
      <c r="Q193" s="111">
        <v>-25</v>
      </c>
      <c r="R193" s="111"/>
      <c r="S193" s="111">
        <v>10304.133261999999</v>
      </c>
      <c r="T193" s="143"/>
      <c r="U193" s="142">
        <v>0.16200000000000001</v>
      </c>
      <c r="V193" s="111"/>
      <c r="W193" s="111"/>
      <c r="X193" s="111"/>
      <c r="Y193" s="111"/>
      <c r="Z193" s="111">
        <v>608</v>
      </c>
      <c r="AA193" s="111"/>
      <c r="AB193" s="111"/>
      <c r="AC193" s="111">
        <v>10</v>
      </c>
      <c r="AD193" s="111"/>
      <c r="AE193" s="111"/>
      <c r="AF193" s="111"/>
      <c r="AG193" s="111"/>
      <c r="AH193" s="111">
        <v>258.57499999999999</v>
      </c>
      <c r="AI193" s="111"/>
      <c r="AJ193" s="111"/>
      <c r="AK193" s="111"/>
      <c r="AL193" s="111"/>
      <c r="AM193" s="645">
        <f t="shared" si="3"/>
        <v>14382.870262</v>
      </c>
      <c r="AO193" s="289"/>
    </row>
    <row r="194" spans="1:42" s="61" customFormat="1" ht="21" customHeight="1" x14ac:dyDescent="0.3">
      <c r="A194" s="707"/>
      <c r="B194" s="181" t="s">
        <v>403</v>
      </c>
      <c r="C194" s="144">
        <v>10</v>
      </c>
      <c r="D194" s="112"/>
      <c r="E194" s="112"/>
      <c r="F194" s="268"/>
      <c r="G194" s="112"/>
      <c r="H194" s="112">
        <v>3768.98504</v>
      </c>
      <c r="I194" s="126"/>
      <c r="J194" s="112"/>
      <c r="K194" s="112"/>
      <c r="L194" s="268"/>
      <c r="M194" s="112"/>
      <c r="N194" s="126"/>
      <c r="O194" s="112"/>
      <c r="P194" s="112"/>
      <c r="Q194" s="112">
        <v>0</v>
      </c>
      <c r="R194" s="112"/>
      <c r="S194" s="112">
        <v>4757.8967189999994</v>
      </c>
      <c r="T194" s="145"/>
      <c r="U194" s="144">
        <v>0.91200000000000003</v>
      </c>
      <c r="V194" s="112"/>
      <c r="W194" s="112"/>
      <c r="X194" s="112"/>
      <c r="Y194" s="112"/>
      <c r="Z194" s="112"/>
      <c r="AA194" s="112"/>
      <c r="AB194" s="112"/>
      <c r="AC194" s="112">
        <v>5</v>
      </c>
      <c r="AD194" s="112"/>
      <c r="AE194" s="112"/>
      <c r="AF194" s="112"/>
      <c r="AG194" s="112"/>
      <c r="AH194" s="112">
        <v>211.49600000000001</v>
      </c>
      <c r="AI194" s="112"/>
      <c r="AJ194" s="112"/>
      <c r="AK194" s="112"/>
      <c r="AL194" s="112"/>
      <c r="AM194" s="646">
        <f t="shared" si="3"/>
        <v>8754.2897589999993</v>
      </c>
      <c r="AO194" s="289"/>
    </row>
    <row r="195" spans="1:42" s="61" customFormat="1" ht="21" customHeight="1" x14ac:dyDescent="0.3">
      <c r="A195" s="705" t="s">
        <v>299</v>
      </c>
      <c r="B195" s="179" t="s">
        <v>293</v>
      </c>
      <c r="C195" s="135"/>
      <c r="D195" s="136">
        <v>104</v>
      </c>
      <c r="E195" s="136"/>
      <c r="F195" s="262"/>
      <c r="G195" s="136"/>
      <c r="H195" s="136"/>
      <c r="I195" s="326"/>
      <c r="J195" s="136"/>
      <c r="K195" s="136"/>
      <c r="L195" s="262"/>
      <c r="M195" s="136"/>
      <c r="N195" s="326"/>
      <c r="O195" s="136"/>
      <c r="P195" s="136"/>
      <c r="Q195" s="136"/>
      <c r="R195" s="136"/>
      <c r="S195" s="136"/>
      <c r="T195" s="137"/>
      <c r="U195" s="632"/>
      <c r="V195" s="122"/>
      <c r="W195" s="122"/>
      <c r="X195" s="122"/>
      <c r="Y195" s="122"/>
      <c r="Z195" s="122"/>
      <c r="AA195" s="122"/>
      <c r="AB195" s="122"/>
      <c r="AC195" s="122"/>
      <c r="AD195" s="122"/>
      <c r="AE195" s="122"/>
      <c r="AF195" s="122"/>
      <c r="AG195" s="122">
        <v>1.25</v>
      </c>
      <c r="AH195" s="122"/>
      <c r="AI195" s="122"/>
      <c r="AJ195" s="122"/>
      <c r="AK195" s="122"/>
      <c r="AL195" s="122"/>
      <c r="AM195" s="639">
        <f t="shared" si="3"/>
        <v>105.25</v>
      </c>
      <c r="AO195" s="289"/>
    </row>
    <row r="196" spans="1:42" s="61" customFormat="1" ht="19.5" customHeight="1" x14ac:dyDescent="0.3">
      <c r="A196" s="706"/>
      <c r="B196" s="116" t="s">
        <v>294</v>
      </c>
      <c r="C196" s="138">
        <v>58.4</v>
      </c>
      <c r="D196" s="109">
        <v>48</v>
      </c>
      <c r="E196" s="109"/>
      <c r="F196" s="263"/>
      <c r="G196" s="109"/>
      <c r="H196" s="109">
        <v>1201</v>
      </c>
      <c r="I196" s="123"/>
      <c r="J196" s="109"/>
      <c r="K196" s="109"/>
      <c r="L196" s="263"/>
      <c r="M196" s="109"/>
      <c r="N196" s="123"/>
      <c r="O196" s="109"/>
      <c r="P196" s="109"/>
      <c r="Q196" s="109"/>
      <c r="R196" s="109"/>
      <c r="S196" s="109"/>
      <c r="T196" s="139"/>
      <c r="U196" s="138"/>
      <c r="V196" s="109"/>
      <c r="W196" s="109"/>
      <c r="X196" s="109"/>
      <c r="Y196" s="109"/>
      <c r="Z196" s="109"/>
      <c r="AA196" s="109"/>
      <c r="AB196" s="109"/>
      <c r="AC196" s="109"/>
      <c r="AD196" s="109"/>
      <c r="AE196" s="109"/>
      <c r="AF196" s="109"/>
      <c r="AG196" s="109">
        <v>1.95</v>
      </c>
      <c r="AH196" s="109"/>
      <c r="AI196" s="109"/>
      <c r="AJ196" s="109"/>
      <c r="AK196" s="109"/>
      <c r="AL196" s="109"/>
      <c r="AM196" s="640">
        <f t="shared" si="3"/>
        <v>1309.3500000000001</v>
      </c>
      <c r="AO196" s="289"/>
    </row>
    <row r="197" spans="1:42" s="61" customFormat="1" ht="22.5" customHeight="1" x14ac:dyDescent="0.3">
      <c r="A197" s="706"/>
      <c r="B197" s="117" t="s">
        <v>326</v>
      </c>
      <c r="C197" s="140">
        <v>26.048999999999999</v>
      </c>
      <c r="D197" s="110"/>
      <c r="E197" s="110"/>
      <c r="F197" s="264"/>
      <c r="G197" s="110">
        <v>3</v>
      </c>
      <c r="H197" s="110"/>
      <c r="I197" s="124"/>
      <c r="J197" s="110"/>
      <c r="K197" s="110"/>
      <c r="L197" s="264"/>
      <c r="M197" s="110"/>
      <c r="N197" s="124"/>
      <c r="O197" s="110"/>
      <c r="P197" s="110"/>
      <c r="Q197" s="110"/>
      <c r="R197" s="110"/>
      <c r="S197" s="110">
        <v>2444</v>
      </c>
      <c r="T197" s="141"/>
      <c r="U197" s="140"/>
      <c r="V197" s="110"/>
      <c r="W197" s="110"/>
      <c r="X197" s="110"/>
      <c r="Y197" s="110"/>
      <c r="Z197" s="110"/>
      <c r="AA197" s="110"/>
      <c r="AB197" s="110"/>
      <c r="AC197" s="110"/>
      <c r="AD197" s="110"/>
      <c r="AE197" s="110"/>
      <c r="AF197" s="110"/>
      <c r="AG197" s="110"/>
      <c r="AH197" s="110"/>
      <c r="AI197" s="110"/>
      <c r="AJ197" s="110"/>
      <c r="AK197" s="110">
        <v>1</v>
      </c>
      <c r="AL197" s="110"/>
      <c r="AM197" s="641">
        <f t="shared" si="3"/>
        <v>2474.049</v>
      </c>
      <c r="AO197" s="289"/>
      <c r="AP197" s="97"/>
    </row>
    <row r="198" spans="1:42" s="61" customFormat="1" ht="25.5" customHeight="1" x14ac:dyDescent="0.3">
      <c r="A198" s="706"/>
      <c r="B198" s="175" t="s">
        <v>327</v>
      </c>
      <c r="C198" s="176">
        <v>12.4</v>
      </c>
      <c r="D198" s="127"/>
      <c r="E198" s="127"/>
      <c r="F198" s="265"/>
      <c r="G198" s="127">
        <v>2</v>
      </c>
      <c r="H198" s="127"/>
      <c r="I198" s="178"/>
      <c r="J198" s="127"/>
      <c r="K198" s="127"/>
      <c r="L198" s="265"/>
      <c r="M198" s="127"/>
      <c r="N198" s="178"/>
      <c r="O198" s="127"/>
      <c r="P198" s="127"/>
      <c r="Q198" s="127"/>
      <c r="R198" s="127"/>
      <c r="S198" s="127">
        <v>4361</v>
      </c>
      <c r="T198" s="177"/>
      <c r="U198" s="176">
        <v>0.184</v>
      </c>
      <c r="V198" s="127"/>
      <c r="W198" s="127"/>
      <c r="X198" s="127"/>
      <c r="Y198" s="127"/>
      <c r="Z198" s="127"/>
      <c r="AA198" s="127"/>
      <c r="AB198" s="127"/>
      <c r="AC198" s="127"/>
      <c r="AD198" s="127"/>
      <c r="AE198" s="127"/>
      <c r="AF198" s="127"/>
      <c r="AG198" s="127"/>
      <c r="AH198" s="127"/>
      <c r="AI198" s="127"/>
      <c r="AJ198" s="127"/>
      <c r="AK198" s="127"/>
      <c r="AL198" s="127"/>
      <c r="AM198" s="642">
        <f t="shared" si="3"/>
        <v>4375.5839999999998</v>
      </c>
      <c r="AO198" s="289"/>
    </row>
    <row r="199" spans="1:42" s="61" customFormat="1" ht="25.5" customHeight="1" x14ac:dyDescent="0.3">
      <c r="A199" s="706"/>
      <c r="B199" s="180" t="s">
        <v>361</v>
      </c>
      <c r="C199" s="300">
        <v>32.5</v>
      </c>
      <c r="D199" s="173"/>
      <c r="E199" s="173"/>
      <c r="F199" s="266"/>
      <c r="G199" s="173"/>
      <c r="H199" s="173">
        <v>6</v>
      </c>
      <c r="I199" s="174"/>
      <c r="J199" s="173"/>
      <c r="K199" s="173"/>
      <c r="L199" s="266"/>
      <c r="M199" s="173"/>
      <c r="N199" s="174"/>
      <c r="O199" s="173"/>
      <c r="P199" s="173"/>
      <c r="Q199" s="173"/>
      <c r="R199" s="173"/>
      <c r="S199" s="173">
        <v>1831</v>
      </c>
      <c r="T199" s="327"/>
      <c r="U199" s="300"/>
      <c r="V199" s="173"/>
      <c r="W199" s="173"/>
      <c r="X199" s="173"/>
      <c r="Y199" s="173"/>
      <c r="Z199" s="173"/>
      <c r="AA199" s="173"/>
      <c r="AB199" s="173"/>
      <c r="AC199" s="173"/>
      <c r="AD199" s="173"/>
      <c r="AE199" s="173"/>
      <c r="AF199" s="173"/>
      <c r="AG199" s="173"/>
      <c r="AH199" s="173"/>
      <c r="AI199" s="173"/>
      <c r="AJ199" s="173"/>
      <c r="AK199" s="173"/>
      <c r="AL199" s="173"/>
      <c r="AM199" s="643">
        <f t="shared" si="3"/>
        <v>1869.5</v>
      </c>
      <c r="AO199" s="289"/>
      <c r="AP199" s="97"/>
    </row>
    <row r="200" spans="1:42" s="61" customFormat="1" ht="25.5" customHeight="1" x14ac:dyDescent="0.3">
      <c r="A200" s="706"/>
      <c r="B200" s="180" t="s">
        <v>362</v>
      </c>
      <c r="C200" s="300">
        <v>22.5</v>
      </c>
      <c r="D200" s="173"/>
      <c r="E200" s="173"/>
      <c r="F200" s="266"/>
      <c r="G200" s="173">
        <f>100</f>
        <v>100</v>
      </c>
      <c r="H200" s="173">
        <v>13</v>
      </c>
      <c r="I200" s="174"/>
      <c r="J200" s="173"/>
      <c r="K200" s="173"/>
      <c r="L200" s="266"/>
      <c r="M200" s="173"/>
      <c r="N200" s="174"/>
      <c r="O200" s="173"/>
      <c r="P200" s="173"/>
      <c r="Q200" s="173"/>
      <c r="R200" s="173"/>
      <c r="S200" s="173">
        <v>2285</v>
      </c>
      <c r="T200" s="327"/>
      <c r="U200" s="300">
        <v>0.27500000000000002</v>
      </c>
      <c r="V200" s="173"/>
      <c r="W200" s="173"/>
      <c r="X200" s="173"/>
      <c r="Y200" s="173"/>
      <c r="Z200" s="173"/>
      <c r="AA200" s="173"/>
      <c r="AB200" s="173"/>
      <c r="AC200" s="173"/>
      <c r="AD200" s="173"/>
      <c r="AE200" s="173"/>
      <c r="AF200" s="173"/>
      <c r="AG200" s="173"/>
      <c r="AH200" s="173"/>
      <c r="AI200" s="173"/>
      <c r="AJ200" s="173"/>
      <c r="AK200" s="173"/>
      <c r="AL200" s="173"/>
      <c r="AM200" s="644">
        <f t="shared" si="3"/>
        <v>2420.7750000000001</v>
      </c>
      <c r="AO200" s="289"/>
      <c r="AP200" s="97"/>
    </row>
    <row r="201" spans="1:42" s="61" customFormat="1" ht="22.5" customHeight="1" x14ac:dyDescent="0.3">
      <c r="A201" s="706"/>
      <c r="B201" s="115" t="s">
        <v>402</v>
      </c>
      <c r="C201" s="142">
        <v>33.113</v>
      </c>
      <c r="D201" s="111"/>
      <c r="E201" s="111"/>
      <c r="F201" s="267"/>
      <c r="G201" s="111">
        <v>95</v>
      </c>
      <c r="H201" s="111"/>
      <c r="I201" s="125"/>
      <c r="J201" s="111"/>
      <c r="K201" s="111"/>
      <c r="L201" s="267">
        <v>0</v>
      </c>
      <c r="M201" s="111"/>
      <c r="N201" s="125"/>
      <c r="O201" s="111"/>
      <c r="P201" s="111"/>
      <c r="Q201" s="111"/>
      <c r="R201" s="111"/>
      <c r="S201" s="111">
        <v>2788.9802120000004</v>
      </c>
      <c r="T201" s="143"/>
      <c r="U201" s="142">
        <v>0.189</v>
      </c>
      <c r="V201" s="111"/>
      <c r="W201" s="111"/>
      <c r="X201" s="111"/>
      <c r="Y201" s="111"/>
      <c r="Z201" s="111"/>
      <c r="AA201" s="111"/>
      <c r="AB201" s="111"/>
      <c r="AC201" s="111"/>
      <c r="AD201" s="111"/>
      <c r="AE201" s="111"/>
      <c r="AF201" s="111"/>
      <c r="AG201" s="111"/>
      <c r="AH201" s="111" t="s">
        <v>482</v>
      </c>
      <c r="AI201" s="111"/>
      <c r="AJ201" s="111"/>
      <c r="AK201" s="111"/>
      <c r="AL201" s="111"/>
      <c r="AM201" s="645">
        <f t="shared" si="3"/>
        <v>2917.2822120000001</v>
      </c>
      <c r="AO201" s="289"/>
    </row>
    <row r="202" spans="1:42" s="61" customFormat="1" ht="21" customHeight="1" x14ac:dyDescent="0.3">
      <c r="A202" s="707"/>
      <c r="B202" s="181" t="s">
        <v>403</v>
      </c>
      <c r="C202" s="144">
        <v>10.613</v>
      </c>
      <c r="D202" s="112"/>
      <c r="E202" s="112"/>
      <c r="F202" s="268"/>
      <c r="G202" s="112">
        <v>107</v>
      </c>
      <c r="H202" s="112"/>
      <c r="I202" s="126"/>
      <c r="J202" s="112"/>
      <c r="K202" s="112"/>
      <c r="L202" s="268"/>
      <c r="M202" s="112"/>
      <c r="N202" s="126"/>
      <c r="O202" s="112"/>
      <c r="P202" s="112"/>
      <c r="Q202" s="112"/>
      <c r="R202" s="112"/>
      <c r="S202" s="112">
        <v>497.05330200000003</v>
      </c>
      <c r="T202" s="145"/>
      <c r="U202" s="144">
        <v>0.189</v>
      </c>
      <c r="V202" s="112"/>
      <c r="W202" s="112"/>
      <c r="X202" s="112"/>
      <c r="Y202" s="112"/>
      <c r="Z202" s="112">
        <v>78</v>
      </c>
      <c r="AA202" s="112"/>
      <c r="AB202" s="112"/>
      <c r="AC202" s="112"/>
      <c r="AD202" s="112"/>
      <c r="AE202" s="112"/>
      <c r="AF202" s="112"/>
      <c r="AG202" s="112"/>
      <c r="AH202" s="112" t="s">
        <v>482</v>
      </c>
      <c r="AI202" s="112"/>
      <c r="AJ202" s="112"/>
      <c r="AK202" s="112"/>
      <c r="AL202" s="112"/>
      <c r="AM202" s="646">
        <f t="shared" si="3"/>
        <v>692.85530200000005</v>
      </c>
      <c r="AO202" s="289"/>
    </row>
    <row r="203" spans="1:42" s="61" customFormat="1" ht="21" customHeight="1" x14ac:dyDescent="0.3">
      <c r="A203" s="705" t="s">
        <v>123</v>
      </c>
      <c r="B203" s="179" t="s">
        <v>293</v>
      </c>
      <c r="C203" s="135"/>
      <c r="D203" s="136"/>
      <c r="E203" s="136"/>
      <c r="F203" s="262"/>
      <c r="G203" s="136">
        <v>7</v>
      </c>
      <c r="H203" s="136"/>
      <c r="I203" s="326"/>
      <c r="J203" s="136"/>
      <c r="K203" s="136"/>
      <c r="L203" s="262">
        <v>49.771999999999998</v>
      </c>
      <c r="M203" s="136"/>
      <c r="N203" s="326"/>
      <c r="O203" s="136"/>
      <c r="P203" s="136"/>
      <c r="Q203" s="136"/>
      <c r="R203" s="136"/>
      <c r="S203" s="136"/>
      <c r="T203" s="137">
        <v>6</v>
      </c>
      <c r="U203" s="632"/>
      <c r="V203" s="122"/>
      <c r="W203" s="122"/>
      <c r="X203" s="122">
        <v>11</v>
      </c>
      <c r="Y203" s="122"/>
      <c r="Z203" s="122"/>
      <c r="AA203" s="122"/>
      <c r="AB203" s="122"/>
      <c r="AC203" s="122"/>
      <c r="AD203" s="122"/>
      <c r="AE203" s="122"/>
      <c r="AF203" s="122"/>
      <c r="AG203" s="122"/>
      <c r="AH203" s="122"/>
      <c r="AI203" s="122"/>
      <c r="AJ203" s="122"/>
      <c r="AK203" s="122"/>
      <c r="AL203" s="122"/>
      <c r="AM203" s="639">
        <f t="shared" si="3"/>
        <v>73.771999999999991</v>
      </c>
      <c r="AO203" s="289"/>
    </row>
    <row r="204" spans="1:42" s="61" customFormat="1" ht="19.5" customHeight="1" x14ac:dyDescent="0.3">
      <c r="A204" s="706"/>
      <c r="B204" s="116" t="s">
        <v>294</v>
      </c>
      <c r="C204" s="138">
        <v>1</v>
      </c>
      <c r="D204" s="109"/>
      <c r="E204" s="109"/>
      <c r="F204" s="263"/>
      <c r="G204" s="109"/>
      <c r="H204" s="109"/>
      <c r="I204" s="123"/>
      <c r="J204" s="109"/>
      <c r="K204" s="109"/>
      <c r="L204" s="263"/>
      <c r="M204" s="109"/>
      <c r="N204" s="123"/>
      <c r="O204" s="109"/>
      <c r="P204" s="109"/>
      <c r="Q204" s="109"/>
      <c r="R204" s="109"/>
      <c r="S204" s="109">
        <v>-7.1689999999999996</v>
      </c>
      <c r="T204" s="139">
        <v>6</v>
      </c>
      <c r="U204" s="138"/>
      <c r="V204" s="109"/>
      <c r="W204" s="109"/>
      <c r="X204" s="109">
        <v>14</v>
      </c>
      <c r="Y204" s="109">
        <v>188.80600000000001</v>
      </c>
      <c r="Z204" s="109"/>
      <c r="AA204" s="109"/>
      <c r="AB204" s="109">
        <v>2</v>
      </c>
      <c r="AC204" s="109"/>
      <c r="AD204" s="109"/>
      <c r="AE204" s="109"/>
      <c r="AF204" s="109"/>
      <c r="AG204" s="109"/>
      <c r="AH204" s="109"/>
      <c r="AI204" s="109"/>
      <c r="AJ204" s="109"/>
      <c r="AK204" s="109"/>
      <c r="AL204" s="109"/>
      <c r="AM204" s="640">
        <f t="shared" si="3"/>
        <v>204.637</v>
      </c>
      <c r="AO204" s="289"/>
    </row>
    <row r="205" spans="1:42" s="61" customFormat="1" ht="22.5" customHeight="1" x14ac:dyDescent="0.3">
      <c r="A205" s="706"/>
      <c r="B205" s="117" t="s">
        <v>326</v>
      </c>
      <c r="C205" s="140"/>
      <c r="D205" s="110"/>
      <c r="E205" s="110"/>
      <c r="F205" s="264"/>
      <c r="G205" s="110">
        <v>13</v>
      </c>
      <c r="H205" s="110"/>
      <c r="I205" s="124"/>
      <c r="J205" s="110"/>
      <c r="K205" s="110"/>
      <c r="L205" s="264"/>
      <c r="M205" s="110"/>
      <c r="N205" s="124"/>
      <c r="O205" s="110"/>
      <c r="P205" s="110"/>
      <c r="Q205" s="110"/>
      <c r="R205" s="110"/>
      <c r="S205" s="110"/>
      <c r="T205" s="141"/>
      <c r="U205" s="140">
        <v>0.36599999999999999</v>
      </c>
      <c r="V205" s="110"/>
      <c r="W205" s="110">
        <v>129</v>
      </c>
      <c r="X205" s="110">
        <v>16</v>
      </c>
      <c r="Y205" s="110"/>
      <c r="Z205" s="110">
        <v>8</v>
      </c>
      <c r="AA205" s="110"/>
      <c r="AB205" s="110"/>
      <c r="AC205" s="110"/>
      <c r="AD205" s="110"/>
      <c r="AE205" s="110"/>
      <c r="AF205" s="110"/>
      <c r="AG205" s="110"/>
      <c r="AH205" s="110"/>
      <c r="AI205" s="110"/>
      <c r="AJ205" s="110"/>
      <c r="AK205" s="110"/>
      <c r="AL205" s="110"/>
      <c r="AM205" s="641">
        <f t="shared" si="3"/>
        <v>166.36599999999999</v>
      </c>
      <c r="AO205" s="289"/>
      <c r="AP205" s="97"/>
    </row>
    <row r="206" spans="1:42" s="61" customFormat="1" ht="25.5" customHeight="1" x14ac:dyDescent="0.3">
      <c r="A206" s="706"/>
      <c r="B206" s="175" t="s">
        <v>327</v>
      </c>
      <c r="C206" s="176"/>
      <c r="D206" s="127"/>
      <c r="E206" s="127"/>
      <c r="F206" s="265"/>
      <c r="G206" s="127">
        <v>9</v>
      </c>
      <c r="H206" s="127">
        <v>3</v>
      </c>
      <c r="I206" s="178"/>
      <c r="J206" s="127"/>
      <c r="K206" s="127"/>
      <c r="L206" s="265">
        <v>33</v>
      </c>
      <c r="M206" s="127"/>
      <c r="N206" s="178"/>
      <c r="O206" s="127"/>
      <c r="P206" s="127"/>
      <c r="Q206" s="127"/>
      <c r="R206" s="127"/>
      <c r="S206" s="127">
        <v>940</v>
      </c>
      <c r="T206" s="177"/>
      <c r="U206" s="176"/>
      <c r="V206" s="127"/>
      <c r="W206" s="127">
        <v>110</v>
      </c>
      <c r="X206" s="127">
        <v>17</v>
      </c>
      <c r="Y206" s="127"/>
      <c r="Z206" s="127">
        <v>74.192759999999993</v>
      </c>
      <c r="AA206" s="127"/>
      <c r="AB206" s="127">
        <v>2</v>
      </c>
      <c r="AC206" s="127"/>
      <c r="AD206" s="127"/>
      <c r="AE206" s="127"/>
      <c r="AF206" s="127"/>
      <c r="AG206" s="127"/>
      <c r="AH206" s="127"/>
      <c r="AI206" s="127"/>
      <c r="AJ206" s="127"/>
      <c r="AK206" s="127"/>
      <c r="AL206" s="127"/>
      <c r="AM206" s="642">
        <f t="shared" si="3"/>
        <v>1188.1927599999999</v>
      </c>
      <c r="AO206" s="289"/>
    </row>
    <row r="207" spans="1:42" s="61" customFormat="1" ht="25.5" customHeight="1" x14ac:dyDescent="0.3">
      <c r="A207" s="706"/>
      <c r="B207" s="180" t="s">
        <v>361</v>
      </c>
      <c r="C207" s="300"/>
      <c r="D207" s="173"/>
      <c r="E207" s="173"/>
      <c r="F207" s="266"/>
      <c r="G207" s="173">
        <v>9</v>
      </c>
      <c r="H207" s="173">
        <v>1192</v>
      </c>
      <c r="I207" s="174"/>
      <c r="J207" s="173"/>
      <c r="K207" s="173"/>
      <c r="L207" s="266"/>
      <c r="M207" s="173"/>
      <c r="N207" s="174"/>
      <c r="O207" s="173"/>
      <c r="P207" s="173"/>
      <c r="Q207" s="173"/>
      <c r="R207" s="173"/>
      <c r="S207" s="173">
        <v>614</v>
      </c>
      <c r="T207" s="327"/>
      <c r="U207" s="300">
        <v>1</v>
      </c>
      <c r="V207" s="173"/>
      <c r="W207" s="173">
        <v>113</v>
      </c>
      <c r="X207" s="173">
        <v>14</v>
      </c>
      <c r="Y207" s="173"/>
      <c r="Z207" s="173">
        <v>243.49063000000001</v>
      </c>
      <c r="AA207" s="173"/>
      <c r="AB207" s="173"/>
      <c r="AC207" s="173"/>
      <c r="AD207" s="173"/>
      <c r="AE207" s="173"/>
      <c r="AF207" s="173"/>
      <c r="AG207" s="173"/>
      <c r="AH207" s="173"/>
      <c r="AI207" s="173"/>
      <c r="AJ207" s="173"/>
      <c r="AK207" s="173"/>
      <c r="AL207" s="173"/>
      <c r="AM207" s="643">
        <f t="shared" si="3"/>
        <v>2186.4906300000002</v>
      </c>
      <c r="AO207" s="289"/>
      <c r="AP207" s="97"/>
    </row>
    <row r="208" spans="1:42" s="61" customFormat="1" ht="25.5" customHeight="1" x14ac:dyDescent="0.3">
      <c r="A208" s="706"/>
      <c r="B208" s="180" t="s">
        <v>362</v>
      </c>
      <c r="C208" s="300"/>
      <c r="D208" s="173"/>
      <c r="E208" s="173"/>
      <c r="F208" s="266"/>
      <c r="G208" s="173">
        <f>10+53</f>
        <v>63</v>
      </c>
      <c r="H208" s="173">
        <v>39</v>
      </c>
      <c r="I208" s="174"/>
      <c r="J208" s="173"/>
      <c r="K208" s="173"/>
      <c r="L208" s="266"/>
      <c r="M208" s="173"/>
      <c r="N208" s="174"/>
      <c r="O208" s="173"/>
      <c r="P208" s="173"/>
      <c r="Q208" s="173"/>
      <c r="R208" s="173"/>
      <c r="S208" s="173">
        <v>5735</v>
      </c>
      <c r="T208" s="327"/>
      <c r="U208" s="300">
        <v>13.609</v>
      </c>
      <c r="V208" s="173"/>
      <c r="W208" s="173">
        <v>99</v>
      </c>
      <c r="X208" s="173"/>
      <c r="Y208" s="173"/>
      <c r="Z208" s="173"/>
      <c r="AA208" s="173"/>
      <c r="AB208" s="173"/>
      <c r="AC208" s="173"/>
      <c r="AD208" s="173"/>
      <c r="AE208" s="173"/>
      <c r="AF208" s="173"/>
      <c r="AG208" s="173"/>
      <c r="AH208" s="173"/>
      <c r="AI208" s="173">
        <v>1</v>
      </c>
      <c r="AJ208" s="173"/>
      <c r="AK208" s="173"/>
      <c r="AL208" s="173"/>
      <c r="AM208" s="644">
        <f t="shared" si="3"/>
        <v>5950.6090000000004</v>
      </c>
      <c r="AO208" s="289"/>
      <c r="AP208" s="97"/>
    </row>
    <row r="209" spans="1:42" s="61" customFormat="1" ht="22.5" customHeight="1" x14ac:dyDescent="0.3">
      <c r="A209" s="706"/>
      <c r="B209" s="115" t="s">
        <v>402</v>
      </c>
      <c r="C209" s="142">
        <v>101.05</v>
      </c>
      <c r="D209" s="111"/>
      <c r="E209" s="111"/>
      <c r="F209" s="267"/>
      <c r="G209" s="111"/>
      <c r="H209" s="111"/>
      <c r="I209" s="125"/>
      <c r="J209" s="111"/>
      <c r="K209" s="111"/>
      <c r="L209" s="267">
        <v>0</v>
      </c>
      <c r="M209" s="111"/>
      <c r="N209" s="125"/>
      <c r="O209" s="111"/>
      <c r="P209" s="111"/>
      <c r="Q209" s="111"/>
      <c r="R209" s="111"/>
      <c r="S209" s="111">
        <v>4405.4050659999994</v>
      </c>
      <c r="T209" s="143">
        <v>50</v>
      </c>
      <c r="U209" s="142">
        <v>238.28899999999999</v>
      </c>
      <c r="V209" s="111"/>
      <c r="W209" s="111">
        <v>96</v>
      </c>
      <c r="X209" s="111"/>
      <c r="Y209" s="111"/>
      <c r="Z209" s="111">
        <v>151</v>
      </c>
      <c r="AA209" s="111"/>
      <c r="AB209" s="111"/>
      <c r="AC209" s="111"/>
      <c r="AD209" s="111"/>
      <c r="AE209" s="111"/>
      <c r="AF209" s="111">
        <v>11.71358</v>
      </c>
      <c r="AG209" s="111"/>
      <c r="AH209" s="111">
        <v>151.19999999999999</v>
      </c>
      <c r="AI209" s="111">
        <v>75</v>
      </c>
      <c r="AJ209" s="111"/>
      <c r="AK209" s="111"/>
      <c r="AL209" s="111"/>
      <c r="AM209" s="645">
        <f t="shared" si="3"/>
        <v>5279.6576459999987</v>
      </c>
      <c r="AO209" s="289"/>
    </row>
    <row r="210" spans="1:42" s="61" customFormat="1" ht="21" customHeight="1" x14ac:dyDescent="0.3">
      <c r="A210" s="707"/>
      <c r="B210" s="181" t="s">
        <v>403</v>
      </c>
      <c r="C210" s="144">
        <v>10</v>
      </c>
      <c r="D210" s="112"/>
      <c r="E210" s="112"/>
      <c r="F210" s="268"/>
      <c r="G210" s="112"/>
      <c r="H210" s="112">
        <v>993.6</v>
      </c>
      <c r="I210" s="126"/>
      <c r="J210" s="112"/>
      <c r="K210" s="112"/>
      <c r="L210" s="268"/>
      <c r="M210" s="112"/>
      <c r="N210" s="126"/>
      <c r="O210" s="112"/>
      <c r="P210" s="112"/>
      <c r="Q210" s="112"/>
      <c r="R210" s="112"/>
      <c r="S210" s="112">
        <v>329.14761499999997</v>
      </c>
      <c r="T210" s="145">
        <v>0</v>
      </c>
      <c r="U210" s="144">
        <v>96.236000000000004</v>
      </c>
      <c r="V210" s="112"/>
      <c r="W210" s="112">
        <f>177-96</f>
        <v>81</v>
      </c>
      <c r="X210" s="112"/>
      <c r="Y210" s="112"/>
      <c r="Z210" s="112"/>
      <c r="AA210" s="112"/>
      <c r="AB210" s="112"/>
      <c r="AC210" s="112"/>
      <c r="AD210" s="112"/>
      <c r="AE210" s="112"/>
      <c r="AF210" s="112">
        <v>77.30501000000001</v>
      </c>
      <c r="AG210" s="112"/>
      <c r="AH210" s="112" t="s">
        <v>482</v>
      </c>
      <c r="AI210" s="112">
        <v>76</v>
      </c>
      <c r="AJ210" s="112"/>
      <c r="AK210" s="112"/>
      <c r="AL210" s="112"/>
      <c r="AM210" s="646">
        <f t="shared" si="3"/>
        <v>1663.2886250000001</v>
      </c>
      <c r="AO210" s="289"/>
    </row>
    <row r="211" spans="1:42" s="61" customFormat="1" ht="21" customHeight="1" x14ac:dyDescent="0.3">
      <c r="A211" s="705" t="s">
        <v>124</v>
      </c>
      <c r="B211" s="179" t="s">
        <v>293</v>
      </c>
      <c r="C211" s="135">
        <v>445</v>
      </c>
      <c r="D211" s="136"/>
      <c r="E211" s="136"/>
      <c r="F211" s="262">
        <v>10954.601000000001</v>
      </c>
      <c r="G211" s="136">
        <v>404</v>
      </c>
      <c r="H211" s="136">
        <v>14150</v>
      </c>
      <c r="I211" s="326"/>
      <c r="J211" s="136"/>
      <c r="K211" s="136"/>
      <c r="L211" s="262"/>
      <c r="M211" s="136"/>
      <c r="N211" s="326"/>
      <c r="O211" s="136"/>
      <c r="P211" s="136"/>
      <c r="Q211" s="136">
        <v>10307</v>
      </c>
      <c r="R211" s="136"/>
      <c r="S211" s="136"/>
      <c r="T211" s="137"/>
      <c r="U211" s="632">
        <v>105003.60799999999</v>
      </c>
      <c r="V211" s="122"/>
      <c r="W211" s="122"/>
      <c r="X211" s="122"/>
      <c r="Y211" s="122"/>
      <c r="Z211" s="122">
        <v>7560</v>
      </c>
      <c r="AA211" s="122">
        <v>244.62573999999998</v>
      </c>
      <c r="AB211" s="122"/>
      <c r="AC211" s="122">
        <v>8486.741</v>
      </c>
      <c r="AD211" s="122"/>
      <c r="AE211" s="122"/>
      <c r="AF211" s="122"/>
      <c r="AG211" s="122">
        <v>8.83</v>
      </c>
      <c r="AH211" s="122"/>
      <c r="AI211" s="122"/>
      <c r="AJ211" s="122">
        <v>2144</v>
      </c>
      <c r="AK211" s="122">
        <v>2885.2</v>
      </c>
      <c r="AL211" s="122"/>
      <c r="AM211" s="639">
        <f t="shared" si="3"/>
        <v>162593.60574</v>
      </c>
      <c r="AO211" s="289"/>
    </row>
    <row r="212" spans="1:42" s="61" customFormat="1" ht="19.5" customHeight="1" x14ac:dyDescent="0.3">
      <c r="A212" s="706"/>
      <c r="B212" s="116" t="s">
        <v>294</v>
      </c>
      <c r="C212" s="138"/>
      <c r="D212" s="109"/>
      <c r="E212" s="109"/>
      <c r="F212" s="263">
        <v>2167.9760000000001</v>
      </c>
      <c r="G212" s="109">
        <v>400</v>
      </c>
      <c r="H212" s="109">
        <v>12135</v>
      </c>
      <c r="I212" s="123"/>
      <c r="J212" s="109"/>
      <c r="K212" s="109"/>
      <c r="L212" s="263"/>
      <c r="M212" s="109"/>
      <c r="N212" s="123"/>
      <c r="O212" s="109"/>
      <c r="P212" s="109"/>
      <c r="Q212" s="109">
        <v>10913</v>
      </c>
      <c r="R212" s="109"/>
      <c r="S212" s="109">
        <v>200</v>
      </c>
      <c r="T212" s="139"/>
      <c r="U212" s="138">
        <v>95814.066999999995</v>
      </c>
      <c r="V212" s="109"/>
      <c r="W212" s="109"/>
      <c r="X212" s="109"/>
      <c r="Y212" s="109"/>
      <c r="Z212" s="109">
        <v>6271</v>
      </c>
      <c r="AA212" s="109">
        <v>221.15073999999998</v>
      </c>
      <c r="AB212" s="109">
        <v>3</v>
      </c>
      <c r="AC212" s="109">
        <v>11782.136999999999</v>
      </c>
      <c r="AD212" s="109"/>
      <c r="AE212" s="109"/>
      <c r="AF212" s="109"/>
      <c r="AG212" s="109">
        <v>9.93</v>
      </c>
      <c r="AH212" s="109"/>
      <c r="AI212" s="109"/>
      <c r="AJ212" s="109"/>
      <c r="AK212" s="109">
        <v>1257.94</v>
      </c>
      <c r="AL212" s="109"/>
      <c r="AM212" s="640">
        <f t="shared" si="3"/>
        <v>141175.20074</v>
      </c>
      <c r="AO212" s="289"/>
    </row>
    <row r="213" spans="1:42" s="61" customFormat="1" ht="22.5" customHeight="1" x14ac:dyDescent="0.3">
      <c r="A213" s="706"/>
      <c r="B213" s="117" t="s">
        <v>326</v>
      </c>
      <c r="C213" s="140">
        <v>78.680999999999997</v>
      </c>
      <c r="D213" s="110"/>
      <c r="E213" s="110"/>
      <c r="F213" s="264">
        <v>7817</v>
      </c>
      <c r="G213" s="110">
        <v>400</v>
      </c>
      <c r="H213" s="110">
        <v>18673</v>
      </c>
      <c r="I213" s="124"/>
      <c r="J213" s="110"/>
      <c r="K213" s="110"/>
      <c r="L213" s="264">
        <v>344</v>
      </c>
      <c r="M213" s="110"/>
      <c r="N213" s="124"/>
      <c r="O213" s="110"/>
      <c r="P213" s="110"/>
      <c r="Q213" s="110">
        <v>31389</v>
      </c>
      <c r="R213" s="110"/>
      <c r="S213" s="110">
        <v>161368</v>
      </c>
      <c r="T213" s="141"/>
      <c r="U213" s="140">
        <v>108939.588</v>
      </c>
      <c r="V213" s="110"/>
      <c r="W213" s="110">
        <v>765</v>
      </c>
      <c r="X213" s="110">
        <v>20</v>
      </c>
      <c r="Y213" s="110"/>
      <c r="Z213" s="110">
        <v>6069</v>
      </c>
      <c r="AA213" s="110">
        <v>11.68449</v>
      </c>
      <c r="AB213" s="110"/>
      <c r="AC213" s="110">
        <v>8756.3209999999999</v>
      </c>
      <c r="AD213" s="110"/>
      <c r="AE213" s="110"/>
      <c r="AF213" s="110"/>
      <c r="AG213" s="110"/>
      <c r="AH213" s="110"/>
      <c r="AI213" s="110"/>
      <c r="AJ213" s="110">
        <v>1077</v>
      </c>
      <c r="AK213" s="110">
        <v>2628</v>
      </c>
      <c r="AL213" s="110"/>
      <c r="AM213" s="641">
        <f t="shared" si="3"/>
        <v>348336.27448999998</v>
      </c>
      <c r="AO213" s="289"/>
      <c r="AP213" s="97"/>
    </row>
    <row r="214" spans="1:42" s="61" customFormat="1" ht="25.5" customHeight="1" x14ac:dyDescent="0.3">
      <c r="A214" s="706"/>
      <c r="B214" s="175" t="s">
        <v>327</v>
      </c>
      <c r="C214" s="176">
        <v>1152.614</v>
      </c>
      <c r="D214" s="127"/>
      <c r="E214" s="127"/>
      <c r="F214" s="265">
        <v>5384</v>
      </c>
      <c r="G214" s="127">
        <v>400</v>
      </c>
      <c r="H214" s="127">
        <v>5809</v>
      </c>
      <c r="I214" s="178"/>
      <c r="J214" s="127"/>
      <c r="K214" s="127"/>
      <c r="L214" s="265">
        <v>1095</v>
      </c>
      <c r="M214" s="127"/>
      <c r="N214" s="178"/>
      <c r="O214" s="127"/>
      <c r="P214" s="127"/>
      <c r="Q214" s="127">
        <v>29217</v>
      </c>
      <c r="R214" s="127"/>
      <c r="S214" s="127">
        <v>257258</v>
      </c>
      <c r="T214" s="177"/>
      <c r="U214" s="176">
        <v>169817.26500000001</v>
      </c>
      <c r="V214" s="127"/>
      <c r="W214" s="127">
        <v>100</v>
      </c>
      <c r="X214" s="127">
        <v>30</v>
      </c>
      <c r="Y214" s="127">
        <v>50</v>
      </c>
      <c r="Z214" s="127">
        <v>6428</v>
      </c>
      <c r="AA214" s="127">
        <v>442.53775000000002</v>
      </c>
      <c r="AB214" s="127"/>
      <c r="AC214" s="127">
        <v>11311.208999999999</v>
      </c>
      <c r="AD214" s="127"/>
      <c r="AE214" s="127"/>
      <c r="AF214" s="127"/>
      <c r="AG214" s="127"/>
      <c r="AH214" s="127"/>
      <c r="AI214" s="127"/>
      <c r="AJ214" s="127"/>
      <c r="AK214" s="127">
        <f>5687-1</f>
        <v>5686</v>
      </c>
      <c r="AL214" s="127"/>
      <c r="AM214" s="642">
        <f t="shared" si="3"/>
        <v>494180.62575000001</v>
      </c>
      <c r="AO214" s="289"/>
    </row>
    <row r="215" spans="1:42" s="61" customFormat="1" ht="25.5" customHeight="1" x14ac:dyDescent="0.3">
      <c r="A215" s="706"/>
      <c r="B215" s="180" t="s">
        <v>361</v>
      </c>
      <c r="C215" s="300">
        <v>1723.8626100000001</v>
      </c>
      <c r="D215" s="173"/>
      <c r="E215" s="173"/>
      <c r="F215" s="266">
        <v>3923</v>
      </c>
      <c r="G215" s="173">
        <f>114</f>
        <v>114</v>
      </c>
      <c r="H215" s="173">
        <f>6849+2104</f>
        <v>8953</v>
      </c>
      <c r="I215" s="174"/>
      <c r="J215" s="173"/>
      <c r="K215" s="173"/>
      <c r="L215" s="266">
        <v>489</v>
      </c>
      <c r="M215" s="173"/>
      <c r="N215" s="174"/>
      <c r="O215" s="173"/>
      <c r="P215" s="173"/>
      <c r="Q215" s="173">
        <v>86440</v>
      </c>
      <c r="R215" s="173"/>
      <c r="S215" s="173">
        <v>231261</v>
      </c>
      <c r="T215" s="327">
        <v>95.6</v>
      </c>
      <c r="U215" s="300">
        <v>158318.99299999999</v>
      </c>
      <c r="V215" s="173"/>
      <c r="W215" s="173">
        <v>743</v>
      </c>
      <c r="X215" s="173"/>
      <c r="Y215" s="173"/>
      <c r="Z215" s="173">
        <v>6645.8822699999992</v>
      </c>
      <c r="AA215" s="173">
        <f>16.49389-15</f>
        <v>1.4938900000000004</v>
      </c>
      <c r="AB215" s="173"/>
      <c r="AC215" s="173">
        <f>2268+1067</f>
        <v>3335</v>
      </c>
      <c r="AD215" s="173"/>
      <c r="AE215" s="173"/>
      <c r="AF215" s="173"/>
      <c r="AG215" s="173">
        <v>17</v>
      </c>
      <c r="AH215" s="173"/>
      <c r="AI215" s="173"/>
      <c r="AJ215" s="173"/>
      <c r="AK215" s="173">
        <v>814</v>
      </c>
      <c r="AL215" s="173"/>
      <c r="AM215" s="643">
        <f t="shared" si="3"/>
        <v>502874.83176999993</v>
      </c>
      <c r="AO215" s="289"/>
      <c r="AP215" s="97"/>
    </row>
    <row r="216" spans="1:42" s="61" customFormat="1" ht="25.5" customHeight="1" x14ac:dyDescent="0.3">
      <c r="A216" s="706"/>
      <c r="B216" s="180" t="s">
        <v>362</v>
      </c>
      <c r="C216" s="300">
        <v>1039.96459</v>
      </c>
      <c r="D216" s="173"/>
      <c r="E216" s="173"/>
      <c r="F216" s="266">
        <v>6402</v>
      </c>
      <c r="G216" s="173">
        <v>450</v>
      </c>
      <c r="H216" s="173">
        <f>2124+10488+4334+14</f>
        <v>16960</v>
      </c>
      <c r="I216" s="174"/>
      <c r="J216" s="173"/>
      <c r="K216" s="173"/>
      <c r="L216" s="266">
        <v>290</v>
      </c>
      <c r="M216" s="173"/>
      <c r="N216" s="174"/>
      <c r="O216" s="173"/>
      <c r="P216" s="173"/>
      <c r="Q216" s="173">
        <v>72558</v>
      </c>
      <c r="R216" s="173"/>
      <c r="S216" s="173">
        <v>243148</v>
      </c>
      <c r="T216" s="327">
        <v>93.7</v>
      </c>
      <c r="U216" s="300">
        <v>111088.005</v>
      </c>
      <c r="V216" s="173"/>
      <c r="W216" s="173">
        <v>316</v>
      </c>
      <c r="X216" s="173"/>
      <c r="Y216" s="173">
        <v>30</v>
      </c>
      <c r="Z216" s="173">
        <v>10339.460160000001</v>
      </c>
      <c r="AA216" s="173">
        <v>0.29721999999999998</v>
      </c>
      <c r="AB216" s="173"/>
      <c r="AC216" s="173">
        <f>24834-2268+1511</f>
        <v>24077</v>
      </c>
      <c r="AD216" s="173"/>
      <c r="AE216" s="173"/>
      <c r="AF216" s="173"/>
      <c r="AG216" s="173"/>
      <c r="AH216" s="173">
        <v>1096</v>
      </c>
      <c r="AI216" s="173">
        <v>188</v>
      </c>
      <c r="AJ216" s="173">
        <v>1638</v>
      </c>
      <c r="AK216" s="173"/>
      <c r="AL216" s="173"/>
      <c r="AM216" s="644">
        <f t="shared" si="3"/>
        <v>489714.42697000003</v>
      </c>
      <c r="AO216" s="289"/>
      <c r="AP216" s="97"/>
    </row>
    <row r="217" spans="1:42" s="61" customFormat="1" ht="22.5" customHeight="1" x14ac:dyDescent="0.3">
      <c r="A217" s="706"/>
      <c r="B217" s="115" t="s">
        <v>402</v>
      </c>
      <c r="C217" s="142">
        <v>1402.2772299999999</v>
      </c>
      <c r="D217" s="111"/>
      <c r="E217" s="111"/>
      <c r="F217" s="267">
        <v>8347.5</v>
      </c>
      <c r="G217" s="111">
        <v>111</v>
      </c>
      <c r="H217" s="111">
        <v>3240</v>
      </c>
      <c r="I217" s="125"/>
      <c r="J217" s="111"/>
      <c r="K217" s="111"/>
      <c r="L217" s="267">
        <v>765</v>
      </c>
      <c r="M217" s="111"/>
      <c r="N217" s="125"/>
      <c r="O217" s="111">
        <v>796</v>
      </c>
      <c r="P217" s="111"/>
      <c r="Q217" s="111">
        <v>92581</v>
      </c>
      <c r="R217" s="111"/>
      <c r="S217" s="111">
        <v>109599.04723799998</v>
      </c>
      <c r="T217" s="143">
        <v>399.27</v>
      </c>
      <c r="U217" s="142">
        <v>64226.284</v>
      </c>
      <c r="V217" s="111"/>
      <c r="W217" s="111">
        <v>869</v>
      </c>
      <c r="X217" s="111"/>
      <c r="Y217" s="111"/>
      <c r="Z217" s="111">
        <v>9468</v>
      </c>
      <c r="AA217" s="111"/>
      <c r="AB217" s="111"/>
      <c r="AC217" s="111">
        <v>39112</v>
      </c>
      <c r="AD217" s="111"/>
      <c r="AE217" s="111"/>
      <c r="AF217" s="111"/>
      <c r="AG217" s="111"/>
      <c r="AH217" s="111">
        <v>1440.694</v>
      </c>
      <c r="AI217" s="111"/>
      <c r="AJ217" s="111">
        <v>829</v>
      </c>
      <c r="AK217" s="111">
        <f>1028.394/1.097</f>
        <v>937.46034639927075</v>
      </c>
      <c r="AL217" s="111"/>
      <c r="AM217" s="645">
        <f t="shared" si="3"/>
        <v>334123.53281439928</v>
      </c>
      <c r="AO217" s="289"/>
    </row>
    <row r="218" spans="1:42" s="61" customFormat="1" ht="21" customHeight="1" x14ac:dyDescent="0.3">
      <c r="A218" s="707"/>
      <c r="B218" s="181" t="s">
        <v>403</v>
      </c>
      <c r="C218" s="144">
        <v>1344.98515</v>
      </c>
      <c r="D218" s="112"/>
      <c r="E218" s="112"/>
      <c r="F218" s="268">
        <v>4184.3</v>
      </c>
      <c r="G218" s="112"/>
      <c r="H218" s="112">
        <v>2761</v>
      </c>
      <c r="I218" s="126"/>
      <c r="J218" s="112"/>
      <c r="K218" s="112"/>
      <c r="L218" s="268">
        <v>2365.3000000000002</v>
      </c>
      <c r="M218" s="112">
        <v>13.525919999999999</v>
      </c>
      <c r="N218" s="126"/>
      <c r="O218" s="112">
        <v>548</v>
      </c>
      <c r="P218" s="112"/>
      <c r="Q218" s="112">
        <v>83128</v>
      </c>
      <c r="R218" s="112"/>
      <c r="S218" s="112">
        <v>67632.49294099999</v>
      </c>
      <c r="T218" s="145">
        <v>97.5</v>
      </c>
      <c r="U218" s="144">
        <v>35058.021000000001</v>
      </c>
      <c r="V218" s="112"/>
      <c r="W218" s="112">
        <f>1238-869</f>
        <v>369</v>
      </c>
      <c r="X218" s="112"/>
      <c r="Y218" s="112">
        <v>50</v>
      </c>
      <c r="Z218" s="112">
        <v>9296</v>
      </c>
      <c r="AA218" s="112"/>
      <c r="AB218" s="112"/>
      <c r="AC218" s="112">
        <v>3209</v>
      </c>
      <c r="AD218" s="112"/>
      <c r="AE218" s="112"/>
      <c r="AF218" s="112"/>
      <c r="AG218" s="112"/>
      <c r="AH218" s="112">
        <v>15841.239</v>
      </c>
      <c r="AI218" s="112"/>
      <c r="AJ218" s="112">
        <v>854</v>
      </c>
      <c r="AK218" s="112"/>
      <c r="AL218" s="112"/>
      <c r="AM218" s="646">
        <f t="shared" si="3"/>
        <v>226752.364011</v>
      </c>
      <c r="AO218" s="289"/>
    </row>
    <row r="219" spans="1:42" s="61" customFormat="1" ht="21" customHeight="1" x14ac:dyDescent="0.3">
      <c r="A219" s="705" t="s">
        <v>300</v>
      </c>
      <c r="B219" s="179" t="s">
        <v>293</v>
      </c>
      <c r="C219" s="135"/>
      <c r="D219" s="136"/>
      <c r="E219" s="136"/>
      <c r="F219" s="262"/>
      <c r="G219" s="136"/>
      <c r="H219" s="136"/>
      <c r="I219" s="326"/>
      <c r="J219" s="136"/>
      <c r="K219" s="136"/>
      <c r="L219" s="262"/>
      <c r="M219" s="136"/>
      <c r="N219" s="326"/>
      <c r="O219" s="136"/>
      <c r="P219" s="136"/>
      <c r="Q219" s="136"/>
      <c r="R219" s="136"/>
      <c r="S219" s="136"/>
      <c r="T219" s="137"/>
      <c r="U219" s="632"/>
      <c r="V219" s="122"/>
      <c r="W219" s="122"/>
      <c r="X219" s="122"/>
      <c r="Y219" s="122"/>
      <c r="Z219" s="122">
        <v>1.5</v>
      </c>
      <c r="AA219" s="122"/>
      <c r="AB219" s="122"/>
      <c r="AC219" s="122"/>
      <c r="AD219" s="122"/>
      <c r="AE219" s="122"/>
      <c r="AF219" s="122"/>
      <c r="AG219" s="122"/>
      <c r="AH219" s="122"/>
      <c r="AI219" s="122"/>
      <c r="AJ219" s="122"/>
      <c r="AK219" s="122"/>
      <c r="AL219" s="122"/>
      <c r="AM219" s="639">
        <f t="shared" si="3"/>
        <v>1.5</v>
      </c>
      <c r="AO219" s="289"/>
    </row>
    <row r="220" spans="1:42" s="61" customFormat="1" ht="19.5" customHeight="1" x14ac:dyDescent="0.3">
      <c r="A220" s="706"/>
      <c r="B220" s="116" t="s">
        <v>294</v>
      </c>
      <c r="C220" s="138"/>
      <c r="D220" s="109"/>
      <c r="E220" s="109"/>
      <c r="F220" s="263"/>
      <c r="G220" s="109"/>
      <c r="H220" s="109"/>
      <c r="I220" s="123"/>
      <c r="J220" s="109"/>
      <c r="K220" s="109"/>
      <c r="L220" s="263"/>
      <c r="M220" s="109"/>
      <c r="N220" s="123"/>
      <c r="O220" s="109"/>
      <c r="P220" s="109"/>
      <c r="Q220" s="109"/>
      <c r="R220" s="109"/>
      <c r="S220" s="109"/>
      <c r="T220" s="139"/>
      <c r="U220" s="138"/>
      <c r="V220" s="109"/>
      <c r="W220" s="109"/>
      <c r="X220" s="109"/>
      <c r="Y220" s="109"/>
      <c r="Z220" s="109"/>
      <c r="AA220" s="109"/>
      <c r="AB220" s="109"/>
      <c r="AC220" s="109"/>
      <c r="AD220" s="109"/>
      <c r="AE220" s="109"/>
      <c r="AF220" s="109"/>
      <c r="AG220" s="109"/>
      <c r="AH220" s="109"/>
      <c r="AI220" s="109"/>
      <c r="AJ220" s="109"/>
      <c r="AK220" s="109"/>
      <c r="AL220" s="109"/>
      <c r="AM220" s="640">
        <f t="shared" si="3"/>
        <v>0</v>
      </c>
      <c r="AO220" s="289"/>
    </row>
    <row r="221" spans="1:42" s="61" customFormat="1" ht="22.5" customHeight="1" x14ac:dyDescent="0.3">
      <c r="A221" s="706"/>
      <c r="B221" s="117" t="s">
        <v>326</v>
      </c>
      <c r="C221" s="140"/>
      <c r="D221" s="110"/>
      <c r="E221" s="110"/>
      <c r="F221" s="264"/>
      <c r="G221" s="110"/>
      <c r="H221" s="110"/>
      <c r="I221" s="124"/>
      <c r="J221" s="110"/>
      <c r="K221" s="110"/>
      <c r="L221" s="264">
        <v>31</v>
      </c>
      <c r="M221" s="110"/>
      <c r="N221" s="124"/>
      <c r="O221" s="110"/>
      <c r="P221" s="110"/>
      <c r="Q221" s="110"/>
      <c r="R221" s="110"/>
      <c r="S221" s="110"/>
      <c r="T221" s="141"/>
      <c r="U221" s="140"/>
      <c r="V221" s="110"/>
      <c r="W221" s="110"/>
      <c r="X221" s="110"/>
      <c r="Y221" s="110"/>
      <c r="Z221" s="110"/>
      <c r="AA221" s="110"/>
      <c r="AB221" s="110"/>
      <c r="AC221" s="110"/>
      <c r="AD221" s="110"/>
      <c r="AE221" s="110"/>
      <c r="AF221" s="110"/>
      <c r="AG221" s="110"/>
      <c r="AH221" s="110"/>
      <c r="AI221" s="110"/>
      <c r="AJ221" s="110"/>
      <c r="AK221" s="110"/>
      <c r="AL221" s="110"/>
      <c r="AM221" s="641">
        <f t="shared" si="3"/>
        <v>31</v>
      </c>
      <c r="AO221" s="289"/>
      <c r="AP221" s="97"/>
    </row>
    <row r="222" spans="1:42" s="61" customFormat="1" ht="25.5" customHeight="1" x14ac:dyDescent="0.3">
      <c r="A222" s="706"/>
      <c r="B222" s="175" t="s">
        <v>327</v>
      </c>
      <c r="C222" s="176"/>
      <c r="D222" s="127"/>
      <c r="E222" s="127"/>
      <c r="F222" s="265"/>
      <c r="G222" s="127"/>
      <c r="H222" s="127"/>
      <c r="I222" s="178"/>
      <c r="J222" s="127"/>
      <c r="K222" s="127"/>
      <c r="L222" s="265"/>
      <c r="M222" s="127"/>
      <c r="N222" s="178"/>
      <c r="O222" s="127"/>
      <c r="P222" s="127"/>
      <c r="Q222" s="127"/>
      <c r="R222" s="127"/>
      <c r="S222" s="127"/>
      <c r="T222" s="177"/>
      <c r="U222" s="176"/>
      <c r="V222" s="127"/>
      <c r="W222" s="127"/>
      <c r="X222" s="127"/>
      <c r="Y222" s="127"/>
      <c r="Z222" s="127"/>
      <c r="AA222" s="127"/>
      <c r="AB222" s="127"/>
      <c r="AC222" s="127"/>
      <c r="AD222" s="127"/>
      <c r="AE222" s="127"/>
      <c r="AF222" s="127"/>
      <c r="AG222" s="127"/>
      <c r="AH222" s="127"/>
      <c r="AI222" s="127"/>
      <c r="AJ222" s="127"/>
      <c r="AK222" s="127"/>
      <c r="AL222" s="127"/>
      <c r="AM222" s="642">
        <f t="shared" si="3"/>
        <v>0</v>
      </c>
      <c r="AO222" s="289"/>
    </row>
    <row r="223" spans="1:42" s="61" customFormat="1" ht="25.5" customHeight="1" x14ac:dyDescent="0.3">
      <c r="A223" s="706"/>
      <c r="B223" s="180" t="s">
        <v>361</v>
      </c>
      <c r="C223" s="300"/>
      <c r="D223" s="173"/>
      <c r="E223" s="173"/>
      <c r="F223" s="266"/>
      <c r="G223" s="173"/>
      <c r="H223" s="173"/>
      <c r="I223" s="174"/>
      <c r="J223" s="173"/>
      <c r="K223" s="173"/>
      <c r="L223" s="266"/>
      <c r="M223" s="173"/>
      <c r="N223" s="174"/>
      <c r="O223" s="173"/>
      <c r="P223" s="173"/>
      <c r="Q223" s="173"/>
      <c r="R223" s="173"/>
      <c r="S223" s="173"/>
      <c r="T223" s="327"/>
      <c r="U223" s="300"/>
      <c r="V223" s="173"/>
      <c r="W223" s="173"/>
      <c r="X223" s="173"/>
      <c r="Y223" s="173"/>
      <c r="Z223" s="173"/>
      <c r="AA223" s="173"/>
      <c r="AB223" s="173"/>
      <c r="AC223" s="173"/>
      <c r="AD223" s="173"/>
      <c r="AE223" s="173"/>
      <c r="AF223" s="173"/>
      <c r="AG223" s="173"/>
      <c r="AH223" s="173"/>
      <c r="AI223" s="173"/>
      <c r="AJ223" s="173"/>
      <c r="AK223" s="173"/>
      <c r="AL223" s="173"/>
      <c r="AM223" s="643">
        <f t="shared" si="3"/>
        <v>0</v>
      </c>
      <c r="AO223" s="289"/>
      <c r="AP223" s="97"/>
    </row>
    <row r="224" spans="1:42" s="61" customFormat="1" ht="25.5" customHeight="1" x14ac:dyDescent="0.3">
      <c r="A224" s="706"/>
      <c r="B224" s="180" t="s">
        <v>362</v>
      </c>
      <c r="C224" s="300"/>
      <c r="D224" s="173"/>
      <c r="E224" s="173"/>
      <c r="F224" s="266"/>
      <c r="G224" s="173"/>
      <c r="H224" s="173"/>
      <c r="I224" s="174"/>
      <c r="J224" s="173"/>
      <c r="K224" s="173"/>
      <c r="L224" s="266"/>
      <c r="M224" s="173"/>
      <c r="N224" s="174"/>
      <c r="O224" s="173"/>
      <c r="P224" s="173"/>
      <c r="Q224" s="173"/>
      <c r="R224" s="173"/>
      <c r="S224" s="173"/>
      <c r="T224" s="327"/>
      <c r="U224" s="300"/>
      <c r="V224" s="173"/>
      <c r="W224" s="173"/>
      <c r="X224" s="173"/>
      <c r="Y224" s="173"/>
      <c r="Z224" s="173"/>
      <c r="AA224" s="173"/>
      <c r="AB224" s="173"/>
      <c r="AC224" s="173"/>
      <c r="AD224" s="173"/>
      <c r="AE224" s="173"/>
      <c r="AF224" s="173"/>
      <c r="AG224" s="173"/>
      <c r="AH224" s="173"/>
      <c r="AI224" s="173"/>
      <c r="AJ224" s="173"/>
      <c r="AK224" s="173"/>
      <c r="AL224" s="173"/>
      <c r="AM224" s="644">
        <f t="shared" si="3"/>
        <v>0</v>
      </c>
      <c r="AO224" s="289"/>
      <c r="AP224" s="97"/>
    </row>
    <row r="225" spans="1:42" s="61" customFormat="1" ht="22.5" customHeight="1" x14ac:dyDescent="0.3">
      <c r="A225" s="706"/>
      <c r="B225" s="115" t="s">
        <v>402</v>
      </c>
      <c r="C225" s="142"/>
      <c r="D225" s="111"/>
      <c r="E225" s="111"/>
      <c r="F225" s="267"/>
      <c r="G225" s="111"/>
      <c r="H225" s="111"/>
      <c r="I225" s="125"/>
      <c r="J225" s="111"/>
      <c r="K225" s="111"/>
      <c r="L225" s="267">
        <v>0</v>
      </c>
      <c r="M225" s="111"/>
      <c r="N225" s="125"/>
      <c r="O225" s="111"/>
      <c r="P225" s="111"/>
      <c r="Q225" s="111"/>
      <c r="R225" s="111"/>
      <c r="S225" s="111"/>
      <c r="T225" s="143"/>
      <c r="U225" s="142"/>
      <c r="V225" s="111"/>
      <c r="W225" s="111"/>
      <c r="X225" s="111"/>
      <c r="Y225" s="111"/>
      <c r="Z225" s="111"/>
      <c r="AA225" s="111"/>
      <c r="AB225" s="111"/>
      <c r="AC225" s="111"/>
      <c r="AD225" s="111"/>
      <c r="AE225" s="111"/>
      <c r="AF225" s="111"/>
      <c r="AG225" s="111"/>
      <c r="AH225" s="111" t="s">
        <v>482</v>
      </c>
      <c r="AI225" s="111"/>
      <c r="AJ225" s="111"/>
      <c r="AK225" s="111"/>
      <c r="AL225" s="111"/>
      <c r="AM225" s="645">
        <f t="shared" si="3"/>
        <v>0</v>
      </c>
      <c r="AO225" s="289"/>
    </row>
    <row r="226" spans="1:42" s="61" customFormat="1" ht="21" customHeight="1" x14ac:dyDescent="0.3">
      <c r="A226" s="707"/>
      <c r="B226" s="181" t="s">
        <v>403</v>
      </c>
      <c r="C226" s="144"/>
      <c r="D226" s="112"/>
      <c r="E226" s="112"/>
      <c r="F226" s="268"/>
      <c r="G226" s="112"/>
      <c r="H226" s="112"/>
      <c r="I226" s="126"/>
      <c r="J226" s="112"/>
      <c r="K226" s="112"/>
      <c r="L226" s="268"/>
      <c r="M226" s="112"/>
      <c r="N226" s="126"/>
      <c r="O226" s="112"/>
      <c r="P226" s="112"/>
      <c r="Q226" s="112"/>
      <c r="R226" s="112"/>
      <c r="S226" s="112">
        <v>27.651650999999998</v>
      </c>
      <c r="T226" s="145"/>
      <c r="U226" s="144"/>
      <c r="V226" s="112"/>
      <c r="W226" s="112"/>
      <c r="X226" s="112"/>
      <c r="Y226" s="112"/>
      <c r="Z226" s="112"/>
      <c r="AA226" s="112"/>
      <c r="AB226" s="112"/>
      <c r="AC226" s="112"/>
      <c r="AD226" s="112"/>
      <c r="AE226" s="112"/>
      <c r="AF226" s="112"/>
      <c r="AG226" s="112"/>
      <c r="AH226" s="112" t="s">
        <v>482</v>
      </c>
      <c r="AI226" s="112"/>
      <c r="AJ226" s="112"/>
      <c r="AK226" s="112"/>
      <c r="AL226" s="112"/>
      <c r="AM226" s="646">
        <f t="shared" si="3"/>
        <v>27.651650999999998</v>
      </c>
      <c r="AO226" s="289"/>
    </row>
    <row r="227" spans="1:42" s="61" customFormat="1" ht="21" customHeight="1" x14ac:dyDescent="0.3">
      <c r="A227" s="705" t="s">
        <v>126</v>
      </c>
      <c r="B227" s="179" t="s">
        <v>293</v>
      </c>
      <c r="C227" s="135">
        <v>56.95</v>
      </c>
      <c r="D227" s="136"/>
      <c r="E227" s="136"/>
      <c r="F227" s="262"/>
      <c r="G227" s="136"/>
      <c r="H227" s="136"/>
      <c r="I227" s="326"/>
      <c r="J227" s="136"/>
      <c r="K227" s="136"/>
      <c r="L227" s="262"/>
      <c r="M227" s="136"/>
      <c r="N227" s="326"/>
      <c r="O227" s="136"/>
      <c r="P227" s="136"/>
      <c r="Q227" s="136"/>
      <c r="R227" s="136"/>
      <c r="S227" s="136"/>
      <c r="T227" s="137">
        <v>9.98</v>
      </c>
      <c r="U227" s="632"/>
      <c r="V227" s="122"/>
      <c r="W227" s="122"/>
      <c r="X227" s="122"/>
      <c r="Y227" s="122">
        <v>163.31</v>
      </c>
      <c r="Z227" s="122">
        <v>272.18290999999999</v>
      </c>
      <c r="AA227" s="122"/>
      <c r="AB227" s="122"/>
      <c r="AC227" s="122"/>
      <c r="AD227" s="122">
        <v>10</v>
      </c>
      <c r="AE227" s="122"/>
      <c r="AF227" s="122"/>
      <c r="AG227" s="122"/>
      <c r="AH227" s="122"/>
      <c r="AI227" s="122"/>
      <c r="AJ227" s="122"/>
      <c r="AK227" s="122"/>
      <c r="AL227" s="122"/>
      <c r="AM227" s="639">
        <f t="shared" si="3"/>
        <v>512.42291</v>
      </c>
      <c r="AO227" s="289"/>
    </row>
    <row r="228" spans="1:42" s="61" customFormat="1" ht="19.5" customHeight="1" x14ac:dyDescent="0.3">
      <c r="A228" s="706"/>
      <c r="B228" s="116" t="s">
        <v>294</v>
      </c>
      <c r="C228" s="138"/>
      <c r="D228" s="109"/>
      <c r="E228" s="109"/>
      <c r="F228" s="263"/>
      <c r="G228" s="109"/>
      <c r="H228" s="109"/>
      <c r="I228" s="123"/>
      <c r="J228" s="109"/>
      <c r="K228" s="109"/>
      <c r="L228" s="263"/>
      <c r="M228" s="109"/>
      <c r="N228" s="123"/>
      <c r="O228" s="109"/>
      <c r="P228" s="109"/>
      <c r="Q228" s="109"/>
      <c r="R228" s="109"/>
      <c r="S228" s="109"/>
      <c r="T228" s="139"/>
      <c r="U228" s="138"/>
      <c r="V228" s="109"/>
      <c r="W228" s="109"/>
      <c r="X228" s="109"/>
      <c r="Y228" s="109"/>
      <c r="Z228" s="109"/>
      <c r="AA228" s="109"/>
      <c r="AB228" s="109"/>
      <c r="AC228" s="109"/>
      <c r="AD228" s="109">
        <v>10</v>
      </c>
      <c r="AE228" s="109"/>
      <c r="AF228" s="109"/>
      <c r="AG228" s="109"/>
      <c r="AH228" s="109"/>
      <c r="AI228" s="109"/>
      <c r="AJ228" s="109"/>
      <c r="AK228" s="109"/>
      <c r="AL228" s="109"/>
      <c r="AM228" s="640">
        <f t="shared" si="3"/>
        <v>10</v>
      </c>
      <c r="AO228" s="289"/>
    </row>
    <row r="229" spans="1:42" s="61" customFormat="1" ht="22.5" customHeight="1" x14ac:dyDescent="0.3">
      <c r="A229" s="706"/>
      <c r="B229" s="117" t="s">
        <v>326</v>
      </c>
      <c r="C229" s="140">
        <v>16</v>
      </c>
      <c r="D229" s="110"/>
      <c r="E229" s="110"/>
      <c r="F229" s="264"/>
      <c r="G229" s="110"/>
      <c r="H229" s="110"/>
      <c r="I229" s="124"/>
      <c r="J229" s="110"/>
      <c r="K229" s="110"/>
      <c r="L229" s="264"/>
      <c r="M229" s="110"/>
      <c r="N229" s="124"/>
      <c r="O229" s="110"/>
      <c r="P229" s="110"/>
      <c r="Q229" s="110"/>
      <c r="R229" s="110"/>
      <c r="S229" s="110"/>
      <c r="T229" s="141"/>
      <c r="U229" s="140"/>
      <c r="V229" s="110"/>
      <c r="W229" s="110"/>
      <c r="X229" s="110"/>
      <c r="Y229" s="110"/>
      <c r="Z229" s="110"/>
      <c r="AA229" s="110"/>
      <c r="AB229" s="110"/>
      <c r="AC229" s="110"/>
      <c r="AD229" s="110"/>
      <c r="AE229" s="110"/>
      <c r="AF229" s="110"/>
      <c r="AG229" s="110"/>
      <c r="AH229" s="110"/>
      <c r="AI229" s="110"/>
      <c r="AJ229" s="110"/>
      <c r="AK229" s="110"/>
      <c r="AL229" s="110"/>
      <c r="AM229" s="641">
        <f t="shared" ref="AM229:AM292" si="5">SUM(C229:AL229)</f>
        <v>16</v>
      </c>
      <c r="AO229" s="289"/>
      <c r="AP229" s="97"/>
    </row>
    <row r="230" spans="1:42" s="61" customFormat="1" ht="25.5" customHeight="1" x14ac:dyDescent="0.3">
      <c r="A230" s="706"/>
      <c r="B230" s="175" t="s">
        <v>327</v>
      </c>
      <c r="C230" s="176">
        <v>31.92</v>
      </c>
      <c r="D230" s="127"/>
      <c r="E230" s="127"/>
      <c r="F230" s="265"/>
      <c r="G230" s="127"/>
      <c r="H230" s="127"/>
      <c r="I230" s="178"/>
      <c r="J230" s="127"/>
      <c r="K230" s="127"/>
      <c r="L230" s="265"/>
      <c r="M230" s="127"/>
      <c r="N230" s="178"/>
      <c r="O230" s="127"/>
      <c r="P230" s="127"/>
      <c r="Q230" s="127"/>
      <c r="R230" s="127"/>
      <c r="S230" s="127"/>
      <c r="T230" s="177"/>
      <c r="U230" s="176"/>
      <c r="V230" s="127"/>
      <c r="W230" s="127"/>
      <c r="X230" s="127"/>
      <c r="Y230" s="127"/>
      <c r="Z230" s="127">
        <v>115.46017999999999</v>
      </c>
      <c r="AA230" s="127"/>
      <c r="AB230" s="127"/>
      <c r="AC230" s="127"/>
      <c r="AD230" s="127"/>
      <c r="AE230" s="127"/>
      <c r="AF230" s="127"/>
      <c r="AG230" s="127"/>
      <c r="AH230" s="127"/>
      <c r="AI230" s="127"/>
      <c r="AJ230" s="127"/>
      <c r="AK230" s="127"/>
      <c r="AL230" s="127"/>
      <c r="AM230" s="642">
        <f t="shared" si="5"/>
        <v>147.38018</v>
      </c>
      <c r="AO230" s="289"/>
    </row>
    <row r="231" spans="1:42" s="61" customFormat="1" ht="25.5" customHeight="1" x14ac:dyDescent="0.3">
      <c r="A231" s="706"/>
      <c r="B231" s="180" t="s">
        <v>361</v>
      </c>
      <c r="C231" s="300">
        <v>16</v>
      </c>
      <c r="D231" s="173"/>
      <c r="E231" s="173"/>
      <c r="F231" s="266"/>
      <c r="G231" s="173"/>
      <c r="H231" s="173"/>
      <c r="I231" s="174"/>
      <c r="J231" s="173"/>
      <c r="K231" s="173"/>
      <c r="L231" s="266"/>
      <c r="M231" s="173"/>
      <c r="N231" s="174"/>
      <c r="O231" s="173"/>
      <c r="P231" s="173"/>
      <c r="Q231" s="173"/>
      <c r="R231" s="173"/>
      <c r="S231" s="173"/>
      <c r="T231" s="327"/>
      <c r="U231" s="300"/>
      <c r="V231" s="173"/>
      <c r="W231" s="173"/>
      <c r="X231" s="173"/>
      <c r="Y231" s="173"/>
      <c r="Z231" s="173"/>
      <c r="AA231" s="173"/>
      <c r="AB231" s="173"/>
      <c r="AC231" s="173"/>
      <c r="AD231" s="173"/>
      <c r="AE231" s="173"/>
      <c r="AF231" s="173"/>
      <c r="AG231" s="173"/>
      <c r="AH231" s="173"/>
      <c r="AI231" s="173"/>
      <c r="AJ231" s="173"/>
      <c r="AK231" s="173"/>
      <c r="AL231" s="173"/>
      <c r="AM231" s="643">
        <f t="shared" si="5"/>
        <v>16</v>
      </c>
      <c r="AO231" s="289"/>
      <c r="AP231" s="97"/>
    </row>
    <row r="232" spans="1:42" s="61" customFormat="1" ht="25.5" customHeight="1" x14ac:dyDescent="0.3">
      <c r="A232" s="706"/>
      <c r="B232" s="180" t="s">
        <v>362</v>
      </c>
      <c r="C232" s="300">
        <v>66</v>
      </c>
      <c r="D232" s="173"/>
      <c r="E232" s="173"/>
      <c r="F232" s="266"/>
      <c r="G232" s="173"/>
      <c r="H232" s="173"/>
      <c r="I232" s="174"/>
      <c r="J232" s="173"/>
      <c r="K232" s="173"/>
      <c r="L232" s="266"/>
      <c r="M232" s="173"/>
      <c r="N232" s="174"/>
      <c r="O232" s="173"/>
      <c r="P232" s="173"/>
      <c r="Q232" s="173"/>
      <c r="R232" s="173"/>
      <c r="S232" s="173">
        <v>30</v>
      </c>
      <c r="T232" s="327"/>
      <c r="U232" s="300"/>
      <c r="V232" s="173"/>
      <c r="W232" s="173"/>
      <c r="X232" s="173"/>
      <c r="Y232" s="173"/>
      <c r="Z232" s="173">
        <v>39</v>
      </c>
      <c r="AA232" s="173"/>
      <c r="AB232" s="173"/>
      <c r="AC232" s="173"/>
      <c r="AD232" s="173">
        <v>20</v>
      </c>
      <c r="AE232" s="173"/>
      <c r="AF232" s="173"/>
      <c r="AG232" s="173"/>
      <c r="AH232" s="173"/>
      <c r="AI232" s="173"/>
      <c r="AJ232" s="173"/>
      <c r="AK232" s="173"/>
      <c r="AL232" s="173"/>
      <c r="AM232" s="644">
        <f t="shared" si="5"/>
        <v>155</v>
      </c>
      <c r="AO232" s="289"/>
      <c r="AP232" s="97"/>
    </row>
    <row r="233" spans="1:42" s="61" customFormat="1" ht="22.5" customHeight="1" x14ac:dyDescent="0.3">
      <c r="A233" s="706"/>
      <c r="B233" s="115" t="s">
        <v>402</v>
      </c>
      <c r="C233" s="142"/>
      <c r="D233" s="111"/>
      <c r="E233" s="111"/>
      <c r="F233" s="267"/>
      <c r="G233" s="111"/>
      <c r="H233" s="111"/>
      <c r="I233" s="125"/>
      <c r="J233" s="111"/>
      <c r="K233" s="111"/>
      <c r="L233" s="267">
        <v>0</v>
      </c>
      <c r="M233" s="111"/>
      <c r="N233" s="125"/>
      <c r="O233" s="111"/>
      <c r="P233" s="111"/>
      <c r="Q233" s="111"/>
      <c r="R233" s="111"/>
      <c r="S233" s="111"/>
      <c r="T233" s="143">
        <v>0</v>
      </c>
      <c r="U233" s="142"/>
      <c r="V233" s="111"/>
      <c r="W233" s="111"/>
      <c r="X233" s="111"/>
      <c r="Y233" s="111"/>
      <c r="Z233" s="111"/>
      <c r="AA233" s="111"/>
      <c r="AB233" s="111"/>
      <c r="AC233" s="111"/>
      <c r="AD233" s="111">
        <v>20</v>
      </c>
      <c r="AE233" s="111"/>
      <c r="AF233" s="111"/>
      <c r="AG233" s="111"/>
      <c r="AH233" s="111" t="s">
        <v>482</v>
      </c>
      <c r="AI233" s="111">
        <v>75</v>
      </c>
      <c r="AJ233" s="111"/>
      <c r="AK233" s="111"/>
      <c r="AL233" s="111"/>
      <c r="AM233" s="645">
        <f t="shared" si="5"/>
        <v>95</v>
      </c>
      <c r="AO233" s="289"/>
    </row>
    <row r="234" spans="1:42" s="61" customFormat="1" ht="21" customHeight="1" x14ac:dyDescent="0.3">
      <c r="A234" s="707"/>
      <c r="B234" s="181" t="s">
        <v>403</v>
      </c>
      <c r="C234" s="144"/>
      <c r="D234" s="112"/>
      <c r="E234" s="112"/>
      <c r="F234" s="268"/>
      <c r="G234" s="112"/>
      <c r="H234" s="112"/>
      <c r="I234" s="126"/>
      <c r="J234" s="112"/>
      <c r="K234" s="112"/>
      <c r="L234" s="268"/>
      <c r="M234" s="112"/>
      <c r="N234" s="126"/>
      <c r="O234" s="112"/>
      <c r="P234" s="112"/>
      <c r="Q234" s="112"/>
      <c r="R234" s="112"/>
      <c r="S234" s="112"/>
      <c r="T234" s="145">
        <v>0</v>
      </c>
      <c r="U234" s="144"/>
      <c r="V234" s="112"/>
      <c r="W234" s="112"/>
      <c r="X234" s="112"/>
      <c r="Y234" s="112"/>
      <c r="Z234" s="112"/>
      <c r="AA234" s="112"/>
      <c r="AB234" s="112"/>
      <c r="AC234" s="112"/>
      <c r="AD234" s="112">
        <v>0</v>
      </c>
      <c r="AE234" s="112"/>
      <c r="AF234" s="112"/>
      <c r="AG234" s="112"/>
      <c r="AH234" s="112" t="s">
        <v>482</v>
      </c>
      <c r="AI234" s="112">
        <v>75</v>
      </c>
      <c r="AJ234" s="112"/>
      <c r="AK234" s="112"/>
      <c r="AL234" s="112"/>
      <c r="AM234" s="646">
        <f t="shared" si="5"/>
        <v>75</v>
      </c>
      <c r="AO234" s="289"/>
    </row>
    <row r="235" spans="1:42" s="61" customFormat="1" ht="21" customHeight="1" x14ac:dyDescent="0.3">
      <c r="A235" s="705" t="s">
        <v>127</v>
      </c>
      <c r="B235" s="179" t="s">
        <v>293</v>
      </c>
      <c r="C235" s="135">
        <v>18.5</v>
      </c>
      <c r="D235" s="136"/>
      <c r="E235" s="136"/>
      <c r="F235" s="262"/>
      <c r="G235" s="136">
        <v>24</v>
      </c>
      <c r="H235" s="136">
        <v>2</v>
      </c>
      <c r="I235" s="326"/>
      <c r="J235" s="136"/>
      <c r="K235" s="136"/>
      <c r="L235" s="262"/>
      <c r="M235" s="136"/>
      <c r="N235" s="326"/>
      <c r="O235" s="136"/>
      <c r="P235" s="136"/>
      <c r="Q235" s="136"/>
      <c r="R235" s="136"/>
      <c r="S235" s="136"/>
      <c r="T235" s="137"/>
      <c r="U235" s="632"/>
      <c r="V235" s="122"/>
      <c r="W235" s="122"/>
      <c r="X235" s="122"/>
      <c r="Y235" s="122"/>
      <c r="Z235" s="122">
        <v>44</v>
      </c>
      <c r="AA235" s="122"/>
      <c r="AB235" s="122"/>
      <c r="AC235" s="122"/>
      <c r="AD235" s="122"/>
      <c r="AE235" s="122"/>
      <c r="AF235" s="122"/>
      <c r="AG235" s="122"/>
      <c r="AH235" s="122"/>
      <c r="AI235" s="122"/>
      <c r="AJ235" s="122"/>
      <c r="AK235" s="122"/>
      <c r="AL235" s="122"/>
      <c r="AM235" s="639">
        <f t="shared" si="5"/>
        <v>88.5</v>
      </c>
      <c r="AO235" s="289"/>
    </row>
    <row r="236" spans="1:42" s="61" customFormat="1" ht="19.5" customHeight="1" x14ac:dyDescent="0.3">
      <c r="A236" s="706"/>
      <c r="B236" s="116" t="s">
        <v>294</v>
      </c>
      <c r="C236" s="138">
        <v>18.5</v>
      </c>
      <c r="D236" s="109"/>
      <c r="E236" s="109"/>
      <c r="F236" s="263"/>
      <c r="G236" s="109">
        <v>40</v>
      </c>
      <c r="H236" s="109"/>
      <c r="I236" s="123"/>
      <c r="J236" s="109"/>
      <c r="K236" s="109"/>
      <c r="L236" s="263"/>
      <c r="M236" s="109"/>
      <c r="N236" s="123"/>
      <c r="O236" s="109"/>
      <c r="P236" s="109"/>
      <c r="Q236" s="109"/>
      <c r="R236" s="109"/>
      <c r="S236" s="109"/>
      <c r="T236" s="139">
        <v>6</v>
      </c>
      <c r="U236" s="138">
        <v>0.92800000000000005</v>
      </c>
      <c r="V236" s="109"/>
      <c r="W236" s="109"/>
      <c r="X236" s="109"/>
      <c r="Y236" s="109"/>
      <c r="Z236" s="109">
        <v>-36</v>
      </c>
      <c r="AA236" s="109"/>
      <c r="AB236" s="109"/>
      <c r="AC236" s="109"/>
      <c r="AD236" s="109"/>
      <c r="AE236" s="109"/>
      <c r="AF236" s="109"/>
      <c r="AG236" s="109"/>
      <c r="AH236" s="109"/>
      <c r="AI236" s="109"/>
      <c r="AJ236" s="109"/>
      <c r="AK236" s="109"/>
      <c r="AL236" s="109"/>
      <c r="AM236" s="640">
        <f t="shared" si="5"/>
        <v>29.427999999999997</v>
      </c>
      <c r="AO236" s="289"/>
    </row>
    <row r="237" spans="1:42" s="61" customFormat="1" ht="22.5" customHeight="1" x14ac:dyDescent="0.3">
      <c r="A237" s="706"/>
      <c r="B237" s="117" t="s">
        <v>326</v>
      </c>
      <c r="C237" s="140">
        <v>19.751000000000001</v>
      </c>
      <c r="D237" s="110"/>
      <c r="E237" s="110"/>
      <c r="F237" s="264"/>
      <c r="G237" s="110">
        <v>20</v>
      </c>
      <c r="H237" s="110"/>
      <c r="I237" s="124"/>
      <c r="J237" s="110"/>
      <c r="K237" s="110"/>
      <c r="L237" s="264"/>
      <c r="M237" s="110"/>
      <c r="N237" s="124"/>
      <c r="O237" s="110"/>
      <c r="P237" s="110"/>
      <c r="Q237" s="110"/>
      <c r="R237" s="110"/>
      <c r="S237" s="110">
        <v>31577</v>
      </c>
      <c r="T237" s="141"/>
      <c r="U237" s="140"/>
      <c r="V237" s="110"/>
      <c r="W237" s="110"/>
      <c r="X237" s="110"/>
      <c r="Y237" s="110"/>
      <c r="Z237" s="110">
        <v>3</v>
      </c>
      <c r="AA237" s="110">
        <v>16.274000000000001</v>
      </c>
      <c r="AB237" s="110"/>
      <c r="AC237" s="110"/>
      <c r="AD237" s="110"/>
      <c r="AE237" s="110"/>
      <c r="AF237" s="110"/>
      <c r="AG237" s="110"/>
      <c r="AH237" s="110">
        <v>5</v>
      </c>
      <c r="AI237" s="110"/>
      <c r="AJ237" s="110"/>
      <c r="AK237" s="110"/>
      <c r="AL237" s="110"/>
      <c r="AM237" s="641">
        <f t="shared" si="5"/>
        <v>31641.025000000001</v>
      </c>
      <c r="AO237" s="289"/>
      <c r="AP237" s="97"/>
    </row>
    <row r="238" spans="1:42" s="61" customFormat="1" ht="25.5" customHeight="1" x14ac:dyDescent="0.3">
      <c r="A238" s="706"/>
      <c r="B238" s="175" t="s">
        <v>327</v>
      </c>
      <c r="C238" s="176">
        <v>30.782</v>
      </c>
      <c r="D238" s="127"/>
      <c r="E238" s="127"/>
      <c r="F238" s="265"/>
      <c r="G238" s="127">
        <v>12</v>
      </c>
      <c r="H238" s="127"/>
      <c r="I238" s="178"/>
      <c r="J238" s="127"/>
      <c r="K238" s="127"/>
      <c r="L238" s="265"/>
      <c r="M238" s="127"/>
      <c r="N238" s="178"/>
      <c r="O238" s="127"/>
      <c r="P238" s="127"/>
      <c r="Q238" s="127"/>
      <c r="R238" s="127"/>
      <c r="S238" s="127">
        <v>20187</v>
      </c>
      <c r="T238" s="177"/>
      <c r="U238" s="176">
        <v>0.98299999999999998</v>
      </c>
      <c r="V238" s="127"/>
      <c r="W238" s="127"/>
      <c r="X238" s="127"/>
      <c r="Y238" s="127"/>
      <c r="Z238" s="127">
        <v>3</v>
      </c>
      <c r="AA238" s="127"/>
      <c r="AB238" s="127"/>
      <c r="AC238" s="127"/>
      <c r="AD238" s="127"/>
      <c r="AE238" s="127"/>
      <c r="AF238" s="127"/>
      <c r="AG238" s="127"/>
      <c r="AH238" s="127"/>
      <c r="AI238" s="127"/>
      <c r="AJ238" s="127"/>
      <c r="AK238" s="127"/>
      <c r="AL238" s="127"/>
      <c r="AM238" s="642">
        <f t="shared" si="5"/>
        <v>20233.764999999999</v>
      </c>
      <c r="AO238" s="289"/>
    </row>
    <row r="239" spans="1:42" s="61" customFormat="1" ht="25.5" customHeight="1" x14ac:dyDescent="0.3">
      <c r="A239" s="706"/>
      <c r="B239" s="180" t="s">
        <v>361</v>
      </c>
      <c r="C239" s="300">
        <v>25</v>
      </c>
      <c r="D239" s="173"/>
      <c r="E239" s="173"/>
      <c r="F239" s="266"/>
      <c r="G239" s="173">
        <f>12+1</f>
        <v>13</v>
      </c>
      <c r="H239" s="173"/>
      <c r="I239" s="174"/>
      <c r="J239" s="173"/>
      <c r="K239" s="173"/>
      <c r="L239" s="266"/>
      <c r="M239" s="173"/>
      <c r="N239" s="174"/>
      <c r="O239" s="173"/>
      <c r="P239" s="173"/>
      <c r="Q239" s="173"/>
      <c r="R239" s="173"/>
      <c r="S239" s="173">
        <v>5490</v>
      </c>
      <c r="T239" s="327"/>
      <c r="U239" s="300">
        <v>0.81</v>
      </c>
      <c r="V239" s="173"/>
      <c r="W239" s="173"/>
      <c r="X239" s="173"/>
      <c r="Y239" s="173">
        <v>5</v>
      </c>
      <c r="Z239" s="173">
        <v>3.5</v>
      </c>
      <c r="AA239" s="173"/>
      <c r="AB239" s="173"/>
      <c r="AC239" s="173"/>
      <c r="AD239" s="173">
        <v>10</v>
      </c>
      <c r="AE239" s="173"/>
      <c r="AF239" s="173"/>
      <c r="AG239" s="173"/>
      <c r="AH239" s="173">
        <v>10</v>
      </c>
      <c r="AI239" s="173">
        <v>2</v>
      </c>
      <c r="AJ239" s="173"/>
      <c r="AK239" s="173"/>
      <c r="AL239" s="173"/>
      <c r="AM239" s="643">
        <f t="shared" si="5"/>
        <v>5559.31</v>
      </c>
      <c r="AO239" s="289"/>
      <c r="AP239" s="97"/>
    </row>
    <row r="240" spans="1:42" s="61" customFormat="1" ht="25.5" customHeight="1" x14ac:dyDescent="0.3">
      <c r="A240" s="706"/>
      <c r="B240" s="180" t="s">
        <v>362</v>
      </c>
      <c r="C240" s="300">
        <v>74</v>
      </c>
      <c r="D240" s="173"/>
      <c r="E240" s="173"/>
      <c r="F240" s="266"/>
      <c r="G240" s="173">
        <v>13</v>
      </c>
      <c r="H240" s="173"/>
      <c r="I240" s="174"/>
      <c r="J240" s="173"/>
      <c r="K240" s="173"/>
      <c r="L240" s="266"/>
      <c r="M240" s="173"/>
      <c r="N240" s="174"/>
      <c r="O240" s="173"/>
      <c r="P240" s="173"/>
      <c r="Q240" s="173"/>
      <c r="R240" s="173"/>
      <c r="S240" s="173">
        <v>6445</v>
      </c>
      <c r="T240" s="327"/>
      <c r="U240" s="300">
        <v>1.22</v>
      </c>
      <c r="V240" s="173">
        <v>2.3279999999999998</v>
      </c>
      <c r="W240" s="173"/>
      <c r="X240" s="173"/>
      <c r="Y240" s="173">
        <v>5</v>
      </c>
      <c r="Z240" s="173">
        <v>7.0851099999999994</v>
      </c>
      <c r="AA240" s="173"/>
      <c r="AB240" s="173"/>
      <c r="AC240" s="173"/>
      <c r="AD240" s="173">
        <v>10</v>
      </c>
      <c r="AE240" s="173"/>
      <c r="AF240" s="173"/>
      <c r="AG240" s="173"/>
      <c r="AH240" s="173">
        <v>10</v>
      </c>
      <c r="AI240" s="173">
        <v>50</v>
      </c>
      <c r="AJ240" s="173"/>
      <c r="AK240" s="173"/>
      <c r="AL240" s="173"/>
      <c r="AM240" s="644">
        <f t="shared" si="5"/>
        <v>6617.6331100000007</v>
      </c>
      <c r="AO240" s="289"/>
      <c r="AP240" s="97"/>
    </row>
    <row r="241" spans="1:42" s="61" customFormat="1" ht="22.5" customHeight="1" x14ac:dyDescent="0.3">
      <c r="A241" s="706"/>
      <c r="B241" s="115" t="s">
        <v>402</v>
      </c>
      <c r="C241" s="142">
        <v>49.645000000000003</v>
      </c>
      <c r="D241" s="111"/>
      <c r="E241" s="111"/>
      <c r="F241" s="267"/>
      <c r="G241" s="111"/>
      <c r="H241" s="111"/>
      <c r="I241" s="125"/>
      <c r="J241" s="111"/>
      <c r="K241" s="111"/>
      <c r="L241" s="267">
        <v>0</v>
      </c>
      <c r="M241" s="111">
        <v>14.256</v>
      </c>
      <c r="N241" s="125"/>
      <c r="O241" s="111"/>
      <c r="P241" s="111"/>
      <c r="Q241" s="111"/>
      <c r="R241" s="111"/>
      <c r="S241" s="111">
        <v>7066.9855080000007</v>
      </c>
      <c r="T241" s="143">
        <v>0</v>
      </c>
      <c r="U241" s="142">
        <v>266.47199999999998</v>
      </c>
      <c r="V241" s="111"/>
      <c r="W241" s="111"/>
      <c r="X241" s="111"/>
      <c r="Y241" s="111">
        <v>80.891999999999996</v>
      </c>
      <c r="Z241" s="111">
        <v>1566</v>
      </c>
      <c r="AA241" s="111"/>
      <c r="AB241" s="111"/>
      <c r="AC241" s="111"/>
      <c r="AD241" s="111">
        <v>10</v>
      </c>
      <c r="AE241" s="111"/>
      <c r="AF241" s="111"/>
      <c r="AG241" s="111"/>
      <c r="AH241" s="111">
        <v>15</v>
      </c>
      <c r="AI241" s="111">
        <v>25</v>
      </c>
      <c r="AJ241" s="111"/>
      <c r="AK241" s="111"/>
      <c r="AL241" s="111"/>
      <c r="AM241" s="645">
        <f t="shared" si="5"/>
        <v>9094.250508000001</v>
      </c>
      <c r="AO241" s="289"/>
    </row>
    <row r="242" spans="1:42" s="61" customFormat="1" ht="21" customHeight="1" x14ac:dyDescent="0.3">
      <c r="A242" s="707"/>
      <c r="B242" s="181" t="s">
        <v>403</v>
      </c>
      <c r="C242" s="144">
        <v>54.77</v>
      </c>
      <c r="D242" s="112"/>
      <c r="E242" s="112"/>
      <c r="F242" s="268"/>
      <c r="G242" s="112">
        <v>2</v>
      </c>
      <c r="H242" s="112"/>
      <c r="I242" s="126"/>
      <c r="J242" s="112"/>
      <c r="K242" s="112"/>
      <c r="L242" s="268"/>
      <c r="M242" s="112">
        <v>-0.76203999999999994</v>
      </c>
      <c r="N242" s="126"/>
      <c r="O242" s="112"/>
      <c r="P242" s="112"/>
      <c r="Q242" s="112"/>
      <c r="R242" s="112"/>
      <c r="S242" s="112">
        <v>1110.957834</v>
      </c>
      <c r="T242" s="145">
        <v>0</v>
      </c>
      <c r="U242" s="144">
        <v>405.44400000000002</v>
      </c>
      <c r="V242" s="112"/>
      <c r="W242" s="112"/>
      <c r="X242" s="112"/>
      <c r="Y242" s="112">
        <v>7</v>
      </c>
      <c r="Z242" s="112">
        <v>116</v>
      </c>
      <c r="AA242" s="112"/>
      <c r="AB242" s="112"/>
      <c r="AC242" s="112"/>
      <c r="AD242" s="112">
        <v>0</v>
      </c>
      <c r="AE242" s="112"/>
      <c r="AF242" s="112"/>
      <c r="AG242" s="112"/>
      <c r="AH242" s="112" t="s">
        <v>482</v>
      </c>
      <c r="AI242" s="112">
        <v>25</v>
      </c>
      <c r="AJ242" s="112"/>
      <c r="AK242" s="112">
        <f>2.0045/1.001</f>
        <v>2.0024975024975027</v>
      </c>
      <c r="AL242" s="112"/>
      <c r="AM242" s="646">
        <f t="shared" si="5"/>
        <v>1722.4122915024975</v>
      </c>
      <c r="AO242" s="289"/>
    </row>
    <row r="243" spans="1:42" s="61" customFormat="1" ht="21" customHeight="1" x14ac:dyDescent="0.3">
      <c r="A243" s="705" t="s">
        <v>128</v>
      </c>
      <c r="B243" s="179" t="s">
        <v>293</v>
      </c>
      <c r="C243" s="135"/>
      <c r="D243" s="136"/>
      <c r="E243" s="136"/>
      <c r="F243" s="262"/>
      <c r="G243" s="136"/>
      <c r="H243" s="136"/>
      <c r="I243" s="326"/>
      <c r="J243" s="136"/>
      <c r="K243" s="136"/>
      <c r="L243" s="262"/>
      <c r="M243" s="136"/>
      <c r="N243" s="326"/>
      <c r="O243" s="136"/>
      <c r="P243" s="136">
        <v>10</v>
      </c>
      <c r="Q243" s="136"/>
      <c r="R243" s="136"/>
      <c r="S243" s="136"/>
      <c r="T243" s="137"/>
      <c r="U243" s="632"/>
      <c r="V243" s="122"/>
      <c r="W243" s="122"/>
      <c r="X243" s="122"/>
      <c r="Y243" s="122"/>
      <c r="Z243" s="122"/>
      <c r="AA243" s="122">
        <v>0.88473000000000002</v>
      </c>
      <c r="AB243" s="122"/>
      <c r="AC243" s="122"/>
      <c r="AD243" s="122"/>
      <c r="AE243" s="122"/>
      <c r="AF243" s="122"/>
      <c r="AG243" s="122">
        <v>1.1000000000000001</v>
      </c>
      <c r="AH243" s="122"/>
      <c r="AI243" s="122"/>
      <c r="AJ243" s="122"/>
      <c r="AK243" s="122"/>
      <c r="AL243" s="122"/>
      <c r="AM243" s="639">
        <f t="shared" si="5"/>
        <v>11.984729999999999</v>
      </c>
      <c r="AO243" s="289"/>
    </row>
    <row r="244" spans="1:42" s="61" customFormat="1" ht="19.5" customHeight="1" x14ac:dyDescent="0.3">
      <c r="A244" s="706"/>
      <c r="B244" s="116" t="s">
        <v>294</v>
      </c>
      <c r="C244" s="138"/>
      <c r="D244" s="109"/>
      <c r="E244" s="109"/>
      <c r="F244" s="263"/>
      <c r="G244" s="109">
        <v>10</v>
      </c>
      <c r="H244" s="109"/>
      <c r="I244" s="123"/>
      <c r="J244" s="109"/>
      <c r="K244" s="109"/>
      <c r="L244" s="263"/>
      <c r="M244" s="109"/>
      <c r="N244" s="123">
        <v>114.02500000000001</v>
      </c>
      <c r="O244" s="109"/>
      <c r="P244" s="109">
        <v>159</v>
      </c>
      <c r="Q244" s="109"/>
      <c r="R244" s="109"/>
      <c r="S244" s="109"/>
      <c r="T244" s="139"/>
      <c r="U244" s="138">
        <v>5.4130000000000003</v>
      </c>
      <c r="V244" s="109"/>
      <c r="W244" s="109"/>
      <c r="X244" s="109">
        <v>15</v>
      </c>
      <c r="Y244" s="109"/>
      <c r="Z244" s="109"/>
      <c r="AA244" s="109"/>
      <c r="AB244" s="109"/>
      <c r="AC244" s="109"/>
      <c r="AD244" s="109"/>
      <c r="AE244" s="109"/>
      <c r="AF244" s="109"/>
      <c r="AG244" s="109"/>
      <c r="AH244" s="109"/>
      <c r="AI244" s="109"/>
      <c r="AJ244" s="109"/>
      <c r="AK244" s="109"/>
      <c r="AL244" s="109"/>
      <c r="AM244" s="640">
        <f t="shared" si="5"/>
        <v>303.43799999999999</v>
      </c>
      <c r="AO244" s="289"/>
    </row>
    <row r="245" spans="1:42" s="61" customFormat="1" ht="22.5" customHeight="1" x14ac:dyDescent="0.3">
      <c r="A245" s="706"/>
      <c r="B245" s="117" t="s">
        <v>326</v>
      </c>
      <c r="C245" s="140">
        <v>10.766</v>
      </c>
      <c r="D245" s="110"/>
      <c r="E245" s="110"/>
      <c r="F245" s="264"/>
      <c r="G245" s="110">
        <v>23</v>
      </c>
      <c r="H245" s="110"/>
      <c r="I245" s="124"/>
      <c r="J245" s="110"/>
      <c r="K245" s="110"/>
      <c r="L245" s="264"/>
      <c r="M245" s="110"/>
      <c r="N245" s="124"/>
      <c r="O245" s="110"/>
      <c r="P245" s="110">
        <v>21</v>
      </c>
      <c r="Q245" s="110"/>
      <c r="R245" s="110"/>
      <c r="S245" s="110"/>
      <c r="T245" s="141"/>
      <c r="U245" s="140"/>
      <c r="V245" s="110"/>
      <c r="W245" s="110"/>
      <c r="X245" s="110"/>
      <c r="Y245" s="110"/>
      <c r="Z245" s="110"/>
      <c r="AA245" s="110"/>
      <c r="AB245" s="110"/>
      <c r="AC245" s="110"/>
      <c r="AD245" s="110"/>
      <c r="AE245" s="110"/>
      <c r="AF245" s="110"/>
      <c r="AG245" s="110">
        <f>1/1.3</f>
        <v>0.76923076923076916</v>
      </c>
      <c r="AH245" s="110"/>
      <c r="AI245" s="110"/>
      <c r="AJ245" s="110"/>
      <c r="AK245" s="110"/>
      <c r="AL245" s="110"/>
      <c r="AM245" s="641">
        <f t="shared" si="5"/>
        <v>55.535230769230765</v>
      </c>
      <c r="AO245" s="289"/>
      <c r="AP245" s="97"/>
    </row>
    <row r="246" spans="1:42" s="61" customFormat="1" ht="25.5" customHeight="1" x14ac:dyDescent="0.3">
      <c r="A246" s="706"/>
      <c r="B246" s="175" t="s">
        <v>327</v>
      </c>
      <c r="C246" s="176"/>
      <c r="D246" s="127"/>
      <c r="E246" s="127"/>
      <c r="F246" s="265">
        <v>59</v>
      </c>
      <c r="G246" s="127">
        <v>1</v>
      </c>
      <c r="H246" s="127">
        <v>186</v>
      </c>
      <c r="I246" s="178"/>
      <c r="J246" s="127"/>
      <c r="K246" s="127"/>
      <c r="L246" s="265"/>
      <c r="M246" s="127"/>
      <c r="N246" s="178"/>
      <c r="O246" s="127"/>
      <c r="P246" s="127"/>
      <c r="Q246" s="127"/>
      <c r="R246" s="127"/>
      <c r="S246" s="127">
        <v>28</v>
      </c>
      <c r="T246" s="177"/>
      <c r="U246" s="176">
        <v>33.5</v>
      </c>
      <c r="V246" s="127"/>
      <c r="W246" s="127"/>
      <c r="X246" s="127"/>
      <c r="Y246" s="127"/>
      <c r="Z246" s="127">
        <v>0.51712999999999998</v>
      </c>
      <c r="AA246" s="127"/>
      <c r="AB246" s="127"/>
      <c r="AC246" s="127"/>
      <c r="AD246" s="127"/>
      <c r="AE246" s="127"/>
      <c r="AF246" s="127"/>
      <c r="AG246" s="127"/>
      <c r="AH246" s="127"/>
      <c r="AI246" s="127"/>
      <c r="AJ246" s="127"/>
      <c r="AK246" s="127">
        <v>65</v>
      </c>
      <c r="AL246" s="127"/>
      <c r="AM246" s="642">
        <f t="shared" si="5"/>
        <v>373.01713000000001</v>
      </c>
      <c r="AO246" s="289"/>
    </row>
    <row r="247" spans="1:42" s="61" customFormat="1" ht="25.5" customHeight="1" x14ac:dyDescent="0.3">
      <c r="A247" s="706"/>
      <c r="B247" s="180" t="s">
        <v>361</v>
      </c>
      <c r="C247" s="300">
        <v>5.1677200000000001</v>
      </c>
      <c r="D247" s="173"/>
      <c r="E247" s="173"/>
      <c r="F247" s="266"/>
      <c r="G247" s="173"/>
      <c r="H247" s="173"/>
      <c r="I247" s="174"/>
      <c r="J247" s="173"/>
      <c r="K247" s="173"/>
      <c r="L247" s="266"/>
      <c r="M247" s="173"/>
      <c r="N247" s="174"/>
      <c r="O247" s="173"/>
      <c r="P247" s="173"/>
      <c r="Q247" s="173"/>
      <c r="R247" s="173"/>
      <c r="S247" s="173">
        <v>145</v>
      </c>
      <c r="T247" s="327"/>
      <c r="U247" s="300"/>
      <c r="V247" s="173"/>
      <c r="W247" s="173"/>
      <c r="X247" s="173"/>
      <c r="Y247" s="173"/>
      <c r="Z247" s="173">
        <v>18.173080000000002</v>
      </c>
      <c r="AA247" s="173"/>
      <c r="AB247" s="173"/>
      <c r="AC247" s="173"/>
      <c r="AD247" s="173"/>
      <c r="AE247" s="173"/>
      <c r="AF247" s="173"/>
      <c r="AG247" s="173"/>
      <c r="AH247" s="173"/>
      <c r="AI247" s="173"/>
      <c r="AJ247" s="173"/>
      <c r="AK247" s="173"/>
      <c r="AL247" s="173"/>
      <c r="AM247" s="643">
        <f t="shared" si="5"/>
        <v>168.3408</v>
      </c>
      <c r="AO247" s="289"/>
      <c r="AP247" s="97"/>
    </row>
    <row r="248" spans="1:42" s="61" customFormat="1" ht="25.5" customHeight="1" x14ac:dyDescent="0.3">
      <c r="A248" s="706"/>
      <c r="B248" s="180" t="s">
        <v>362</v>
      </c>
      <c r="C248" s="300"/>
      <c r="D248" s="173"/>
      <c r="E248" s="173"/>
      <c r="F248" s="266"/>
      <c r="G248" s="173">
        <v>2</v>
      </c>
      <c r="H248" s="173"/>
      <c r="I248" s="174"/>
      <c r="J248" s="173"/>
      <c r="K248" s="173"/>
      <c r="L248" s="266"/>
      <c r="M248" s="173"/>
      <c r="N248" s="174"/>
      <c r="O248" s="173"/>
      <c r="P248" s="173"/>
      <c r="Q248" s="173"/>
      <c r="R248" s="173"/>
      <c r="S248" s="173">
        <v>4441</v>
      </c>
      <c r="T248" s="327"/>
      <c r="U248" s="300">
        <v>23.643000000000001</v>
      </c>
      <c r="V248" s="173"/>
      <c r="W248" s="173"/>
      <c r="X248" s="173">
        <v>22</v>
      </c>
      <c r="Y248" s="173"/>
      <c r="Z248" s="173">
        <v>2.08</v>
      </c>
      <c r="AA248" s="173"/>
      <c r="AB248" s="173"/>
      <c r="AC248" s="173"/>
      <c r="AD248" s="173"/>
      <c r="AE248" s="173"/>
      <c r="AF248" s="173"/>
      <c r="AG248" s="173"/>
      <c r="AH248" s="173">
        <v>149</v>
      </c>
      <c r="AI248" s="173"/>
      <c r="AJ248" s="173"/>
      <c r="AK248" s="173"/>
      <c r="AL248" s="173"/>
      <c r="AM248" s="644">
        <f t="shared" si="5"/>
        <v>4639.723</v>
      </c>
      <c r="AO248" s="289"/>
      <c r="AP248" s="97"/>
    </row>
    <row r="249" spans="1:42" s="61" customFormat="1" ht="22.5" customHeight="1" x14ac:dyDescent="0.3">
      <c r="A249" s="706"/>
      <c r="B249" s="115" t="s">
        <v>402</v>
      </c>
      <c r="C249" s="142"/>
      <c r="D249" s="111"/>
      <c r="E249" s="111"/>
      <c r="F249" s="267"/>
      <c r="G249" s="111"/>
      <c r="H249" s="111"/>
      <c r="I249" s="125"/>
      <c r="J249" s="111"/>
      <c r="K249" s="111"/>
      <c r="L249" s="267">
        <v>0</v>
      </c>
      <c r="M249" s="111"/>
      <c r="N249" s="125"/>
      <c r="O249" s="111"/>
      <c r="P249" s="111"/>
      <c r="Q249" s="111"/>
      <c r="R249" s="111"/>
      <c r="S249" s="111">
        <v>3822.9405039999997</v>
      </c>
      <c r="T249" s="143">
        <v>0</v>
      </c>
      <c r="U249" s="142">
        <v>47.466000000000001</v>
      </c>
      <c r="V249" s="111"/>
      <c r="W249" s="111"/>
      <c r="X249" s="111"/>
      <c r="Y249" s="111"/>
      <c r="Z249" s="111">
        <v>531</v>
      </c>
      <c r="AA249" s="111"/>
      <c r="AB249" s="111">
        <v>26.5</v>
      </c>
      <c r="AC249" s="111"/>
      <c r="AD249" s="111"/>
      <c r="AE249" s="111"/>
      <c r="AF249" s="111"/>
      <c r="AG249" s="111"/>
      <c r="AH249" s="111">
        <v>2006.1210000000001</v>
      </c>
      <c r="AI249" s="111">
        <v>50</v>
      </c>
      <c r="AJ249" s="111"/>
      <c r="AK249" s="111"/>
      <c r="AL249" s="111"/>
      <c r="AM249" s="645">
        <f t="shared" si="5"/>
        <v>6484.0275039999997</v>
      </c>
      <c r="AO249" s="289"/>
    </row>
    <row r="250" spans="1:42" s="61" customFormat="1" ht="21" customHeight="1" x14ac:dyDescent="0.3">
      <c r="A250" s="707"/>
      <c r="B250" s="181" t="s">
        <v>403</v>
      </c>
      <c r="C250" s="144">
        <v>36.290930000000003</v>
      </c>
      <c r="D250" s="112"/>
      <c r="E250" s="112"/>
      <c r="F250" s="268"/>
      <c r="G250" s="112"/>
      <c r="H250" s="112"/>
      <c r="I250" s="126"/>
      <c r="J250" s="112"/>
      <c r="K250" s="112"/>
      <c r="L250" s="268"/>
      <c r="M250" s="112"/>
      <c r="N250" s="126"/>
      <c r="O250" s="112"/>
      <c r="P250" s="112"/>
      <c r="Q250" s="112"/>
      <c r="R250" s="112"/>
      <c r="S250" s="112">
        <v>4687.99802</v>
      </c>
      <c r="T250" s="145">
        <v>0</v>
      </c>
      <c r="U250" s="144">
        <v>23.617999999999999</v>
      </c>
      <c r="V250" s="112"/>
      <c r="W250" s="112"/>
      <c r="X250" s="112"/>
      <c r="Y250" s="112"/>
      <c r="Z250" s="112"/>
      <c r="AA250" s="112"/>
      <c r="AB250" s="112"/>
      <c r="AC250" s="112"/>
      <c r="AD250" s="112"/>
      <c r="AE250" s="112"/>
      <c r="AF250" s="112"/>
      <c r="AG250" s="112"/>
      <c r="AH250" s="112">
        <v>250.398</v>
      </c>
      <c r="AI250" s="112">
        <v>50</v>
      </c>
      <c r="AJ250" s="112"/>
      <c r="AK250" s="112"/>
      <c r="AL250" s="112"/>
      <c r="AM250" s="646">
        <f t="shared" si="5"/>
        <v>5048.3049500000006</v>
      </c>
      <c r="AO250" s="289"/>
    </row>
    <row r="251" spans="1:42" s="61" customFormat="1" ht="21" customHeight="1" x14ac:dyDescent="0.3">
      <c r="A251" s="705" t="s">
        <v>129</v>
      </c>
      <c r="B251" s="179" t="s">
        <v>293</v>
      </c>
      <c r="C251" s="135"/>
      <c r="D251" s="136"/>
      <c r="E251" s="136"/>
      <c r="F251" s="262"/>
      <c r="G251" s="136"/>
      <c r="H251" s="136"/>
      <c r="I251" s="326"/>
      <c r="J251" s="136"/>
      <c r="K251" s="136"/>
      <c r="L251" s="262"/>
      <c r="M251" s="136"/>
      <c r="N251" s="326"/>
      <c r="O251" s="136"/>
      <c r="P251" s="136"/>
      <c r="Q251" s="136"/>
      <c r="R251" s="136"/>
      <c r="S251" s="136"/>
      <c r="T251" s="137"/>
      <c r="U251" s="632"/>
      <c r="V251" s="122"/>
      <c r="W251" s="122"/>
      <c r="X251" s="122"/>
      <c r="Y251" s="122"/>
      <c r="Z251" s="122">
        <v>1.3</v>
      </c>
      <c r="AA251" s="122"/>
      <c r="AB251" s="122"/>
      <c r="AC251" s="122"/>
      <c r="AD251" s="122"/>
      <c r="AE251" s="122"/>
      <c r="AF251" s="122"/>
      <c r="AG251" s="122"/>
      <c r="AH251" s="122"/>
      <c r="AI251" s="122"/>
      <c r="AJ251" s="122"/>
      <c r="AK251" s="122"/>
      <c r="AL251" s="122"/>
      <c r="AM251" s="639">
        <f t="shared" si="5"/>
        <v>1.3</v>
      </c>
      <c r="AO251" s="289"/>
    </row>
    <row r="252" spans="1:42" s="61" customFormat="1" ht="19.5" customHeight="1" x14ac:dyDescent="0.3">
      <c r="A252" s="706"/>
      <c r="B252" s="116" t="s">
        <v>294</v>
      </c>
      <c r="C252" s="138"/>
      <c r="D252" s="109"/>
      <c r="E252" s="109"/>
      <c r="F252" s="263">
        <v>-0.5</v>
      </c>
      <c r="G252" s="109"/>
      <c r="H252" s="109"/>
      <c r="I252" s="123"/>
      <c r="J252" s="109"/>
      <c r="K252" s="109"/>
      <c r="L252" s="263"/>
      <c r="M252" s="109"/>
      <c r="N252" s="123"/>
      <c r="O252" s="109"/>
      <c r="P252" s="109"/>
      <c r="Q252" s="109"/>
      <c r="R252" s="109"/>
      <c r="S252" s="109">
        <v>5.4790000000000001</v>
      </c>
      <c r="T252" s="139"/>
      <c r="U252" s="138"/>
      <c r="V252" s="109"/>
      <c r="W252" s="109"/>
      <c r="X252" s="109"/>
      <c r="Y252" s="109"/>
      <c r="Z252" s="109"/>
      <c r="AA252" s="109"/>
      <c r="AB252" s="109"/>
      <c r="AC252" s="109"/>
      <c r="AD252" s="109"/>
      <c r="AE252" s="109"/>
      <c r="AF252" s="109"/>
      <c r="AG252" s="109"/>
      <c r="AH252" s="109"/>
      <c r="AI252" s="109"/>
      <c r="AJ252" s="109"/>
      <c r="AK252" s="109"/>
      <c r="AL252" s="109"/>
      <c r="AM252" s="640">
        <f t="shared" si="5"/>
        <v>4.9790000000000001</v>
      </c>
      <c r="AO252" s="289"/>
    </row>
    <row r="253" spans="1:42" s="61" customFormat="1" ht="22.5" customHeight="1" x14ac:dyDescent="0.3">
      <c r="A253" s="706"/>
      <c r="B253" s="117" t="s">
        <v>326</v>
      </c>
      <c r="C253" s="140"/>
      <c r="D253" s="110"/>
      <c r="E253" s="110"/>
      <c r="F253" s="264"/>
      <c r="G253" s="110"/>
      <c r="H253" s="110"/>
      <c r="I253" s="124"/>
      <c r="J253" s="110"/>
      <c r="K253" s="110"/>
      <c r="L253" s="264"/>
      <c r="M253" s="110"/>
      <c r="N253" s="124"/>
      <c r="O253" s="110"/>
      <c r="P253" s="110"/>
      <c r="Q253" s="110"/>
      <c r="R253" s="110"/>
      <c r="S253" s="110"/>
      <c r="T253" s="141"/>
      <c r="U253" s="140"/>
      <c r="V253" s="110"/>
      <c r="W253" s="110"/>
      <c r="X253" s="110"/>
      <c r="Y253" s="110"/>
      <c r="Z253" s="110"/>
      <c r="AA253" s="110"/>
      <c r="AB253" s="110"/>
      <c r="AC253" s="110"/>
      <c r="AD253" s="110"/>
      <c r="AE253" s="110"/>
      <c r="AF253" s="110"/>
      <c r="AG253" s="110">
        <v>1</v>
      </c>
      <c r="AH253" s="110"/>
      <c r="AI253" s="110"/>
      <c r="AJ253" s="110"/>
      <c r="AK253" s="110"/>
      <c r="AL253" s="110"/>
      <c r="AM253" s="641">
        <f t="shared" si="5"/>
        <v>1</v>
      </c>
      <c r="AO253" s="289"/>
      <c r="AP253" s="97"/>
    </row>
    <row r="254" spans="1:42" s="61" customFormat="1" ht="25.5" customHeight="1" x14ac:dyDescent="0.3">
      <c r="A254" s="706"/>
      <c r="B254" s="175" t="s">
        <v>327</v>
      </c>
      <c r="C254" s="176">
        <v>5</v>
      </c>
      <c r="D254" s="127"/>
      <c r="E254" s="127"/>
      <c r="F254" s="265"/>
      <c r="G254" s="127"/>
      <c r="H254" s="127"/>
      <c r="I254" s="178"/>
      <c r="J254" s="127"/>
      <c r="K254" s="127"/>
      <c r="L254" s="265"/>
      <c r="M254" s="127"/>
      <c r="N254" s="178"/>
      <c r="O254" s="127"/>
      <c r="P254" s="127"/>
      <c r="Q254" s="127"/>
      <c r="R254" s="127"/>
      <c r="S254" s="127">
        <v>11</v>
      </c>
      <c r="T254" s="177"/>
      <c r="U254" s="176"/>
      <c r="V254" s="127"/>
      <c r="W254" s="127"/>
      <c r="X254" s="127"/>
      <c r="Y254" s="127"/>
      <c r="Z254" s="127">
        <v>2</v>
      </c>
      <c r="AA254" s="127"/>
      <c r="AB254" s="127"/>
      <c r="AC254" s="127"/>
      <c r="AD254" s="127"/>
      <c r="AE254" s="127"/>
      <c r="AF254" s="127"/>
      <c r="AG254" s="127"/>
      <c r="AH254" s="127"/>
      <c r="AI254" s="127"/>
      <c r="AJ254" s="127"/>
      <c r="AK254" s="127"/>
      <c r="AL254" s="127"/>
      <c r="AM254" s="642">
        <f t="shared" si="5"/>
        <v>18</v>
      </c>
      <c r="AO254" s="289"/>
    </row>
    <row r="255" spans="1:42" s="61" customFormat="1" ht="25.5" customHeight="1" x14ac:dyDescent="0.3">
      <c r="A255" s="706"/>
      <c r="B255" s="180" t="s">
        <v>361</v>
      </c>
      <c r="C255" s="300">
        <v>109.95</v>
      </c>
      <c r="D255" s="173"/>
      <c r="E255" s="173"/>
      <c r="F255" s="266">
        <v>82</v>
      </c>
      <c r="G255" s="173"/>
      <c r="H255" s="173"/>
      <c r="I255" s="174"/>
      <c r="J255" s="173"/>
      <c r="K255" s="173"/>
      <c r="L255" s="266"/>
      <c r="M255" s="173"/>
      <c r="N255" s="174"/>
      <c r="O255" s="173"/>
      <c r="P255" s="173"/>
      <c r="Q255" s="173"/>
      <c r="R255" s="173"/>
      <c r="S255" s="173">
        <v>6</v>
      </c>
      <c r="T255" s="327"/>
      <c r="U255" s="300"/>
      <c r="V255" s="173"/>
      <c r="W255" s="173"/>
      <c r="X255" s="173"/>
      <c r="Y255" s="173">
        <v>1</v>
      </c>
      <c r="Z255" s="173">
        <v>1</v>
      </c>
      <c r="AA255" s="173"/>
      <c r="AB255" s="173"/>
      <c r="AC255" s="173"/>
      <c r="AD255" s="173"/>
      <c r="AE255" s="173"/>
      <c r="AF255" s="173"/>
      <c r="AG255" s="173"/>
      <c r="AH255" s="173"/>
      <c r="AI255" s="173"/>
      <c r="AJ255" s="173"/>
      <c r="AK255" s="173"/>
      <c r="AL255" s="173"/>
      <c r="AM255" s="643">
        <f t="shared" si="5"/>
        <v>199.95</v>
      </c>
      <c r="AO255" s="289"/>
      <c r="AP255" s="97"/>
    </row>
    <row r="256" spans="1:42" s="61" customFormat="1" ht="25.5" customHeight="1" x14ac:dyDescent="0.3">
      <c r="A256" s="706"/>
      <c r="B256" s="180" t="s">
        <v>362</v>
      </c>
      <c r="C256" s="300">
        <v>4.9749999999999996</v>
      </c>
      <c r="D256" s="173"/>
      <c r="E256" s="173"/>
      <c r="F256" s="266">
        <v>86</v>
      </c>
      <c r="G256" s="173"/>
      <c r="H256" s="173"/>
      <c r="I256" s="174"/>
      <c r="J256" s="173"/>
      <c r="K256" s="173"/>
      <c r="L256" s="266"/>
      <c r="M256" s="173"/>
      <c r="N256" s="174"/>
      <c r="O256" s="173"/>
      <c r="P256" s="173"/>
      <c r="Q256" s="173"/>
      <c r="R256" s="173"/>
      <c r="S256" s="173">
        <v>685</v>
      </c>
      <c r="T256" s="327"/>
      <c r="U256" s="300"/>
      <c r="V256" s="173"/>
      <c r="W256" s="173"/>
      <c r="X256" s="173"/>
      <c r="Y256" s="173">
        <v>1</v>
      </c>
      <c r="Z256" s="173"/>
      <c r="AA256" s="173"/>
      <c r="AB256" s="173"/>
      <c r="AC256" s="173"/>
      <c r="AD256" s="173"/>
      <c r="AE256" s="173"/>
      <c r="AF256" s="173"/>
      <c r="AG256" s="173"/>
      <c r="AH256" s="173"/>
      <c r="AI256" s="173"/>
      <c r="AJ256" s="173"/>
      <c r="AK256" s="173"/>
      <c r="AL256" s="173"/>
      <c r="AM256" s="644">
        <f t="shared" si="5"/>
        <v>776.97500000000002</v>
      </c>
      <c r="AO256" s="289"/>
      <c r="AP256" s="97"/>
    </row>
    <row r="257" spans="1:42" s="61" customFormat="1" ht="22.5" customHeight="1" x14ac:dyDescent="0.3">
      <c r="A257" s="706"/>
      <c r="B257" s="115" t="s">
        <v>402</v>
      </c>
      <c r="C257" s="142">
        <v>4.9749999999999996</v>
      </c>
      <c r="D257" s="111"/>
      <c r="E257" s="111"/>
      <c r="F257" s="267">
        <v>22.8</v>
      </c>
      <c r="G257" s="111"/>
      <c r="H257" s="111"/>
      <c r="I257" s="125"/>
      <c r="J257" s="111"/>
      <c r="K257" s="111"/>
      <c r="L257" s="267">
        <v>0</v>
      </c>
      <c r="M257" s="111"/>
      <c r="N257" s="125"/>
      <c r="O257" s="111"/>
      <c r="P257" s="111"/>
      <c r="Q257" s="111"/>
      <c r="R257" s="111"/>
      <c r="S257" s="111">
        <v>1.6372550000000001</v>
      </c>
      <c r="T257" s="143">
        <v>0</v>
      </c>
      <c r="U257" s="142"/>
      <c r="V257" s="111"/>
      <c r="W257" s="111"/>
      <c r="X257" s="111"/>
      <c r="Y257" s="111"/>
      <c r="Z257" s="111"/>
      <c r="AA257" s="111">
        <v>200</v>
      </c>
      <c r="AB257" s="111"/>
      <c r="AC257" s="111"/>
      <c r="AD257" s="111"/>
      <c r="AE257" s="111"/>
      <c r="AF257" s="111"/>
      <c r="AG257" s="111"/>
      <c r="AH257" s="111">
        <v>2431.0500000000002</v>
      </c>
      <c r="AI257" s="111">
        <v>50</v>
      </c>
      <c r="AJ257" s="111"/>
      <c r="AK257" s="111"/>
      <c r="AL257" s="111"/>
      <c r="AM257" s="645">
        <f t="shared" si="5"/>
        <v>2710.4622550000004</v>
      </c>
      <c r="AO257" s="289"/>
    </row>
    <row r="258" spans="1:42" s="61" customFormat="1" ht="21" customHeight="1" x14ac:dyDescent="0.3">
      <c r="A258" s="707"/>
      <c r="B258" s="181" t="s">
        <v>403</v>
      </c>
      <c r="C258" s="144">
        <v>4.9850000000000003</v>
      </c>
      <c r="D258" s="112"/>
      <c r="E258" s="112"/>
      <c r="F258" s="268"/>
      <c r="G258" s="112"/>
      <c r="H258" s="112"/>
      <c r="I258" s="126"/>
      <c r="J258" s="112"/>
      <c r="K258" s="112"/>
      <c r="L258" s="268"/>
      <c r="M258" s="112"/>
      <c r="N258" s="126"/>
      <c r="O258" s="112"/>
      <c r="P258" s="112"/>
      <c r="Q258" s="112"/>
      <c r="R258" s="112"/>
      <c r="S258" s="112">
        <v>0.26999000000000001</v>
      </c>
      <c r="T258" s="145">
        <v>0</v>
      </c>
      <c r="U258" s="144"/>
      <c r="V258" s="112"/>
      <c r="W258" s="112"/>
      <c r="X258" s="112"/>
      <c r="Y258" s="112">
        <v>0.77800000000000002</v>
      </c>
      <c r="Z258" s="112"/>
      <c r="AA258" s="112"/>
      <c r="AB258" s="112"/>
      <c r="AC258" s="112"/>
      <c r="AD258" s="112"/>
      <c r="AE258" s="112"/>
      <c r="AF258" s="112"/>
      <c r="AG258" s="112"/>
      <c r="AH258" s="112">
        <v>4878.049</v>
      </c>
      <c r="AI258" s="112">
        <v>50</v>
      </c>
      <c r="AJ258" s="112"/>
      <c r="AK258" s="112"/>
      <c r="AL258" s="112"/>
      <c r="AM258" s="646">
        <f t="shared" si="5"/>
        <v>4934.0819899999997</v>
      </c>
      <c r="AO258" s="289"/>
    </row>
    <row r="259" spans="1:42" s="61" customFormat="1" ht="21" customHeight="1" x14ac:dyDescent="0.3">
      <c r="A259" s="705" t="s">
        <v>130</v>
      </c>
      <c r="B259" s="179" t="s">
        <v>293</v>
      </c>
      <c r="C259" s="135"/>
      <c r="D259" s="136"/>
      <c r="E259" s="136"/>
      <c r="F259" s="262">
        <v>113.60899999999999</v>
      </c>
      <c r="G259" s="136"/>
      <c r="H259" s="136"/>
      <c r="I259" s="326"/>
      <c r="J259" s="136"/>
      <c r="K259" s="136"/>
      <c r="L259" s="262">
        <v>409</v>
      </c>
      <c r="M259" s="136"/>
      <c r="N259" s="326">
        <v>115.40600000000001</v>
      </c>
      <c r="O259" s="136"/>
      <c r="P259" s="136"/>
      <c r="Q259" s="136"/>
      <c r="R259" s="136"/>
      <c r="S259" s="136">
        <v>10</v>
      </c>
      <c r="T259" s="137">
        <v>1.47</v>
      </c>
      <c r="U259" s="632"/>
      <c r="V259" s="122"/>
      <c r="W259" s="122"/>
      <c r="X259" s="122"/>
      <c r="Y259" s="122"/>
      <c r="Z259" s="122">
        <v>5</v>
      </c>
      <c r="AA259" s="122"/>
      <c r="AB259" s="122"/>
      <c r="AC259" s="122"/>
      <c r="AD259" s="122"/>
      <c r="AE259" s="122"/>
      <c r="AF259" s="122"/>
      <c r="AG259" s="122"/>
      <c r="AH259" s="122"/>
      <c r="AI259" s="122"/>
      <c r="AJ259" s="122"/>
      <c r="AK259" s="122"/>
      <c r="AL259" s="122"/>
      <c r="AM259" s="639">
        <f t="shared" si="5"/>
        <v>654.48500000000013</v>
      </c>
      <c r="AO259" s="289"/>
    </row>
    <row r="260" spans="1:42" s="61" customFormat="1" ht="19.5" customHeight="1" x14ac:dyDescent="0.3">
      <c r="A260" s="706"/>
      <c r="B260" s="116" t="s">
        <v>294</v>
      </c>
      <c r="C260" s="138">
        <v>2.95</v>
      </c>
      <c r="D260" s="109"/>
      <c r="E260" s="109"/>
      <c r="F260" s="263">
        <v>96.067999999999998</v>
      </c>
      <c r="G260" s="109"/>
      <c r="H260" s="109"/>
      <c r="I260" s="123"/>
      <c r="J260" s="109"/>
      <c r="K260" s="109"/>
      <c r="L260" s="263">
        <v>99.974999999999994</v>
      </c>
      <c r="M260" s="109"/>
      <c r="N260" s="123"/>
      <c r="O260" s="109"/>
      <c r="P260" s="109"/>
      <c r="Q260" s="109"/>
      <c r="R260" s="109"/>
      <c r="S260" s="109"/>
      <c r="T260" s="139">
        <v>1.47</v>
      </c>
      <c r="U260" s="138"/>
      <c r="V260" s="109"/>
      <c r="W260" s="109"/>
      <c r="X260" s="109"/>
      <c r="Y260" s="109"/>
      <c r="Z260" s="109"/>
      <c r="AA260" s="109"/>
      <c r="AB260" s="109"/>
      <c r="AC260" s="109"/>
      <c r="AD260" s="109"/>
      <c r="AE260" s="109"/>
      <c r="AF260" s="109"/>
      <c r="AG260" s="109">
        <v>4.75</v>
      </c>
      <c r="AH260" s="109"/>
      <c r="AI260" s="109"/>
      <c r="AJ260" s="109"/>
      <c r="AK260" s="109"/>
      <c r="AL260" s="109"/>
      <c r="AM260" s="640">
        <f t="shared" si="5"/>
        <v>205.21299999999999</v>
      </c>
      <c r="AO260" s="289"/>
    </row>
    <row r="261" spans="1:42" s="61" customFormat="1" ht="22.5" customHeight="1" x14ac:dyDescent="0.3">
      <c r="A261" s="706"/>
      <c r="B261" s="117" t="s">
        <v>326</v>
      </c>
      <c r="C261" s="140"/>
      <c r="D261" s="110"/>
      <c r="E261" s="110"/>
      <c r="F261" s="264">
        <v>-3</v>
      </c>
      <c r="G261" s="110"/>
      <c r="H261" s="110"/>
      <c r="I261" s="124"/>
      <c r="J261" s="110"/>
      <c r="K261" s="110"/>
      <c r="L261" s="264">
        <v>450</v>
      </c>
      <c r="M261" s="110"/>
      <c r="N261" s="124"/>
      <c r="O261" s="110"/>
      <c r="P261" s="110"/>
      <c r="Q261" s="110"/>
      <c r="R261" s="110"/>
      <c r="S261" s="110">
        <v>73</v>
      </c>
      <c r="T261" s="141"/>
      <c r="U261" s="140">
        <v>6.0999999999999999E-2</v>
      </c>
      <c r="V261" s="110"/>
      <c r="W261" s="110"/>
      <c r="X261" s="110"/>
      <c r="Y261" s="110"/>
      <c r="Z261" s="110">
        <v>10</v>
      </c>
      <c r="AA261" s="110"/>
      <c r="AB261" s="110"/>
      <c r="AC261" s="110">
        <v>9</v>
      </c>
      <c r="AD261" s="110"/>
      <c r="AE261" s="110"/>
      <c r="AF261" s="110"/>
      <c r="AG261" s="110"/>
      <c r="AH261" s="110"/>
      <c r="AI261" s="110"/>
      <c r="AJ261" s="110"/>
      <c r="AK261" s="110"/>
      <c r="AL261" s="110"/>
      <c r="AM261" s="641">
        <f t="shared" si="5"/>
        <v>539.06100000000004</v>
      </c>
      <c r="AO261" s="289"/>
      <c r="AP261" s="97"/>
    </row>
    <row r="262" spans="1:42" s="61" customFormat="1" ht="25.5" customHeight="1" x14ac:dyDescent="0.3">
      <c r="A262" s="706"/>
      <c r="B262" s="175" t="s">
        <v>327</v>
      </c>
      <c r="C262" s="176"/>
      <c r="D262" s="127"/>
      <c r="E262" s="127"/>
      <c r="F262" s="265">
        <v>950</v>
      </c>
      <c r="G262" s="127"/>
      <c r="H262" s="127"/>
      <c r="I262" s="178"/>
      <c r="J262" s="127"/>
      <c r="K262" s="127"/>
      <c r="L262" s="265">
        <v>523</v>
      </c>
      <c r="M262" s="127"/>
      <c r="N262" s="178"/>
      <c r="O262" s="127"/>
      <c r="P262" s="127"/>
      <c r="Q262" s="127"/>
      <c r="R262" s="127"/>
      <c r="S262" s="127">
        <v>112</v>
      </c>
      <c r="T262" s="177"/>
      <c r="U262" s="176">
        <v>6.0999999999999999E-2</v>
      </c>
      <c r="V262" s="127"/>
      <c r="W262" s="127"/>
      <c r="X262" s="127"/>
      <c r="Y262" s="127"/>
      <c r="Z262" s="127">
        <v>6</v>
      </c>
      <c r="AA262" s="127"/>
      <c r="AB262" s="127"/>
      <c r="AC262" s="127"/>
      <c r="AD262" s="127"/>
      <c r="AE262" s="127"/>
      <c r="AF262" s="127"/>
      <c r="AG262" s="127"/>
      <c r="AH262" s="127"/>
      <c r="AI262" s="127">
        <v>91</v>
      </c>
      <c r="AJ262" s="127"/>
      <c r="AK262" s="127"/>
      <c r="AL262" s="127"/>
      <c r="AM262" s="642">
        <f t="shared" si="5"/>
        <v>1682.0609999999999</v>
      </c>
      <c r="AO262" s="289"/>
    </row>
    <row r="263" spans="1:42" s="61" customFormat="1" ht="25.5" customHeight="1" x14ac:dyDescent="0.3">
      <c r="A263" s="706"/>
      <c r="B263" s="180" t="s">
        <v>361</v>
      </c>
      <c r="C263" s="300"/>
      <c r="D263" s="173"/>
      <c r="E263" s="173"/>
      <c r="F263" s="266">
        <v>1461</v>
      </c>
      <c r="G263" s="173"/>
      <c r="H263" s="173"/>
      <c r="I263" s="174"/>
      <c r="J263" s="173"/>
      <c r="K263" s="173"/>
      <c r="L263" s="266">
        <v>431</v>
      </c>
      <c r="M263" s="173"/>
      <c r="N263" s="174"/>
      <c r="O263" s="173"/>
      <c r="P263" s="173"/>
      <c r="Q263" s="173"/>
      <c r="R263" s="173"/>
      <c r="S263" s="173">
        <v>379</v>
      </c>
      <c r="T263" s="327"/>
      <c r="U263" s="300"/>
      <c r="V263" s="173"/>
      <c r="W263" s="173"/>
      <c r="X263" s="173"/>
      <c r="Y263" s="173"/>
      <c r="Z263" s="173"/>
      <c r="AA263" s="173"/>
      <c r="AB263" s="173"/>
      <c r="AC263" s="173"/>
      <c r="AD263" s="173"/>
      <c r="AE263" s="173"/>
      <c r="AF263" s="173"/>
      <c r="AG263" s="173"/>
      <c r="AH263" s="173"/>
      <c r="AI263" s="173">
        <v>470</v>
      </c>
      <c r="AJ263" s="173"/>
      <c r="AK263" s="173"/>
      <c r="AL263" s="173"/>
      <c r="AM263" s="643">
        <f t="shared" si="5"/>
        <v>2741</v>
      </c>
      <c r="AO263" s="289"/>
      <c r="AP263" s="97"/>
    </row>
    <row r="264" spans="1:42" s="61" customFormat="1" ht="25.5" customHeight="1" x14ac:dyDescent="0.3">
      <c r="A264" s="706"/>
      <c r="B264" s="180" t="s">
        <v>362</v>
      </c>
      <c r="C264" s="300"/>
      <c r="D264" s="173"/>
      <c r="E264" s="173"/>
      <c r="F264" s="266">
        <v>855</v>
      </c>
      <c r="G264" s="173"/>
      <c r="H264" s="173">
        <v>16</v>
      </c>
      <c r="I264" s="174"/>
      <c r="J264" s="173"/>
      <c r="K264" s="173"/>
      <c r="L264" s="266">
        <v>395</v>
      </c>
      <c r="M264" s="173"/>
      <c r="N264" s="174"/>
      <c r="O264" s="173"/>
      <c r="P264" s="173"/>
      <c r="Q264" s="173"/>
      <c r="R264" s="173"/>
      <c r="S264" s="173">
        <v>447</v>
      </c>
      <c r="T264" s="327"/>
      <c r="U264" s="300">
        <v>1.7999999999999999E-2</v>
      </c>
      <c r="V264" s="173"/>
      <c r="W264" s="173"/>
      <c r="X264" s="173"/>
      <c r="Y264" s="173"/>
      <c r="Z264" s="173"/>
      <c r="AA264" s="173"/>
      <c r="AB264" s="173"/>
      <c r="AC264" s="173"/>
      <c r="AD264" s="173"/>
      <c r="AE264" s="173"/>
      <c r="AF264" s="173">
        <v>120</v>
      </c>
      <c r="AG264" s="173"/>
      <c r="AH264" s="173">
        <v>503</v>
      </c>
      <c r="AI264" s="173"/>
      <c r="AJ264" s="173"/>
      <c r="AK264" s="173"/>
      <c r="AL264" s="173"/>
      <c r="AM264" s="644">
        <f t="shared" si="5"/>
        <v>2336.018</v>
      </c>
      <c r="AO264" s="289"/>
      <c r="AP264" s="97"/>
    </row>
    <row r="265" spans="1:42" s="61" customFormat="1" ht="22.5" customHeight="1" x14ac:dyDescent="0.3">
      <c r="A265" s="706"/>
      <c r="B265" s="115" t="s">
        <v>402</v>
      </c>
      <c r="C265" s="142"/>
      <c r="D265" s="111"/>
      <c r="E265" s="111"/>
      <c r="F265" s="267">
        <v>729</v>
      </c>
      <c r="G265" s="111"/>
      <c r="H265" s="111"/>
      <c r="I265" s="125"/>
      <c r="J265" s="111"/>
      <c r="K265" s="111"/>
      <c r="L265" s="267">
        <v>744</v>
      </c>
      <c r="M265" s="111"/>
      <c r="N265" s="125"/>
      <c r="O265" s="111"/>
      <c r="P265" s="111"/>
      <c r="Q265" s="111"/>
      <c r="R265" s="111"/>
      <c r="S265" s="111"/>
      <c r="T265" s="143"/>
      <c r="U265" s="142">
        <v>0.106</v>
      </c>
      <c r="V265" s="111"/>
      <c r="W265" s="111"/>
      <c r="X265" s="111"/>
      <c r="Y265" s="111"/>
      <c r="Z265" s="111"/>
      <c r="AA265" s="111"/>
      <c r="AB265" s="111"/>
      <c r="AC265" s="111">
        <v>12</v>
      </c>
      <c r="AD265" s="111"/>
      <c r="AE265" s="111"/>
      <c r="AF265" s="111"/>
      <c r="AG265" s="111"/>
      <c r="AH265" s="111">
        <v>2164</v>
      </c>
      <c r="AI265" s="111">
        <v>457</v>
      </c>
      <c r="AJ265" s="111"/>
      <c r="AK265" s="111"/>
      <c r="AL265" s="111"/>
      <c r="AM265" s="645">
        <f t="shared" si="5"/>
        <v>4106.1059999999998</v>
      </c>
      <c r="AO265" s="289"/>
    </row>
    <row r="266" spans="1:42" s="61" customFormat="1" ht="21" customHeight="1" x14ac:dyDescent="0.3">
      <c r="A266" s="707"/>
      <c r="B266" s="181" t="s">
        <v>403</v>
      </c>
      <c r="C266" s="144">
        <v>12</v>
      </c>
      <c r="D266" s="112"/>
      <c r="E266" s="112"/>
      <c r="F266" s="268">
        <v>394.9</v>
      </c>
      <c r="G266" s="112"/>
      <c r="H266" s="112"/>
      <c r="I266" s="126"/>
      <c r="J266" s="112"/>
      <c r="K266" s="112"/>
      <c r="L266" s="268">
        <v>641.5</v>
      </c>
      <c r="M266" s="112"/>
      <c r="N266" s="126"/>
      <c r="O266" s="112">
        <v>30</v>
      </c>
      <c r="P266" s="112"/>
      <c r="Q266" s="112"/>
      <c r="R266" s="112"/>
      <c r="S266" s="112">
        <v>-2.7214399999999999</v>
      </c>
      <c r="T266" s="145"/>
      <c r="U266" s="144">
        <v>0.105</v>
      </c>
      <c r="V266" s="112"/>
      <c r="W266" s="112"/>
      <c r="X266" s="112"/>
      <c r="Y266" s="112"/>
      <c r="Z266" s="112"/>
      <c r="AA266" s="112"/>
      <c r="AB266" s="112"/>
      <c r="AC266" s="112">
        <v>0</v>
      </c>
      <c r="AD266" s="112"/>
      <c r="AE266" s="112"/>
      <c r="AF266" s="112"/>
      <c r="AG266" s="112"/>
      <c r="AH266" s="112">
        <v>4371.0079999999998</v>
      </c>
      <c r="AI266" s="112">
        <v>457</v>
      </c>
      <c r="AJ266" s="112"/>
      <c r="AK266" s="112"/>
      <c r="AL266" s="112"/>
      <c r="AM266" s="646">
        <f t="shared" si="5"/>
        <v>5903.7915599999997</v>
      </c>
      <c r="AO266" s="289"/>
    </row>
    <row r="267" spans="1:42" s="61" customFormat="1" ht="21" customHeight="1" x14ac:dyDescent="0.3">
      <c r="A267" s="705" t="s">
        <v>131</v>
      </c>
      <c r="B267" s="179" t="s">
        <v>293</v>
      </c>
      <c r="C267" s="135"/>
      <c r="D267" s="136"/>
      <c r="E267" s="136"/>
      <c r="F267" s="262">
        <v>939.31799999999998</v>
      </c>
      <c r="G267" s="136">
        <v>6</v>
      </c>
      <c r="H267" s="136"/>
      <c r="I267" s="326"/>
      <c r="J267" s="136"/>
      <c r="K267" s="136"/>
      <c r="L267" s="262"/>
      <c r="M267" s="136"/>
      <c r="N267" s="326"/>
      <c r="O267" s="136"/>
      <c r="P267" s="136"/>
      <c r="Q267" s="136"/>
      <c r="R267" s="136">
        <f>+(1343+85)/2</f>
        <v>714</v>
      </c>
      <c r="S267" s="136"/>
      <c r="T267" s="137"/>
      <c r="U267" s="632"/>
      <c r="V267" s="122"/>
      <c r="W267" s="122"/>
      <c r="X267" s="122">
        <v>45</v>
      </c>
      <c r="Y267" s="122"/>
      <c r="Z267" s="122">
        <v>15</v>
      </c>
      <c r="AA267" s="122"/>
      <c r="AB267" s="122"/>
      <c r="AC267" s="122"/>
      <c r="AD267" s="122"/>
      <c r="AE267" s="122"/>
      <c r="AF267" s="122"/>
      <c r="AG267" s="122"/>
      <c r="AH267" s="122"/>
      <c r="AI267" s="122"/>
      <c r="AJ267" s="122"/>
      <c r="AK267" s="122"/>
      <c r="AL267" s="122"/>
      <c r="AM267" s="639">
        <f t="shared" si="5"/>
        <v>1719.318</v>
      </c>
      <c r="AO267" s="289"/>
    </row>
    <row r="268" spans="1:42" s="61" customFormat="1" ht="19.5" customHeight="1" x14ac:dyDescent="0.3">
      <c r="A268" s="706"/>
      <c r="B268" s="116" t="s">
        <v>294</v>
      </c>
      <c r="C268" s="138">
        <v>1250</v>
      </c>
      <c r="D268" s="109"/>
      <c r="E268" s="109"/>
      <c r="F268" s="263">
        <v>16.527999999999999</v>
      </c>
      <c r="G268" s="109">
        <v>6</v>
      </c>
      <c r="H268" s="109"/>
      <c r="I268" s="123"/>
      <c r="J268" s="109"/>
      <c r="K268" s="109"/>
      <c r="L268" s="263"/>
      <c r="M268" s="109"/>
      <c r="N268" s="123"/>
      <c r="O268" s="109"/>
      <c r="P268" s="109">
        <v>40</v>
      </c>
      <c r="Q268" s="109"/>
      <c r="R268" s="109">
        <f>+(1343+85)/2</f>
        <v>714</v>
      </c>
      <c r="S268" s="109"/>
      <c r="T268" s="139"/>
      <c r="U268" s="138"/>
      <c r="V268" s="109"/>
      <c r="W268" s="109"/>
      <c r="X268" s="109"/>
      <c r="Y268" s="109"/>
      <c r="Z268" s="109">
        <v>13.888</v>
      </c>
      <c r="AA268" s="109"/>
      <c r="AB268" s="109"/>
      <c r="AC268" s="109"/>
      <c r="AD268" s="109"/>
      <c r="AE268" s="109"/>
      <c r="AF268" s="109"/>
      <c r="AG268" s="109">
        <v>0.4</v>
      </c>
      <c r="AH268" s="109">
        <v>103.2</v>
      </c>
      <c r="AI268" s="109"/>
      <c r="AJ268" s="109"/>
      <c r="AK268" s="109"/>
      <c r="AL268" s="109"/>
      <c r="AM268" s="640">
        <f t="shared" si="5"/>
        <v>2144.0160000000001</v>
      </c>
      <c r="AO268" s="289"/>
    </row>
    <row r="269" spans="1:42" s="61" customFormat="1" ht="22.5" customHeight="1" x14ac:dyDescent="0.3">
      <c r="A269" s="706"/>
      <c r="B269" s="117" t="s">
        <v>326</v>
      </c>
      <c r="C269" s="140">
        <v>44.192</v>
      </c>
      <c r="D269" s="110"/>
      <c r="E269" s="110"/>
      <c r="F269" s="264"/>
      <c r="G269" s="110">
        <v>6</v>
      </c>
      <c r="H269" s="110"/>
      <c r="I269" s="124"/>
      <c r="J269" s="110"/>
      <c r="K269" s="110"/>
      <c r="L269" s="264"/>
      <c r="M269" s="110"/>
      <c r="N269" s="124"/>
      <c r="O269" s="110"/>
      <c r="P269" s="110"/>
      <c r="Q269" s="110"/>
      <c r="R269" s="110">
        <f>+(1520+310)/2</f>
        <v>915</v>
      </c>
      <c r="S269" s="110"/>
      <c r="T269" s="141"/>
      <c r="U269" s="140">
        <v>1.367</v>
      </c>
      <c r="V269" s="110"/>
      <c r="W269" s="110"/>
      <c r="X269" s="110"/>
      <c r="Y269" s="110"/>
      <c r="Z269" s="110"/>
      <c r="AA269" s="110"/>
      <c r="AB269" s="110"/>
      <c r="AC269" s="110"/>
      <c r="AD269" s="110"/>
      <c r="AE269" s="110"/>
      <c r="AF269" s="110"/>
      <c r="AG269" s="110"/>
      <c r="AH269" s="110">
        <v>600</v>
      </c>
      <c r="AI269" s="110"/>
      <c r="AJ269" s="110"/>
      <c r="AK269" s="110"/>
      <c r="AL269" s="110"/>
      <c r="AM269" s="641">
        <f t="shared" si="5"/>
        <v>1566.559</v>
      </c>
      <c r="AO269" s="289"/>
      <c r="AP269" s="97"/>
    </row>
    <row r="270" spans="1:42" s="61" customFormat="1" ht="25.5" customHeight="1" x14ac:dyDescent="0.3">
      <c r="A270" s="706"/>
      <c r="B270" s="175" t="s">
        <v>327</v>
      </c>
      <c r="C270" s="176">
        <v>1788.3019999999999</v>
      </c>
      <c r="D270" s="127"/>
      <c r="E270" s="127"/>
      <c r="F270" s="265"/>
      <c r="G270" s="127"/>
      <c r="H270" s="127"/>
      <c r="I270" s="178"/>
      <c r="J270" s="127"/>
      <c r="K270" s="127"/>
      <c r="L270" s="265"/>
      <c r="M270" s="127"/>
      <c r="N270" s="178"/>
      <c r="O270" s="127"/>
      <c r="P270" s="127"/>
      <c r="Q270" s="127"/>
      <c r="R270" s="127">
        <f>+(1520+310)/2</f>
        <v>915</v>
      </c>
      <c r="S270" s="127">
        <v>148</v>
      </c>
      <c r="T270" s="177"/>
      <c r="U270" s="176">
        <v>0.24399999999999999</v>
      </c>
      <c r="V270" s="127"/>
      <c r="W270" s="127"/>
      <c r="X270" s="127"/>
      <c r="Y270" s="127"/>
      <c r="Z270" s="127"/>
      <c r="AA270" s="127"/>
      <c r="AB270" s="127"/>
      <c r="AC270" s="127">
        <v>1.663</v>
      </c>
      <c r="AD270" s="127"/>
      <c r="AE270" s="127"/>
      <c r="AF270" s="127"/>
      <c r="AG270" s="127"/>
      <c r="AH270" s="127"/>
      <c r="AI270" s="127"/>
      <c r="AJ270" s="127"/>
      <c r="AK270" s="127"/>
      <c r="AL270" s="127"/>
      <c r="AM270" s="642">
        <f t="shared" si="5"/>
        <v>2853.2089999999998</v>
      </c>
      <c r="AO270" s="289"/>
    </row>
    <row r="271" spans="1:42" s="61" customFormat="1" ht="25.5" customHeight="1" x14ac:dyDescent="0.3">
      <c r="A271" s="706"/>
      <c r="B271" s="180" t="s">
        <v>361</v>
      </c>
      <c r="C271" s="300">
        <v>554.00315999999998</v>
      </c>
      <c r="D271" s="173"/>
      <c r="E271" s="173"/>
      <c r="F271" s="266"/>
      <c r="G271" s="173"/>
      <c r="H271" s="173"/>
      <c r="I271" s="174"/>
      <c r="J271" s="173"/>
      <c r="K271" s="173"/>
      <c r="L271" s="266">
        <v>626</v>
      </c>
      <c r="M271" s="173"/>
      <c r="N271" s="174"/>
      <c r="O271" s="173"/>
      <c r="P271" s="173"/>
      <c r="Q271" s="173"/>
      <c r="R271" s="173">
        <v>125</v>
      </c>
      <c r="S271" s="173">
        <v>484</v>
      </c>
      <c r="T271" s="327"/>
      <c r="U271" s="300">
        <v>600.06899999999996</v>
      </c>
      <c r="V271" s="173"/>
      <c r="W271" s="173">
        <v>992</v>
      </c>
      <c r="X271" s="173">
        <v>4</v>
      </c>
      <c r="Y271" s="173"/>
      <c r="Z271" s="173">
        <v>55.301989999999996</v>
      </c>
      <c r="AA271" s="173"/>
      <c r="AB271" s="173">
        <v>20</v>
      </c>
      <c r="AC271" s="173">
        <v>2</v>
      </c>
      <c r="AD271" s="173"/>
      <c r="AE271" s="173"/>
      <c r="AF271" s="173"/>
      <c r="AG271" s="173"/>
      <c r="AH271" s="173"/>
      <c r="AI271" s="173"/>
      <c r="AJ271" s="173"/>
      <c r="AK271" s="173"/>
      <c r="AL271" s="173"/>
      <c r="AM271" s="643">
        <f t="shared" si="5"/>
        <v>3462.3741499999996</v>
      </c>
      <c r="AO271" s="289"/>
      <c r="AP271" s="97"/>
    </row>
    <row r="272" spans="1:42" s="61" customFormat="1" ht="25.5" customHeight="1" x14ac:dyDescent="0.3">
      <c r="A272" s="706"/>
      <c r="B272" s="180" t="s">
        <v>362</v>
      </c>
      <c r="C272" s="300">
        <v>4</v>
      </c>
      <c r="D272" s="173"/>
      <c r="E272" s="173"/>
      <c r="F272" s="266"/>
      <c r="G272" s="173">
        <v>6</v>
      </c>
      <c r="H272" s="173"/>
      <c r="I272" s="174"/>
      <c r="J272" s="173"/>
      <c r="K272" s="173"/>
      <c r="L272" s="266"/>
      <c r="M272" s="173"/>
      <c r="N272" s="174"/>
      <c r="O272" s="173"/>
      <c r="P272" s="173"/>
      <c r="Q272" s="173"/>
      <c r="R272" s="173">
        <f>125-R271</f>
        <v>0</v>
      </c>
      <c r="S272" s="173">
        <v>1282</v>
      </c>
      <c r="T272" s="327"/>
      <c r="U272" s="300">
        <v>773.33600000000001</v>
      </c>
      <c r="V272" s="173"/>
      <c r="W272" s="173"/>
      <c r="X272" s="173"/>
      <c r="Y272" s="173"/>
      <c r="Z272" s="173">
        <v>92.26024000000001</v>
      </c>
      <c r="AA272" s="173">
        <v>97</v>
      </c>
      <c r="AB272" s="173"/>
      <c r="AC272" s="173"/>
      <c r="AD272" s="173"/>
      <c r="AE272" s="173"/>
      <c r="AF272" s="173"/>
      <c r="AG272" s="173"/>
      <c r="AH272" s="173"/>
      <c r="AI272" s="173"/>
      <c r="AJ272" s="173"/>
      <c r="AK272" s="173"/>
      <c r="AL272" s="173"/>
      <c r="AM272" s="644">
        <f t="shared" si="5"/>
        <v>2254.5962400000003</v>
      </c>
      <c r="AO272" s="289"/>
      <c r="AP272" s="97"/>
    </row>
    <row r="273" spans="1:42" s="61" customFormat="1" ht="22.5" customHeight="1" x14ac:dyDescent="0.3">
      <c r="A273" s="706"/>
      <c r="B273" s="115" t="s">
        <v>402</v>
      </c>
      <c r="C273" s="142">
        <v>79.433160000000001</v>
      </c>
      <c r="D273" s="111"/>
      <c r="E273" s="111"/>
      <c r="F273" s="267">
        <v>268.3</v>
      </c>
      <c r="G273" s="111"/>
      <c r="H273" s="111"/>
      <c r="I273" s="125"/>
      <c r="J273" s="111"/>
      <c r="K273" s="111"/>
      <c r="L273" s="267">
        <v>830</v>
      </c>
      <c r="M273" s="111"/>
      <c r="N273" s="125"/>
      <c r="O273" s="111"/>
      <c r="P273" s="111"/>
      <c r="Q273" s="111"/>
      <c r="R273" s="111">
        <v>83</v>
      </c>
      <c r="S273" s="111">
        <v>793.60606300000006</v>
      </c>
      <c r="T273" s="143"/>
      <c r="U273" s="142">
        <v>160</v>
      </c>
      <c r="V273" s="111"/>
      <c r="W273" s="111">
        <f>921</f>
        <v>921</v>
      </c>
      <c r="X273" s="111"/>
      <c r="Y273" s="111"/>
      <c r="Z273" s="111"/>
      <c r="AA273" s="111"/>
      <c r="AB273" s="111"/>
      <c r="AC273" s="111"/>
      <c r="AD273" s="111"/>
      <c r="AE273" s="111"/>
      <c r="AF273" s="111"/>
      <c r="AG273" s="111"/>
      <c r="AH273" s="111" t="s">
        <v>482</v>
      </c>
      <c r="AI273" s="111"/>
      <c r="AJ273" s="111"/>
      <c r="AK273" s="111"/>
      <c r="AL273" s="111"/>
      <c r="AM273" s="645">
        <f t="shared" si="5"/>
        <v>3135.3392229999999</v>
      </c>
      <c r="AO273" s="289"/>
    </row>
    <row r="274" spans="1:42" s="61" customFormat="1" ht="21" customHeight="1" x14ac:dyDescent="0.3">
      <c r="A274" s="707"/>
      <c r="B274" s="181" t="s">
        <v>403</v>
      </c>
      <c r="C274" s="144">
        <v>9.0293200000000002</v>
      </c>
      <c r="D274" s="112"/>
      <c r="E274" s="112"/>
      <c r="F274" s="268"/>
      <c r="G274" s="112"/>
      <c r="H274" s="112">
        <v>1</v>
      </c>
      <c r="I274" s="126"/>
      <c r="J274" s="112"/>
      <c r="K274" s="112">
        <v>22</v>
      </c>
      <c r="L274" s="268">
        <v>451</v>
      </c>
      <c r="M274" s="112"/>
      <c r="N274" s="126"/>
      <c r="O274" s="112"/>
      <c r="P274" s="112"/>
      <c r="Q274" s="112"/>
      <c r="R274" s="112">
        <v>0</v>
      </c>
      <c r="S274" s="112">
        <v>1134.6989279999998</v>
      </c>
      <c r="T274" s="145"/>
      <c r="U274" s="144">
        <v>586.75400000000002</v>
      </c>
      <c r="V274" s="112"/>
      <c r="W274" s="112">
        <v>0</v>
      </c>
      <c r="X274" s="112">
        <v>2</v>
      </c>
      <c r="Y274" s="112"/>
      <c r="Z274" s="112">
        <v>153</v>
      </c>
      <c r="AA274" s="112">
        <v>270</v>
      </c>
      <c r="AB274" s="112">
        <v>58.6</v>
      </c>
      <c r="AC274" s="112"/>
      <c r="AD274" s="112"/>
      <c r="AE274" s="112"/>
      <c r="AF274" s="112"/>
      <c r="AG274" s="112"/>
      <c r="AH274" s="112" t="s">
        <v>482</v>
      </c>
      <c r="AI274" s="112"/>
      <c r="AJ274" s="112"/>
      <c r="AK274" s="112"/>
      <c r="AL274" s="112"/>
      <c r="AM274" s="646">
        <f t="shared" si="5"/>
        <v>2688.0822479999997</v>
      </c>
      <c r="AO274" s="289"/>
    </row>
    <row r="275" spans="1:42" s="61" customFormat="1" ht="21" customHeight="1" x14ac:dyDescent="0.3">
      <c r="A275" s="705" t="s">
        <v>132</v>
      </c>
      <c r="B275" s="179" t="s">
        <v>293</v>
      </c>
      <c r="C275" s="135">
        <v>10662.4</v>
      </c>
      <c r="D275" s="136"/>
      <c r="E275" s="136"/>
      <c r="F275" s="262">
        <v>1009.729</v>
      </c>
      <c r="G275" s="136">
        <v>1945</v>
      </c>
      <c r="H275" s="136">
        <v>214</v>
      </c>
      <c r="I275" s="326"/>
      <c r="J275" s="136">
        <v>151</v>
      </c>
      <c r="K275" s="136">
        <v>160</v>
      </c>
      <c r="L275" s="262">
        <v>1880.38</v>
      </c>
      <c r="M275" s="136"/>
      <c r="N275" s="326">
        <v>7674.52</v>
      </c>
      <c r="O275" s="136">
        <v>617.79999999999995</v>
      </c>
      <c r="P275" s="136">
        <v>14</v>
      </c>
      <c r="Q275" s="136">
        <v>4356</v>
      </c>
      <c r="R275" s="136"/>
      <c r="S275" s="136">
        <v>27672.955999999998</v>
      </c>
      <c r="T275" s="137">
        <v>1725.626</v>
      </c>
      <c r="U275" s="632">
        <v>97.102000000000004</v>
      </c>
      <c r="V275" s="122">
        <f>(31328+540102)/1000</f>
        <v>571.42999999999995</v>
      </c>
      <c r="W275" s="122">
        <v>6592</v>
      </c>
      <c r="X275" s="122">
        <v>47</v>
      </c>
      <c r="Y275" s="122">
        <v>18891.235000000001</v>
      </c>
      <c r="Z275" s="122">
        <v>63615</v>
      </c>
      <c r="AA275" s="122"/>
      <c r="AB275" s="122"/>
      <c r="AC275" s="122">
        <v>1319.991</v>
      </c>
      <c r="AD275" s="122">
        <v>7765</v>
      </c>
      <c r="AE275" s="122">
        <v>651</v>
      </c>
      <c r="AF275" s="122"/>
      <c r="AG275" s="122">
        <v>3.7889999999999997</v>
      </c>
      <c r="AH275" s="122">
        <v>50070.89</v>
      </c>
      <c r="AI275" s="122">
        <v>28706</v>
      </c>
      <c r="AJ275" s="122"/>
      <c r="AK275" s="122">
        <v>403.01</v>
      </c>
      <c r="AL275" s="122">
        <v>352.55033557046977</v>
      </c>
      <c r="AM275" s="639">
        <f t="shared" si="5"/>
        <v>237169.40833557048</v>
      </c>
      <c r="AO275" s="289"/>
    </row>
    <row r="276" spans="1:42" s="61" customFormat="1" ht="19.5" customHeight="1" x14ac:dyDescent="0.3">
      <c r="A276" s="706"/>
      <c r="B276" s="116" t="s">
        <v>294</v>
      </c>
      <c r="C276" s="138">
        <v>17506.7</v>
      </c>
      <c r="D276" s="109"/>
      <c r="E276" s="109"/>
      <c r="F276" s="263">
        <v>2726.3</v>
      </c>
      <c r="G276" s="109">
        <v>2177</v>
      </c>
      <c r="H276" s="109">
        <v>39</v>
      </c>
      <c r="I276" s="123"/>
      <c r="J276" s="109">
        <v>131</v>
      </c>
      <c r="K276" s="109">
        <v>168</v>
      </c>
      <c r="L276" s="263">
        <v>2438.9490000000001</v>
      </c>
      <c r="M276" s="109">
        <f>6711/1000</f>
        <v>6.7110000000000003</v>
      </c>
      <c r="N276" s="123">
        <v>9963.4169999999995</v>
      </c>
      <c r="O276" s="109">
        <v>5191.3999999999996</v>
      </c>
      <c r="P276" s="109">
        <v>1072</v>
      </c>
      <c r="Q276" s="109">
        <v>2468</v>
      </c>
      <c r="R276" s="109"/>
      <c r="S276" s="109">
        <v>38846.432000000001</v>
      </c>
      <c r="T276" s="139">
        <v>1693.2840000000001</v>
      </c>
      <c r="U276" s="138">
        <v>1441.9290000000001</v>
      </c>
      <c r="V276" s="109">
        <f>(31328+827989)/1000-V275</f>
        <v>287.88700000000006</v>
      </c>
      <c r="W276" s="109">
        <f>7380-6592</f>
        <v>788</v>
      </c>
      <c r="X276" s="109">
        <v>2361</v>
      </c>
      <c r="Y276" s="109">
        <v>24648.767</v>
      </c>
      <c r="Z276" s="109">
        <v>97605</v>
      </c>
      <c r="AA276" s="109">
        <v>-8.2765599999999999</v>
      </c>
      <c r="AB276" s="109"/>
      <c r="AC276" s="109">
        <v>1301.277</v>
      </c>
      <c r="AD276" s="109">
        <v>8004</v>
      </c>
      <c r="AE276" s="109">
        <v>552</v>
      </c>
      <c r="AF276" s="109"/>
      <c r="AG276" s="109">
        <v>3.05</v>
      </c>
      <c r="AH276" s="109">
        <v>101119.46</v>
      </c>
      <c r="AI276" s="109">
        <v>45279</v>
      </c>
      <c r="AJ276" s="109"/>
      <c r="AK276" s="109">
        <v>133.61000000000001</v>
      </c>
      <c r="AL276" s="109">
        <v>0</v>
      </c>
      <c r="AM276" s="640">
        <f t="shared" si="5"/>
        <v>367944.89643999998</v>
      </c>
      <c r="AO276" s="289"/>
    </row>
    <row r="277" spans="1:42" s="61" customFormat="1" ht="22.5" customHeight="1" x14ac:dyDescent="0.3">
      <c r="A277" s="706"/>
      <c r="B277" s="117" t="s">
        <v>326</v>
      </c>
      <c r="C277" s="140">
        <v>9572.7469999999994</v>
      </c>
      <c r="D277" s="110"/>
      <c r="E277" s="110"/>
      <c r="F277" s="264">
        <v>10335</v>
      </c>
      <c r="G277" s="110">
        <v>4873</v>
      </c>
      <c r="H277" s="110">
        <v>15</v>
      </c>
      <c r="I277" s="124"/>
      <c r="J277" s="110">
        <v>186</v>
      </c>
      <c r="K277" s="110">
        <f>4+228+1511</f>
        <v>1743</v>
      </c>
      <c r="L277" s="264">
        <v>2406</v>
      </c>
      <c r="M277" s="110">
        <f>19141/1000</f>
        <v>19.140999999999998</v>
      </c>
      <c r="N277" s="124">
        <v>10685.266</v>
      </c>
      <c r="O277" s="110">
        <v>2383</v>
      </c>
      <c r="P277" s="110">
        <v>367</v>
      </c>
      <c r="Q277" s="110">
        <v>6963</v>
      </c>
      <c r="R277" s="110"/>
      <c r="S277" s="110">
        <v>50724</v>
      </c>
      <c r="T277" s="141"/>
      <c r="U277" s="140">
        <v>1873.162</v>
      </c>
      <c r="V277" s="110">
        <f>207800/1000</f>
        <v>207.8</v>
      </c>
      <c r="W277" s="110">
        <f>985+624</f>
        <v>1609</v>
      </c>
      <c r="X277" s="110">
        <v>3077</v>
      </c>
      <c r="Y277" s="110">
        <v>23725</v>
      </c>
      <c r="Z277" s="110">
        <v>95380</v>
      </c>
      <c r="AA277" s="110">
        <v>-5.4930000000000003</v>
      </c>
      <c r="AB277" s="110"/>
      <c r="AC277" s="110">
        <v>2472.1179999999999</v>
      </c>
      <c r="AD277" s="110">
        <v>15560</v>
      </c>
      <c r="AE277" s="110">
        <v>721</v>
      </c>
      <c r="AF277" s="110">
        <v>14.246947082767978</v>
      </c>
      <c r="AG277" s="110"/>
      <c r="AH277" s="110">
        <v>101555.29753</v>
      </c>
      <c r="AI277" s="110">
        <v>86041</v>
      </c>
      <c r="AJ277" s="110"/>
      <c r="AK277" s="110">
        <v>197</v>
      </c>
      <c r="AL277" s="110">
        <v>904.60620175438601</v>
      </c>
      <c r="AM277" s="641">
        <f t="shared" si="5"/>
        <v>433603.89167883713</v>
      </c>
      <c r="AO277" s="289"/>
      <c r="AP277" s="97"/>
    </row>
    <row r="278" spans="1:42" s="61" customFormat="1" ht="25.5" customHeight="1" x14ac:dyDescent="0.3">
      <c r="A278" s="706"/>
      <c r="B278" s="175" t="s">
        <v>327</v>
      </c>
      <c r="C278" s="176">
        <v>19407.152999999998</v>
      </c>
      <c r="D278" s="127"/>
      <c r="E278" s="127"/>
      <c r="F278" s="265">
        <v>3958</v>
      </c>
      <c r="G278" s="127">
        <v>2131</v>
      </c>
      <c r="H278" s="127"/>
      <c r="I278" s="178"/>
      <c r="J278" s="127"/>
      <c r="K278" s="127"/>
      <c r="L278" s="265">
        <v>1982</v>
      </c>
      <c r="M278" s="127"/>
      <c r="N278" s="178">
        <v>13141.837</v>
      </c>
      <c r="O278" s="127">
        <v>5449</v>
      </c>
      <c r="P278" s="127">
        <v>403</v>
      </c>
      <c r="Q278" s="127">
        <v>6272</v>
      </c>
      <c r="R278" s="127"/>
      <c r="S278" s="127">
        <v>78493</v>
      </c>
      <c r="T278" s="177"/>
      <c r="U278" s="176">
        <v>2304.998</v>
      </c>
      <c r="V278" s="127">
        <f>(509079+1278540)/1000-V277</f>
        <v>1579.819</v>
      </c>
      <c r="W278" s="127">
        <f>5384+720-1609</f>
        <v>4495</v>
      </c>
      <c r="X278" s="127">
        <v>606</v>
      </c>
      <c r="Y278" s="127">
        <v>31742</v>
      </c>
      <c r="Z278" s="127">
        <v>136706</v>
      </c>
      <c r="AA278" s="127">
        <v>41.757060000000003</v>
      </c>
      <c r="AB278" s="127"/>
      <c r="AC278" s="127">
        <v>1954.202</v>
      </c>
      <c r="AD278" s="127">
        <v>10502</v>
      </c>
      <c r="AE278" s="127">
        <v>1051</v>
      </c>
      <c r="AF278" s="127"/>
      <c r="AG278" s="127"/>
      <c r="AH278" s="127">
        <v>148167.94</v>
      </c>
      <c r="AI278" s="127">
        <v>86457</v>
      </c>
      <c r="AJ278" s="127"/>
      <c r="AK278" s="127">
        <f>265+4</f>
        <v>269</v>
      </c>
      <c r="AL278" s="127">
        <v>924.02034351145016</v>
      </c>
      <c r="AM278" s="642">
        <f t="shared" si="5"/>
        <v>558037.72640351148</v>
      </c>
      <c r="AO278" s="289"/>
    </row>
    <row r="279" spans="1:42" s="61" customFormat="1" ht="25.5" customHeight="1" x14ac:dyDescent="0.3">
      <c r="A279" s="706"/>
      <c r="B279" s="180" t="s">
        <v>361</v>
      </c>
      <c r="C279" s="300">
        <v>48373.24136</v>
      </c>
      <c r="D279" s="173"/>
      <c r="E279" s="173"/>
      <c r="F279" s="266">
        <v>3975</v>
      </c>
      <c r="G279" s="173">
        <f>2158+488</f>
        <v>2646</v>
      </c>
      <c r="H279" s="173">
        <f>139+87</f>
        <v>226</v>
      </c>
      <c r="I279" s="174"/>
      <c r="J279" s="173"/>
      <c r="K279" s="173"/>
      <c r="L279" s="266">
        <v>2040</v>
      </c>
      <c r="M279" s="173">
        <v>476.76</v>
      </c>
      <c r="N279" s="174">
        <v>14306.566000000001</v>
      </c>
      <c r="O279" s="173">
        <v>2611</v>
      </c>
      <c r="P279" s="173">
        <v>535</v>
      </c>
      <c r="Q279" s="173">
        <v>5368</v>
      </c>
      <c r="R279" s="173"/>
      <c r="S279" s="173">
        <v>69581</v>
      </c>
      <c r="T279" s="327">
        <f>109.618+8.798</f>
        <v>118.416</v>
      </c>
      <c r="U279" s="300">
        <v>2923.7750000000001</v>
      </c>
      <c r="V279" s="173">
        <f>885756/1000</f>
        <v>885.75599999999997</v>
      </c>
      <c r="W279" s="173">
        <f>8355+8</f>
        <v>8363</v>
      </c>
      <c r="X279" s="173">
        <v>10472</v>
      </c>
      <c r="Y279" s="173">
        <v>27311</v>
      </c>
      <c r="Z279" s="173">
        <v>128475.77696</v>
      </c>
      <c r="AA279" s="173"/>
      <c r="AB279" s="173">
        <v>242</v>
      </c>
      <c r="AC279" s="173">
        <f>1242+1572</f>
        <v>2814</v>
      </c>
      <c r="AD279" s="173">
        <v>26958</v>
      </c>
      <c r="AE279" s="173">
        <v>1207</v>
      </c>
      <c r="AF279" s="173"/>
      <c r="AG279" s="173"/>
      <c r="AH279" s="173">
        <v>140845</v>
      </c>
      <c r="AI279" s="173">
        <v>81964.399999999994</v>
      </c>
      <c r="AJ279" s="173"/>
      <c r="AK279" s="173">
        <v>232</v>
      </c>
      <c r="AL279" s="173">
        <v>413.63719008264462</v>
      </c>
      <c r="AM279" s="643">
        <f t="shared" si="5"/>
        <v>583364.32851008268</v>
      </c>
      <c r="AO279" s="289"/>
      <c r="AP279" s="97"/>
    </row>
    <row r="280" spans="1:42" s="61" customFormat="1" ht="25.5" customHeight="1" x14ac:dyDescent="0.3">
      <c r="A280" s="706"/>
      <c r="B280" s="180" t="s">
        <v>362</v>
      </c>
      <c r="C280" s="300">
        <v>116185.09844</v>
      </c>
      <c r="D280" s="173"/>
      <c r="E280" s="173"/>
      <c r="F280" s="266">
        <v>7950</v>
      </c>
      <c r="G280" s="173">
        <f>2390+3789</f>
        <v>6179</v>
      </c>
      <c r="H280" s="173">
        <v>160</v>
      </c>
      <c r="I280" s="174"/>
      <c r="J280" s="173"/>
      <c r="K280" s="173">
        <v>1058</v>
      </c>
      <c r="L280" s="266">
        <v>2984</v>
      </c>
      <c r="M280" s="173">
        <v>147.58000000000001</v>
      </c>
      <c r="N280" s="174">
        <v>21967.038</v>
      </c>
      <c r="O280" s="173">
        <v>998</v>
      </c>
      <c r="P280" s="173">
        <v>609</v>
      </c>
      <c r="Q280" s="173">
        <v>16316</v>
      </c>
      <c r="R280" s="173"/>
      <c r="S280" s="173">
        <v>96327</v>
      </c>
      <c r="T280" s="327"/>
      <c r="U280" s="300">
        <v>5948.3829999999998</v>
      </c>
      <c r="V280" s="173">
        <f>(2607772/1000)-V279</f>
        <v>1722.0160000000001</v>
      </c>
      <c r="W280" s="173">
        <v>11465</v>
      </c>
      <c r="X280" s="173">
        <v>8842</v>
      </c>
      <c r="Y280" s="173">
        <v>35663</v>
      </c>
      <c r="Z280" s="173">
        <v>121018.26516</v>
      </c>
      <c r="AA280" s="173">
        <v>-3</v>
      </c>
      <c r="AB280" s="173">
        <v>9</v>
      </c>
      <c r="AC280" s="173">
        <f>11720-1242+6582</f>
        <v>17060</v>
      </c>
      <c r="AD280" s="173">
        <v>28620</v>
      </c>
      <c r="AE280" s="173">
        <v>969</v>
      </c>
      <c r="AF280" s="173"/>
      <c r="AG280" s="173"/>
      <c r="AH280" s="173">
        <v>154243</v>
      </c>
      <c r="AI280" s="173">
        <v>68989.600000000006</v>
      </c>
      <c r="AJ280" s="173"/>
      <c r="AK280" s="173">
        <v>300</v>
      </c>
      <c r="AL280" s="173">
        <v>741.07142857142856</v>
      </c>
      <c r="AM280" s="644">
        <f t="shared" si="5"/>
        <v>726468.05202857149</v>
      </c>
      <c r="AO280" s="289"/>
      <c r="AP280" s="97"/>
    </row>
    <row r="281" spans="1:42" s="61" customFormat="1" ht="22.5" customHeight="1" x14ac:dyDescent="0.3">
      <c r="A281" s="706"/>
      <c r="B281" s="115" t="s">
        <v>402</v>
      </c>
      <c r="C281" s="142">
        <v>91501.921520000004</v>
      </c>
      <c r="D281" s="111"/>
      <c r="E281" s="111"/>
      <c r="F281" s="267">
        <v>11173.3</v>
      </c>
      <c r="G281" s="111">
        <v>741</v>
      </c>
      <c r="H281" s="111">
        <v>387</v>
      </c>
      <c r="I281" s="125"/>
      <c r="J281" s="111"/>
      <c r="K281" s="111">
        <v>986</v>
      </c>
      <c r="L281" s="267">
        <v>2529</v>
      </c>
      <c r="M281" s="111">
        <v>259.29586999999998</v>
      </c>
      <c r="N281" s="125"/>
      <c r="O281" s="111">
        <v>2073</v>
      </c>
      <c r="P281" s="111">
        <f>170+556</f>
        <v>726</v>
      </c>
      <c r="Q281" s="111">
        <v>10339</v>
      </c>
      <c r="R281" s="111"/>
      <c r="S281" s="111">
        <v>129144.50016200001</v>
      </c>
      <c r="T281" s="143">
        <v>409.93</v>
      </c>
      <c r="U281" s="142">
        <v>3635.989</v>
      </c>
      <c r="V281" s="111">
        <f>1267251.51/1000</f>
        <v>1267.2515100000001</v>
      </c>
      <c r="W281" s="111">
        <f>10238</f>
        <v>10238</v>
      </c>
      <c r="X281" s="111">
        <v>3149</v>
      </c>
      <c r="Y281" s="111">
        <v>42792.868000000002</v>
      </c>
      <c r="Z281" s="111">
        <v>116031</v>
      </c>
      <c r="AA281" s="111"/>
      <c r="AB281" s="111"/>
      <c r="AC281" s="111">
        <v>15523</v>
      </c>
      <c r="AD281" s="111">
        <v>28055</v>
      </c>
      <c r="AE281" s="111">
        <v>1834</v>
      </c>
      <c r="AF281" s="111"/>
      <c r="AG281" s="111"/>
      <c r="AH281" s="111">
        <v>275392.315</v>
      </c>
      <c r="AI281" s="111">
        <v>55923</v>
      </c>
      <c r="AJ281" s="111"/>
      <c r="AK281" s="111">
        <f>714.894/1.097</f>
        <v>651.68094804010946</v>
      </c>
      <c r="AL281" s="111">
        <v>361.26875000000001</v>
      </c>
      <c r="AM281" s="645">
        <f t="shared" si="5"/>
        <v>805124.32076004019</v>
      </c>
      <c r="AO281" s="289"/>
    </row>
    <row r="282" spans="1:42" s="61" customFormat="1" ht="21" customHeight="1" x14ac:dyDescent="0.3">
      <c r="A282" s="707"/>
      <c r="B282" s="181" t="s">
        <v>403</v>
      </c>
      <c r="C282" s="144">
        <v>68569.732440000007</v>
      </c>
      <c r="D282" s="112"/>
      <c r="E282" s="112"/>
      <c r="F282" s="268">
        <v>2999.9</v>
      </c>
      <c r="G282" s="112">
        <v>2783</v>
      </c>
      <c r="H282" s="112">
        <v>146</v>
      </c>
      <c r="I282" s="126"/>
      <c r="J282" s="112"/>
      <c r="K282" s="112"/>
      <c r="L282" s="268">
        <v>1284.5</v>
      </c>
      <c r="M282" s="112">
        <v>91.229060000000004</v>
      </c>
      <c r="N282" s="126"/>
      <c r="O282" s="112">
        <v>11316</v>
      </c>
      <c r="P282" s="112">
        <f>135+156</f>
        <v>291</v>
      </c>
      <c r="Q282" s="112">
        <v>11776</v>
      </c>
      <c r="R282" s="112"/>
      <c r="S282" s="112">
        <v>76328.744839000021</v>
      </c>
      <c r="T282" s="145">
        <v>536.94000000000005</v>
      </c>
      <c r="U282" s="144">
        <v>2133.3850000000002</v>
      </c>
      <c r="V282" s="112">
        <f>(484623+1158714+1973)/1000-V281</f>
        <v>378.05848999999989</v>
      </c>
      <c r="W282" s="112">
        <f>14071-10238</f>
        <v>3833</v>
      </c>
      <c r="X282" s="112">
        <v>10773</v>
      </c>
      <c r="Y282" s="112">
        <v>45561.841</v>
      </c>
      <c r="Z282" s="112">
        <v>118195</v>
      </c>
      <c r="AA282" s="112">
        <v>849</v>
      </c>
      <c r="AB282" s="112"/>
      <c r="AC282" s="112">
        <v>19356</v>
      </c>
      <c r="AD282" s="112">
        <v>18854</v>
      </c>
      <c r="AE282" s="112">
        <v>1198</v>
      </c>
      <c r="AF282" s="112"/>
      <c r="AG282" s="112"/>
      <c r="AH282" s="112">
        <v>225343.30100000001</v>
      </c>
      <c r="AI282" s="112">
        <v>55924</v>
      </c>
      <c r="AJ282" s="112"/>
      <c r="AK282" s="112">
        <f>417.569/1.001</f>
        <v>417.15184815184824</v>
      </c>
      <c r="AL282" s="112">
        <v>569</v>
      </c>
      <c r="AM282" s="646">
        <f t="shared" si="5"/>
        <v>679507.78367715189</v>
      </c>
      <c r="AO282" s="289"/>
    </row>
    <row r="283" spans="1:42" s="61" customFormat="1" ht="21" customHeight="1" x14ac:dyDescent="0.3">
      <c r="A283" s="705" t="s">
        <v>133</v>
      </c>
      <c r="B283" s="179" t="s">
        <v>293</v>
      </c>
      <c r="C283" s="135"/>
      <c r="D283" s="136"/>
      <c r="E283" s="136"/>
      <c r="F283" s="262">
        <v>1073.31</v>
      </c>
      <c r="G283" s="136"/>
      <c r="H283" s="136"/>
      <c r="I283" s="326"/>
      <c r="J283" s="136"/>
      <c r="K283" s="136"/>
      <c r="L283" s="262"/>
      <c r="M283" s="136"/>
      <c r="N283" s="326"/>
      <c r="O283" s="136"/>
      <c r="P283" s="136"/>
      <c r="Q283" s="136"/>
      <c r="R283" s="136"/>
      <c r="S283" s="136"/>
      <c r="T283" s="137"/>
      <c r="U283" s="632"/>
      <c r="V283" s="122"/>
      <c r="W283" s="122"/>
      <c r="X283" s="122"/>
      <c r="Y283" s="122"/>
      <c r="Z283" s="122"/>
      <c r="AA283" s="122"/>
      <c r="AB283" s="122"/>
      <c r="AC283" s="122"/>
      <c r="AD283" s="122"/>
      <c r="AE283" s="122"/>
      <c r="AF283" s="122"/>
      <c r="AG283" s="122"/>
      <c r="AH283" s="122"/>
      <c r="AI283" s="122"/>
      <c r="AJ283" s="122"/>
      <c r="AK283" s="122"/>
      <c r="AL283" s="122"/>
      <c r="AM283" s="639">
        <f t="shared" si="5"/>
        <v>1073.31</v>
      </c>
      <c r="AO283" s="289"/>
    </row>
    <row r="284" spans="1:42" s="61" customFormat="1" ht="19.5" customHeight="1" x14ac:dyDescent="0.3">
      <c r="A284" s="706"/>
      <c r="B284" s="116" t="s">
        <v>294</v>
      </c>
      <c r="C284" s="138"/>
      <c r="D284" s="109"/>
      <c r="E284" s="109"/>
      <c r="F284" s="263"/>
      <c r="G284" s="109"/>
      <c r="H284" s="109"/>
      <c r="I284" s="123"/>
      <c r="J284" s="109"/>
      <c r="K284" s="109"/>
      <c r="L284" s="263"/>
      <c r="M284" s="109"/>
      <c r="N284" s="123"/>
      <c r="O284" s="109"/>
      <c r="P284" s="109"/>
      <c r="Q284" s="109"/>
      <c r="R284" s="109"/>
      <c r="S284" s="109"/>
      <c r="T284" s="139"/>
      <c r="U284" s="138">
        <v>1.798</v>
      </c>
      <c r="V284" s="109"/>
      <c r="W284" s="109"/>
      <c r="X284" s="109"/>
      <c r="Y284" s="109"/>
      <c r="Z284" s="109">
        <v>1.5</v>
      </c>
      <c r="AA284" s="109"/>
      <c r="AB284" s="109"/>
      <c r="AC284" s="109"/>
      <c r="AD284" s="109"/>
      <c r="AE284" s="109"/>
      <c r="AF284" s="109"/>
      <c r="AG284" s="109"/>
      <c r="AH284" s="109"/>
      <c r="AI284" s="109"/>
      <c r="AJ284" s="109"/>
      <c r="AK284" s="109"/>
      <c r="AL284" s="109"/>
      <c r="AM284" s="640">
        <f t="shared" si="5"/>
        <v>3.298</v>
      </c>
      <c r="AO284" s="289"/>
    </row>
    <row r="285" spans="1:42" s="61" customFormat="1" ht="22.5" customHeight="1" x14ac:dyDescent="0.3">
      <c r="A285" s="706"/>
      <c r="B285" s="117" t="s">
        <v>326</v>
      </c>
      <c r="C285" s="140"/>
      <c r="D285" s="110"/>
      <c r="E285" s="110"/>
      <c r="F285" s="264">
        <v>34</v>
      </c>
      <c r="G285" s="110"/>
      <c r="H285" s="110"/>
      <c r="I285" s="124"/>
      <c r="J285" s="110"/>
      <c r="K285" s="110"/>
      <c r="L285" s="264"/>
      <c r="M285" s="110"/>
      <c r="N285" s="124"/>
      <c r="O285" s="110"/>
      <c r="P285" s="110"/>
      <c r="Q285" s="110"/>
      <c r="R285" s="110"/>
      <c r="S285" s="110"/>
      <c r="T285" s="141"/>
      <c r="U285" s="140"/>
      <c r="V285" s="110"/>
      <c r="W285" s="110"/>
      <c r="X285" s="110"/>
      <c r="Y285" s="110"/>
      <c r="Z285" s="110"/>
      <c r="AA285" s="110"/>
      <c r="AB285" s="110"/>
      <c r="AC285" s="110"/>
      <c r="AD285" s="110"/>
      <c r="AE285" s="110"/>
      <c r="AF285" s="110"/>
      <c r="AG285" s="110"/>
      <c r="AH285" s="110"/>
      <c r="AI285" s="110"/>
      <c r="AJ285" s="110"/>
      <c r="AK285" s="110"/>
      <c r="AL285" s="110"/>
      <c r="AM285" s="641">
        <f t="shared" si="5"/>
        <v>34</v>
      </c>
      <c r="AO285" s="289"/>
      <c r="AP285" s="97"/>
    </row>
    <row r="286" spans="1:42" s="61" customFormat="1" ht="25.5" customHeight="1" x14ac:dyDescent="0.3">
      <c r="A286" s="706"/>
      <c r="B286" s="175" t="s">
        <v>327</v>
      </c>
      <c r="C286" s="176">
        <v>5744.2070000000003</v>
      </c>
      <c r="D286" s="127"/>
      <c r="E286" s="127"/>
      <c r="F286" s="265"/>
      <c r="G286" s="127"/>
      <c r="H286" s="127"/>
      <c r="I286" s="178"/>
      <c r="J286" s="127"/>
      <c r="K286" s="127"/>
      <c r="L286" s="265"/>
      <c r="M286" s="127"/>
      <c r="N286" s="178"/>
      <c r="O286" s="127"/>
      <c r="P286" s="127"/>
      <c r="Q286" s="127"/>
      <c r="R286" s="127"/>
      <c r="S286" s="127">
        <v>233</v>
      </c>
      <c r="T286" s="177"/>
      <c r="U286" s="176"/>
      <c r="V286" s="127"/>
      <c r="W286" s="127"/>
      <c r="X286" s="127"/>
      <c r="Y286" s="127"/>
      <c r="Z286" s="127"/>
      <c r="AA286" s="127"/>
      <c r="AB286" s="127"/>
      <c r="AC286" s="127">
        <v>5731.7070000000003</v>
      </c>
      <c r="AD286" s="127"/>
      <c r="AE286" s="127"/>
      <c r="AF286" s="127"/>
      <c r="AG286" s="127"/>
      <c r="AH286" s="127"/>
      <c r="AI286" s="127"/>
      <c r="AJ286" s="127"/>
      <c r="AK286" s="127"/>
      <c r="AL286" s="127"/>
      <c r="AM286" s="642">
        <f t="shared" si="5"/>
        <v>11708.914000000001</v>
      </c>
      <c r="AO286" s="289"/>
    </row>
    <row r="287" spans="1:42" s="61" customFormat="1" ht="25.5" customHeight="1" x14ac:dyDescent="0.3">
      <c r="A287" s="706"/>
      <c r="B287" s="180" t="s">
        <v>361</v>
      </c>
      <c r="C287" s="300"/>
      <c r="D287" s="173"/>
      <c r="E287" s="173"/>
      <c r="F287" s="266"/>
      <c r="G287" s="173"/>
      <c r="H287" s="173"/>
      <c r="I287" s="174"/>
      <c r="J287" s="173"/>
      <c r="K287" s="173"/>
      <c r="L287" s="266"/>
      <c r="M287" s="173"/>
      <c r="N287" s="174"/>
      <c r="O287" s="173"/>
      <c r="P287" s="173"/>
      <c r="Q287" s="173"/>
      <c r="R287" s="173"/>
      <c r="S287" s="173">
        <v>47</v>
      </c>
      <c r="T287" s="327"/>
      <c r="U287" s="300"/>
      <c r="V287" s="173"/>
      <c r="W287" s="173"/>
      <c r="X287" s="173"/>
      <c r="Y287" s="173"/>
      <c r="Z287" s="173"/>
      <c r="AA287" s="173"/>
      <c r="AB287" s="173"/>
      <c r="AC287" s="173"/>
      <c r="AD287" s="173"/>
      <c r="AE287" s="173"/>
      <c r="AF287" s="173"/>
      <c r="AG287" s="173"/>
      <c r="AH287" s="173"/>
      <c r="AI287" s="173"/>
      <c r="AJ287" s="173"/>
      <c r="AK287" s="173"/>
      <c r="AL287" s="173"/>
      <c r="AM287" s="643">
        <f t="shared" si="5"/>
        <v>47</v>
      </c>
      <c r="AO287" s="289"/>
      <c r="AP287" s="97"/>
    </row>
    <row r="288" spans="1:42" s="61" customFormat="1" ht="25.5" customHeight="1" x14ac:dyDescent="0.3">
      <c r="A288" s="706"/>
      <c r="B288" s="180" t="s">
        <v>362</v>
      </c>
      <c r="C288" s="300">
        <v>12.48</v>
      </c>
      <c r="D288" s="173"/>
      <c r="E288" s="173"/>
      <c r="F288" s="266"/>
      <c r="G288" s="173"/>
      <c r="H288" s="173"/>
      <c r="I288" s="174"/>
      <c r="J288" s="173"/>
      <c r="K288" s="173"/>
      <c r="L288" s="266"/>
      <c r="M288" s="173"/>
      <c r="N288" s="174"/>
      <c r="O288" s="173"/>
      <c r="P288" s="173"/>
      <c r="Q288" s="173"/>
      <c r="R288" s="173"/>
      <c r="S288" s="173">
        <v>1092</v>
      </c>
      <c r="T288" s="327"/>
      <c r="U288" s="300"/>
      <c r="V288" s="173"/>
      <c r="W288" s="173"/>
      <c r="X288" s="173"/>
      <c r="Y288" s="173"/>
      <c r="Z288" s="173"/>
      <c r="AA288" s="173"/>
      <c r="AB288" s="173"/>
      <c r="AC288" s="173"/>
      <c r="AD288" s="173"/>
      <c r="AE288" s="173"/>
      <c r="AF288" s="173"/>
      <c r="AG288" s="173"/>
      <c r="AH288" s="173">
        <v>248</v>
      </c>
      <c r="AI288" s="173"/>
      <c r="AJ288" s="173"/>
      <c r="AK288" s="173"/>
      <c r="AL288" s="173"/>
      <c r="AM288" s="644">
        <f t="shared" si="5"/>
        <v>1352.48</v>
      </c>
      <c r="AO288" s="289"/>
      <c r="AP288" s="97"/>
    </row>
    <row r="289" spans="1:42" s="61" customFormat="1" ht="22.5" customHeight="1" x14ac:dyDescent="0.3">
      <c r="A289" s="706"/>
      <c r="B289" s="115" t="s">
        <v>402</v>
      </c>
      <c r="C289" s="142">
        <v>33</v>
      </c>
      <c r="D289" s="111"/>
      <c r="E289" s="111"/>
      <c r="F289" s="267">
        <v>-97.3</v>
      </c>
      <c r="G289" s="111"/>
      <c r="H289" s="111">
        <v>63</v>
      </c>
      <c r="I289" s="125"/>
      <c r="J289" s="111"/>
      <c r="K289" s="111"/>
      <c r="L289" s="267"/>
      <c r="M289" s="111"/>
      <c r="N289" s="125"/>
      <c r="O289" s="111"/>
      <c r="P289" s="111"/>
      <c r="Q289" s="111"/>
      <c r="R289" s="111"/>
      <c r="S289" s="111">
        <v>1015.952749</v>
      </c>
      <c r="T289" s="143"/>
      <c r="U289" s="142"/>
      <c r="V289" s="111"/>
      <c r="W289" s="111"/>
      <c r="X289" s="111"/>
      <c r="Y289" s="111"/>
      <c r="Z289" s="111"/>
      <c r="AA289" s="111"/>
      <c r="AB289" s="111">
        <v>28.5</v>
      </c>
      <c r="AC289" s="111"/>
      <c r="AD289" s="111"/>
      <c r="AE289" s="111"/>
      <c r="AF289" s="111"/>
      <c r="AG289" s="111"/>
      <c r="AH289" s="111" t="s">
        <v>482</v>
      </c>
      <c r="AI289" s="111"/>
      <c r="AJ289" s="111"/>
      <c r="AK289" s="111"/>
      <c r="AL289" s="111"/>
      <c r="AM289" s="645">
        <f t="shared" si="5"/>
        <v>1043.1527490000001</v>
      </c>
      <c r="AO289" s="289"/>
    </row>
    <row r="290" spans="1:42" s="61" customFormat="1" ht="21" customHeight="1" x14ac:dyDescent="0.3">
      <c r="A290" s="707"/>
      <c r="B290" s="181" t="s">
        <v>403</v>
      </c>
      <c r="C290" s="144"/>
      <c r="D290" s="112"/>
      <c r="E290" s="112"/>
      <c r="F290" s="268"/>
      <c r="G290" s="112"/>
      <c r="H290" s="112">
        <v>60.161000000000001</v>
      </c>
      <c r="I290" s="126"/>
      <c r="J290" s="112"/>
      <c r="K290" s="112"/>
      <c r="L290" s="268"/>
      <c r="M290" s="112"/>
      <c r="N290" s="126"/>
      <c r="O290" s="112"/>
      <c r="P290" s="112"/>
      <c r="Q290" s="112"/>
      <c r="R290" s="112"/>
      <c r="S290" s="112">
        <v>511.25561499999998</v>
      </c>
      <c r="T290" s="145"/>
      <c r="U290" s="144"/>
      <c r="V290" s="112"/>
      <c r="W290" s="112"/>
      <c r="X290" s="112"/>
      <c r="Y290" s="112"/>
      <c r="Z290" s="112"/>
      <c r="AA290" s="112"/>
      <c r="AB290" s="112">
        <v>13.3</v>
      </c>
      <c r="AC290" s="112"/>
      <c r="AD290" s="112"/>
      <c r="AE290" s="112"/>
      <c r="AF290" s="112"/>
      <c r="AG290" s="112"/>
      <c r="AH290" s="112" t="s">
        <v>482</v>
      </c>
      <c r="AI290" s="112"/>
      <c r="AJ290" s="112"/>
      <c r="AK290" s="112"/>
      <c r="AL290" s="112"/>
      <c r="AM290" s="646">
        <f t="shared" si="5"/>
        <v>584.71661499999993</v>
      </c>
      <c r="AO290" s="289"/>
    </row>
    <row r="291" spans="1:42" s="61" customFormat="1" ht="21" customHeight="1" x14ac:dyDescent="0.3">
      <c r="A291" s="705" t="s">
        <v>45</v>
      </c>
      <c r="B291" s="179" t="s">
        <v>293</v>
      </c>
      <c r="C291" s="135"/>
      <c r="D291" s="136"/>
      <c r="E291" s="136"/>
      <c r="F291" s="262"/>
      <c r="G291" s="136"/>
      <c r="H291" s="136"/>
      <c r="I291" s="326"/>
      <c r="J291" s="136"/>
      <c r="K291" s="136"/>
      <c r="L291" s="262"/>
      <c r="M291" s="136"/>
      <c r="N291" s="326"/>
      <c r="O291" s="136"/>
      <c r="P291" s="136"/>
      <c r="Q291" s="136"/>
      <c r="R291" s="136"/>
      <c r="S291" s="136"/>
      <c r="T291" s="137"/>
      <c r="U291" s="632"/>
      <c r="V291" s="122"/>
      <c r="W291" s="122"/>
      <c r="X291" s="122"/>
      <c r="Y291" s="122"/>
      <c r="Z291" s="122"/>
      <c r="AA291" s="122"/>
      <c r="AB291" s="122"/>
      <c r="AC291" s="122"/>
      <c r="AD291" s="122"/>
      <c r="AE291" s="122"/>
      <c r="AF291" s="122"/>
      <c r="AG291" s="122"/>
      <c r="AH291" s="122"/>
      <c r="AI291" s="122"/>
      <c r="AJ291" s="122"/>
      <c r="AK291" s="122"/>
      <c r="AL291" s="122"/>
      <c r="AM291" s="639">
        <f t="shared" si="5"/>
        <v>0</v>
      </c>
      <c r="AO291" s="289"/>
    </row>
    <row r="292" spans="1:42" s="61" customFormat="1" ht="19.5" customHeight="1" x14ac:dyDescent="0.3">
      <c r="A292" s="706"/>
      <c r="B292" s="116" t="s">
        <v>294</v>
      </c>
      <c r="C292" s="138"/>
      <c r="D292" s="109"/>
      <c r="E292" s="109"/>
      <c r="F292" s="263"/>
      <c r="G292" s="109"/>
      <c r="H292" s="109"/>
      <c r="I292" s="123"/>
      <c r="J292" s="109"/>
      <c r="K292" s="109"/>
      <c r="L292" s="263"/>
      <c r="M292" s="109"/>
      <c r="N292" s="123"/>
      <c r="O292" s="109"/>
      <c r="P292" s="109"/>
      <c r="Q292" s="109"/>
      <c r="R292" s="109"/>
      <c r="S292" s="109"/>
      <c r="T292" s="139"/>
      <c r="U292" s="138"/>
      <c r="V292" s="109"/>
      <c r="W292" s="109"/>
      <c r="X292" s="109"/>
      <c r="Y292" s="109"/>
      <c r="Z292" s="109"/>
      <c r="AA292" s="109"/>
      <c r="AB292" s="109"/>
      <c r="AC292" s="109"/>
      <c r="AD292" s="109"/>
      <c r="AE292" s="109"/>
      <c r="AF292" s="109"/>
      <c r="AG292" s="109"/>
      <c r="AH292" s="109"/>
      <c r="AI292" s="109"/>
      <c r="AJ292" s="109"/>
      <c r="AK292" s="109"/>
      <c r="AL292" s="109"/>
      <c r="AM292" s="640">
        <f t="shared" si="5"/>
        <v>0</v>
      </c>
      <c r="AO292" s="289"/>
    </row>
    <row r="293" spans="1:42" s="61" customFormat="1" ht="22.5" customHeight="1" x14ac:dyDescent="0.3">
      <c r="A293" s="706"/>
      <c r="B293" s="117" t="s">
        <v>326</v>
      </c>
      <c r="C293" s="140"/>
      <c r="D293" s="110"/>
      <c r="E293" s="110"/>
      <c r="F293" s="264"/>
      <c r="G293" s="110"/>
      <c r="H293" s="110"/>
      <c r="I293" s="124"/>
      <c r="J293" s="110"/>
      <c r="K293" s="110"/>
      <c r="L293" s="264"/>
      <c r="M293" s="110"/>
      <c r="N293" s="124"/>
      <c r="O293" s="110"/>
      <c r="P293" s="110"/>
      <c r="Q293" s="110"/>
      <c r="R293" s="110"/>
      <c r="S293" s="110"/>
      <c r="T293" s="141"/>
      <c r="U293" s="140"/>
      <c r="V293" s="110"/>
      <c r="W293" s="110"/>
      <c r="X293" s="110"/>
      <c r="Y293" s="110"/>
      <c r="Z293" s="110"/>
      <c r="AA293" s="110"/>
      <c r="AB293" s="110"/>
      <c r="AC293" s="110"/>
      <c r="AD293" s="110"/>
      <c r="AE293" s="110"/>
      <c r="AF293" s="110"/>
      <c r="AG293" s="110"/>
      <c r="AH293" s="110"/>
      <c r="AI293" s="110"/>
      <c r="AJ293" s="110"/>
      <c r="AK293" s="110"/>
      <c r="AL293" s="110"/>
      <c r="AM293" s="641">
        <f t="shared" ref="AM293:AM354" si="6">SUM(C293:AL293)</f>
        <v>0</v>
      </c>
      <c r="AO293" s="289"/>
      <c r="AP293" s="97"/>
    </row>
    <row r="294" spans="1:42" s="61" customFormat="1" ht="25.5" customHeight="1" x14ac:dyDescent="0.3">
      <c r="A294" s="706"/>
      <c r="B294" s="175" t="s">
        <v>327</v>
      </c>
      <c r="C294" s="176"/>
      <c r="D294" s="127"/>
      <c r="E294" s="127"/>
      <c r="F294" s="265"/>
      <c r="G294" s="127"/>
      <c r="H294" s="127"/>
      <c r="I294" s="178"/>
      <c r="J294" s="127"/>
      <c r="K294" s="127"/>
      <c r="L294" s="265"/>
      <c r="M294" s="127"/>
      <c r="N294" s="178"/>
      <c r="O294" s="127"/>
      <c r="P294" s="127"/>
      <c r="Q294" s="127"/>
      <c r="R294" s="127"/>
      <c r="S294" s="127"/>
      <c r="T294" s="177"/>
      <c r="U294" s="176"/>
      <c r="V294" s="127"/>
      <c r="W294" s="127"/>
      <c r="X294" s="127"/>
      <c r="Y294" s="127"/>
      <c r="Z294" s="127"/>
      <c r="AA294" s="127"/>
      <c r="AB294" s="127"/>
      <c r="AC294" s="127"/>
      <c r="AD294" s="127"/>
      <c r="AE294" s="127"/>
      <c r="AF294" s="127"/>
      <c r="AG294" s="127"/>
      <c r="AH294" s="127"/>
      <c r="AI294" s="127"/>
      <c r="AJ294" s="127"/>
      <c r="AK294" s="127"/>
      <c r="AL294" s="127"/>
      <c r="AM294" s="642">
        <f t="shared" si="6"/>
        <v>0</v>
      </c>
      <c r="AO294" s="289"/>
    </row>
    <row r="295" spans="1:42" s="61" customFormat="1" ht="25.5" customHeight="1" x14ac:dyDescent="0.3">
      <c r="A295" s="706"/>
      <c r="B295" s="180" t="s">
        <v>361</v>
      </c>
      <c r="C295" s="300"/>
      <c r="D295" s="173"/>
      <c r="E295" s="173"/>
      <c r="F295" s="266"/>
      <c r="G295" s="173"/>
      <c r="H295" s="173"/>
      <c r="I295" s="174"/>
      <c r="J295" s="173"/>
      <c r="K295" s="173"/>
      <c r="L295" s="266"/>
      <c r="M295" s="173"/>
      <c r="N295" s="174"/>
      <c r="O295" s="173"/>
      <c r="P295" s="173"/>
      <c r="Q295" s="173"/>
      <c r="R295" s="173"/>
      <c r="S295" s="173"/>
      <c r="T295" s="327"/>
      <c r="U295" s="300"/>
      <c r="V295" s="173"/>
      <c r="W295" s="173"/>
      <c r="X295" s="173"/>
      <c r="Y295" s="173"/>
      <c r="Z295" s="173"/>
      <c r="AA295" s="173"/>
      <c r="AB295" s="173"/>
      <c r="AC295" s="173"/>
      <c r="AD295" s="173"/>
      <c r="AE295" s="173"/>
      <c r="AF295" s="173"/>
      <c r="AG295" s="173"/>
      <c r="AH295" s="173"/>
      <c r="AI295" s="173"/>
      <c r="AJ295" s="173"/>
      <c r="AK295" s="173"/>
      <c r="AL295" s="173"/>
      <c r="AM295" s="643">
        <f t="shared" si="6"/>
        <v>0</v>
      </c>
      <c r="AO295" s="289"/>
      <c r="AP295" s="97"/>
    </row>
    <row r="296" spans="1:42" s="61" customFormat="1" ht="25.5" customHeight="1" x14ac:dyDescent="0.3">
      <c r="A296" s="706"/>
      <c r="B296" s="180" t="s">
        <v>362</v>
      </c>
      <c r="C296" s="300"/>
      <c r="D296" s="173"/>
      <c r="E296" s="173"/>
      <c r="F296" s="266"/>
      <c r="G296" s="173"/>
      <c r="H296" s="173"/>
      <c r="I296" s="174"/>
      <c r="J296" s="173"/>
      <c r="K296" s="173"/>
      <c r="L296" s="266"/>
      <c r="M296" s="173"/>
      <c r="N296" s="174"/>
      <c r="O296" s="173"/>
      <c r="P296" s="173"/>
      <c r="Q296" s="173"/>
      <c r="R296" s="173"/>
      <c r="S296" s="173"/>
      <c r="T296" s="327"/>
      <c r="U296" s="300"/>
      <c r="V296" s="173"/>
      <c r="W296" s="173"/>
      <c r="X296" s="173"/>
      <c r="Y296" s="173"/>
      <c r="Z296" s="173"/>
      <c r="AA296" s="173"/>
      <c r="AB296" s="173"/>
      <c r="AC296" s="173"/>
      <c r="AD296" s="173"/>
      <c r="AE296" s="173"/>
      <c r="AF296" s="173"/>
      <c r="AG296" s="173"/>
      <c r="AH296" s="173"/>
      <c r="AI296" s="173"/>
      <c r="AJ296" s="173"/>
      <c r="AK296" s="173">
        <v>21</v>
      </c>
      <c r="AL296" s="173"/>
      <c r="AM296" s="644">
        <f t="shared" si="6"/>
        <v>21</v>
      </c>
      <c r="AO296" s="289"/>
      <c r="AP296" s="97"/>
    </row>
    <row r="297" spans="1:42" s="61" customFormat="1" ht="22.5" customHeight="1" x14ac:dyDescent="0.3">
      <c r="A297" s="706"/>
      <c r="B297" s="115" t="s">
        <v>402</v>
      </c>
      <c r="C297" s="142"/>
      <c r="D297" s="111"/>
      <c r="E297" s="111"/>
      <c r="F297" s="267"/>
      <c r="G297" s="111"/>
      <c r="H297" s="111"/>
      <c r="I297" s="125"/>
      <c r="J297" s="111"/>
      <c r="K297" s="111"/>
      <c r="L297" s="267"/>
      <c r="M297" s="111"/>
      <c r="N297" s="125"/>
      <c r="O297" s="111"/>
      <c r="P297" s="111"/>
      <c r="Q297" s="111"/>
      <c r="R297" s="111"/>
      <c r="S297" s="111">
        <v>12.387954000000001</v>
      </c>
      <c r="T297" s="143"/>
      <c r="U297" s="142"/>
      <c r="V297" s="111"/>
      <c r="W297" s="111"/>
      <c r="X297" s="111"/>
      <c r="Y297" s="111"/>
      <c r="Z297" s="111"/>
      <c r="AA297" s="111"/>
      <c r="AB297" s="111"/>
      <c r="AC297" s="111"/>
      <c r="AD297" s="111"/>
      <c r="AE297" s="111"/>
      <c r="AF297" s="111"/>
      <c r="AG297" s="111"/>
      <c r="AH297" s="111" t="s">
        <v>482</v>
      </c>
      <c r="AI297" s="111"/>
      <c r="AJ297" s="111"/>
      <c r="AK297" s="111"/>
      <c r="AL297" s="111"/>
      <c r="AM297" s="645">
        <f t="shared" si="6"/>
        <v>12.387954000000001</v>
      </c>
      <c r="AO297" s="289"/>
    </row>
    <row r="298" spans="1:42" s="61" customFormat="1" ht="21" customHeight="1" x14ac:dyDescent="0.3">
      <c r="A298" s="707"/>
      <c r="B298" s="181" t="s">
        <v>403</v>
      </c>
      <c r="C298" s="144"/>
      <c r="D298" s="112"/>
      <c r="E298" s="112"/>
      <c r="F298" s="268"/>
      <c r="G298" s="112"/>
      <c r="H298" s="112"/>
      <c r="I298" s="126"/>
      <c r="J298" s="112"/>
      <c r="K298" s="112"/>
      <c r="L298" s="268"/>
      <c r="M298" s="112"/>
      <c r="N298" s="126"/>
      <c r="O298" s="112"/>
      <c r="P298" s="112"/>
      <c r="Q298" s="112"/>
      <c r="R298" s="112"/>
      <c r="S298" s="112">
        <v>0.26748300000000003</v>
      </c>
      <c r="T298" s="145"/>
      <c r="U298" s="144"/>
      <c r="V298" s="112"/>
      <c r="W298" s="112"/>
      <c r="X298" s="112"/>
      <c r="Y298" s="112"/>
      <c r="Z298" s="112"/>
      <c r="AA298" s="112"/>
      <c r="AB298" s="112"/>
      <c r="AC298" s="112"/>
      <c r="AD298" s="112"/>
      <c r="AE298" s="112"/>
      <c r="AF298" s="112"/>
      <c r="AG298" s="112"/>
      <c r="AH298" s="112" t="s">
        <v>482</v>
      </c>
      <c r="AI298" s="112"/>
      <c r="AJ298" s="112"/>
      <c r="AK298" s="112"/>
      <c r="AL298" s="112"/>
      <c r="AM298" s="646">
        <f t="shared" si="6"/>
        <v>0.26748300000000003</v>
      </c>
      <c r="AO298" s="289"/>
    </row>
    <row r="299" spans="1:42" s="61" customFormat="1" ht="21" customHeight="1" x14ac:dyDescent="0.3">
      <c r="A299" s="705" t="s">
        <v>134</v>
      </c>
      <c r="B299" s="179" t="s">
        <v>293</v>
      </c>
      <c r="C299" s="135"/>
      <c r="D299" s="136"/>
      <c r="E299" s="136"/>
      <c r="F299" s="262"/>
      <c r="G299" s="136"/>
      <c r="H299" s="136"/>
      <c r="I299" s="326"/>
      <c r="J299" s="136"/>
      <c r="K299" s="136"/>
      <c r="L299" s="262"/>
      <c r="M299" s="136"/>
      <c r="N299" s="326"/>
      <c r="O299" s="136"/>
      <c r="P299" s="136"/>
      <c r="Q299" s="136"/>
      <c r="R299" s="136"/>
      <c r="S299" s="136"/>
      <c r="T299" s="137">
        <v>0.6</v>
      </c>
      <c r="U299" s="632"/>
      <c r="V299" s="122"/>
      <c r="W299" s="122"/>
      <c r="X299" s="122"/>
      <c r="Y299" s="122"/>
      <c r="Z299" s="122">
        <v>8</v>
      </c>
      <c r="AA299" s="122"/>
      <c r="AB299" s="122"/>
      <c r="AC299" s="122"/>
      <c r="AD299" s="122"/>
      <c r="AE299" s="122"/>
      <c r="AF299" s="122"/>
      <c r="AG299" s="122"/>
      <c r="AH299" s="122"/>
      <c r="AI299" s="122"/>
      <c r="AJ299" s="122"/>
      <c r="AK299" s="122"/>
      <c r="AL299" s="122"/>
      <c r="AM299" s="639">
        <f t="shared" si="6"/>
        <v>8.6</v>
      </c>
      <c r="AO299" s="289"/>
    </row>
    <row r="300" spans="1:42" s="61" customFormat="1" ht="19.5" customHeight="1" x14ac:dyDescent="0.3">
      <c r="A300" s="706"/>
      <c r="B300" s="116" t="s">
        <v>294</v>
      </c>
      <c r="C300" s="138"/>
      <c r="D300" s="109"/>
      <c r="E300" s="109"/>
      <c r="F300" s="263"/>
      <c r="G300" s="109"/>
      <c r="H300" s="109"/>
      <c r="I300" s="123"/>
      <c r="J300" s="109"/>
      <c r="K300" s="109"/>
      <c r="L300" s="263"/>
      <c r="M300" s="109"/>
      <c r="N300" s="123"/>
      <c r="O300" s="109"/>
      <c r="P300" s="109"/>
      <c r="Q300" s="109"/>
      <c r="R300" s="109"/>
      <c r="S300" s="109"/>
      <c r="T300" s="139"/>
      <c r="U300" s="138"/>
      <c r="V300" s="109"/>
      <c r="W300" s="109"/>
      <c r="X300" s="109"/>
      <c r="Y300" s="109"/>
      <c r="Z300" s="109"/>
      <c r="AA300" s="109"/>
      <c r="AB300" s="109"/>
      <c r="AC300" s="109"/>
      <c r="AD300" s="109"/>
      <c r="AE300" s="109"/>
      <c r="AF300" s="109"/>
      <c r="AG300" s="109"/>
      <c r="AH300" s="109"/>
      <c r="AI300" s="109"/>
      <c r="AJ300" s="109"/>
      <c r="AK300" s="109"/>
      <c r="AL300" s="109"/>
      <c r="AM300" s="640">
        <f t="shared" si="6"/>
        <v>0</v>
      </c>
      <c r="AO300" s="289"/>
    </row>
    <row r="301" spans="1:42" s="61" customFormat="1" ht="22.5" customHeight="1" x14ac:dyDescent="0.3">
      <c r="A301" s="706"/>
      <c r="B301" s="117" t="s">
        <v>326</v>
      </c>
      <c r="C301" s="140"/>
      <c r="D301" s="110"/>
      <c r="E301" s="110"/>
      <c r="F301" s="264"/>
      <c r="G301" s="110"/>
      <c r="H301" s="110"/>
      <c r="I301" s="124"/>
      <c r="J301" s="110"/>
      <c r="K301" s="110"/>
      <c r="L301" s="264"/>
      <c r="M301" s="110"/>
      <c r="N301" s="124"/>
      <c r="O301" s="110"/>
      <c r="P301" s="110"/>
      <c r="Q301" s="110"/>
      <c r="R301" s="110"/>
      <c r="S301" s="110"/>
      <c r="T301" s="141"/>
      <c r="U301" s="140">
        <v>4.556</v>
      </c>
      <c r="V301" s="110"/>
      <c r="W301" s="110"/>
      <c r="X301" s="110"/>
      <c r="Y301" s="110"/>
      <c r="Z301" s="110"/>
      <c r="AA301" s="110"/>
      <c r="AB301" s="110"/>
      <c r="AC301" s="110"/>
      <c r="AD301" s="110"/>
      <c r="AE301" s="110"/>
      <c r="AF301" s="110"/>
      <c r="AG301" s="110"/>
      <c r="AH301" s="110"/>
      <c r="AI301" s="110"/>
      <c r="AJ301" s="110"/>
      <c r="AK301" s="110"/>
      <c r="AL301" s="110"/>
      <c r="AM301" s="641">
        <f t="shared" si="6"/>
        <v>4.556</v>
      </c>
      <c r="AO301" s="289"/>
      <c r="AP301" s="97"/>
    </row>
    <row r="302" spans="1:42" s="61" customFormat="1" ht="25.5" customHeight="1" x14ac:dyDescent="0.3">
      <c r="A302" s="706"/>
      <c r="B302" s="175" t="s">
        <v>327</v>
      </c>
      <c r="C302" s="176">
        <v>13.929</v>
      </c>
      <c r="D302" s="127"/>
      <c r="E302" s="127"/>
      <c r="F302" s="265"/>
      <c r="G302" s="127"/>
      <c r="H302" s="127"/>
      <c r="I302" s="178"/>
      <c r="J302" s="127"/>
      <c r="K302" s="127"/>
      <c r="L302" s="265"/>
      <c r="M302" s="127"/>
      <c r="N302" s="178"/>
      <c r="O302" s="127"/>
      <c r="P302" s="127"/>
      <c r="Q302" s="127"/>
      <c r="R302" s="127"/>
      <c r="S302" s="127">
        <v>144</v>
      </c>
      <c r="T302" s="177"/>
      <c r="U302" s="176"/>
      <c r="V302" s="127"/>
      <c r="W302" s="127"/>
      <c r="X302" s="127"/>
      <c r="Y302" s="127"/>
      <c r="Z302" s="127"/>
      <c r="AA302" s="127"/>
      <c r="AB302" s="127"/>
      <c r="AC302" s="127"/>
      <c r="AD302" s="127"/>
      <c r="AE302" s="127"/>
      <c r="AF302" s="127"/>
      <c r="AG302" s="127"/>
      <c r="AH302" s="127"/>
      <c r="AI302" s="127"/>
      <c r="AJ302" s="127"/>
      <c r="AK302" s="127"/>
      <c r="AL302" s="127"/>
      <c r="AM302" s="642">
        <f t="shared" si="6"/>
        <v>157.929</v>
      </c>
      <c r="AO302" s="289"/>
    </row>
    <row r="303" spans="1:42" s="61" customFormat="1" ht="25.5" customHeight="1" x14ac:dyDescent="0.3">
      <c r="A303" s="706"/>
      <c r="B303" s="180" t="s">
        <v>361</v>
      </c>
      <c r="C303" s="300"/>
      <c r="D303" s="173"/>
      <c r="E303" s="173"/>
      <c r="F303" s="266"/>
      <c r="G303" s="173"/>
      <c r="H303" s="173"/>
      <c r="I303" s="174"/>
      <c r="J303" s="173"/>
      <c r="K303" s="173"/>
      <c r="L303" s="266"/>
      <c r="M303" s="173"/>
      <c r="N303" s="174"/>
      <c r="O303" s="173"/>
      <c r="P303" s="173"/>
      <c r="Q303" s="173"/>
      <c r="R303" s="173"/>
      <c r="S303" s="173">
        <v>370</v>
      </c>
      <c r="T303" s="327"/>
      <c r="U303" s="300">
        <v>2.532</v>
      </c>
      <c r="V303" s="173"/>
      <c r="W303" s="173"/>
      <c r="X303" s="173"/>
      <c r="Y303" s="173">
        <v>4</v>
      </c>
      <c r="Z303" s="173"/>
      <c r="AA303" s="173"/>
      <c r="AB303" s="173"/>
      <c r="AC303" s="173"/>
      <c r="AD303" s="173"/>
      <c r="AE303" s="173"/>
      <c r="AF303" s="173"/>
      <c r="AG303" s="173"/>
      <c r="AH303" s="173"/>
      <c r="AI303" s="173"/>
      <c r="AJ303" s="173"/>
      <c r="AK303" s="173"/>
      <c r="AL303" s="173"/>
      <c r="AM303" s="643">
        <f t="shared" si="6"/>
        <v>376.53199999999998</v>
      </c>
      <c r="AO303" s="289"/>
      <c r="AP303" s="97"/>
    </row>
    <row r="304" spans="1:42" s="61" customFormat="1" ht="25.5" customHeight="1" x14ac:dyDescent="0.3">
      <c r="A304" s="706"/>
      <c r="B304" s="180" t="s">
        <v>362</v>
      </c>
      <c r="C304" s="300">
        <v>221.08799999999999</v>
      </c>
      <c r="D304" s="173"/>
      <c r="E304" s="173"/>
      <c r="F304" s="266"/>
      <c r="G304" s="173"/>
      <c r="H304" s="173"/>
      <c r="I304" s="174"/>
      <c r="J304" s="173"/>
      <c r="K304" s="173"/>
      <c r="L304" s="266"/>
      <c r="M304" s="173"/>
      <c r="N304" s="174"/>
      <c r="O304" s="173"/>
      <c r="P304" s="173"/>
      <c r="Q304" s="173"/>
      <c r="R304" s="173"/>
      <c r="S304" s="173">
        <v>244</v>
      </c>
      <c r="T304" s="327"/>
      <c r="U304" s="300">
        <v>342.48899999999998</v>
      </c>
      <c r="V304" s="173"/>
      <c r="W304" s="173"/>
      <c r="X304" s="173"/>
      <c r="Y304" s="173"/>
      <c r="Z304" s="173"/>
      <c r="AA304" s="173"/>
      <c r="AB304" s="173"/>
      <c r="AC304" s="173"/>
      <c r="AD304" s="173"/>
      <c r="AE304" s="173"/>
      <c r="AF304" s="173"/>
      <c r="AG304" s="173"/>
      <c r="AH304" s="173"/>
      <c r="AI304" s="173"/>
      <c r="AJ304" s="173"/>
      <c r="AK304" s="173"/>
      <c r="AL304" s="173"/>
      <c r="AM304" s="644">
        <f t="shared" si="6"/>
        <v>807.577</v>
      </c>
      <c r="AO304" s="289"/>
      <c r="AP304" s="97"/>
    </row>
    <row r="305" spans="1:42" s="61" customFormat="1" ht="22.5" customHeight="1" x14ac:dyDescent="0.3">
      <c r="A305" s="706"/>
      <c r="B305" s="115" t="s">
        <v>402</v>
      </c>
      <c r="C305" s="142"/>
      <c r="D305" s="111"/>
      <c r="E305" s="111"/>
      <c r="F305" s="267"/>
      <c r="G305" s="111"/>
      <c r="H305" s="111"/>
      <c r="I305" s="125"/>
      <c r="J305" s="111"/>
      <c r="K305" s="111"/>
      <c r="L305" s="267"/>
      <c r="M305" s="111"/>
      <c r="N305" s="125"/>
      <c r="O305" s="111"/>
      <c r="P305" s="111"/>
      <c r="Q305" s="111"/>
      <c r="R305" s="111"/>
      <c r="S305" s="111"/>
      <c r="T305" s="143"/>
      <c r="U305" s="142">
        <v>0.251</v>
      </c>
      <c r="V305" s="111"/>
      <c r="W305" s="111"/>
      <c r="X305" s="111"/>
      <c r="Y305" s="111"/>
      <c r="Z305" s="111"/>
      <c r="AA305" s="111"/>
      <c r="AB305" s="111"/>
      <c r="AC305" s="111"/>
      <c r="AD305" s="111"/>
      <c r="AE305" s="111"/>
      <c r="AF305" s="111"/>
      <c r="AG305" s="111"/>
      <c r="AH305" s="111" t="s">
        <v>482</v>
      </c>
      <c r="AI305" s="111"/>
      <c r="AJ305" s="111"/>
      <c r="AK305" s="111"/>
      <c r="AL305" s="111"/>
      <c r="AM305" s="645">
        <f t="shared" si="6"/>
        <v>0.251</v>
      </c>
      <c r="AO305" s="289"/>
    </row>
    <row r="306" spans="1:42" s="61" customFormat="1" ht="21" customHeight="1" x14ac:dyDescent="0.3">
      <c r="A306" s="707"/>
      <c r="B306" s="181" t="s">
        <v>403</v>
      </c>
      <c r="C306" s="144"/>
      <c r="D306" s="112"/>
      <c r="E306" s="112"/>
      <c r="F306" s="268"/>
      <c r="G306" s="112"/>
      <c r="H306" s="112"/>
      <c r="I306" s="126"/>
      <c r="J306" s="112"/>
      <c r="K306" s="112"/>
      <c r="L306" s="268"/>
      <c r="M306" s="112"/>
      <c r="N306" s="126"/>
      <c r="O306" s="112"/>
      <c r="P306" s="112"/>
      <c r="Q306" s="112"/>
      <c r="R306" s="112"/>
      <c r="S306" s="112"/>
      <c r="T306" s="145"/>
      <c r="U306" s="144"/>
      <c r="V306" s="112"/>
      <c r="W306" s="112"/>
      <c r="X306" s="112"/>
      <c r="Y306" s="112"/>
      <c r="Z306" s="112"/>
      <c r="AA306" s="112"/>
      <c r="AB306" s="112"/>
      <c r="AC306" s="112"/>
      <c r="AD306" s="112"/>
      <c r="AE306" s="112"/>
      <c r="AF306" s="112"/>
      <c r="AG306" s="112"/>
      <c r="AH306" s="112" t="s">
        <v>482</v>
      </c>
      <c r="AI306" s="112"/>
      <c r="AJ306" s="112"/>
      <c r="AK306" s="112"/>
      <c r="AL306" s="112"/>
      <c r="AM306" s="646">
        <f t="shared" si="6"/>
        <v>0</v>
      </c>
      <c r="AO306" s="289"/>
    </row>
    <row r="307" spans="1:42" s="61" customFormat="1" ht="21" customHeight="1" x14ac:dyDescent="0.3">
      <c r="A307" s="705" t="s">
        <v>135</v>
      </c>
      <c r="B307" s="179" t="s">
        <v>293</v>
      </c>
      <c r="C307" s="135"/>
      <c r="D307" s="136"/>
      <c r="E307" s="136"/>
      <c r="F307" s="262"/>
      <c r="G307" s="136"/>
      <c r="H307" s="136"/>
      <c r="I307" s="326"/>
      <c r="J307" s="136"/>
      <c r="K307" s="136"/>
      <c r="L307" s="262"/>
      <c r="M307" s="136"/>
      <c r="N307" s="326"/>
      <c r="O307" s="136"/>
      <c r="P307" s="136"/>
      <c r="Q307" s="136"/>
      <c r="R307" s="136"/>
      <c r="S307" s="136"/>
      <c r="T307" s="137"/>
      <c r="U307" s="632">
        <v>285.61099999999999</v>
      </c>
      <c r="V307" s="122"/>
      <c r="W307" s="122"/>
      <c r="X307" s="122"/>
      <c r="Y307" s="122"/>
      <c r="Z307" s="122"/>
      <c r="AA307" s="122"/>
      <c r="AB307" s="122"/>
      <c r="AC307" s="122"/>
      <c r="AD307" s="122"/>
      <c r="AE307" s="122"/>
      <c r="AF307" s="122"/>
      <c r="AG307" s="122"/>
      <c r="AH307" s="122"/>
      <c r="AI307" s="122"/>
      <c r="AJ307" s="122"/>
      <c r="AK307" s="122"/>
      <c r="AL307" s="122"/>
      <c r="AM307" s="639">
        <f t="shared" si="6"/>
        <v>285.61099999999999</v>
      </c>
      <c r="AO307" s="289"/>
    </row>
    <row r="308" spans="1:42" s="61" customFormat="1" ht="19.5" customHeight="1" x14ac:dyDescent="0.3">
      <c r="A308" s="706"/>
      <c r="B308" s="116" t="s">
        <v>294</v>
      </c>
      <c r="C308" s="138"/>
      <c r="D308" s="109"/>
      <c r="E308" s="109"/>
      <c r="F308" s="263"/>
      <c r="G308" s="109"/>
      <c r="H308" s="109"/>
      <c r="I308" s="123"/>
      <c r="J308" s="109"/>
      <c r="K308" s="109"/>
      <c r="L308" s="263"/>
      <c r="M308" s="109"/>
      <c r="N308" s="123"/>
      <c r="O308" s="109"/>
      <c r="P308" s="109"/>
      <c r="Q308" s="109"/>
      <c r="R308" s="109"/>
      <c r="S308" s="109"/>
      <c r="T308" s="139"/>
      <c r="U308" s="138"/>
      <c r="V308" s="109"/>
      <c r="W308" s="109"/>
      <c r="X308" s="109"/>
      <c r="Y308" s="109"/>
      <c r="Z308" s="109"/>
      <c r="AA308" s="109"/>
      <c r="AB308" s="109"/>
      <c r="AC308" s="109"/>
      <c r="AD308" s="109"/>
      <c r="AE308" s="109"/>
      <c r="AF308" s="109"/>
      <c r="AG308" s="109">
        <v>1.8</v>
      </c>
      <c r="AH308" s="109"/>
      <c r="AI308" s="109">
        <v>70</v>
      </c>
      <c r="AJ308" s="109"/>
      <c r="AK308" s="109"/>
      <c r="AL308" s="109"/>
      <c r="AM308" s="640">
        <f t="shared" si="6"/>
        <v>71.8</v>
      </c>
      <c r="AO308" s="289"/>
    </row>
    <row r="309" spans="1:42" s="61" customFormat="1" ht="22.5" customHeight="1" x14ac:dyDescent="0.3">
      <c r="A309" s="706"/>
      <c r="B309" s="117" t="s">
        <v>326</v>
      </c>
      <c r="C309" s="140"/>
      <c r="D309" s="110"/>
      <c r="E309" s="110"/>
      <c r="F309" s="264">
        <v>-175</v>
      </c>
      <c r="G309" s="110"/>
      <c r="H309" s="110"/>
      <c r="I309" s="124"/>
      <c r="J309" s="110"/>
      <c r="K309" s="110"/>
      <c r="L309" s="264"/>
      <c r="M309" s="110"/>
      <c r="N309" s="124"/>
      <c r="O309" s="110"/>
      <c r="P309" s="110"/>
      <c r="Q309" s="110"/>
      <c r="R309" s="110"/>
      <c r="S309" s="110"/>
      <c r="T309" s="141"/>
      <c r="U309" s="140">
        <v>63.970999999999997</v>
      </c>
      <c r="V309" s="110"/>
      <c r="W309" s="110"/>
      <c r="X309" s="110"/>
      <c r="Y309" s="110"/>
      <c r="Z309" s="110"/>
      <c r="AA309" s="110"/>
      <c r="AB309" s="110"/>
      <c r="AC309" s="110"/>
      <c r="AD309" s="110"/>
      <c r="AE309" s="110"/>
      <c r="AF309" s="110"/>
      <c r="AG309" s="110"/>
      <c r="AH309" s="110"/>
      <c r="AI309" s="110"/>
      <c r="AJ309" s="110"/>
      <c r="AK309" s="110"/>
      <c r="AL309" s="110"/>
      <c r="AM309" s="641">
        <f t="shared" si="6"/>
        <v>-111.029</v>
      </c>
      <c r="AO309" s="289"/>
      <c r="AP309" s="97"/>
    </row>
    <row r="310" spans="1:42" s="61" customFormat="1" ht="25.5" customHeight="1" x14ac:dyDescent="0.3">
      <c r="A310" s="706"/>
      <c r="B310" s="175" t="s">
        <v>327</v>
      </c>
      <c r="C310" s="176"/>
      <c r="D310" s="127"/>
      <c r="E310" s="127"/>
      <c r="F310" s="265"/>
      <c r="G310" s="127"/>
      <c r="H310" s="127"/>
      <c r="I310" s="178"/>
      <c r="J310" s="127"/>
      <c r="K310" s="127"/>
      <c r="L310" s="265"/>
      <c r="M310" s="127"/>
      <c r="N310" s="178"/>
      <c r="O310" s="127"/>
      <c r="P310" s="127"/>
      <c r="Q310" s="127"/>
      <c r="R310" s="127"/>
      <c r="S310" s="127">
        <v>3971</v>
      </c>
      <c r="T310" s="177"/>
      <c r="U310" s="176"/>
      <c r="V310" s="127"/>
      <c r="W310" s="127"/>
      <c r="X310" s="127"/>
      <c r="Y310" s="127"/>
      <c r="Z310" s="127"/>
      <c r="AA310" s="127"/>
      <c r="AB310" s="127"/>
      <c r="AC310" s="127"/>
      <c r="AD310" s="127"/>
      <c r="AE310" s="127"/>
      <c r="AF310" s="127"/>
      <c r="AG310" s="127"/>
      <c r="AH310" s="127"/>
      <c r="AI310" s="127">
        <v>50</v>
      </c>
      <c r="AJ310" s="127"/>
      <c r="AK310" s="127"/>
      <c r="AL310" s="127"/>
      <c r="AM310" s="642">
        <f t="shared" si="6"/>
        <v>4021</v>
      </c>
      <c r="AO310" s="289"/>
    </row>
    <row r="311" spans="1:42" s="61" customFormat="1" ht="25.5" customHeight="1" x14ac:dyDescent="0.3">
      <c r="A311" s="706"/>
      <c r="B311" s="180" t="s">
        <v>361</v>
      </c>
      <c r="C311" s="300"/>
      <c r="D311" s="173"/>
      <c r="E311" s="173"/>
      <c r="F311" s="266"/>
      <c r="G311" s="173"/>
      <c r="H311" s="173"/>
      <c r="I311" s="174"/>
      <c r="J311" s="173"/>
      <c r="K311" s="173"/>
      <c r="L311" s="266"/>
      <c r="M311" s="173"/>
      <c r="N311" s="174"/>
      <c r="O311" s="173"/>
      <c r="P311" s="173"/>
      <c r="Q311" s="173"/>
      <c r="R311" s="173"/>
      <c r="S311" s="173">
        <v>8369</v>
      </c>
      <c r="T311" s="327"/>
      <c r="U311" s="300"/>
      <c r="V311" s="173"/>
      <c r="W311" s="173"/>
      <c r="X311" s="173"/>
      <c r="Y311" s="173"/>
      <c r="Z311" s="173"/>
      <c r="AA311" s="173">
        <v>150</v>
      </c>
      <c r="AB311" s="173"/>
      <c r="AC311" s="173"/>
      <c r="AD311" s="173"/>
      <c r="AE311" s="173"/>
      <c r="AF311" s="173"/>
      <c r="AG311" s="173"/>
      <c r="AH311" s="173"/>
      <c r="AI311" s="173"/>
      <c r="AJ311" s="173"/>
      <c r="AK311" s="173"/>
      <c r="AL311" s="173"/>
      <c r="AM311" s="643">
        <f t="shared" si="6"/>
        <v>8519</v>
      </c>
      <c r="AO311" s="289"/>
      <c r="AP311" s="97"/>
    </row>
    <row r="312" spans="1:42" s="61" customFormat="1" ht="25.5" customHeight="1" x14ac:dyDescent="0.3">
      <c r="A312" s="706"/>
      <c r="B312" s="180" t="s">
        <v>362</v>
      </c>
      <c r="C312" s="300"/>
      <c r="D312" s="173"/>
      <c r="E312" s="173"/>
      <c r="F312" s="266"/>
      <c r="G312" s="173"/>
      <c r="H312" s="173"/>
      <c r="I312" s="174"/>
      <c r="J312" s="173"/>
      <c r="K312" s="173"/>
      <c r="L312" s="266"/>
      <c r="M312" s="173"/>
      <c r="N312" s="174"/>
      <c r="O312" s="173"/>
      <c r="P312" s="173"/>
      <c r="Q312" s="173"/>
      <c r="R312" s="173"/>
      <c r="S312" s="173">
        <v>8244</v>
      </c>
      <c r="T312" s="327"/>
      <c r="U312" s="300">
        <v>0.10199999999999999</v>
      </c>
      <c r="V312" s="173"/>
      <c r="W312" s="173"/>
      <c r="X312" s="173"/>
      <c r="Y312" s="173"/>
      <c r="Z312" s="173"/>
      <c r="AA312" s="173">
        <v>38</v>
      </c>
      <c r="AB312" s="173"/>
      <c r="AC312" s="173"/>
      <c r="AD312" s="173"/>
      <c r="AE312" s="173"/>
      <c r="AF312" s="173"/>
      <c r="AG312" s="173"/>
      <c r="AH312" s="173"/>
      <c r="AI312" s="173"/>
      <c r="AJ312" s="173"/>
      <c r="AK312" s="173"/>
      <c r="AL312" s="173"/>
      <c r="AM312" s="644">
        <f t="shared" si="6"/>
        <v>8282.1020000000008</v>
      </c>
      <c r="AO312" s="289"/>
      <c r="AP312" s="97"/>
    </row>
    <row r="313" spans="1:42" s="61" customFormat="1" ht="22.5" customHeight="1" x14ac:dyDescent="0.3">
      <c r="A313" s="706"/>
      <c r="B313" s="115" t="s">
        <v>402</v>
      </c>
      <c r="C313" s="142"/>
      <c r="D313" s="111"/>
      <c r="E313" s="111"/>
      <c r="F313" s="267">
        <v>641</v>
      </c>
      <c r="G313" s="111"/>
      <c r="H313" s="111"/>
      <c r="I313" s="125"/>
      <c r="J313" s="111"/>
      <c r="K313" s="111"/>
      <c r="L313" s="267"/>
      <c r="M313" s="111"/>
      <c r="N313" s="125"/>
      <c r="O313" s="111"/>
      <c r="P313" s="111"/>
      <c r="Q313" s="111"/>
      <c r="R313" s="111"/>
      <c r="S313" s="111">
        <v>1167.0613979999998</v>
      </c>
      <c r="T313" s="143"/>
      <c r="U313" s="142"/>
      <c r="V313" s="111"/>
      <c r="W313" s="111"/>
      <c r="X313" s="111"/>
      <c r="Y313" s="111"/>
      <c r="Z313" s="111"/>
      <c r="AA313" s="111"/>
      <c r="AB313" s="111"/>
      <c r="AC313" s="111"/>
      <c r="AD313" s="111"/>
      <c r="AE313" s="111"/>
      <c r="AF313" s="111"/>
      <c r="AG313" s="111"/>
      <c r="AH313" s="111" t="s">
        <v>482</v>
      </c>
      <c r="AI313" s="111"/>
      <c r="AJ313" s="111"/>
      <c r="AK313" s="111"/>
      <c r="AL313" s="111"/>
      <c r="AM313" s="645">
        <f t="shared" si="6"/>
        <v>1808.0613979999998</v>
      </c>
      <c r="AO313" s="289"/>
    </row>
    <row r="314" spans="1:42" s="61" customFormat="1" ht="21" customHeight="1" x14ac:dyDescent="0.3">
      <c r="A314" s="707"/>
      <c r="B314" s="181" t="s">
        <v>403</v>
      </c>
      <c r="C314" s="144"/>
      <c r="D314" s="112"/>
      <c r="E314" s="112"/>
      <c r="F314" s="268">
        <v>1500</v>
      </c>
      <c r="G314" s="112"/>
      <c r="H314" s="112"/>
      <c r="I314" s="126"/>
      <c r="J314" s="112"/>
      <c r="K314" s="112"/>
      <c r="L314" s="268"/>
      <c r="M314" s="112"/>
      <c r="N314" s="126"/>
      <c r="O314" s="112"/>
      <c r="P314" s="112"/>
      <c r="Q314" s="112"/>
      <c r="R314" s="112"/>
      <c r="S314" s="112">
        <v>4012.4777370000002</v>
      </c>
      <c r="T314" s="145"/>
      <c r="U314" s="144"/>
      <c r="V314" s="112"/>
      <c r="W314" s="112"/>
      <c r="X314" s="112">
        <v>10</v>
      </c>
      <c r="Y314" s="112"/>
      <c r="Z314" s="112"/>
      <c r="AA314" s="112"/>
      <c r="AB314" s="112"/>
      <c r="AC314" s="112"/>
      <c r="AD314" s="112"/>
      <c r="AE314" s="112"/>
      <c r="AF314" s="112"/>
      <c r="AG314" s="112"/>
      <c r="AH314" s="112" t="s">
        <v>482</v>
      </c>
      <c r="AI314" s="112"/>
      <c r="AJ314" s="112"/>
      <c r="AK314" s="112"/>
      <c r="AL314" s="112"/>
      <c r="AM314" s="646">
        <f t="shared" si="6"/>
        <v>5522.4777370000002</v>
      </c>
      <c r="AO314" s="289"/>
    </row>
    <row r="315" spans="1:42" s="61" customFormat="1" ht="21" customHeight="1" x14ac:dyDescent="0.3">
      <c r="A315" s="705" t="s">
        <v>136</v>
      </c>
      <c r="B315" s="179" t="s">
        <v>293</v>
      </c>
      <c r="C315" s="135">
        <v>217</v>
      </c>
      <c r="D315" s="136"/>
      <c r="E315" s="136"/>
      <c r="F315" s="262">
        <v>308.51799999999997</v>
      </c>
      <c r="G315" s="136">
        <v>6</v>
      </c>
      <c r="H315" s="136"/>
      <c r="I315" s="326"/>
      <c r="J315" s="136"/>
      <c r="K315" s="136"/>
      <c r="L315" s="262">
        <v>39.884</v>
      </c>
      <c r="M315" s="136"/>
      <c r="N315" s="326">
        <v>534.428</v>
      </c>
      <c r="O315" s="136"/>
      <c r="P315" s="136"/>
      <c r="Q315" s="136">
        <v>38</v>
      </c>
      <c r="R315" s="136"/>
      <c r="S315" s="136">
        <v>900</v>
      </c>
      <c r="T315" s="137">
        <v>10</v>
      </c>
      <c r="U315" s="632">
        <v>83.673000000000002</v>
      </c>
      <c r="V315" s="122"/>
      <c r="W315" s="122"/>
      <c r="X315" s="122">
        <v>5</v>
      </c>
      <c r="Y315" s="122">
        <v>20</v>
      </c>
      <c r="Z315" s="122">
        <v>427</v>
      </c>
      <c r="AA315" s="122"/>
      <c r="AB315" s="122">
        <v>5</v>
      </c>
      <c r="AC315" s="122">
        <v>5</v>
      </c>
      <c r="AD315" s="122"/>
      <c r="AE315" s="122"/>
      <c r="AF315" s="122"/>
      <c r="AG315" s="122">
        <v>3.7</v>
      </c>
      <c r="AH315" s="122"/>
      <c r="AI315" s="122"/>
      <c r="AJ315" s="122"/>
      <c r="AK315" s="122"/>
      <c r="AL315" s="122"/>
      <c r="AM315" s="639">
        <f t="shared" si="6"/>
        <v>2603.2029999999995</v>
      </c>
      <c r="AO315" s="289"/>
    </row>
    <row r="316" spans="1:42" s="61" customFormat="1" ht="19.5" customHeight="1" x14ac:dyDescent="0.3">
      <c r="A316" s="706"/>
      <c r="B316" s="116" t="s">
        <v>294</v>
      </c>
      <c r="C316" s="138">
        <v>63</v>
      </c>
      <c r="D316" s="109"/>
      <c r="E316" s="109"/>
      <c r="F316" s="263">
        <v>100</v>
      </c>
      <c r="G316" s="109">
        <v>13</v>
      </c>
      <c r="H316" s="109"/>
      <c r="I316" s="123"/>
      <c r="J316" s="109"/>
      <c r="K316" s="109"/>
      <c r="L316" s="263"/>
      <c r="M316" s="109"/>
      <c r="N316" s="123">
        <v>581.97699999999998</v>
      </c>
      <c r="O316" s="109"/>
      <c r="P316" s="109"/>
      <c r="Q316" s="109"/>
      <c r="R316" s="109"/>
      <c r="S316" s="109">
        <v>50</v>
      </c>
      <c r="T316" s="139">
        <v>10</v>
      </c>
      <c r="U316" s="138">
        <v>107.545</v>
      </c>
      <c r="V316" s="109"/>
      <c r="W316" s="109"/>
      <c r="X316" s="109">
        <v>1</v>
      </c>
      <c r="Y316" s="109">
        <v>15</v>
      </c>
      <c r="Z316" s="109">
        <v>330</v>
      </c>
      <c r="AA316" s="109"/>
      <c r="AB316" s="109">
        <v>1</v>
      </c>
      <c r="AC316" s="109">
        <v>1</v>
      </c>
      <c r="AD316" s="109"/>
      <c r="AE316" s="109"/>
      <c r="AF316" s="109"/>
      <c r="AG316" s="109">
        <v>8.58</v>
      </c>
      <c r="AH316" s="109"/>
      <c r="AI316" s="109"/>
      <c r="AJ316" s="109"/>
      <c r="AK316" s="109"/>
      <c r="AL316" s="109"/>
      <c r="AM316" s="640">
        <f t="shared" si="6"/>
        <v>1282.1019999999999</v>
      </c>
      <c r="AO316" s="289"/>
    </row>
    <row r="317" spans="1:42" s="61" customFormat="1" ht="22.5" customHeight="1" x14ac:dyDescent="0.3">
      <c r="A317" s="706"/>
      <c r="B317" s="117" t="s">
        <v>326</v>
      </c>
      <c r="C317" s="140">
        <v>223.97499999999999</v>
      </c>
      <c r="D317" s="110"/>
      <c r="E317" s="110"/>
      <c r="F317" s="264">
        <v>342</v>
      </c>
      <c r="G317" s="110">
        <v>165</v>
      </c>
      <c r="H317" s="110">
        <v>126</v>
      </c>
      <c r="I317" s="124"/>
      <c r="J317" s="110"/>
      <c r="K317" s="110"/>
      <c r="L317" s="264"/>
      <c r="M317" s="110"/>
      <c r="N317" s="124">
        <v>778.78599999999994</v>
      </c>
      <c r="O317" s="110"/>
      <c r="P317" s="110"/>
      <c r="Q317" s="110">
        <v>80</v>
      </c>
      <c r="R317" s="110"/>
      <c r="S317" s="110">
        <v>23450</v>
      </c>
      <c r="T317" s="141"/>
      <c r="U317" s="140">
        <v>115.193</v>
      </c>
      <c r="V317" s="110"/>
      <c r="W317" s="110">
        <v>30</v>
      </c>
      <c r="X317" s="110">
        <v>5</v>
      </c>
      <c r="Y317" s="110">
        <v>20</v>
      </c>
      <c r="Z317" s="110">
        <v>441</v>
      </c>
      <c r="AA317" s="110">
        <v>10</v>
      </c>
      <c r="AB317" s="110">
        <v>1</v>
      </c>
      <c r="AC317" s="110">
        <v>1</v>
      </c>
      <c r="AD317" s="110">
        <v>10</v>
      </c>
      <c r="AE317" s="110"/>
      <c r="AF317" s="110"/>
      <c r="AG317" s="110"/>
      <c r="AH317" s="110"/>
      <c r="AI317" s="110"/>
      <c r="AJ317" s="110"/>
      <c r="AK317" s="110"/>
      <c r="AL317" s="110"/>
      <c r="AM317" s="641">
        <f t="shared" si="6"/>
        <v>25798.953999999998</v>
      </c>
      <c r="AO317" s="289"/>
      <c r="AP317" s="97"/>
    </row>
    <row r="318" spans="1:42" s="61" customFormat="1" ht="25.5" customHeight="1" x14ac:dyDescent="0.3">
      <c r="A318" s="706"/>
      <c r="B318" s="175" t="s">
        <v>327</v>
      </c>
      <c r="C318" s="176">
        <v>261.12599999999998</v>
      </c>
      <c r="D318" s="127"/>
      <c r="E318" s="127"/>
      <c r="F318" s="265">
        <v>41</v>
      </c>
      <c r="G318" s="127">
        <v>165</v>
      </c>
      <c r="H318" s="127">
        <v>158</v>
      </c>
      <c r="I318" s="178"/>
      <c r="J318" s="127"/>
      <c r="K318" s="127"/>
      <c r="L318" s="265"/>
      <c r="M318" s="127"/>
      <c r="N318" s="178">
        <v>1617.9970000000001</v>
      </c>
      <c r="O318" s="127"/>
      <c r="P318" s="127"/>
      <c r="Q318" s="127">
        <v>120</v>
      </c>
      <c r="R318" s="127"/>
      <c r="S318" s="127">
        <v>37496</v>
      </c>
      <c r="T318" s="177"/>
      <c r="U318" s="176">
        <v>179.261</v>
      </c>
      <c r="V318" s="127"/>
      <c r="W318" s="127">
        <v>14</v>
      </c>
      <c r="X318" s="127">
        <v>10</v>
      </c>
      <c r="Y318" s="127">
        <v>10</v>
      </c>
      <c r="Z318" s="127">
        <v>1350</v>
      </c>
      <c r="AA318" s="127"/>
      <c r="AB318" s="127">
        <v>1</v>
      </c>
      <c r="AC318" s="127"/>
      <c r="AD318" s="127">
        <v>5</v>
      </c>
      <c r="AE318" s="127"/>
      <c r="AF318" s="127"/>
      <c r="AG318" s="127"/>
      <c r="AH318" s="127"/>
      <c r="AI318" s="127"/>
      <c r="AJ318" s="127"/>
      <c r="AK318" s="127"/>
      <c r="AL318" s="127"/>
      <c r="AM318" s="642">
        <f t="shared" si="6"/>
        <v>41428.383999999998</v>
      </c>
      <c r="AO318" s="289"/>
    </row>
    <row r="319" spans="1:42" s="61" customFormat="1" ht="25.5" customHeight="1" x14ac:dyDescent="0.3">
      <c r="A319" s="706"/>
      <c r="B319" s="180" t="s">
        <v>361</v>
      </c>
      <c r="C319" s="300">
        <v>391.18713000000002</v>
      </c>
      <c r="D319" s="173"/>
      <c r="E319" s="173"/>
      <c r="F319" s="266"/>
      <c r="G319" s="173">
        <f>167+22</f>
        <v>189</v>
      </c>
      <c r="H319" s="173">
        <v>16</v>
      </c>
      <c r="I319" s="174"/>
      <c r="J319" s="173"/>
      <c r="K319" s="173"/>
      <c r="L319" s="266"/>
      <c r="M319" s="173"/>
      <c r="N319" s="174">
        <v>2058.3890000000001</v>
      </c>
      <c r="O319" s="173"/>
      <c r="P319" s="173"/>
      <c r="Q319" s="173">
        <v>150</v>
      </c>
      <c r="R319" s="173"/>
      <c r="S319" s="173">
        <v>14396</v>
      </c>
      <c r="T319" s="327"/>
      <c r="U319" s="300">
        <v>141.518</v>
      </c>
      <c r="V319" s="173"/>
      <c r="W319" s="173">
        <v>5</v>
      </c>
      <c r="X319" s="173">
        <v>5</v>
      </c>
      <c r="Y319" s="173">
        <v>100</v>
      </c>
      <c r="Z319" s="173">
        <v>1081.35645</v>
      </c>
      <c r="AA319" s="173">
        <v>19.930119999999999</v>
      </c>
      <c r="AB319" s="173">
        <v>1</v>
      </c>
      <c r="AC319" s="173">
        <v>5</v>
      </c>
      <c r="AD319" s="173"/>
      <c r="AE319" s="173"/>
      <c r="AF319" s="173"/>
      <c r="AG319" s="173"/>
      <c r="AH319" s="173"/>
      <c r="AI319" s="173"/>
      <c r="AJ319" s="173"/>
      <c r="AK319" s="173"/>
      <c r="AL319" s="173"/>
      <c r="AM319" s="643">
        <f t="shared" si="6"/>
        <v>18559.380700000002</v>
      </c>
      <c r="AO319" s="289"/>
      <c r="AP319" s="97"/>
    </row>
    <row r="320" spans="1:42" s="61" customFormat="1" ht="25.5" customHeight="1" x14ac:dyDescent="0.3">
      <c r="A320" s="706"/>
      <c r="B320" s="180" t="s">
        <v>362</v>
      </c>
      <c r="C320" s="300">
        <v>573.61672999999996</v>
      </c>
      <c r="D320" s="173"/>
      <c r="E320" s="173"/>
      <c r="F320" s="266">
        <v>192</v>
      </c>
      <c r="G320" s="173">
        <f>140+10</f>
        <v>150</v>
      </c>
      <c r="H320" s="173">
        <f>16+10</f>
        <v>26</v>
      </c>
      <c r="I320" s="174"/>
      <c r="J320" s="173"/>
      <c r="K320" s="173"/>
      <c r="L320" s="266">
        <v>185</v>
      </c>
      <c r="M320" s="173"/>
      <c r="N320" s="174">
        <v>1835.819</v>
      </c>
      <c r="O320" s="173"/>
      <c r="P320" s="173"/>
      <c r="Q320" s="173">
        <v>250</v>
      </c>
      <c r="R320" s="173"/>
      <c r="S320" s="173">
        <v>8163</v>
      </c>
      <c r="T320" s="327"/>
      <c r="U320" s="300">
        <v>251.244</v>
      </c>
      <c r="V320" s="173"/>
      <c r="W320" s="173"/>
      <c r="X320" s="173">
        <v>5</v>
      </c>
      <c r="Y320" s="173">
        <v>80</v>
      </c>
      <c r="Z320" s="173">
        <v>604.22202000000004</v>
      </c>
      <c r="AA320" s="173"/>
      <c r="AB320" s="173">
        <v>1</v>
      </c>
      <c r="AC320" s="173">
        <v>20</v>
      </c>
      <c r="AD320" s="173">
        <v>15</v>
      </c>
      <c r="AE320" s="173"/>
      <c r="AF320" s="173"/>
      <c r="AG320" s="173"/>
      <c r="AH320" s="173">
        <v>50</v>
      </c>
      <c r="AI320" s="173">
        <v>27</v>
      </c>
      <c r="AJ320" s="173"/>
      <c r="AK320" s="173"/>
      <c r="AL320" s="173"/>
      <c r="AM320" s="644">
        <f t="shared" si="6"/>
        <v>12428.901750000001</v>
      </c>
      <c r="AO320" s="289"/>
      <c r="AP320" s="97"/>
    </row>
    <row r="321" spans="1:42" s="61" customFormat="1" ht="22.5" customHeight="1" x14ac:dyDescent="0.3">
      <c r="A321" s="706"/>
      <c r="B321" s="115" t="s">
        <v>402</v>
      </c>
      <c r="C321" s="142">
        <v>751.93708000000004</v>
      </c>
      <c r="D321" s="111"/>
      <c r="E321" s="111"/>
      <c r="F321" s="267">
        <v>176.9</v>
      </c>
      <c r="G321" s="111"/>
      <c r="H321" s="111">
        <v>40</v>
      </c>
      <c r="I321" s="125"/>
      <c r="J321" s="111"/>
      <c r="K321" s="111"/>
      <c r="L321" s="267">
        <v>244</v>
      </c>
      <c r="M321" s="111"/>
      <c r="N321" s="125"/>
      <c r="O321" s="111"/>
      <c r="P321" s="111"/>
      <c r="Q321" s="111">
        <v>100</v>
      </c>
      <c r="R321" s="111"/>
      <c r="S321" s="111">
        <v>6830.893062000001</v>
      </c>
      <c r="T321" s="143"/>
      <c r="U321" s="142">
        <v>137.66</v>
      </c>
      <c r="V321" s="111"/>
      <c r="W321" s="111"/>
      <c r="X321" s="111">
        <v>5</v>
      </c>
      <c r="Y321" s="111">
        <v>100</v>
      </c>
      <c r="Z321" s="111">
        <v>327</v>
      </c>
      <c r="AA321" s="111">
        <v>11</v>
      </c>
      <c r="AB321" s="111">
        <v>1</v>
      </c>
      <c r="AC321" s="111">
        <v>15</v>
      </c>
      <c r="AD321" s="111">
        <v>15</v>
      </c>
      <c r="AE321" s="111"/>
      <c r="AF321" s="111"/>
      <c r="AG321" s="111"/>
      <c r="AH321" s="111" t="s">
        <v>482</v>
      </c>
      <c r="AI321" s="111"/>
      <c r="AJ321" s="111"/>
      <c r="AK321" s="111"/>
      <c r="AL321" s="111"/>
      <c r="AM321" s="645">
        <f t="shared" si="6"/>
        <v>8755.390142000002</v>
      </c>
      <c r="AO321" s="289"/>
    </row>
    <row r="322" spans="1:42" s="61" customFormat="1" ht="21" customHeight="1" x14ac:dyDescent="0.3">
      <c r="A322" s="707"/>
      <c r="B322" s="181" t="s">
        <v>403</v>
      </c>
      <c r="C322" s="144">
        <v>749.78471000000002</v>
      </c>
      <c r="D322" s="112"/>
      <c r="E322" s="112"/>
      <c r="F322" s="268">
        <v>148</v>
      </c>
      <c r="G322" s="112">
        <v>20</v>
      </c>
      <c r="H322" s="112"/>
      <c r="I322" s="126"/>
      <c r="J322" s="112"/>
      <c r="K322" s="112"/>
      <c r="L322" s="268">
        <v>321.10000000000002</v>
      </c>
      <c r="M322" s="112"/>
      <c r="N322" s="126"/>
      <c r="O322" s="112"/>
      <c r="P322" s="112"/>
      <c r="Q322" s="112">
        <v>0</v>
      </c>
      <c r="R322" s="112"/>
      <c r="S322" s="112">
        <v>2697.0156979999997</v>
      </c>
      <c r="T322" s="145"/>
      <c r="U322" s="144">
        <v>212.69499999999999</v>
      </c>
      <c r="V322" s="112"/>
      <c r="W322" s="112"/>
      <c r="X322" s="112">
        <v>5</v>
      </c>
      <c r="Y322" s="112">
        <v>100</v>
      </c>
      <c r="Z322" s="112">
        <v>771</v>
      </c>
      <c r="AA322" s="112"/>
      <c r="AB322" s="112">
        <v>1</v>
      </c>
      <c r="AC322" s="112">
        <v>11</v>
      </c>
      <c r="AD322" s="112">
        <v>15</v>
      </c>
      <c r="AE322" s="112"/>
      <c r="AF322" s="112"/>
      <c r="AG322" s="112"/>
      <c r="AH322" s="112">
        <v>50</v>
      </c>
      <c r="AI322" s="112"/>
      <c r="AJ322" s="112"/>
      <c r="AK322" s="112"/>
      <c r="AL322" s="112"/>
      <c r="AM322" s="646">
        <f t="shared" si="6"/>
        <v>5101.5954079999992</v>
      </c>
      <c r="AO322" s="289"/>
    </row>
    <row r="323" spans="1:42" s="61" customFormat="1" ht="21" customHeight="1" x14ac:dyDescent="0.3">
      <c r="A323" s="705" t="s">
        <v>137</v>
      </c>
      <c r="B323" s="179" t="s">
        <v>293</v>
      </c>
      <c r="C323" s="135">
        <v>390.47</v>
      </c>
      <c r="D323" s="136"/>
      <c r="E323" s="136"/>
      <c r="F323" s="262">
        <v>-141.28399999999999</v>
      </c>
      <c r="G323" s="136">
        <v>1133</v>
      </c>
      <c r="H323" s="136">
        <v>25</v>
      </c>
      <c r="I323" s="326"/>
      <c r="J323" s="136"/>
      <c r="K323" s="136"/>
      <c r="L323" s="262"/>
      <c r="M323" s="136"/>
      <c r="N323" s="326"/>
      <c r="O323" s="136">
        <v>50</v>
      </c>
      <c r="P323" s="136"/>
      <c r="Q323" s="136"/>
      <c r="R323" s="136"/>
      <c r="S323" s="136">
        <v>3100</v>
      </c>
      <c r="T323" s="137">
        <v>187.274</v>
      </c>
      <c r="U323" s="632">
        <v>655.44399999999996</v>
      </c>
      <c r="V323" s="122"/>
      <c r="W323" s="122"/>
      <c r="X323" s="122">
        <v>130</v>
      </c>
      <c r="Y323" s="122">
        <v>283.60000000000002</v>
      </c>
      <c r="Z323" s="122">
        <v>1607</v>
      </c>
      <c r="AA323" s="122">
        <v>1073.9858100000001</v>
      </c>
      <c r="AB323" s="122">
        <v>10</v>
      </c>
      <c r="AC323" s="122">
        <v>69.546999999999997</v>
      </c>
      <c r="AD323" s="122">
        <v>60</v>
      </c>
      <c r="AE323" s="122"/>
      <c r="AF323" s="122">
        <v>401.767</v>
      </c>
      <c r="AG323" s="122"/>
      <c r="AH323" s="122">
        <v>1298.3900000000001</v>
      </c>
      <c r="AI323" s="122"/>
      <c r="AJ323" s="122"/>
      <c r="AK323" s="122">
        <v>38.28</v>
      </c>
      <c r="AL323" s="122">
        <v>0</v>
      </c>
      <c r="AM323" s="639">
        <f t="shared" si="6"/>
        <v>10372.473810000001</v>
      </c>
      <c r="AO323" s="289"/>
    </row>
    <row r="324" spans="1:42" s="61" customFormat="1" ht="19.5" customHeight="1" x14ac:dyDescent="0.3">
      <c r="A324" s="706"/>
      <c r="B324" s="116" t="s">
        <v>294</v>
      </c>
      <c r="C324" s="138">
        <v>2267.75</v>
      </c>
      <c r="D324" s="109"/>
      <c r="E324" s="109"/>
      <c r="F324" s="263"/>
      <c r="G324" s="109">
        <v>1161</v>
      </c>
      <c r="H324" s="109">
        <v>28</v>
      </c>
      <c r="I324" s="123"/>
      <c r="J324" s="109"/>
      <c r="K324" s="109"/>
      <c r="L324" s="263"/>
      <c r="M324" s="109"/>
      <c r="N324" s="123"/>
      <c r="O324" s="109">
        <v>50</v>
      </c>
      <c r="P324" s="109"/>
      <c r="Q324" s="109"/>
      <c r="R324" s="109"/>
      <c r="S324" s="109">
        <v>3150</v>
      </c>
      <c r="T324" s="139">
        <v>199.97800000000001</v>
      </c>
      <c r="U324" s="138">
        <v>214.86500000000001</v>
      </c>
      <c r="V324" s="109"/>
      <c r="W324" s="109"/>
      <c r="X324" s="109">
        <v>130</v>
      </c>
      <c r="Y324" s="109">
        <v>250</v>
      </c>
      <c r="Z324" s="109">
        <v>1567</v>
      </c>
      <c r="AA324" s="109">
        <v>1143.9879799999999</v>
      </c>
      <c r="AB324" s="109"/>
      <c r="AC324" s="109">
        <v>40</v>
      </c>
      <c r="AD324" s="109">
        <v>60</v>
      </c>
      <c r="AE324" s="109"/>
      <c r="AF324" s="109">
        <v>286.45999999999998</v>
      </c>
      <c r="AG324" s="109">
        <v>6.85</v>
      </c>
      <c r="AH324" s="109">
        <v>1298.3900000000001</v>
      </c>
      <c r="AI324" s="109">
        <v>340</v>
      </c>
      <c r="AJ324" s="109"/>
      <c r="AK324" s="109">
        <v>33.32</v>
      </c>
      <c r="AL324" s="109">
        <v>0</v>
      </c>
      <c r="AM324" s="640">
        <f t="shared" si="6"/>
        <v>12227.600979999999</v>
      </c>
      <c r="AO324" s="289"/>
    </row>
    <row r="325" spans="1:42" s="61" customFormat="1" ht="22.5" customHeight="1" x14ac:dyDescent="0.3">
      <c r="A325" s="706"/>
      <c r="B325" s="117" t="s">
        <v>326</v>
      </c>
      <c r="C325" s="140">
        <v>651.40599999999995</v>
      </c>
      <c r="D325" s="110"/>
      <c r="E325" s="110"/>
      <c r="F325" s="264"/>
      <c r="G325" s="110">
        <v>1149</v>
      </c>
      <c r="H325" s="110">
        <v>110</v>
      </c>
      <c r="I325" s="124"/>
      <c r="J325" s="110"/>
      <c r="K325" s="110"/>
      <c r="L325" s="264"/>
      <c r="M325" s="110"/>
      <c r="N325" s="124"/>
      <c r="O325" s="110">
        <v>50</v>
      </c>
      <c r="P325" s="110"/>
      <c r="Q325" s="110"/>
      <c r="R325" s="110"/>
      <c r="S325" s="110">
        <v>17806</v>
      </c>
      <c r="T325" s="141"/>
      <c r="U325" s="140">
        <v>182.57300000000001</v>
      </c>
      <c r="V325" s="110"/>
      <c r="W325" s="110"/>
      <c r="X325" s="110">
        <v>130</v>
      </c>
      <c r="Y325" s="110">
        <v>250</v>
      </c>
      <c r="Z325" s="110">
        <v>1775</v>
      </c>
      <c r="AA325" s="110">
        <v>986.87679000000003</v>
      </c>
      <c r="AB325" s="110">
        <v>10</v>
      </c>
      <c r="AC325" s="110">
        <v>41.433</v>
      </c>
      <c r="AD325" s="110">
        <v>80</v>
      </c>
      <c r="AE325" s="110"/>
      <c r="AF325" s="110">
        <v>571.06666000000007</v>
      </c>
      <c r="AG325" s="110"/>
      <c r="AH325" s="110">
        <v>4804.25</v>
      </c>
      <c r="AI325" s="110">
        <v>1570</v>
      </c>
      <c r="AJ325" s="110"/>
      <c r="AK325" s="110">
        <v>58</v>
      </c>
      <c r="AL325" s="110">
        <v>0</v>
      </c>
      <c r="AM325" s="641">
        <f t="shared" si="6"/>
        <v>30225.605449999999</v>
      </c>
      <c r="AO325" s="289"/>
      <c r="AP325" s="97"/>
    </row>
    <row r="326" spans="1:42" s="61" customFormat="1" ht="25.5" customHeight="1" x14ac:dyDescent="0.3">
      <c r="A326" s="706"/>
      <c r="B326" s="175" t="s">
        <v>327</v>
      </c>
      <c r="C326" s="176">
        <v>2679.6990000000001</v>
      </c>
      <c r="D326" s="127"/>
      <c r="E326" s="127"/>
      <c r="F326" s="265">
        <v>400</v>
      </c>
      <c r="G326" s="127">
        <v>2245</v>
      </c>
      <c r="H326" s="127">
        <v>300</v>
      </c>
      <c r="I326" s="178"/>
      <c r="J326" s="127"/>
      <c r="K326" s="127"/>
      <c r="L326" s="265"/>
      <c r="M326" s="127"/>
      <c r="N326" s="178"/>
      <c r="O326" s="127">
        <v>70</v>
      </c>
      <c r="P326" s="127"/>
      <c r="Q326" s="127"/>
      <c r="R326" s="127"/>
      <c r="S326" s="127">
        <v>20455</v>
      </c>
      <c r="T326" s="177"/>
      <c r="U326" s="176">
        <v>102.952</v>
      </c>
      <c r="V326" s="127"/>
      <c r="W326" s="127">
        <v>1000</v>
      </c>
      <c r="X326" s="127">
        <v>605</v>
      </c>
      <c r="Y326" s="127">
        <v>250</v>
      </c>
      <c r="Z326" s="127">
        <v>3534</v>
      </c>
      <c r="AA326" s="127">
        <v>658.30241999999998</v>
      </c>
      <c r="AB326" s="127">
        <v>20</v>
      </c>
      <c r="AC326" s="127">
        <v>103.988</v>
      </c>
      <c r="AD326" s="127">
        <v>80</v>
      </c>
      <c r="AE326" s="127"/>
      <c r="AF326" s="127">
        <v>286.59333999999996</v>
      </c>
      <c r="AG326" s="127"/>
      <c r="AH326" s="127">
        <v>2750</v>
      </c>
      <c r="AI326" s="127">
        <v>2890</v>
      </c>
      <c r="AJ326" s="127"/>
      <c r="AK326" s="127">
        <f>62+5</f>
        <v>67</v>
      </c>
      <c r="AL326" s="127">
        <v>0</v>
      </c>
      <c r="AM326" s="642">
        <f t="shared" si="6"/>
        <v>38497.534760000002</v>
      </c>
      <c r="AO326" s="289"/>
    </row>
    <row r="327" spans="1:42" s="61" customFormat="1" ht="25.5" customHeight="1" x14ac:dyDescent="0.3">
      <c r="A327" s="706"/>
      <c r="B327" s="180" t="s">
        <v>361</v>
      </c>
      <c r="C327" s="300">
        <v>923.78124000000003</v>
      </c>
      <c r="D327" s="173"/>
      <c r="E327" s="173"/>
      <c r="F327" s="266"/>
      <c r="G327" s="173">
        <f>1535+300</f>
        <v>1835</v>
      </c>
      <c r="H327" s="173">
        <v>98</v>
      </c>
      <c r="I327" s="174"/>
      <c r="J327" s="173"/>
      <c r="K327" s="173"/>
      <c r="L327" s="266"/>
      <c r="M327" s="173"/>
      <c r="N327" s="174"/>
      <c r="O327" s="173">
        <v>70</v>
      </c>
      <c r="P327" s="173"/>
      <c r="Q327" s="173"/>
      <c r="R327" s="173"/>
      <c r="S327" s="173">
        <v>23520</v>
      </c>
      <c r="T327" s="327"/>
      <c r="U327" s="300">
        <v>352.92200000000003</v>
      </c>
      <c r="V327" s="173"/>
      <c r="W327" s="173"/>
      <c r="X327" s="173">
        <v>111</v>
      </c>
      <c r="Y327" s="173">
        <v>250</v>
      </c>
      <c r="Z327" s="173">
        <v>2787.3154100000002</v>
      </c>
      <c r="AA327" s="173">
        <f>534.48065+472</f>
        <v>1006.48065</v>
      </c>
      <c r="AB327" s="173">
        <v>10</v>
      </c>
      <c r="AC327" s="173">
        <v>64</v>
      </c>
      <c r="AD327" s="173">
        <v>80</v>
      </c>
      <c r="AE327" s="173"/>
      <c r="AF327" s="173">
        <v>90</v>
      </c>
      <c r="AG327" s="173">
        <v>37</v>
      </c>
      <c r="AH327" s="173">
        <v>1750</v>
      </c>
      <c r="AI327" s="173">
        <v>5884</v>
      </c>
      <c r="AJ327" s="173"/>
      <c r="AK327" s="173">
        <v>63</v>
      </c>
      <c r="AL327" s="173">
        <v>0</v>
      </c>
      <c r="AM327" s="643">
        <f t="shared" si="6"/>
        <v>38932.499299999996</v>
      </c>
      <c r="AO327" s="289"/>
      <c r="AP327" s="97"/>
    </row>
    <row r="328" spans="1:42" s="61" customFormat="1" ht="25.5" customHeight="1" x14ac:dyDescent="0.3">
      <c r="A328" s="706"/>
      <c r="B328" s="180" t="s">
        <v>362</v>
      </c>
      <c r="C328" s="300">
        <v>1097.2280499999999</v>
      </c>
      <c r="D328" s="173"/>
      <c r="E328" s="173"/>
      <c r="F328" s="266"/>
      <c r="G328" s="173">
        <f>1585+100</f>
        <v>1685</v>
      </c>
      <c r="H328" s="173">
        <v>188</v>
      </c>
      <c r="I328" s="174"/>
      <c r="J328" s="173"/>
      <c r="K328" s="173"/>
      <c r="L328" s="266"/>
      <c r="M328" s="173"/>
      <c r="N328" s="174"/>
      <c r="O328" s="173">
        <v>70</v>
      </c>
      <c r="P328" s="173"/>
      <c r="Q328" s="173"/>
      <c r="R328" s="173"/>
      <c r="S328" s="173">
        <v>21326</v>
      </c>
      <c r="T328" s="327"/>
      <c r="U328" s="300">
        <v>1207.508</v>
      </c>
      <c r="V328" s="173"/>
      <c r="W328" s="173"/>
      <c r="X328" s="173">
        <v>100</v>
      </c>
      <c r="Y328" s="173">
        <v>250</v>
      </c>
      <c r="Z328" s="173">
        <v>3563.88445</v>
      </c>
      <c r="AA328" s="173">
        <f>721.82786+855</f>
        <v>1576.8278599999999</v>
      </c>
      <c r="AB328" s="173">
        <v>10</v>
      </c>
      <c r="AC328" s="173">
        <f>78-64</f>
        <v>14</v>
      </c>
      <c r="AD328" s="173">
        <v>80</v>
      </c>
      <c r="AE328" s="173"/>
      <c r="AF328" s="173">
        <v>90</v>
      </c>
      <c r="AG328" s="173">
        <v>43</v>
      </c>
      <c r="AH328" s="173">
        <v>2500</v>
      </c>
      <c r="AI328" s="173">
        <v>5021</v>
      </c>
      <c r="AJ328" s="173"/>
      <c r="AK328" s="173">
        <v>79</v>
      </c>
      <c r="AL328" s="173">
        <v>0</v>
      </c>
      <c r="AM328" s="644">
        <f t="shared" si="6"/>
        <v>38901.448360000002</v>
      </c>
      <c r="AO328" s="289"/>
      <c r="AP328" s="97"/>
    </row>
    <row r="329" spans="1:42" s="61" customFormat="1" ht="22.5" customHeight="1" x14ac:dyDescent="0.3">
      <c r="A329" s="706"/>
      <c r="B329" s="115" t="s">
        <v>402</v>
      </c>
      <c r="C329" s="142">
        <v>1648.0296499999999</v>
      </c>
      <c r="D329" s="111"/>
      <c r="E329" s="111">
        <v>10</v>
      </c>
      <c r="F329" s="267"/>
      <c r="G329" s="111">
        <v>119</v>
      </c>
      <c r="H329" s="111">
        <v>118</v>
      </c>
      <c r="I329" s="125"/>
      <c r="J329" s="111"/>
      <c r="K329" s="111"/>
      <c r="L329" s="267">
        <v>0</v>
      </c>
      <c r="M329" s="111">
        <v>50</v>
      </c>
      <c r="N329" s="125"/>
      <c r="O329" s="111">
        <v>80</v>
      </c>
      <c r="P329" s="111">
        <v>33</v>
      </c>
      <c r="Q329" s="111"/>
      <c r="R329" s="111"/>
      <c r="S329" s="111">
        <v>24772.314484999999</v>
      </c>
      <c r="T329" s="143">
        <v>25.16</v>
      </c>
      <c r="U329" s="142">
        <v>548.46400000000006</v>
      </c>
      <c r="V329" s="111"/>
      <c r="W329" s="111"/>
      <c r="X329" s="111">
        <v>811</v>
      </c>
      <c r="Y329" s="111">
        <v>651.90599999999995</v>
      </c>
      <c r="Z329" s="111">
        <v>5553</v>
      </c>
      <c r="AA329" s="111">
        <v>1303</v>
      </c>
      <c r="AB329" s="111"/>
      <c r="AC329" s="111">
        <v>274</v>
      </c>
      <c r="AD329" s="111">
        <v>80</v>
      </c>
      <c r="AE329" s="111">
        <v>20</v>
      </c>
      <c r="AF329" s="111">
        <v>68.75</v>
      </c>
      <c r="AG329" s="111"/>
      <c r="AH329" s="111">
        <v>9575.85</v>
      </c>
      <c r="AI329" s="111">
        <v>2116</v>
      </c>
      <c r="AJ329" s="111"/>
      <c r="AK329" s="111">
        <f>156.636/1.097</f>
        <v>142.78577939835915</v>
      </c>
      <c r="AL329" s="111">
        <v>183.57142857142856</v>
      </c>
      <c r="AM329" s="645">
        <f t="shared" si="6"/>
        <v>48183.831342969781</v>
      </c>
      <c r="AO329" s="289"/>
    </row>
    <row r="330" spans="1:42" s="61" customFormat="1" ht="21" customHeight="1" x14ac:dyDescent="0.3">
      <c r="A330" s="707"/>
      <c r="B330" s="181" t="s">
        <v>403</v>
      </c>
      <c r="C330" s="144">
        <v>3172.9876300000001</v>
      </c>
      <c r="D330" s="112"/>
      <c r="E330" s="112"/>
      <c r="F330" s="268">
        <v>10000</v>
      </c>
      <c r="G330" s="112">
        <v>80</v>
      </c>
      <c r="H330" s="112">
        <v>103</v>
      </c>
      <c r="I330" s="126"/>
      <c r="J330" s="112"/>
      <c r="K330" s="112">
        <v>221</v>
      </c>
      <c r="L330" s="268"/>
      <c r="M330" s="112">
        <v>300</v>
      </c>
      <c r="N330" s="126"/>
      <c r="O330" s="112">
        <v>270</v>
      </c>
      <c r="P330" s="112">
        <v>0</v>
      </c>
      <c r="Q330" s="112"/>
      <c r="R330" s="112"/>
      <c r="S330" s="112">
        <v>13275.540046999999</v>
      </c>
      <c r="T330" s="145">
        <v>0</v>
      </c>
      <c r="U330" s="144">
        <v>510.24799999999999</v>
      </c>
      <c r="V330" s="112"/>
      <c r="W330" s="112"/>
      <c r="X330" s="112">
        <v>232</v>
      </c>
      <c r="Y330" s="112">
        <v>250</v>
      </c>
      <c r="Z330" s="112">
        <v>2712</v>
      </c>
      <c r="AA330" s="112">
        <v>1792</v>
      </c>
      <c r="AB330" s="112">
        <v>19.899999999999999</v>
      </c>
      <c r="AC330" s="112">
        <v>215</v>
      </c>
      <c r="AD330" s="112">
        <v>80</v>
      </c>
      <c r="AE330" s="112"/>
      <c r="AF330" s="112">
        <v>191.83841269841272</v>
      </c>
      <c r="AG330" s="112"/>
      <c r="AH330" s="112">
        <v>3058.8679999999999</v>
      </c>
      <c r="AI330" s="112">
        <v>2116</v>
      </c>
      <c r="AJ330" s="112"/>
      <c r="AK330" s="112">
        <f>278.8365/1.001</f>
        <v>278.55794205794211</v>
      </c>
      <c r="AL330" s="112">
        <v>188</v>
      </c>
      <c r="AM330" s="646">
        <f t="shared" si="6"/>
        <v>39066.940031756356</v>
      </c>
      <c r="AO330" s="289"/>
    </row>
    <row r="331" spans="1:42" s="61" customFormat="1" ht="21" customHeight="1" x14ac:dyDescent="0.3">
      <c r="A331" s="705" t="s">
        <v>138</v>
      </c>
      <c r="B331" s="179" t="s">
        <v>293</v>
      </c>
      <c r="C331" s="135">
        <v>160</v>
      </c>
      <c r="D331" s="136"/>
      <c r="E331" s="136"/>
      <c r="F331" s="262">
        <v>508.34</v>
      </c>
      <c r="G331" s="136"/>
      <c r="H331" s="136"/>
      <c r="I331" s="326"/>
      <c r="J331" s="136"/>
      <c r="K331" s="136"/>
      <c r="L331" s="262"/>
      <c r="M331" s="136"/>
      <c r="N331" s="326">
        <v>72.69</v>
      </c>
      <c r="O331" s="136"/>
      <c r="P331" s="136"/>
      <c r="Q331" s="136">
        <v>78</v>
      </c>
      <c r="R331" s="136"/>
      <c r="S331" s="136">
        <v>-173.55</v>
      </c>
      <c r="T331" s="137">
        <v>37</v>
      </c>
      <c r="U331" s="632"/>
      <c r="V331" s="122"/>
      <c r="W331" s="122"/>
      <c r="X331" s="122">
        <v>12</v>
      </c>
      <c r="Y331" s="122">
        <v>25</v>
      </c>
      <c r="Z331" s="122">
        <v>1502</v>
      </c>
      <c r="AA331" s="122">
        <v>383.69504000000001</v>
      </c>
      <c r="AB331" s="122"/>
      <c r="AC331" s="122">
        <v>1021.583</v>
      </c>
      <c r="AD331" s="122"/>
      <c r="AE331" s="122"/>
      <c r="AF331" s="122"/>
      <c r="AG331" s="122"/>
      <c r="AH331" s="122">
        <v>0.5</v>
      </c>
      <c r="AI331" s="122"/>
      <c r="AJ331" s="122"/>
      <c r="AK331" s="122"/>
      <c r="AL331" s="122"/>
      <c r="AM331" s="639">
        <f t="shared" si="6"/>
        <v>3627.2580400000002</v>
      </c>
      <c r="AO331" s="289"/>
    </row>
    <row r="332" spans="1:42" s="61" customFormat="1" ht="19.5" customHeight="1" x14ac:dyDescent="0.3">
      <c r="A332" s="706"/>
      <c r="B332" s="116" t="s">
        <v>294</v>
      </c>
      <c r="C332" s="138"/>
      <c r="D332" s="109"/>
      <c r="E332" s="109"/>
      <c r="F332" s="263">
        <v>510.661</v>
      </c>
      <c r="G332" s="109">
        <v>70</v>
      </c>
      <c r="H332" s="109"/>
      <c r="I332" s="123"/>
      <c r="J332" s="109"/>
      <c r="K332" s="109"/>
      <c r="L332" s="263"/>
      <c r="M332" s="109"/>
      <c r="N332" s="123">
        <v>488.17899999999997</v>
      </c>
      <c r="O332" s="109"/>
      <c r="P332" s="109"/>
      <c r="Q332" s="109">
        <v>65</v>
      </c>
      <c r="R332" s="109"/>
      <c r="S332" s="109">
        <v>-378.072</v>
      </c>
      <c r="T332" s="139">
        <v>23.37</v>
      </c>
      <c r="U332" s="138">
        <v>10.622999999999999</v>
      </c>
      <c r="V332" s="109"/>
      <c r="W332" s="109"/>
      <c r="X332" s="109"/>
      <c r="Y332" s="109">
        <v>22.523</v>
      </c>
      <c r="Z332" s="109">
        <v>1117</v>
      </c>
      <c r="AA332" s="109">
        <v>250.17142999999999</v>
      </c>
      <c r="AB332" s="109"/>
      <c r="AC332" s="109"/>
      <c r="AD332" s="109"/>
      <c r="AE332" s="109"/>
      <c r="AF332" s="109"/>
      <c r="AG332" s="109"/>
      <c r="AH332" s="109"/>
      <c r="AI332" s="109"/>
      <c r="AJ332" s="109"/>
      <c r="AK332" s="109"/>
      <c r="AL332" s="109"/>
      <c r="AM332" s="640">
        <f t="shared" si="6"/>
        <v>2179.45543</v>
      </c>
      <c r="AO332" s="289"/>
    </row>
    <row r="333" spans="1:42" s="61" customFormat="1" ht="22.5" customHeight="1" x14ac:dyDescent="0.3">
      <c r="A333" s="706"/>
      <c r="B333" s="117" t="s">
        <v>326</v>
      </c>
      <c r="C333" s="140">
        <v>601.03300000000002</v>
      </c>
      <c r="D333" s="110"/>
      <c r="E333" s="110"/>
      <c r="F333" s="264">
        <v>927</v>
      </c>
      <c r="G333" s="110">
        <v>247</v>
      </c>
      <c r="H333" s="110">
        <v>71</v>
      </c>
      <c r="I333" s="124"/>
      <c r="J333" s="110"/>
      <c r="K333" s="110"/>
      <c r="L333" s="264"/>
      <c r="M333" s="110"/>
      <c r="N333" s="124">
        <v>4054.259</v>
      </c>
      <c r="O333" s="110"/>
      <c r="P333" s="110">
        <v>307</v>
      </c>
      <c r="Q333" s="110">
        <v>-1</v>
      </c>
      <c r="R333" s="110"/>
      <c r="S333" s="110">
        <v>81771</v>
      </c>
      <c r="T333" s="141"/>
      <c r="U333" s="140">
        <v>3.2330000000000001</v>
      </c>
      <c r="V333" s="110"/>
      <c r="W333" s="110">
        <v>595</v>
      </c>
      <c r="X333" s="110"/>
      <c r="Y333" s="110">
        <v>25</v>
      </c>
      <c r="Z333" s="110">
        <v>1523</v>
      </c>
      <c r="AA333" s="110">
        <f>190.55679</f>
        <v>190.55679000000001</v>
      </c>
      <c r="AB333" s="110"/>
      <c r="AC333" s="110">
        <v>267.10199999999998</v>
      </c>
      <c r="AD333" s="110">
        <v>3</v>
      </c>
      <c r="AE333" s="110"/>
      <c r="AF333" s="110"/>
      <c r="AG333" s="110"/>
      <c r="AH333" s="110"/>
      <c r="AI333" s="110"/>
      <c r="AJ333" s="110"/>
      <c r="AK333" s="110"/>
      <c r="AL333" s="110"/>
      <c r="AM333" s="641">
        <f t="shared" si="6"/>
        <v>90584.183789999995</v>
      </c>
      <c r="AO333" s="289"/>
      <c r="AP333" s="97"/>
    </row>
    <row r="334" spans="1:42" s="61" customFormat="1" ht="25.5" customHeight="1" x14ac:dyDescent="0.3">
      <c r="A334" s="706"/>
      <c r="B334" s="175" t="s">
        <v>327</v>
      </c>
      <c r="C334" s="176">
        <v>724.12900000000002</v>
      </c>
      <c r="D334" s="127"/>
      <c r="E334" s="127"/>
      <c r="F334" s="265">
        <v>3190</v>
      </c>
      <c r="G334" s="127">
        <v>104</v>
      </c>
      <c r="H334" s="127">
        <v>2</v>
      </c>
      <c r="I334" s="178"/>
      <c r="J334" s="127"/>
      <c r="K334" s="127"/>
      <c r="L334" s="265"/>
      <c r="M334" s="127"/>
      <c r="N334" s="178">
        <v>1228.854</v>
      </c>
      <c r="O334" s="127"/>
      <c r="P334" s="127">
        <v>889</v>
      </c>
      <c r="Q334" s="127">
        <v>402</v>
      </c>
      <c r="R334" s="127"/>
      <c r="S334" s="127">
        <v>69498</v>
      </c>
      <c r="T334" s="177"/>
      <c r="U334" s="176">
        <v>11.58</v>
      </c>
      <c r="V334" s="127"/>
      <c r="W334" s="127">
        <v>86</v>
      </c>
      <c r="X334" s="127">
        <v>26</v>
      </c>
      <c r="Y334" s="127">
        <v>25</v>
      </c>
      <c r="Z334" s="127">
        <v>3314</v>
      </c>
      <c r="AA334" s="127">
        <f>-64.49993</f>
        <v>-64.499930000000006</v>
      </c>
      <c r="AB334" s="127"/>
      <c r="AC334" s="127">
        <v>430.15699999999998</v>
      </c>
      <c r="AD334" s="127">
        <v>6</v>
      </c>
      <c r="AE334" s="127"/>
      <c r="AF334" s="127"/>
      <c r="AG334" s="127"/>
      <c r="AH334" s="127">
        <v>3126.47</v>
      </c>
      <c r="AI334" s="127"/>
      <c r="AJ334" s="127"/>
      <c r="AK334" s="127"/>
      <c r="AL334" s="127"/>
      <c r="AM334" s="642">
        <f t="shared" si="6"/>
        <v>82998.690070000011</v>
      </c>
      <c r="AO334" s="289"/>
    </row>
    <row r="335" spans="1:42" s="61" customFormat="1" ht="25.5" customHeight="1" x14ac:dyDescent="0.3">
      <c r="A335" s="706"/>
      <c r="B335" s="180" t="s">
        <v>361</v>
      </c>
      <c r="C335" s="300">
        <v>576.27009999999996</v>
      </c>
      <c r="D335" s="173"/>
      <c r="E335" s="173"/>
      <c r="F335" s="266">
        <v>2223</v>
      </c>
      <c r="G335" s="173">
        <f>104+10</f>
        <v>114</v>
      </c>
      <c r="H335" s="173">
        <v>43</v>
      </c>
      <c r="I335" s="174"/>
      <c r="J335" s="173"/>
      <c r="K335" s="173"/>
      <c r="L335" s="266"/>
      <c r="M335" s="173"/>
      <c r="N335" s="174">
        <v>4169.1639999999998</v>
      </c>
      <c r="O335" s="173"/>
      <c r="P335" s="173"/>
      <c r="Q335" s="173">
        <v>179</v>
      </c>
      <c r="R335" s="173"/>
      <c r="S335" s="173">
        <v>85329</v>
      </c>
      <c r="T335" s="327"/>
      <c r="U335" s="300">
        <v>31.75</v>
      </c>
      <c r="V335" s="173"/>
      <c r="W335" s="173">
        <f>924+171</f>
        <v>1095</v>
      </c>
      <c r="X335" s="173">
        <v>12</v>
      </c>
      <c r="Y335" s="173">
        <v>28</v>
      </c>
      <c r="Z335" s="173">
        <v>3114.27945</v>
      </c>
      <c r="AA335" s="173">
        <v>62</v>
      </c>
      <c r="AB335" s="173"/>
      <c r="AC335" s="173">
        <f>89+6031+77+49+1</f>
        <v>6247</v>
      </c>
      <c r="AD335" s="173">
        <v>4</v>
      </c>
      <c r="AE335" s="173"/>
      <c r="AF335" s="173"/>
      <c r="AG335" s="173"/>
      <c r="AH335" s="173">
        <v>2136</v>
      </c>
      <c r="AI335" s="173"/>
      <c r="AJ335" s="173"/>
      <c r="AK335" s="173"/>
      <c r="AL335" s="173"/>
      <c r="AM335" s="643">
        <f t="shared" si="6"/>
        <v>105363.46355</v>
      </c>
      <c r="AO335" s="289"/>
      <c r="AP335" s="97"/>
    </row>
    <row r="336" spans="1:42" s="61" customFormat="1" ht="25.5" customHeight="1" x14ac:dyDescent="0.3">
      <c r="A336" s="706"/>
      <c r="B336" s="180" t="s">
        <v>362</v>
      </c>
      <c r="C336" s="300">
        <v>1007.59812</v>
      </c>
      <c r="D336" s="173"/>
      <c r="E336" s="173"/>
      <c r="F336" s="266">
        <v>4426</v>
      </c>
      <c r="G336" s="173">
        <f>106+116</f>
        <v>222</v>
      </c>
      <c r="H336" s="173">
        <v>77</v>
      </c>
      <c r="I336" s="174"/>
      <c r="J336" s="173"/>
      <c r="K336" s="173"/>
      <c r="L336" s="266">
        <v>1086</v>
      </c>
      <c r="M336" s="173"/>
      <c r="N336" s="174">
        <v>72105.663</v>
      </c>
      <c r="O336" s="173"/>
      <c r="P336" s="173">
        <v>500</v>
      </c>
      <c r="Q336" s="173">
        <v>675</v>
      </c>
      <c r="R336" s="173"/>
      <c r="S336" s="173">
        <v>160499</v>
      </c>
      <c r="T336" s="327"/>
      <c r="U336" s="300">
        <v>28.306999999999999</v>
      </c>
      <c r="V336" s="173"/>
      <c r="W336" s="173">
        <f>452+668</f>
        <v>1120</v>
      </c>
      <c r="X336" s="173">
        <v>12</v>
      </c>
      <c r="Y336" s="173">
        <v>525</v>
      </c>
      <c r="Z336" s="173">
        <v>3194.85862</v>
      </c>
      <c r="AA336" s="173">
        <v>71</v>
      </c>
      <c r="AB336" s="173">
        <v>10</v>
      </c>
      <c r="AC336" s="173">
        <f>169-89+17776-6031+396</f>
        <v>12221</v>
      </c>
      <c r="AD336" s="173">
        <v>2</v>
      </c>
      <c r="AE336" s="173"/>
      <c r="AF336" s="173"/>
      <c r="AG336" s="173"/>
      <c r="AH336" s="173">
        <v>4789</v>
      </c>
      <c r="AI336" s="173"/>
      <c r="AJ336" s="173"/>
      <c r="AK336" s="173"/>
      <c r="AL336" s="173"/>
      <c r="AM336" s="644">
        <f t="shared" si="6"/>
        <v>262571.42674000002</v>
      </c>
      <c r="AO336" s="289"/>
      <c r="AP336" s="97"/>
    </row>
    <row r="337" spans="1:42" s="61" customFormat="1" ht="22.5" customHeight="1" x14ac:dyDescent="0.3">
      <c r="A337" s="706"/>
      <c r="B337" s="115" t="s">
        <v>402</v>
      </c>
      <c r="C337" s="142">
        <v>751.67425000000003</v>
      </c>
      <c r="D337" s="111"/>
      <c r="E337" s="111"/>
      <c r="F337" s="267">
        <v>3515</v>
      </c>
      <c r="G337" s="111"/>
      <c r="H337" s="111">
        <v>50</v>
      </c>
      <c r="I337" s="125"/>
      <c r="J337" s="111"/>
      <c r="K337" s="111"/>
      <c r="L337" s="267">
        <v>2256</v>
      </c>
      <c r="M337" s="111"/>
      <c r="N337" s="125"/>
      <c r="O337" s="111"/>
      <c r="P337" s="111">
        <v>0</v>
      </c>
      <c r="Q337" s="111">
        <v>1715</v>
      </c>
      <c r="R337" s="111"/>
      <c r="S337" s="111">
        <v>54624.32317500002</v>
      </c>
      <c r="T337" s="143">
        <v>20</v>
      </c>
      <c r="U337" s="142">
        <v>15.771000000000001</v>
      </c>
      <c r="V337" s="111"/>
      <c r="W337" s="111">
        <f>2728</f>
        <v>2728</v>
      </c>
      <c r="X337" s="111">
        <v>12</v>
      </c>
      <c r="Y337" s="111">
        <v>25</v>
      </c>
      <c r="Z337" s="111">
        <v>2810</v>
      </c>
      <c r="AA337" s="111">
        <v>196</v>
      </c>
      <c r="AB337" s="111"/>
      <c r="AC337" s="111">
        <v>63786</v>
      </c>
      <c r="AD337" s="111">
        <v>2</v>
      </c>
      <c r="AE337" s="111"/>
      <c r="AF337" s="111"/>
      <c r="AG337" s="111"/>
      <c r="AH337" s="111">
        <v>11143.605</v>
      </c>
      <c r="AI337" s="111"/>
      <c r="AJ337" s="111"/>
      <c r="AK337" s="111"/>
      <c r="AL337" s="111"/>
      <c r="AM337" s="645">
        <f t="shared" si="6"/>
        <v>143650.37342500003</v>
      </c>
      <c r="AO337" s="289"/>
    </row>
    <row r="338" spans="1:42" s="61" customFormat="1" ht="21" customHeight="1" x14ac:dyDescent="0.3">
      <c r="A338" s="707"/>
      <c r="B338" s="181" t="s">
        <v>403</v>
      </c>
      <c r="C338" s="144">
        <v>476.40652</v>
      </c>
      <c r="D338" s="112"/>
      <c r="E338" s="112"/>
      <c r="F338" s="268">
        <v>5306.4</v>
      </c>
      <c r="G338" s="112">
        <v>244</v>
      </c>
      <c r="H338" s="112">
        <v>72.283150000000006</v>
      </c>
      <c r="I338" s="126"/>
      <c r="J338" s="112"/>
      <c r="K338" s="112"/>
      <c r="L338" s="268">
        <v>212.8</v>
      </c>
      <c r="M338" s="112"/>
      <c r="N338" s="126"/>
      <c r="O338" s="112"/>
      <c r="P338" s="112">
        <v>193</v>
      </c>
      <c r="Q338" s="112">
        <v>3522</v>
      </c>
      <c r="R338" s="112"/>
      <c r="S338" s="112">
        <v>31534.674932000002</v>
      </c>
      <c r="T338" s="145">
        <v>0</v>
      </c>
      <c r="U338" s="144">
        <v>19.393999999999998</v>
      </c>
      <c r="V338" s="112"/>
      <c r="W338" s="112">
        <f>8283-2728</f>
        <v>5555</v>
      </c>
      <c r="X338" s="112">
        <v>159</v>
      </c>
      <c r="Y338" s="112"/>
      <c r="Z338" s="112">
        <v>2663</v>
      </c>
      <c r="AA338" s="112">
        <v>90</v>
      </c>
      <c r="AB338" s="112"/>
      <c r="AC338" s="112">
        <v>41953</v>
      </c>
      <c r="AD338" s="112">
        <v>11</v>
      </c>
      <c r="AE338" s="112"/>
      <c r="AF338" s="112"/>
      <c r="AG338" s="112"/>
      <c r="AH338" s="112">
        <v>5871.9639999999999</v>
      </c>
      <c r="AI338" s="112"/>
      <c r="AJ338" s="112"/>
      <c r="AK338" s="112"/>
      <c r="AL338" s="112"/>
      <c r="AM338" s="646">
        <f t="shared" si="6"/>
        <v>97883.922602000006</v>
      </c>
      <c r="AO338" s="289"/>
    </row>
    <row r="339" spans="1:42" s="61" customFormat="1" ht="21" customHeight="1" x14ac:dyDescent="0.3">
      <c r="A339" s="705" t="s">
        <v>139</v>
      </c>
      <c r="B339" s="179" t="s">
        <v>293</v>
      </c>
      <c r="C339" s="135"/>
      <c r="D339" s="136"/>
      <c r="E339" s="136"/>
      <c r="F339" s="262"/>
      <c r="G339" s="136"/>
      <c r="H339" s="136"/>
      <c r="I339" s="326"/>
      <c r="J339" s="136"/>
      <c r="K339" s="136"/>
      <c r="L339" s="262"/>
      <c r="M339" s="136"/>
      <c r="N339" s="326"/>
      <c r="O339" s="136"/>
      <c r="P339" s="136"/>
      <c r="Q339" s="136"/>
      <c r="R339" s="136"/>
      <c r="S339" s="136"/>
      <c r="T339" s="137"/>
      <c r="U339" s="632"/>
      <c r="V339" s="122"/>
      <c r="W339" s="122"/>
      <c r="X339" s="122"/>
      <c r="Y339" s="122"/>
      <c r="Z339" s="122"/>
      <c r="AA339" s="122"/>
      <c r="AB339" s="122"/>
      <c r="AC339" s="122"/>
      <c r="AD339" s="122"/>
      <c r="AE339" s="122"/>
      <c r="AF339" s="122"/>
      <c r="AG339" s="122"/>
      <c r="AH339" s="122"/>
      <c r="AI339" s="122"/>
      <c r="AJ339" s="122"/>
      <c r="AK339" s="122"/>
      <c r="AL339" s="122"/>
      <c r="AM339" s="639">
        <f t="shared" si="6"/>
        <v>0</v>
      </c>
      <c r="AO339" s="289"/>
    </row>
    <row r="340" spans="1:42" s="61" customFormat="1" ht="19.5" customHeight="1" x14ac:dyDescent="0.3">
      <c r="A340" s="706"/>
      <c r="B340" s="116" t="s">
        <v>294</v>
      </c>
      <c r="C340" s="138"/>
      <c r="D340" s="109"/>
      <c r="E340" s="109"/>
      <c r="F340" s="263"/>
      <c r="G340" s="109"/>
      <c r="H340" s="109"/>
      <c r="I340" s="123"/>
      <c r="J340" s="109"/>
      <c r="K340" s="109"/>
      <c r="L340" s="263"/>
      <c r="M340" s="109"/>
      <c r="N340" s="123"/>
      <c r="O340" s="109"/>
      <c r="P340" s="109"/>
      <c r="Q340" s="109"/>
      <c r="R340" s="109"/>
      <c r="S340" s="109"/>
      <c r="T340" s="139"/>
      <c r="U340" s="138"/>
      <c r="V340" s="109"/>
      <c r="W340" s="109"/>
      <c r="X340" s="109"/>
      <c r="Y340" s="109"/>
      <c r="Z340" s="109"/>
      <c r="AA340" s="109"/>
      <c r="AB340" s="109"/>
      <c r="AC340" s="109"/>
      <c r="AD340" s="109"/>
      <c r="AE340" s="109"/>
      <c r="AF340" s="109"/>
      <c r="AG340" s="109">
        <v>0.25</v>
      </c>
      <c r="AH340" s="109"/>
      <c r="AI340" s="109"/>
      <c r="AJ340" s="109"/>
      <c r="AK340" s="109"/>
      <c r="AL340" s="109"/>
      <c r="AM340" s="640">
        <f t="shared" si="6"/>
        <v>0.25</v>
      </c>
      <c r="AO340" s="289"/>
    </row>
    <row r="341" spans="1:42" s="61" customFormat="1" ht="22.5" customHeight="1" x14ac:dyDescent="0.3">
      <c r="A341" s="706"/>
      <c r="B341" s="117" t="s">
        <v>326</v>
      </c>
      <c r="C341" s="140"/>
      <c r="D341" s="110"/>
      <c r="E341" s="110"/>
      <c r="F341" s="264"/>
      <c r="G341" s="110"/>
      <c r="H341" s="110"/>
      <c r="I341" s="124"/>
      <c r="J341" s="110"/>
      <c r="K341" s="110"/>
      <c r="L341" s="264"/>
      <c r="M341" s="110"/>
      <c r="N341" s="124"/>
      <c r="O341" s="110"/>
      <c r="P341" s="110"/>
      <c r="Q341" s="110"/>
      <c r="R341" s="110"/>
      <c r="S341" s="110"/>
      <c r="T341" s="141"/>
      <c r="U341" s="140"/>
      <c r="V341" s="110"/>
      <c r="W341" s="110"/>
      <c r="X341" s="110"/>
      <c r="Y341" s="110"/>
      <c r="Z341" s="110"/>
      <c r="AA341" s="110"/>
      <c r="AB341" s="110"/>
      <c r="AC341" s="110"/>
      <c r="AD341" s="110"/>
      <c r="AE341" s="110"/>
      <c r="AF341" s="110"/>
      <c r="AG341" s="110"/>
      <c r="AH341" s="110"/>
      <c r="AI341" s="110"/>
      <c r="AJ341" s="110"/>
      <c r="AK341" s="110"/>
      <c r="AL341" s="110"/>
      <c r="AM341" s="641">
        <f t="shared" si="6"/>
        <v>0</v>
      </c>
      <c r="AO341" s="289"/>
      <c r="AP341" s="97"/>
    </row>
    <row r="342" spans="1:42" s="61" customFormat="1" ht="25.5" customHeight="1" x14ac:dyDescent="0.3">
      <c r="A342" s="706"/>
      <c r="B342" s="175" t="s">
        <v>327</v>
      </c>
      <c r="C342" s="176"/>
      <c r="D342" s="127"/>
      <c r="E342" s="127"/>
      <c r="F342" s="265"/>
      <c r="G342" s="127"/>
      <c r="H342" s="127"/>
      <c r="I342" s="178"/>
      <c r="J342" s="127"/>
      <c r="K342" s="127"/>
      <c r="L342" s="265"/>
      <c r="M342" s="127"/>
      <c r="N342" s="178"/>
      <c r="O342" s="127"/>
      <c r="P342" s="127"/>
      <c r="Q342" s="127"/>
      <c r="R342" s="127"/>
      <c r="S342" s="127">
        <v>6</v>
      </c>
      <c r="T342" s="177"/>
      <c r="U342" s="176"/>
      <c r="V342" s="127"/>
      <c r="W342" s="127"/>
      <c r="X342" s="127"/>
      <c r="Y342" s="127"/>
      <c r="Z342" s="127"/>
      <c r="AA342" s="127"/>
      <c r="AB342" s="127"/>
      <c r="AC342" s="127"/>
      <c r="AD342" s="127"/>
      <c r="AE342" s="127"/>
      <c r="AF342" s="127"/>
      <c r="AG342" s="127"/>
      <c r="AH342" s="127"/>
      <c r="AI342" s="127"/>
      <c r="AJ342" s="127"/>
      <c r="AK342" s="127"/>
      <c r="AL342" s="127"/>
      <c r="AM342" s="642">
        <f t="shared" si="6"/>
        <v>6</v>
      </c>
      <c r="AO342" s="289"/>
    </row>
    <row r="343" spans="1:42" s="61" customFormat="1" ht="25.5" customHeight="1" x14ac:dyDescent="0.3">
      <c r="A343" s="706"/>
      <c r="B343" s="180" t="s">
        <v>361</v>
      </c>
      <c r="C343" s="300"/>
      <c r="D343" s="173"/>
      <c r="E343" s="173"/>
      <c r="F343" s="266"/>
      <c r="G343" s="173"/>
      <c r="H343" s="173"/>
      <c r="I343" s="174"/>
      <c r="J343" s="173"/>
      <c r="K343" s="173"/>
      <c r="L343" s="266"/>
      <c r="M343" s="173"/>
      <c r="N343" s="174"/>
      <c r="O343" s="173"/>
      <c r="P343" s="173"/>
      <c r="Q343" s="173"/>
      <c r="R343" s="173"/>
      <c r="S343" s="173">
        <v>5</v>
      </c>
      <c r="T343" s="327"/>
      <c r="U343" s="300"/>
      <c r="V343" s="173"/>
      <c r="W343" s="173"/>
      <c r="X343" s="173"/>
      <c r="Y343" s="173"/>
      <c r="Z343" s="173"/>
      <c r="AA343" s="173"/>
      <c r="AB343" s="173"/>
      <c r="AC343" s="173"/>
      <c r="AD343" s="173"/>
      <c r="AE343" s="173"/>
      <c r="AF343" s="173"/>
      <c r="AG343" s="173"/>
      <c r="AH343" s="173"/>
      <c r="AI343" s="173"/>
      <c r="AJ343" s="173"/>
      <c r="AK343" s="173"/>
      <c r="AL343" s="173"/>
      <c r="AM343" s="643">
        <f t="shared" si="6"/>
        <v>5</v>
      </c>
      <c r="AO343" s="289"/>
      <c r="AP343" s="97"/>
    </row>
    <row r="344" spans="1:42" s="61" customFormat="1" ht="25.5" customHeight="1" x14ac:dyDescent="0.3">
      <c r="A344" s="706"/>
      <c r="B344" s="180" t="s">
        <v>362</v>
      </c>
      <c r="C344" s="300"/>
      <c r="D344" s="173"/>
      <c r="E344" s="173"/>
      <c r="F344" s="266"/>
      <c r="G344" s="173"/>
      <c r="H344" s="173"/>
      <c r="I344" s="174"/>
      <c r="J344" s="173"/>
      <c r="K344" s="173"/>
      <c r="L344" s="266"/>
      <c r="M344" s="173"/>
      <c r="N344" s="174"/>
      <c r="O344" s="173"/>
      <c r="P344" s="173"/>
      <c r="Q344" s="173"/>
      <c r="R344" s="173"/>
      <c r="S344" s="173">
        <v>2</v>
      </c>
      <c r="T344" s="327"/>
      <c r="U344" s="300">
        <v>0.14699999999999999</v>
      </c>
      <c r="V344" s="173"/>
      <c r="W344" s="173"/>
      <c r="X344" s="173"/>
      <c r="Y344" s="173"/>
      <c r="Z344" s="173"/>
      <c r="AA344" s="173"/>
      <c r="AB344" s="173"/>
      <c r="AC344" s="173"/>
      <c r="AD344" s="173"/>
      <c r="AE344" s="173"/>
      <c r="AF344" s="173"/>
      <c r="AG344" s="173"/>
      <c r="AH344" s="173"/>
      <c r="AI344" s="173"/>
      <c r="AJ344" s="173"/>
      <c r="AK344" s="173"/>
      <c r="AL344" s="173"/>
      <c r="AM344" s="644">
        <f t="shared" si="6"/>
        <v>2.1469999999999998</v>
      </c>
      <c r="AO344" s="289"/>
      <c r="AP344" s="97"/>
    </row>
    <row r="345" spans="1:42" s="61" customFormat="1" ht="22.5" customHeight="1" x14ac:dyDescent="0.3">
      <c r="A345" s="706"/>
      <c r="B345" s="115" t="s">
        <v>402</v>
      </c>
      <c r="C345" s="142"/>
      <c r="D345" s="111"/>
      <c r="E345" s="111"/>
      <c r="F345" s="267"/>
      <c r="G345" s="111"/>
      <c r="H345" s="111"/>
      <c r="I345" s="125"/>
      <c r="J345" s="111"/>
      <c r="K345" s="111"/>
      <c r="L345" s="267">
        <v>0</v>
      </c>
      <c r="M345" s="111"/>
      <c r="N345" s="125"/>
      <c r="O345" s="111"/>
      <c r="P345" s="111"/>
      <c r="Q345" s="111"/>
      <c r="R345" s="111"/>
      <c r="S345" s="111"/>
      <c r="T345" s="143"/>
      <c r="U345" s="142"/>
      <c r="V345" s="111"/>
      <c r="W345" s="111"/>
      <c r="X345" s="111"/>
      <c r="Y345" s="111"/>
      <c r="Z345" s="111"/>
      <c r="AA345" s="111"/>
      <c r="AB345" s="111"/>
      <c r="AC345" s="111"/>
      <c r="AD345" s="111"/>
      <c r="AE345" s="111"/>
      <c r="AF345" s="111"/>
      <c r="AG345" s="111"/>
      <c r="AH345" s="111" t="s">
        <v>482</v>
      </c>
      <c r="AI345" s="111"/>
      <c r="AJ345" s="111"/>
      <c r="AK345" s="111"/>
      <c r="AL345" s="111"/>
      <c r="AM345" s="645">
        <f t="shared" si="6"/>
        <v>0</v>
      </c>
      <c r="AO345" s="289"/>
    </row>
    <row r="346" spans="1:42" s="61" customFormat="1" ht="21" customHeight="1" x14ac:dyDescent="0.3">
      <c r="A346" s="707"/>
      <c r="B346" s="181" t="s">
        <v>403</v>
      </c>
      <c r="C346" s="144"/>
      <c r="D346" s="112"/>
      <c r="E346" s="112"/>
      <c r="F346" s="268"/>
      <c r="G346" s="112"/>
      <c r="H346" s="112">
        <v>11.568</v>
      </c>
      <c r="I346" s="126"/>
      <c r="J346" s="112"/>
      <c r="K346" s="112"/>
      <c r="L346" s="268"/>
      <c r="M346" s="112"/>
      <c r="N346" s="126"/>
      <c r="O346" s="112"/>
      <c r="P346" s="112"/>
      <c r="Q346" s="112"/>
      <c r="R346" s="112"/>
      <c r="S346" s="112">
        <v>602.42331000000001</v>
      </c>
      <c r="T346" s="145"/>
      <c r="U346" s="144"/>
      <c r="V346" s="112"/>
      <c r="W346" s="112"/>
      <c r="X346" s="112"/>
      <c r="Y346" s="112"/>
      <c r="Z346" s="112"/>
      <c r="AA346" s="112"/>
      <c r="AB346" s="112"/>
      <c r="AC346" s="112"/>
      <c r="AD346" s="112"/>
      <c r="AE346" s="112"/>
      <c r="AF346" s="112"/>
      <c r="AG346" s="112"/>
      <c r="AH346" s="112" t="s">
        <v>482</v>
      </c>
      <c r="AI346" s="112"/>
      <c r="AJ346" s="112"/>
      <c r="AK346" s="112"/>
      <c r="AL346" s="112"/>
      <c r="AM346" s="646">
        <f t="shared" si="6"/>
        <v>613.99131</v>
      </c>
      <c r="AO346" s="289"/>
    </row>
    <row r="347" spans="1:42" s="61" customFormat="1" ht="21" customHeight="1" x14ac:dyDescent="0.3">
      <c r="A347" s="705" t="s">
        <v>140</v>
      </c>
      <c r="B347" s="179" t="s">
        <v>293</v>
      </c>
      <c r="C347" s="135"/>
      <c r="D347" s="136"/>
      <c r="E347" s="136"/>
      <c r="F347" s="262">
        <v>737.03300000000002</v>
      </c>
      <c r="G347" s="136"/>
      <c r="H347" s="136"/>
      <c r="I347" s="326"/>
      <c r="J347" s="136"/>
      <c r="K347" s="136"/>
      <c r="L347" s="262"/>
      <c r="M347" s="136"/>
      <c r="N347" s="326"/>
      <c r="O347" s="136"/>
      <c r="P347" s="136"/>
      <c r="Q347" s="136"/>
      <c r="R347" s="136"/>
      <c r="S347" s="136"/>
      <c r="T347" s="137"/>
      <c r="U347" s="632"/>
      <c r="V347" s="122"/>
      <c r="W347" s="122"/>
      <c r="X347" s="122"/>
      <c r="Y347" s="122"/>
      <c r="Z347" s="122"/>
      <c r="AA347" s="122"/>
      <c r="AB347" s="122"/>
      <c r="AC347" s="122"/>
      <c r="AD347" s="122"/>
      <c r="AE347" s="122"/>
      <c r="AF347" s="122"/>
      <c r="AG347" s="122"/>
      <c r="AH347" s="122"/>
      <c r="AI347" s="122"/>
      <c r="AJ347" s="122"/>
      <c r="AK347" s="122"/>
      <c r="AL347" s="122"/>
      <c r="AM347" s="639">
        <f t="shared" si="6"/>
        <v>737.03300000000002</v>
      </c>
      <c r="AO347" s="289"/>
    </row>
    <row r="348" spans="1:42" s="61" customFormat="1" ht="19.5" customHeight="1" x14ac:dyDescent="0.3">
      <c r="A348" s="715"/>
      <c r="B348" s="116" t="s">
        <v>294</v>
      </c>
      <c r="C348" s="138"/>
      <c r="D348" s="109"/>
      <c r="E348" s="109"/>
      <c r="F348" s="263"/>
      <c r="G348" s="109"/>
      <c r="H348" s="109"/>
      <c r="I348" s="123"/>
      <c r="J348" s="109"/>
      <c r="K348" s="109"/>
      <c r="L348" s="263"/>
      <c r="M348" s="109"/>
      <c r="N348" s="123"/>
      <c r="O348" s="109"/>
      <c r="P348" s="109"/>
      <c r="Q348" s="109"/>
      <c r="R348" s="109"/>
      <c r="S348" s="109"/>
      <c r="T348" s="139"/>
      <c r="U348" s="138"/>
      <c r="V348" s="109"/>
      <c r="W348" s="109"/>
      <c r="X348" s="109"/>
      <c r="Y348" s="109"/>
      <c r="Z348" s="109"/>
      <c r="AA348" s="109"/>
      <c r="AB348" s="109"/>
      <c r="AC348" s="109"/>
      <c r="AD348" s="109"/>
      <c r="AE348" s="109"/>
      <c r="AF348" s="109"/>
      <c r="AG348" s="109"/>
      <c r="AH348" s="109"/>
      <c r="AI348" s="109"/>
      <c r="AJ348" s="109"/>
      <c r="AK348" s="109"/>
      <c r="AL348" s="109"/>
      <c r="AM348" s="640">
        <f t="shared" si="6"/>
        <v>0</v>
      </c>
      <c r="AO348" s="289"/>
    </row>
    <row r="349" spans="1:42" s="61" customFormat="1" ht="22.5" customHeight="1" x14ac:dyDescent="0.3">
      <c r="A349" s="715"/>
      <c r="B349" s="117" t="s">
        <v>326</v>
      </c>
      <c r="C349" s="140"/>
      <c r="D349" s="110"/>
      <c r="E349" s="110"/>
      <c r="F349" s="264">
        <v>418</v>
      </c>
      <c r="G349" s="110"/>
      <c r="H349" s="110"/>
      <c r="I349" s="124"/>
      <c r="J349" s="110"/>
      <c r="K349" s="110"/>
      <c r="L349" s="264"/>
      <c r="M349" s="110"/>
      <c r="N349" s="124"/>
      <c r="O349" s="110"/>
      <c r="P349" s="110"/>
      <c r="Q349" s="110"/>
      <c r="R349" s="110"/>
      <c r="S349" s="110">
        <v>800</v>
      </c>
      <c r="T349" s="141"/>
      <c r="U349" s="140">
        <v>2.0059999999999998</v>
      </c>
      <c r="V349" s="110"/>
      <c r="W349" s="110"/>
      <c r="X349" s="110"/>
      <c r="Y349" s="110"/>
      <c r="Z349" s="110"/>
      <c r="AA349" s="110"/>
      <c r="AB349" s="110"/>
      <c r="AC349" s="110"/>
      <c r="AD349" s="110"/>
      <c r="AE349" s="110"/>
      <c r="AF349" s="110"/>
      <c r="AG349" s="110"/>
      <c r="AH349" s="110"/>
      <c r="AI349" s="110"/>
      <c r="AJ349" s="110"/>
      <c r="AK349" s="110"/>
      <c r="AL349" s="110"/>
      <c r="AM349" s="641">
        <f t="shared" si="6"/>
        <v>1220.0060000000001</v>
      </c>
      <c r="AO349" s="289"/>
      <c r="AP349" s="97"/>
    </row>
    <row r="350" spans="1:42" s="61" customFormat="1" ht="25.5" customHeight="1" x14ac:dyDescent="0.3">
      <c r="A350" s="715"/>
      <c r="B350" s="175" t="s">
        <v>327</v>
      </c>
      <c r="C350" s="176">
        <v>214.70699999999999</v>
      </c>
      <c r="D350" s="127"/>
      <c r="E350" s="127"/>
      <c r="F350" s="265"/>
      <c r="G350" s="127"/>
      <c r="H350" s="127"/>
      <c r="I350" s="178"/>
      <c r="J350" s="127"/>
      <c r="K350" s="127"/>
      <c r="L350" s="265"/>
      <c r="M350" s="127"/>
      <c r="N350" s="178"/>
      <c r="O350" s="127"/>
      <c r="P350" s="127"/>
      <c r="Q350" s="127"/>
      <c r="R350" s="127"/>
      <c r="S350" s="127">
        <v>3256</v>
      </c>
      <c r="T350" s="177"/>
      <c r="U350" s="176"/>
      <c r="V350" s="127"/>
      <c r="W350" s="127"/>
      <c r="X350" s="127"/>
      <c r="Y350" s="127"/>
      <c r="Z350" s="127"/>
      <c r="AA350" s="127"/>
      <c r="AB350" s="127"/>
      <c r="AC350" s="127"/>
      <c r="AD350" s="127"/>
      <c r="AE350" s="127"/>
      <c r="AF350" s="127"/>
      <c r="AG350" s="127"/>
      <c r="AH350" s="127"/>
      <c r="AI350" s="127"/>
      <c r="AJ350" s="127"/>
      <c r="AK350" s="127"/>
      <c r="AL350" s="127"/>
      <c r="AM350" s="642">
        <f t="shared" si="6"/>
        <v>3470.7069999999999</v>
      </c>
      <c r="AO350" s="289"/>
    </row>
    <row r="351" spans="1:42" s="61" customFormat="1" ht="25.5" customHeight="1" x14ac:dyDescent="0.3">
      <c r="A351" s="715"/>
      <c r="B351" s="180" t="s">
        <v>361</v>
      </c>
      <c r="C351" s="300"/>
      <c r="D351" s="173"/>
      <c r="E351" s="173"/>
      <c r="F351" s="266">
        <v>552</v>
      </c>
      <c r="G351" s="173"/>
      <c r="H351" s="173"/>
      <c r="I351" s="174"/>
      <c r="J351" s="173"/>
      <c r="K351" s="173"/>
      <c r="L351" s="266"/>
      <c r="M351" s="173"/>
      <c r="N351" s="174"/>
      <c r="O351" s="173"/>
      <c r="P351" s="173"/>
      <c r="Q351" s="173"/>
      <c r="R351" s="173"/>
      <c r="S351" s="173">
        <v>2860</v>
      </c>
      <c r="T351" s="327"/>
      <c r="U351" s="300">
        <v>5.62</v>
      </c>
      <c r="V351" s="173"/>
      <c r="W351" s="173"/>
      <c r="X351" s="173"/>
      <c r="Y351" s="173"/>
      <c r="Z351" s="173"/>
      <c r="AA351" s="173"/>
      <c r="AB351" s="173"/>
      <c r="AC351" s="173"/>
      <c r="AD351" s="173"/>
      <c r="AE351" s="173"/>
      <c r="AF351" s="173"/>
      <c r="AG351" s="173"/>
      <c r="AH351" s="173">
        <v>249</v>
      </c>
      <c r="AI351" s="173"/>
      <c r="AJ351" s="173"/>
      <c r="AK351" s="173"/>
      <c r="AL351" s="173"/>
      <c r="AM351" s="643">
        <f t="shared" si="6"/>
        <v>3666.62</v>
      </c>
      <c r="AO351" s="289"/>
      <c r="AP351" s="97"/>
    </row>
    <row r="352" spans="1:42" s="61" customFormat="1" ht="25.5" customHeight="1" x14ac:dyDescent="0.3">
      <c r="A352" s="715"/>
      <c r="B352" s="180" t="s">
        <v>362</v>
      </c>
      <c r="C352" s="300"/>
      <c r="D352" s="173"/>
      <c r="E352" s="173"/>
      <c r="F352" s="266"/>
      <c r="G352" s="173"/>
      <c r="H352" s="173"/>
      <c r="I352" s="174"/>
      <c r="J352" s="173"/>
      <c r="K352" s="173"/>
      <c r="L352" s="266">
        <v>198</v>
      </c>
      <c r="M352" s="173"/>
      <c r="N352" s="174">
        <v>53.963999999999999</v>
      </c>
      <c r="O352" s="173"/>
      <c r="P352" s="173"/>
      <c r="Q352" s="173"/>
      <c r="R352" s="173"/>
      <c r="S352" s="173">
        <v>750</v>
      </c>
      <c r="T352" s="327"/>
      <c r="U352" s="300"/>
      <c r="V352" s="173"/>
      <c r="W352" s="173"/>
      <c r="X352" s="173"/>
      <c r="Y352" s="173"/>
      <c r="Z352" s="173"/>
      <c r="AA352" s="173"/>
      <c r="AB352" s="173"/>
      <c r="AC352" s="173"/>
      <c r="AD352" s="173"/>
      <c r="AE352" s="173"/>
      <c r="AF352" s="173"/>
      <c r="AG352" s="173"/>
      <c r="AH352" s="173"/>
      <c r="AI352" s="173"/>
      <c r="AJ352" s="173"/>
      <c r="AK352" s="173"/>
      <c r="AL352" s="173"/>
      <c r="AM352" s="644">
        <f t="shared" si="6"/>
        <v>1001.9639999999999</v>
      </c>
      <c r="AO352" s="289"/>
      <c r="AP352" s="97"/>
    </row>
    <row r="353" spans="1:42" s="61" customFormat="1" ht="22.5" customHeight="1" x14ac:dyDescent="0.3">
      <c r="A353" s="715"/>
      <c r="B353" s="115" t="s">
        <v>402</v>
      </c>
      <c r="C353" s="142">
        <v>5</v>
      </c>
      <c r="D353" s="111"/>
      <c r="E353" s="111"/>
      <c r="F353" s="267"/>
      <c r="G353" s="111"/>
      <c r="H353" s="111"/>
      <c r="I353" s="125"/>
      <c r="J353" s="111"/>
      <c r="K353" s="111"/>
      <c r="L353" s="267">
        <v>272</v>
      </c>
      <c r="M353" s="111"/>
      <c r="N353" s="125"/>
      <c r="O353" s="111"/>
      <c r="P353" s="111"/>
      <c r="Q353" s="111"/>
      <c r="R353" s="111"/>
      <c r="S353" s="111">
        <v>8593.7169009999998</v>
      </c>
      <c r="T353" s="143"/>
      <c r="U353" s="142">
        <v>3.5619999999999998</v>
      </c>
      <c r="V353" s="111"/>
      <c r="W353" s="111"/>
      <c r="X353" s="111"/>
      <c r="Y353" s="111"/>
      <c r="Z353" s="111"/>
      <c r="AA353" s="111"/>
      <c r="AB353" s="111"/>
      <c r="AC353" s="111"/>
      <c r="AD353" s="111"/>
      <c r="AE353" s="111"/>
      <c r="AF353" s="111"/>
      <c r="AG353" s="111"/>
      <c r="AH353" s="111">
        <v>800</v>
      </c>
      <c r="AI353" s="111">
        <v>82</v>
      </c>
      <c r="AJ353" s="111"/>
      <c r="AK353" s="111"/>
      <c r="AL353" s="111"/>
      <c r="AM353" s="645">
        <f t="shared" si="6"/>
        <v>9756.2789009999997</v>
      </c>
      <c r="AO353" s="289"/>
    </row>
    <row r="354" spans="1:42" s="61" customFormat="1" ht="21" customHeight="1" x14ac:dyDescent="0.3">
      <c r="A354" s="716"/>
      <c r="B354" s="181" t="s">
        <v>403</v>
      </c>
      <c r="C354" s="144">
        <v>2.2562500000000001</v>
      </c>
      <c r="D354" s="112"/>
      <c r="E354" s="112"/>
      <c r="F354" s="268"/>
      <c r="G354" s="112"/>
      <c r="H354" s="112"/>
      <c r="I354" s="126"/>
      <c r="J354" s="112"/>
      <c r="K354" s="112"/>
      <c r="L354" s="268"/>
      <c r="M354" s="112"/>
      <c r="N354" s="126"/>
      <c r="O354" s="112"/>
      <c r="P354" s="112"/>
      <c r="Q354" s="112"/>
      <c r="R354" s="112"/>
      <c r="S354" s="112">
        <v>358.64330000000001</v>
      </c>
      <c r="T354" s="145"/>
      <c r="U354" s="144"/>
      <c r="V354" s="112"/>
      <c r="W354" s="112"/>
      <c r="X354" s="112"/>
      <c r="Y354" s="112"/>
      <c r="Z354" s="112">
        <v>16</v>
      </c>
      <c r="AA354" s="112"/>
      <c r="AB354" s="112"/>
      <c r="AC354" s="112"/>
      <c r="AD354" s="112"/>
      <c r="AE354" s="112"/>
      <c r="AF354" s="112"/>
      <c r="AG354" s="112"/>
      <c r="AH354" s="112">
        <v>329.02699999999999</v>
      </c>
      <c r="AI354" s="112">
        <v>82</v>
      </c>
      <c r="AJ354" s="112"/>
      <c r="AK354" s="112"/>
      <c r="AL354" s="112"/>
      <c r="AM354" s="646">
        <f t="shared" si="6"/>
        <v>787.92655000000002</v>
      </c>
      <c r="AO354" s="289"/>
    </row>
    <row r="355" spans="1:42" s="61" customFormat="1" ht="21" customHeight="1" x14ac:dyDescent="0.3">
      <c r="A355" s="705" t="s">
        <v>141</v>
      </c>
      <c r="B355" s="179" t="s">
        <v>293</v>
      </c>
      <c r="C355" s="135"/>
      <c r="D355" s="136"/>
      <c r="E355" s="136"/>
      <c r="F355" s="262"/>
      <c r="G355" s="136"/>
      <c r="H355" s="136"/>
      <c r="I355" s="326"/>
      <c r="J355" s="136"/>
      <c r="K355" s="136"/>
      <c r="L355" s="262"/>
      <c r="M355" s="136"/>
      <c r="N355" s="326"/>
      <c r="O355" s="136"/>
      <c r="P355" s="136"/>
      <c r="Q355" s="136"/>
      <c r="R355" s="136"/>
      <c r="S355" s="136"/>
      <c r="T355" s="137"/>
      <c r="U355" s="632"/>
      <c r="V355" s="122"/>
      <c r="W355" s="122"/>
      <c r="X355" s="122"/>
      <c r="Y355" s="122"/>
      <c r="Z355" s="122"/>
      <c r="AA355" s="122"/>
      <c r="AB355" s="122"/>
      <c r="AC355" s="122"/>
      <c r="AD355" s="122"/>
      <c r="AE355" s="122"/>
      <c r="AF355" s="122"/>
      <c r="AG355" s="122"/>
      <c r="AH355" s="122"/>
      <c r="AI355" s="122"/>
      <c r="AJ355" s="122"/>
      <c r="AK355" s="122"/>
      <c r="AL355" s="122"/>
      <c r="AM355" s="639">
        <f t="shared" ref="AM355:AM362" si="7">SUM(C355:AL355)</f>
        <v>0</v>
      </c>
      <c r="AO355" s="289"/>
    </row>
    <row r="356" spans="1:42" s="61" customFormat="1" ht="19.5" customHeight="1" x14ac:dyDescent="0.3">
      <c r="A356" s="715"/>
      <c r="B356" s="116" t="s">
        <v>294</v>
      </c>
      <c r="C356" s="138"/>
      <c r="D356" s="109"/>
      <c r="E356" s="109"/>
      <c r="F356" s="263"/>
      <c r="G356" s="109"/>
      <c r="H356" s="109"/>
      <c r="I356" s="123"/>
      <c r="J356" s="109"/>
      <c r="K356" s="109"/>
      <c r="L356" s="263"/>
      <c r="M356" s="109"/>
      <c r="N356" s="123"/>
      <c r="O356" s="109"/>
      <c r="P356" s="109"/>
      <c r="Q356" s="109"/>
      <c r="R356" s="109"/>
      <c r="S356" s="109"/>
      <c r="T356" s="139"/>
      <c r="U356" s="138"/>
      <c r="V356" s="109"/>
      <c r="W356" s="109"/>
      <c r="X356" s="109"/>
      <c r="Y356" s="109"/>
      <c r="Z356" s="109"/>
      <c r="AA356" s="109"/>
      <c r="AB356" s="109"/>
      <c r="AC356" s="109"/>
      <c r="AD356" s="109"/>
      <c r="AE356" s="109"/>
      <c r="AF356" s="109"/>
      <c r="AG356" s="109"/>
      <c r="AH356" s="109"/>
      <c r="AI356" s="109"/>
      <c r="AJ356" s="109"/>
      <c r="AK356" s="109"/>
      <c r="AL356" s="109"/>
      <c r="AM356" s="640">
        <f t="shared" si="7"/>
        <v>0</v>
      </c>
      <c r="AO356" s="289"/>
    </row>
    <row r="357" spans="1:42" s="61" customFormat="1" ht="22.5" customHeight="1" x14ac:dyDescent="0.3">
      <c r="A357" s="715"/>
      <c r="B357" s="117" t="s">
        <v>326</v>
      </c>
      <c r="C357" s="140"/>
      <c r="D357" s="110"/>
      <c r="E357" s="110"/>
      <c r="F357" s="264"/>
      <c r="G357" s="110"/>
      <c r="H357" s="110"/>
      <c r="I357" s="124"/>
      <c r="J357" s="110"/>
      <c r="K357" s="110"/>
      <c r="L357" s="264"/>
      <c r="M357" s="110"/>
      <c r="N357" s="124"/>
      <c r="O357" s="110"/>
      <c r="P357" s="110"/>
      <c r="Q357" s="110"/>
      <c r="R357" s="110"/>
      <c r="S357" s="110"/>
      <c r="T357" s="141"/>
      <c r="U357" s="140"/>
      <c r="V357" s="110"/>
      <c r="W357" s="110"/>
      <c r="X357" s="110"/>
      <c r="Y357" s="110"/>
      <c r="Z357" s="110"/>
      <c r="AA357" s="110"/>
      <c r="AB357" s="110"/>
      <c r="AC357" s="110"/>
      <c r="AD357" s="110"/>
      <c r="AE357" s="110"/>
      <c r="AF357" s="110"/>
      <c r="AG357" s="110"/>
      <c r="AH357" s="110"/>
      <c r="AI357" s="110"/>
      <c r="AJ357" s="110"/>
      <c r="AK357" s="110"/>
      <c r="AL357" s="110"/>
      <c r="AM357" s="641">
        <f t="shared" si="7"/>
        <v>0</v>
      </c>
      <c r="AO357" s="289"/>
      <c r="AP357" s="97"/>
    </row>
    <row r="358" spans="1:42" s="61" customFormat="1" ht="25.5" customHeight="1" x14ac:dyDescent="0.3">
      <c r="A358" s="715"/>
      <c r="B358" s="175" t="s">
        <v>327</v>
      </c>
      <c r="C358" s="176"/>
      <c r="D358" s="127"/>
      <c r="E358" s="127"/>
      <c r="F358" s="265"/>
      <c r="G358" s="127"/>
      <c r="H358" s="127"/>
      <c r="I358" s="178"/>
      <c r="J358" s="127"/>
      <c r="K358" s="127"/>
      <c r="L358" s="265"/>
      <c r="M358" s="127"/>
      <c r="N358" s="178"/>
      <c r="O358" s="127"/>
      <c r="P358" s="127"/>
      <c r="Q358" s="127"/>
      <c r="R358" s="127"/>
      <c r="S358" s="127"/>
      <c r="T358" s="177"/>
      <c r="U358" s="176"/>
      <c r="V358" s="127"/>
      <c r="W358" s="127"/>
      <c r="X358" s="127"/>
      <c r="Y358" s="127"/>
      <c r="Z358" s="127"/>
      <c r="AA358" s="127"/>
      <c r="AB358" s="127"/>
      <c r="AC358" s="127"/>
      <c r="AD358" s="127"/>
      <c r="AE358" s="127"/>
      <c r="AF358" s="127"/>
      <c r="AG358" s="127"/>
      <c r="AH358" s="127"/>
      <c r="AI358" s="127"/>
      <c r="AJ358" s="127"/>
      <c r="AK358" s="127"/>
      <c r="AL358" s="127"/>
      <c r="AM358" s="642">
        <f t="shared" si="7"/>
        <v>0</v>
      </c>
      <c r="AO358" s="289"/>
    </row>
    <row r="359" spans="1:42" s="61" customFormat="1" ht="25.5" customHeight="1" x14ac:dyDescent="0.3">
      <c r="A359" s="715"/>
      <c r="B359" s="180" t="s">
        <v>361</v>
      </c>
      <c r="C359" s="300"/>
      <c r="D359" s="173"/>
      <c r="E359" s="173"/>
      <c r="F359" s="266"/>
      <c r="G359" s="173"/>
      <c r="H359" s="173"/>
      <c r="I359" s="174"/>
      <c r="J359" s="173"/>
      <c r="K359" s="173"/>
      <c r="L359" s="266"/>
      <c r="M359" s="173"/>
      <c r="N359" s="174"/>
      <c r="O359" s="173"/>
      <c r="P359" s="173"/>
      <c r="Q359" s="173"/>
      <c r="R359" s="173"/>
      <c r="S359" s="173"/>
      <c r="T359" s="327"/>
      <c r="U359" s="300"/>
      <c r="V359" s="173"/>
      <c r="W359" s="173"/>
      <c r="X359" s="173"/>
      <c r="Y359" s="173"/>
      <c r="Z359" s="173"/>
      <c r="AA359" s="173"/>
      <c r="AB359" s="173"/>
      <c r="AC359" s="173"/>
      <c r="AD359" s="173"/>
      <c r="AE359" s="173"/>
      <c r="AF359" s="173"/>
      <c r="AG359" s="173"/>
      <c r="AH359" s="173"/>
      <c r="AI359" s="173"/>
      <c r="AJ359" s="173"/>
      <c r="AK359" s="173"/>
      <c r="AL359" s="173"/>
      <c r="AM359" s="643">
        <f t="shared" si="7"/>
        <v>0</v>
      </c>
      <c r="AO359" s="289"/>
      <c r="AP359" s="97"/>
    </row>
    <row r="360" spans="1:42" s="61" customFormat="1" ht="25.5" customHeight="1" x14ac:dyDescent="0.3">
      <c r="A360" s="715"/>
      <c r="B360" s="180" t="s">
        <v>362</v>
      </c>
      <c r="C360" s="300"/>
      <c r="D360" s="173"/>
      <c r="E360" s="173"/>
      <c r="F360" s="266"/>
      <c r="G360" s="173"/>
      <c r="H360" s="173"/>
      <c r="I360" s="174"/>
      <c r="J360" s="173"/>
      <c r="K360" s="173"/>
      <c r="L360" s="266"/>
      <c r="M360" s="173"/>
      <c r="N360" s="174"/>
      <c r="O360" s="173"/>
      <c r="P360" s="173"/>
      <c r="Q360" s="173"/>
      <c r="R360" s="173"/>
      <c r="S360" s="173"/>
      <c r="T360" s="327"/>
      <c r="U360" s="300"/>
      <c r="V360" s="173"/>
      <c r="W360" s="173"/>
      <c r="X360" s="173"/>
      <c r="Y360" s="173"/>
      <c r="Z360" s="173"/>
      <c r="AA360" s="173"/>
      <c r="AB360" s="173"/>
      <c r="AC360" s="173"/>
      <c r="AD360" s="173"/>
      <c r="AE360" s="173"/>
      <c r="AF360" s="173"/>
      <c r="AG360" s="173"/>
      <c r="AH360" s="173"/>
      <c r="AI360" s="173"/>
      <c r="AJ360" s="173"/>
      <c r="AK360" s="173"/>
      <c r="AL360" s="173"/>
      <c r="AM360" s="644">
        <f t="shared" si="7"/>
        <v>0</v>
      </c>
      <c r="AO360" s="289"/>
      <c r="AP360" s="97"/>
    </row>
    <row r="361" spans="1:42" s="61" customFormat="1" ht="22.5" customHeight="1" x14ac:dyDescent="0.3">
      <c r="A361" s="715"/>
      <c r="B361" s="115" t="s">
        <v>402</v>
      </c>
      <c r="C361" s="142"/>
      <c r="D361" s="111"/>
      <c r="E361" s="111"/>
      <c r="F361" s="267"/>
      <c r="G361" s="111"/>
      <c r="H361" s="111"/>
      <c r="I361" s="125"/>
      <c r="J361" s="111"/>
      <c r="K361" s="111"/>
      <c r="L361" s="267"/>
      <c r="M361" s="111"/>
      <c r="N361" s="125"/>
      <c r="O361" s="111"/>
      <c r="P361" s="111"/>
      <c r="Q361" s="111"/>
      <c r="R361" s="111"/>
      <c r="S361" s="111">
        <v>0</v>
      </c>
      <c r="T361" s="143"/>
      <c r="U361" s="142"/>
      <c r="V361" s="111"/>
      <c r="W361" s="111"/>
      <c r="X361" s="111"/>
      <c r="Y361" s="111"/>
      <c r="Z361" s="111"/>
      <c r="AA361" s="111"/>
      <c r="AB361" s="111"/>
      <c r="AC361" s="111"/>
      <c r="AD361" s="111"/>
      <c r="AE361" s="111"/>
      <c r="AF361" s="111"/>
      <c r="AG361" s="111"/>
      <c r="AH361" s="111"/>
      <c r="AI361" s="111"/>
      <c r="AJ361" s="111"/>
      <c r="AK361" s="111"/>
      <c r="AL361" s="111"/>
      <c r="AM361" s="645">
        <f t="shared" si="7"/>
        <v>0</v>
      </c>
      <c r="AO361" s="289"/>
    </row>
    <row r="362" spans="1:42" s="61" customFormat="1" ht="21" customHeight="1" x14ac:dyDescent="0.3">
      <c r="A362" s="716"/>
      <c r="B362" s="181" t="s">
        <v>403</v>
      </c>
      <c r="C362" s="144"/>
      <c r="D362" s="112"/>
      <c r="E362" s="112"/>
      <c r="F362" s="268"/>
      <c r="G362" s="112"/>
      <c r="H362" s="112"/>
      <c r="I362" s="126"/>
      <c r="J362" s="112"/>
      <c r="K362" s="112"/>
      <c r="L362" s="268"/>
      <c r="M362" s="112"/>
      <c r="N362" s="126"/>
      <c r="O362" s="112"/>
      <c r="P362" s="112"/>
      <c r="Q362" s="112"/>
      <c r="R362" s="112"/>
      <c r="S362" s="112">
        <v>-0.56133</v>
      </c>
      <c r="T362" s="145"/>
      <c r="U362" s="144"/>
      <c r="V362" s="112"/>
      <c r="W362" s="112"/>
      <c r="X362" s="112"/>
      <c r="Y362" s="112"/>
      <c r="Z362" s="112"/>
      <c r="AA362" s="112"/>
      <c r="AB362" s="112"/>
      <c r="AC362" s="112"/>
      <c r="AD362" s="112"/>
      <c r="AE362" s="112"/>
      <c r="AF362" s="112"/>
      <c r="AG362" s="112"/>
      <c r="AH362" s="112"/>
      <c r="AI362" s="112"/>
      <c r="AJ362" s="112"/>
      <c r="AK362" s="112"/>
      <c r="AL362" s="112"/>
      <c r="AM362" s="646">
        <f t="shared" si="7"/>
        <v>-0.56133</v>
      </c>
      <c r="AO362" s="289"/>
    </row>
    <row r="363" spans="1:42" s="61" customFormat="1" ht="21" customHeight="1" x14ac:dyDescent="0.3">
      <c r="A363" s="705" t="s">
        <v>142</v>
      </c>
      <c r="B363" s="179" t="s">
        <v>293</v>
      </c>
      <c r="C363" s="135">
        <v>10</v>
      </c>
      <c r="D363" s="136"/>
      <c r="E363" s="136"/>
      <c r="F363" s="262"/>
      <c r="G363" s="136"/>
      <c r="H363" s="136">
        <v>32</v>
      </c>
      <c r="I363" s="326"/>
      <c r="J363" s="136"/>
      <c r="K363" s="136"/>
      <c r="L363" s="262"/>
      <c r="M363" s="136"/>
      <c r="N363" s="326">
        <v>4.827</v>
      </c>
      <c r="O363" s="136"/>
      <c r="P363" s="136">
        <v>9</v>
      </c>
      <c r="Q363" s="136">
        <v>461</v>
      </c>
      <c r="R363" s="136"/>
      <c r="S363" s="136">
        <v>150.215</v>
      </c>
      <c r="T363" s="137"/>
      <c r="U363" s="632"/>
      <c r="V363" s="122"/>
      <c r="W363" s="122"/>
      <c r="X363" s="122"/>
      <c r="Y363" s="122">
        <v>14.666</v>
      </c>
      <c r="Z363" s="122">
        <v>14</v>
      </c>
      <c r="AA363" s="122">
        <v>0.66</v>
      </c>
      <c r="AB363" s="122"/>
      <c r="AC363" s="122"/>
      <c r="AD363" s="122"/>
      <c r="AE363" s="122"/>
      <c r="AF363" s="122"/>
      <c r="AG363" s="122"/>
      <c r="AH363" s="122"/>
      <c r="AI363" s="122"/>
      <c r="AJ363" s="122"/>
      <c r="AK363" s="122"/>
      <c r="AL363" s="122"/>
      <c r="AM363" s="639">
        <f t="shared" ref="AM363:AM420" si="8">SUM(C363:AL363)</f>
        <v>696.36800000000005</v>
      </c>
      <c r="AO363" s="289"/>
    </row>
    <row r="364" spans="1:42" s="61" customFormat="1" ht="19.5" customHeight="1" x14ac:dyDescent="0.3">
      <c r="A364" s="706"/>
      <c r="B364" s="116" t="s">
        <v>294</v>
      </c>
      <c r="C364" s="138"/>
      <c r="D364" s="109"/>
      <c r="E364" s="109"/>
      <c r="F364" s="263"/>
      <c r="G364" s="109"/>
      <c r="H364" s="109">
        <v>1</v>
      </c>
      <c r="I364" s="123"/>
      <c r="J364" s="109"/>
      <c r="K364" s="109"/>
      <c r="L364" s="263"/>
      <c r="M364" s="109"/>
      <c r="N364" s="123"/>
      <c r="O364" s="109"/>
      <c r="P364" s="109">
        <v>47</v>
      </c>
      <c r="Q364" s="109">
        <v>243</v>
      </c>
      <c r="R364" s="109"/>
      <c r="S364" s="109">
        <v>216.584</v>
      </c>
      <c r="T364" s="139">
        <v>10.89</v>
      </c>
      <c r="U364" s="138">
        <v>1.423</v>
      </c>
      <c r="V364" s="109"/>
      <c r="W364" s="109"/>
      <c r="X364" s="109"/>
      <c r="Y364" s="109">
        <v>15.5</v>
      </c>
      <c r="Z364" s="109">
        <v>9.2566100000000002</v>
      </c>
      <c r="AA364" s="109"/>
      <c r="AB364" s="109"/>
      <c r="AC364" s="109"/>
      <c r="AD364" s="109"/>
      <c r="AE364" s="109"/>
      <c r="AF364" s="109"/>
      <c r="AG364" s="109"/>
      <c r="AH364" s="109"/>
      <c r="AI364" s="109"/>
      <c r="AJ364" s="109"/>
      <c r="AK364" s="109"/>
      <c r="AL364" s="109"/>
      <c r="AM364" s="640">
        <f t="shared" si="8"/>
        <v>544.65361000000007</v>
      </c>
      <c r="AO364" s="289"/>
    </row>
    <row r="365" spans="1:42" s="61" customFormat="1" ht="22.5" customHeight="1" x14ac:dyDescent="0.3">
      <c r="A365" s="706"/>
      <c r="B365" s="117" t="s">
        <v>326</v>
      </c>
      <c r="C365" s="140">
        <v>29.042000000000002</v>
      </c>
      <c r="D365" s="110"/>
      <c r="E365" s="110"/>
      <c r="F365" s="264"/>
      <c r="G365" s="110"/>
      <c r="H365" s="110"/>
      <c r="I365" s="124"/>
      <c r="J365" s="110"/>
      <c r="K365" s="110"/>
      <c r="L365" s="264"/>
      <c r="M365" s="110"/>
      <c r="N365" s="124">
        <v>5.024</v>
      </c>
      <c r="O365" s="110"/>
      <c r="P365" s="110">
        <v>223</v>
      </c>
      <c r="Q365" s="110">
        <v>-169</v>
      </c>
      <c r="R365" s="110"/>
      <c r="S365" s="110">
        <v>148</v>
      </c>
      <c r="T365" s="141"/>
      <c r="U365" s="140">
        <v>0.77400000000000002</v>
      </c>
      <c r="V365" s="110"/>
      <c r="W365" s="110"/>
      <c r="X365" s="110"/>
      <c r="Y365" s="110">
        <v>9</v>
      </c>
      <c r="Z365" s="110"/>
      <c r="AA365" s="110"/>
      <c r="AB365" s="110"/>
      <c r="AC365" s="110"/>
      <c r="AD365" s="110"/>
      <c r="AE365" s="110"/>
      <c r="AF365" s="110"/>
      <c r="AG365" s="110"/>
      <c r="AH365" s="110"/>
      <c r="AI365" s="110"/>
      <c r="AJ365" s="110"/>
      <c r="AK365" s="110"/>
      <c r="AL365" s="110"/>
      <c r="AM365" s="641">
        <f t="shared" si="8"/>
        <v>245.84000000000003</v>
      </c>
      <c r="AO365" s="289"/>
      <c r="AP365" s="97"/>
    </row>
    <row r="366" spans="1:42" s="61" customFormat="1" ht="25.5" customHeight="1" x14ac:dyDescent="0.3">
      <c r="A366" s="706"/>
      <c r="B366" s="175" t="s">
        <v>327</v>
      </c>
      <c r="C366" s="176">
        <v>22.550999999999998</v>
      </c>
      <c r="D366" s="127"/>
      <c r="E366" s="127"/>
      <c r="F366" s="265"/>
      <c r="G366" s="127">
        <v>50</v>
      </c>
      <c r="H366" s="127">
        <v>6</v>
      </c>
      <c r="I366" s="178"/>
      <c r="J366" s="127"/>
      <c r="K366" s="127"/>
      <c r="L366" s="265"/>
      <c r="M366" s="127"/>
      <c r="N366" s="178">
        <v>15.46</v>
      </c>
      <c r="O366" s="127"/>
      <c r="P366" s="127">
        <v>239</v>
      </c>
      <c r="Q366" s="127"/>
      <c r="R366" s="127"/>
      <c r="S366" s="127">
        <v>165</v>
      </c>
      <c r="T366" s="177"/>
      <c r="U366" s="176">
        <v>0.878</v>
      </c>
      <c r="V366" s="127"/>
      <c r="W366" s="127"/>
      <c r="X366" s="127"/>
      <c r="Y366" s="127">
        <v>15</v>
      </c>
      <c r="Z366" s="127">
        <v>16</v>
      </c>
      <c r="AA366" s="127"/>
      <c r="AB366" s="127"/>
      <c r="AC366" s="127"/>
      <c r="AD366" s="127"/>
      <c r="AE366" s="127"/>
      <c r="AF366" s="127"/>
      <c r="AG366" s="127"/>
      <c r="AH366" s="127"/>
      <c r="AI366" s="127"/>
      <c r="AJ366" s="127"/>
      <c r="AK366" s="127"/>
      <c r="AL366" s="127"/>
      <c r="AM366" s="642">
        <f t="shared" si="8"/>
        <v>529.8889999999999</v>
      </c>
      <c r="AO366" s="289"/>
    </row>
    <row r="367" spans="1:42" s="61" customFormat="1" ht="25.5" customHeight="1" x14ac:dyDescent="0.3">
      <c r="A367" s="706"/>
      <c r="B367" s="180" t="s">
        <v>361</v>
      </c>
      <c r="C367" s="300">
        <v>17</v>
      </c>
      <c r="D367" s="173"/>
      <c r="E367" s="173"/>
      <c r="F367" s="266"/>
      <c r="G367" s="173">
        <v>50</v>
      </c>
      <c r="H367" s="173">
        <f>15+150</f>
        <v>165</v>
      </c>
      <c r="I367" s="174"/>
      <c r="J367" s="173"/>
      <c r="K367" s="173"/>
      <c r="L367" s="266"/>
      <c r="M367" s="173"/>
      <c r="N367" s="174">
        <v>9.1259999999999994</v>
      </c>
      <c r="O367" s="173"/>
      <c r="P367" s="173">
        <v>173</v>
      </c>
      <c r="Q367" s="173"/>
      <c r="R367" s="173"/>
      <c r="S367" s="173">
        <v>102</v>
      </c>
      <c r="T367" s="327"/>
      <c r="U367" s="300">
        <v>0.20300000000000001</v>
      </c>
      <c r="V367" s="173"/>
      <c r="W367" s="173"/>
      <c r="X367" s="173"/>
      <c r="Y367" s="173">
        <v>16</v>
      </c>
      <c r="Z367" s="173">
        <v>26.540860000000002</v>
      </c>
      <c r="AA367" s="173"/>
      <c r="AB367" s="173"/>
      <c r="AC367" s="173"/>
      <c r="AD367" s="173"/>
      <c r="AE367" s="173"/>
      <c r="AF367" s="173"/>
      <c r="AG367" s="173"/>
      <c r="AH367" s="173"/>
      <c r="AI367" s="173"/>
      <c r="AJ367" s="173"/>
      <c r="AK367" s="173"/>
      <c r="AL367" s="173"/>
      <c r="AM367" s="643">
        <f t="shared" si="8"/>
        <v>558.8698599999999</v>
      </c>
      <c r="AO367" s="289"/>
      <c r="AP367" s="97"/>
    </row>
    <row r="368" spans="1:42" s="61" customFormat="1" ht="25.5" customHeight="1" x14ac:dyDescent="0.3">
      <c r="A368" s="706"/>
      <c r="B368" s="180" t="s">
        <v>362</v>
      </c>
      <c r="C368" s="300">
        <v>18</v>
      </c>
      <c r="D368" s="173"/>
      <c r="E368" s="173"/>
      <c r="F368" s="266"/>
      <c r="G368" s="173"/>
      <c r="H368" s="173">
        <f>735+3376</f>
        <v>4111</v>
      </c>
      <c r="I368" s="174"/>
      <c r="J368" s="173"/>
      <c r="K368" s="173"/>
      <c r="L368" s="266"/>
      <c r="M368" s="173"/>
      <c r="N368" s="174">
        <v>14.093</v>
      </c>
      <c r="O368" s="173"/>
      <c r="P368" s="173"/>
      <c r="Q368" s="173"/>
      <c r="R368" s="173"/>
      <c r="S368" s="173">
        <v>45</v>
      </c>
      <c r="T368" s="327"/>
      <c r="U368" s="300">
        <v>1.083</v>
      </c>
      <c r="V368" s="173"/>
      <c r="W368" s="173"/>
      <c r="X368" s="173"/>
      <c r="Y368" s="173">
        <v>16</v>
      </c>
      <c r="Z368" s="173">
        <v>15.76689</v>
      </c>
      <c r="AA368" s="173"/>
      <c r="AB368" s="173"/>
      <c r="AC368" s="173"/>
      <c r="AD368" s="173"/>
      <c r="AE368" s="173"/>
      <c r="AF368" s="173"/>
      <c r="AG368" s="173"/>
      <c r="AH368" s="173"/>
      <c r="AI368" s="173"/>
      <c r="AJ368" s="173"/>
      <c r="AK368" s="173"/>
      <c r="AL368" s="173"/>
      <c r="AM368" s="644">
        <f t="shared" si="8"/>
        <v>4220.9428899999994</v>
      </c>
      <c r="AO368" s="289"/>
      <c r="AP368" s="97"/>
    </row>
    <row r="369" spans="1:42" s="61" customFormat="1" ht="22.5" customHeight="1" x14ac:dyDescent="0.3">
      <c r="A369" s="706"/>
      <c r="B369" s="115" t="s">
        <v>402</v>
      </c>
      <c r="C369" s="142">
        <v>169.16718</v>
      </c>
      <c r="D369" s="111"/>
      <c r="E369" s="111"/>
      <c r="F369" s="267"/>
      <c r="G369" s="111"/>
      <c r="H369" s="111">
        <v>10411</v>
      </c>
      <c r="I369" s="125"/>
      <c r="J369" s="111"/>
      <c r="K369" s="111"/>
      <c r="L369" s="267">
        <v>0</v>
      </c>
      <c r="M369" s="111"/>
      <c r="N369" s="125"/>
      <c r="O369" s="111"/>
      <c r="P369" s="111">
        <v>0</v>
      </c>
      <c r="Q369" s="111"/>
      <c r="R369" s="111"/>
      <c r="S369" s="111"/>
      <c r="T369" s="143">
        <v>3.79</v>
      </c>
      <c r="U369" s="142">
        <v>1.853</v>
      </c>
      <c r="V369" s="111"/>
      <c r="W369" s="111"/>
      <c r="X369" s="111"/>
      <c r="Y369" s="111">
        <v>13.534000000000001</v>
      </c>
      <c r="Z369" s="111"/>
      <c r="AA369" s="111"/>
      <c r="AB369" s="111"/>
      <c r="AC369" s="111"/>
      <c r="AD369" s="111"/>
      <c r="AE369" s="111"/>
      <c r="AF369" s="111"/>
      <c r="AG369" s="111"/>
      <c r="AH369" s="111" t="s">
        <v>482</v>
      </c>
      <c r="AI369" s="111"/>
      <c r="AJ369" s="111"/>
      <c r="AK369" s="111"/>
      <c r="AL369" s="111"/>
      <c r="AM369" s="645">
        <f t="shared" si="8"/>
        <v>10599.34418</v>
      </c>
      <c r="AO369" s="289"/>
    </row>
    <row r="370" spans="1:42" s="61" customFormat="1" ht="21" customHeight="1" x14ac:dyDescent="0.3">
      <c r="A370" s="707"/>
      <c r="B370" s="181" t="s">
        <v>403</v>
      </c>
      <c r="C370" s="144">
        <v>46.405470000000001</v>
      </c>
      <c r="D370" s="112"/>
      <c r="E370" s="112"/>
      <c r="F370" s="268"/>
      <c r="G370" s="112"/>
      <c r="H370" s="112">
        <v>2971.1375200000002</v>
      </c>
      <c r="I370" s="126"/>
      <c r="J370" s="112"/>
      <c r="K370" s="112"/>
      <c r="L370" s="268">
        <v>47.5</v>
      </c>
      <c r="M370" s="112"/>
      <c r="N370" s="126"/>
      <c r="O370" s="112"/>
      <c r="P370" s="112">
        <v>23</v>
      </c>
      <c r="Q370" s="112">
        <v>23</v>
      </c>
      <c r="R370" s="112"/>
      <c r="S370" s="112"/>
      <c r="T370" s="145">
        <v>7.18</v>
      </c>
      <c r="U370" s="144">
        <v>17.036999999999999</v>
      </c>
      <c r="V370" s="112"/>
      <c r="W370" s="112"/>
      <c r="X370" s="112"/>
      <c r="Y370" s="112">
        <v>14.973000000000001</v>
      </c>
      <c r="Z370" s="112">
        <v>63</v>
      </c>
      <c r="AA370" s="112"/>
      <c r="AB370" s="112"/>
      <c r="AC370" s="112"/>
      <c r="AD370" s="112"/>
      <c r="AE370" s="112"/>
      <c r="AF370" s="112"/>
      <c r="AG370" s="112"/>
      <c r="AH370" s="112" t="s">
        <v>482</v>
      </c>
      <c r="AI370" s="112"/>
      <c r="AJ370" s="112"/>
      <c r="AK370" s="112"/>
      <c r="AL370" s="112"/>
      <c r="AM370" s="646">
        <f t="shared" si="8"/>
        <v>3213.23299</v>
      </c>
      <c r="AO370" s="289"/>
    </row>
    <row r="371" spans="1:42" s="61" customFormat="1" ht="21" customHeight="1" x14ac:dyDescent="0.3">
      <c r="A371" s="705" t="s">
        <v>143</v>
      </c>
      <c r="B371" s="179" t="s">
        <v>293</v>
      </c>
      <c r="C371" s="135"/>
      <c r="D371" s="136"/>
      <c r="E371" s="136"/>
      <c r="F371" s="262"/>
      <c r="G371" s="136"/>
      <c r="H371" s="136"/>
      <c r="I371" s="326"/>
      <c r="J371" s="136"/>
      <c r="K371" s="136"/>
      <c r="L371" s="262"/>
      <c r="M371" s="136"/>
      <c r="N371" s="326"/>
      <c r="O371" s="136">
        <v>111.1</v>
      </c>
      <c r="P371" s="136"/>
      <c r="Q371" s="136"/>
      <c r="R371" s="136"/>
      <c r="S371" s="136"/>
      <c r="T371" s="137"/>
      <c r="U371" s="632"/>
      <c r="V371" s="122"/>
      <c r="W371" s="122"/>
      <c r="X371" s="122"/>
      <c r="Y371" s="122"/>
      <c r="Z371" s="122">
        <v>8</v>
      </c>
      <c r="AA371" s="122">
        <v>210.56879999999998</v>
      </c>
      <c r="AB371" s="122"/>
      <c r="AC371" s="122"/>
      <c r="AD371" s="122"/>
      <c r="AE371" s="122"/>
      <c r="AF371" s="122"/>
      <c r="AG371" s="122">
        <v>0.19500000000000001</v>
      </c>
      <c r="AH371" s="122"/>
      <c r="AI371" s="122"/>
      <c r="AJ371" s="122"/>
      <c r="AK371" s="122"/>
      <c r="AL371" s="122"/>
      <c r="AM371" s="639">
        <f t="shared" si="8"/>
        <v>329.86379999999997</v>
      </c>
      <c r="AO371" s="289"/>
    </row>
    <row r="372" spans="1:42" s="61" customFormat="1" ht="19.5" customHeight="1" x14ac:dyDescent="0.3">
      <c r="A372" s="706"/>
      <c r="B372" s="116" t="s">
        <v>294</v>
      </c>
      <c r="C372" s="138"/>
      <c r="D372" s="109"/>
      <c r="E372" s="109"/>
      <c r="F372" s="263"/>
      <c r="G372" s="109"/>
      <c r="H372" s="109"/>
      <c r="I372" s="123"/>
      <c r="J372" s="109"/>
      <c r="K372" s="109"/>
      <c r="L372" s="263"/>
      <c r="M372" s="109"/>
      <c r="N372" s="123"/>
      <c r="O372" s="109"/>
      <c r="P372" s="109"/>
      <c r="Q372" s="109"/>
      <c r="R372" s="109"/>
      <c r="S372" s="109"/>
      <c r="T372" s="139"/>
      <c r="U372" s="138"/>
      <c r="V372" s="109"/>
      <c r="W372" s="109"/>
      <c r="X372" s="109"/>
      <c r="Y372" s="109"/>
      <c r="Z372" s="109">
        <v>75.984740000000002</v>
      </c>
      <c r="AA372" s="109">
        <v>-9.0204500000000003</v>
      </c>
      <c r="AB372" s="109"/>
      <c r="AC372" s="109"/>
      <c r="AD372" s="109"/>
      <c r="AE372" s="109"/>
      <c r="AF372" s="109"/>
      <c r="AG372" s="109">
        <v>1.05</v>
      </c>
      <c r="AH372" s="109"/>
      <c r="AI372" s="109"/>
      <c r="AJ372" s="109"/>
      <c r="AK372" s="109"/>
      <c r="AL372" s="109"/>
      <c r="AM372" s="640">
        <f t="shared" si="8"/>
        <v>68.014290000000003</v>
      </c>
      <c r="AO372" s="289"/>
    </row>
    <row r="373" spans="1:42" s="61" customFormat="1" ht="22.5" customHeight="1" x14ac:dyDescent="0.3">
      <c r="A373" s="706"/>
      <c r="B373" s="117" t="s">
        <v>326</v>
      </c>
      <c r="C373" s="140"/>
      <c r="D373" s="110"/>
      <c r="E373" s="110"/>
      <c r="F373" s="264"/>
      <c r="G373" s="110"/>
      <c r="H373" s="110"/>
      <c r="I373" s="124"/>
      <c r="J373" s="110"/>
      <c r="K373" s="110"/>
      <c r="L373" s="264"/>
      <c r="M373" s="110"/>
      <c r="N373" s="124"/>
      <c r="O373" s="110"/>
      <c r="P373" s="110"/>
      <c r="Q373" s="110"/>
      <c r="R373" s="110"/>
      <c r="S373" s="110"/>
      <c r="T373" s="141"/>
      <c r="U373" s="140">
        <v>221.542</v>
      </c>
      <c r="V373" s="110"/>
      <c r="W373" s="110"/>
      <c r="X373" s="110"/>
      <c r="Y373" s="110"/>
      <c r="Z373" s="110">
        <v>87.500450000000001</v>
      </c>
      <c r="AA373" s="110"/>
      <c r="AB373" s="110"/>
      <c r="AC373" s="110"/>
      <c r="AD373" s="110"/>
      <c r="AE373" s="110"/>
      <c r="AF373" s="110"/>
      <c r="AG373" s="110"/>
      <c r="AH373" s="110"/>
      <c r="AI373" s="110"/>
      <c r="AJ373" s="110"/>
      <c r="AK373" s="110"/>
      <c r="AL373" s="110"/>
      <c r="AM373" s="641">
        <f t="shared" si="8"/>
        <v>309.04245000000003</v>
      </c>
      <c r="AO373" s="289"/>
      <c r="AP373" s="97"/>
    </row>
    <row r="374" spans="1:42" s="61" customFormat="1" ht="25.5" customHeight="1" x14ac:dyDescent="0.3">
      <c r="A374" s="706"/>
      <c r="B374" s="175" t="s">
        <v>327</v>
      </c>
      <c r="C374" s="176">
        <v>593.64700000000005</v>
      </c>
      <c r="D374" s="127"/>
      <c r="E374" s="127"/>
      <c r="F374" s="265"/>
      <c r="G374" s="127"/>
      <c r="H374" s="127"/>
      <c r="I374" s="178"/>
      <c r="J374" s="127"/>
      <c r="K374" s="127"/>
      <c r="L374" s="265"/>
      <c r="M374" s="127"/>
      <c r="N374" s="178"/>
      <c r="O374" s="127"/>
      <c r="P374" s="127"/>
      <c r="Q374" s="127"/>
      <c r="R374" s="127"/>
      <c r="S374" s="127">
        <v>886</v>
      </c>
      <c r="T374" s="177"/>
      <c r="U374" s="176"/>
      <c r="V374" s="127"/>
      <c r="W374" s="127"/>
      <c r="X374" s="127"/>
      <c r="Y374" s="127"/>
      <c r="Z374" s="127">
        <v>463.38471999999996</v>
      </c>
      <c r="AA374" s="127">
        <v>0.45438000000000001</v>
      </c>
      <c r="AB374" s="127"/>
      <c r="AC374" s="127"/>
      <c r="AD374" s="127"/>
      <c r="AE374" s="127"/>
      <c r="AF374" s="127"/>
      <c r="AG374" s="127"/>
      <c r="AH374" s="127"/>
      <c r="AI374" s="127"/>
      <c r="AJ374" s="127"/>
      <c r="AK374" s="127"/>
      <c r="AL374" s="127"/>
      <c r="AM374" s="642">
        <f t="shared" si="8"/>
        <v>1943.4860999999999</v>
      </c>
      <c r="AO374" s="289"/>
    </row>
    <row r="375" spans="1:42" s="61" customFormat="1" ht="25.5" customHeight="1" x14ac:dyDescent="0.3">
      <c r="A375" s="706"/>
      <c r="B375" s="180" t="s">
        <v>361</v>
      </c>
      <c r="C375" s="300">
        <v>569.42906999999991</v>
      </c>
      <c r="D375" s="173"/>
      <c r="E375" s="173"/>
      <c r="F375" s="266"/>
      <c r="G375" s="173"/>
      <c r="H375" s="173"/>
      <c r="I375" s="174"/>
      <c r="J375" s="173"/>
      <c r="K375" s="173"/>
      <c r="L375" s="266"/>
      <c r="M375" s="173"/>
      <c r="N375" s="174"/>
      <c r="O375" s="173"/>
      <c r="P375" s="173"/>
      <c r="Q375" s="173"/>
      <c r="R375" s="173"/>
      <c r="S375" s="173">
        <v>1892</v>
      </c>
      <c r="T375" s="327"/>
      <c r="U375" s="300">
        <v>0.34699999999999998</v>
      </c>
      <c r="V375" s="173"/>
      <c r="W375" s="173"/>
      <c r="X375" s="173"/>
      <c r="Y375" s="173"/>
      <c r="Z375" s="173">
        <v>48.415839999999996</v>
      </c>
      <c r="AA375" s="173"/>
      <c r="AB375" s="173"/>
      <c r="AC375" s="173"/>
      <c r="AD375" s="173"/>
      <c r="AE375" s="173"/>
      <c r="AF375" s="173"/>
      <c r="AG375" s="173"/>
      <c r="AH375" s="173"/>
      <c r="AI375" s="173"/>
      <c r="AJ375" s="173"/>
      <c r="AK375" s="173"/>
      <c r="AL375" s="173"/>
      <c r="AM375" s="643">
        <f t="shared" si="8"/>
        <v>2510.1919100000005</v>
      </c>
      <c r="AO375" s="289"/>
      <c r="AP375" s="97"/>
    </row>
    <row r="376" spans="1:42" s="61" customFormat="1" ht="25.5" customHeight="1" x14ac:dyDescent="0.3">
      <c r="A376" s="706"/>
      <c r="B376" s="180" t="s">
        <v>362</v>
      </c>
      <c r="C376" s="300">
        <v>310.36597999999998</v>
      </c>
      <c r="D376" s="173"/>
      <c r="E376" s="173"/>
      <c r="F376" s="266"/>
      <c r="G376" s="173"/>
      <c r="H376" s="173"/>
      <c r="I376" s="174"/>
      <c r="J376" s="173"/>
      <c r="K376" s="173"/>
      <c r="L376" s="266"/>
      <c r="M376" s="173"/>
      <c r="N376" s="174"/>
      <c r="O376" s="173"/>
      <c r="P376" s="173"/>
      <c r="Q376" s="173"/>
      <c r="R376" s="173"/>
      <c r="S376" s="173">
        <v>2809</v>
      </c>
      <c r="T376" s="327"/>
      <c r="U376" s="300">
        <v>211.70500000000001</v>
      </c>
      <c r="V376" s="173"/>
      <c r="W376" s="173"/>
      <c r="X376" s="173"/>
      <c r="Y376" s="173"/>
      <c r="Z376" s="173">
        <v>71.115359999999995</v>
      </c>
      <c r="AA376" s="173"/>
      <c r="AB376" s="173"/>
      <c r="AC376" s="173"/>
      <c r="AD376" s="173"/>
      <c r="AE376" s="173"/>
      <c r="AF376" s="173"/>
      <c r="AG376" s="173"/>
      <c r="AH376" s="173"/>
      <c r="AI376" s="173"/>
      <c r="AJ376" s="173"/>
      <c r="AK376" s="173"/>
      <c r="AL376" s="173"/>
      <c r="AM376" s="644">
        <f t="shared" si="8"/>
        <v>3402.1863399999997</v>
      </c>
      <c r="AO376" s="289"/>
      <c r="AP376" s="97"/>
    </row>
    <row r="377" spans="1:42" s="61" customFormat="1" ht="22.5" customHeight="1" x14ac:dyDescent="0.3">
      <c r="A377" s="706"/>
      <c r="B377" s="115" t="s">
        <v>402</v>
      </c>
      <c r="C377" s="142">
        <v>238.51951</v>
      </c>
      <c r="D377" s="111"/>
      <c r="E377" s="111"/>
      <c r="F377" s="267">
        <v>2752</v>
      </c>
      <c r="G377" s="111"/>
      <c r="H377" s="111"/>
      <c r="I377" s="125"/>
      <c r="J377" s="111"/>
      <c r="K377" s="111"/>
      <c r="L377" s="267">
        <v>0</v>
      </c>
      <c r="M377" s="111"/>
      <c r="N377" s="125"/>
      <c r="O377" s="111"/>
      <c r="P377" s="111"/>
      <c r="Q377" s="111"/>
      <c r="R377" s="111"/>
      <c r="S377" s="111">
        <v>14552.445272999999</v>
      </c>
      <c r="T377" s="143"/>
      <c r="U377" s="142"/>
      <c r="V377" s="111"/>
      <c r="W377" s="111">
        <f>2345</f>
        <v>2345</v>
      </c>
      <c r="X377" s="111"/>
      <c r="Y377" s="111"/>
      <c r="Z377" s="111">
        <v>10200</v>
      </c>
      <c r="AA377" s="111"/>
      <c r="AB377" s="111"/>
      <c r="AC377" s="111"/>
      <c r="AD377" s="111"/>
      <c r="AE377" s="111"/>
      <c r="AF377" s="111"/>
      <c r="AG377" s="111"/>
      <c r="AH377" s="111" t="s">
        <v>482</v>
      </c>
      <c r="AI377" s="111"/>
      <c r="AJ377" s="111"/>
      <c r="AK377" s="111"/>
      <c r="AL377" s="111"/>
      <c r="AM377" s="645">
        <f t="shared" si="8"/>
        <v>30087.964782999999</v>
      </c>
      <c r="AO377" s="289"/>
    </row>
    <row r="378" spans="1:42" s="61" customFormat="1" ht="21" customHeight="1" x14ac:dyDescent="0.3">
      <c r="A378" s="707"/>
      <c r="B378" s="181" t="s">
        <v>403</v>
      </c>
      <c r="C378" s="144">
        <v>226.40020999999999</v>
      </c>
      <c r="D378" s="112"/>
      <c r="E378" s="112"/>
      <c r="F378" s="268">
        <v>1778.8</v>
      </c>
      <c r="G378" s="112"/>
      <c r="H378" s="112"/>
      <c r="I378" s="126"/>
      <c r="J378" s="112"/>
      <c r="K378" s="112"/>
      <c r="L378" s="268"/>
      <c r="M378" s="112"/>
      <c r="N378" s="126"/>
      <c r="O378" s="112"/>
      <c r="P378" s="112"/>
      <c r="Q378" s="112"/>
      <c r="R378" s="112"/>
      <c r="S378" s="112">
        <v>400.26319699999993</v>
      </c>
      <c r="T378" s="145"/>
      <c r="U378" s="144">
        <v>1.407</v>
      </c>
      <c r="V378" s="112"/>
      <c r="W378" s="112"/>
      <c r="X378" s="112"/>
      <c r="Y378" s="112"/>
      <c r="Z378" s="112"/>
      <c r="AA378" s="112"/>
      <c r="AB378" s="112"/>
      <c r="AC378" s="112"/>
      <c r="AD378" s="112"/>
      <c r="AE378" s="112"/>
      <c r="AF378" s="112"/>
      <c r="AG378" s="112"/>
      <c r="AH378" s="112" t="s">
        <v>482</v>
      </c>
      <c r="AI378" s="112"/>
      <c r="AJ378" s="112"/>
      <c r="AK378" s="112"/>
      <c r="AL378" s="112"/>
      <c r="AM378" s="646">
        <f t="shared" si="8"/>
        <v>2406.8704069999999</v>
      </c>
      <c r="AO378" s="289"/>
    </row>
    <row r="379" spans="1:42" s="61" customFormat="1" ht="21" customHeight="1" x14ac:dyDescent="0.3">
      <c r="A379" s="705" t="s">
        <v>144</v>
      </c>
      <c r="B379" s="179" t="s">
        <v>293</v>
      </c>
      <c r="C379" s="135">
        <v>22.5</v>
      </c>
      <c r="D379" s="136"/>
      <c r="E379" s="136"/>
      <c r="F379" s="262"/>
      <c r="G379" s="136">
        <v>47</v>
      </c>
      <c r="H379" s="136"/>
      <c r="I379" s="326"/>
      <c r="J379" s="136"/>
      <c r="K379" s="136"/>
      <c r="L379" s="262"/>
      <c r="M379" s="136"/>
      <c r="N379" s="326"/>
      <c r="O379" s="136"/>
      <c r="P379" s="136"/>
      <c r="Q379" s="136"/>
      <c r="R379" s="136"/>
      <c r="S379" s="136"/>
      <c r="T379" s="137">
        <v>18</v>
      </c>
      <c r="U379" s="632">
        <v>1.3879999999999999</v>
      </c>
      <c r="V379" s="122"/>
      <c r="W379" s="122"/>
      <c r="X379" s="122"/>
      <c r="Y379" s="122"/>
      <c r="Z379" s="122">
        <v>193</v>
      </c>
      <c r="AA379" s="122"/>
      <c r="AB379" s="122"/>
      <c r="AC379" s="122"/>
      <c r="AD379" s="122"/>
      <c r="AE379" s="122"/>
      <c r="AF379" s="122"/>
      <c r="AG379" s="122">
        <v>1.7</v>
      </c>
      <c r="AH379" s="122"/>
      <c r="AI379" s="122"/>
      <c r="AJ379" s="122"/>
      <c r="AK379" s="122"/>
      <c r="AL379" s="122"/>
      <c r="AM379" s="639">
        <f t="shared" si="8"/>
        <v>283.58800000000002</v>
      </c>
      <c r="AO379" s="289"/>
    </row>
    <row r="380" spans="1:42" s="61" customFormat="1" ht="19.5" customHeight="1" x14ac:dyDescent="0.3">
      <c r="A380" s="706"/>
      <c r="B380" s="116" t="s">
        <v>294</v>
      </c>
      <c r="C380" s="138">
        <v>27</v>
      </c>
      <c r="D380" s="109"/>
      <c r="E380" s="109"/>
      <c r="F380" s="263"/>
      <c r="G380" s="109">
        <v>78</v>
      </c>
      <c r="H380" s="109"/>
      <c r="I380" s="123"/>
      <c r="J380" s="109"/>
      <c r="K380" s="109"/>
      <c r="L380" s="263"/>
      <c r="M380" s="109"/>
      <c r="N380" s="123">
        <v>10.436</v>
      </c>
      <c r="O380" s="109"/>
      <c r="P380" s="109"/>
      <c r="Q380" s="109"/>
      <c r="R380" s="109"/>
      <c r="S380" s="109"/>
      <c r="T380" s="139">
        <v>18</v>
      </c>
      <c r="U380" s="138">
        <v>1.3959999999999999</v>
      </c>
      <c r="V380" s="109"/>
      <c r="W380" s="109"/>
      <c r="X380" s="109"/>
      <c r="Y380" s="109"/>
      <c r="Z380" s="109">
        <v>286</v>
      </c>
      <c r="AA380" s="109"/>
      <c r="AB380" s="109"/>
      <c r="AC380" s="109">
        <v>2.2639999999999998</v>
      </c>
      <c r="AD380" s="109"/>
      <c r="AE380" s="109"/>
      <c r="AF380" s="109"/>
      <c r="AG380" s="109">
        <v>1.8</v>
      </c>
      <c r="AH380" s="109"/>
      <c r="AI380" s="109"/>
      <c r="AJ380" s="109"/>
      <c r="AK380" s="109"/>
      <c r="AL380" s="109"/>
      <c r="AM380" s="640">
        <f t="shared" si="8"/>
        <v>424.89600000000002</v>
      </c>
      <c r="AO380" s="289"/>
    </row>
    <row r="381" spans="1:42" s="61" customFormat="1" ht="22.5" customHeight="1" x14ac:dyDescent="0.3">
      <c r="A381" s="706"/>
      <c r="B381" s="117" t="s">
        <v>326</v>
      </c>
      <c r="C381" s="140">
        <v>31.869</v>
      </c>
      <c r="D381" s="110"/>
      <c r="E381" s="110"/>
      <c r="F381" s="264"/>
      <c r="G381" s="110">
        <v>288</v>
      </c>
      <c r="H381" s="110"/>
      <c r="I381" s="124"/>
      <c r="J381" s="110"/>
      <c r="K381" s="110"/>
      <c r="L381" s="264"/>
      <c r="M381" s="110"/>
      <c r="N381" s="124">
        <v>72.56</v>
      </c>
      <c r="O381" s="110"/>
      <c r="P381" s="110"/>
      <c r="Q381" s="110"/>
      <c r="R381" s="110"/>
      <c r="S381" s="110"/>
      <c r="T381" s="141"/>
      <c r="U381" s="140"/>
      <c r="V381" s="110"/>
      <c r="W381" s="110"/>
      <c r="X381" s="110"/>
      <c r="Y381" s="110"/>
      <c r="Z381" s="110">
        <v>542</v>
      </c>
      <c r="AA381" s="110"/>
      <c r="AB381" s="110"/>
      <c r="AC381" s="110">
        <v>1</v>
      </c>
      <c r="AD381" s="110"/>
      <c r="AE381" s="110"/>
      <c r="AF381" s="110"/>
      <c r="AG381" s="110"/>
      <c r="AH381" s="110"/>
      <c r="AI381" s="110"/>
      <c r="AJ381" s="110"/>
      <c r="AK381" s="110"/>
      <c r="AL381" s="110"/>
      <c r="AM381" s="641">
        <f t="shared" si="8"/>
        <v>935.42900000000009</v>
      </c>
      <c r="AO381" s="289"/>
      <c r="AP381" s="97"/>
    </row>
    <row r="382" spans="1:42" s="61" customFormat="1" ht="25.5" customHeight="1" x14ac:dyDescent="0.3">
      <c r="A382" s="706"/>
      <c r="B382" s="175" t="s">
        <v>327</v>
      </c>
      <c r="C382" s="176">
        <v>35.192999999999998</v>
      </c>
      <c r="D382" s="127"/>
      <c r="E382" s="127"/>
      <c r="F382" s="265"/>
      <c r="G382" s="127">
        <v>28</v>
      </c>
      <c r="H382" s="127">
        <v>3</v>
      </c>
      <c r="I382" s="178"/>
      <c r="J382" s="127"/>
      <c r="K382" s="127"/>
      <c r="L382" s="265"/>
      <c r="M382" s="127"/>
      <c r="N382" s="178">
        <v>102.40300000000001</v>
      </c>
      <c r="O382" s="127"/>
      <c r="P382" s="127"/>
      <c r="Q382" s="127"/>
      <c r="R382" s="127"/>
      <c r="S382" s="127">
        <v>102</v>
      </c>
      <c r="T382" s="177"/>
      <c r="U382" s="176">
        <v>2.258</v>
      </c>
      <c r="V382" s="127"/>
      <c r="W382" s="127"/>
      <c r="X382" s="127"/>
      <c r="Y382" s="127">
        <v>10</v>
      </c>
      <c r="Z382" s="127">
        <v>1314</v>
      </c>
      <c r="AA382" s="127"/>
      <c r="AB382" s="127"/>
      <c r="AC382" s="127">
        <v>1</v>
      </c>
      <c r="AD382" s="127"/>
      <c r="AE382" s="127"/>
      <c r="AF382" s="127"/>
      <c r="AG382" s="127"/>
      <c r="AH382" s="127"/>
      <c r="AI382" s="127"/>
      <c r="AJ382" s="127"/>
      <c r="AK382" s="127"/>
      <c r="AL382" s="127"/>
      <c r="AM382" s="642">
        <f t="shared" si="8"/>
        <v>1597.854</v>
      </c>
      <c r="AO382" s="289"/>
    </row>
    <row r="383" spans="1:42" s="61" customFormat="1" ht="25.5" customHeight="1" x14ac:dyDescent="0.3">
      <c r="A383" s="706"/>
      <c r="B383" s="180" t="s">
        <v>361</v>
      </c>
      <c r="C383" s="300">
        <v>52.304819999999999</v>
      </c>
      <c r="D383" s="173"/>
      <c r="E383" s="173"/>
      <c r="F383" s="266"/>
      <c r="G383" s="173">
        <f>28+2</f>
        <v>30</v>
      </c>
      <c r="H383" s="173"/>
      <c r="I383" s="174"/>
      <c r="J383" s="173"/>
      <c r="K383" s="173"/>
      <c r="L383" s="266"/>
      <c r="M383" s="173"/>
      <c r="N383" s="174">
        <v>149.52099999999999</v>
      </c>
      <c r="O383" s="173"/>
      <c r="P383" s="173"/>
      <c r="Q383" s="173"/>
      <c r="R383" s="173"/>
      <c r="S383" s="173">
        <v>142</v>
      </c>
      <c r="T383" s="327"/>
      <c r="U383" s="300">
        <v>1.921</v>
      </c>
      <c r="V383" s="173"/>
      <c r="W383" s="173"/>
      <c r="X383" s="173"/>
      <c r="Y383" s="173">
        <v>10</v>
      </c>
      <c r="Z383" s="173">
        <v>1232.41435</v>
      </c>
      <c r="AA383" s="173"/>
      <c r="AB383" s="173"/>
      <c r="AC383" s="173"/>
      <c r="AD383" s="173"/>
      <c r="AE383" s="173"/>
      <c r="AF383" s="173"/>
      <c r="AG383" s="173"/>
      <c r="AH383" s="173"/>
      <c r="AI383" s="173"/>
      <c r="AJ383" s="173"/>
      <c r="AK383" s="173"/>
      <c r="AL383" s="173"/>
      <c r="AM383" s="643">
        <f t="shared" si="8"/>
        <v>1618.1611700000001</v>
      </c>
      <c r="AO383" s="289"/>
      <c r="AP383" s="97"/>
    </row>
    <row r="384" spans="1:42" s="61" customFormat="1" ht="25.5" customHeight="1" x14ac:dyDescent="0.3">
      <c r="A384" s="706"/>
      <c r="B384" s="180" t="s">
        <v>362</v>
      </c>
      <c r="C384" s="300">
        <v>96</v>
      </c>
      <c r="D384" s="173"/>
      <c r="E384" s="173"/>
      <c r="F384" s="266"/>
      <c r="G384" s="173">
        <f>29+59</f>
        <v>88</v>
      </c>
      <c r="H384" s="173">
        <v>6</v>
      </c>
      <c r="I384" s="174"/>
      <c r="J384" s="173"/>
      <c r="K384" s="173"/>
      <c r="L384" s="266"/>
      <c r="M384" s="173"/>
      <c r="N384" s="174">
        <v>34.030999999999999</v>
      </c>
      <c r="O384" s="173"/>
      <c r="P384" s="173"/>
      <c r="Q384" s="173"/>
      <c r="R384" s="173"/>
      <c r="S384" s="173">
        <v>500</v>
      </c>
      <c r="T384" s="327"/>
      <c r="U384" s="300">
        <v>3.05</v>
      </c>
      <c r="V384" s="173"/>
      <c r="W384" s="173"/>
      <c r="X384" s="173"/>
      <c r="Y384" s="173">
        <v>30</v>
      </c>
      <c r="Z384" s="173">
        <v>1319.03467</v>
      </c>
      <c r="AA384" s="173"/>
      <c r="AB384" s="173">
        <v>5</v>
      </c>
      <c r="AC384" s="173">
        <f>10+5</f>
        <v>15</v>
      </c>
      <c r="AD384" s="173"/>
      <c r="AE384" s="173"/>
      <c r="AF384" s="173"/>
      <c r="AG384" s="173"/>
      <c r="AH384" s="173">
        <v>10</v>
      </c>
      <c r="AI384" s="173"/>
      <c r="AJ384" s="173"/>
      <c r="AK384" s="173"/>
      <c r="AL384" s="173"/>
      <c r="AM384" s="644">
        <f t="shared" si="8"/>
        <v>2106.1156700000001</v>
      </c>
      <c r="AO384" s="289"/>
      <c r="AP384" s="97"/>
    </row>
    <row r="385" spans="1:42" s="61" customFormat="1" ht="22.5" customHeight="1" x14ac:dyDescent="0.3">
      <c r="A385" s="706"/>
      <c r="B385" s="115" t="s">
        <v>402</v>
      </c>
      <c r="C385" s="142">
        <v>126.2542</v>
      </c>
      <c r="D385" s="111"/>
      <c r="E385" s="111"/>
      <c r="F385" s="267"/>
      <c r="G385" s="111">
        <v>208</v>
      </c>
      <c r="H385" s="111">
        <v>4</v>
      </c>
      <c r="I385" s="125"/>
      <c r="J385" s="111"/>
      <c r="K385" s="111"/>
      <c r="L385" s="267">
        <v>0</v>
      </c>
      <c r="M385" s="111"/>
      <c r="N385" s="125"/>
      <c r="O385" s="111"/>
      <c r="P385" s="111"/>
      <c r="Q385" s="111"/>
      <c r="R385" s="111"/>
      <c r="S385" s="111">
        <v>3673.3042539999997</v>
      </c>
      <c r="T385" s="143"/>
      <c r="U385" s="142">
        <v>3.1560000000000001</v>
      </c>
      <c r="V385" s="111"/>
      <c r="W385" s="111"/>
      <c r="X385" s="111"/>
      <c r="Y385" s="111">
        <v>62</v>
      </c>
      <c r="Z385" s="111">
        <v>1895</v>
      </c>
      <c r="AA385" s="111">
        <v>232</v>
      </c>
      <c r="AB385" s="111">
        <v>11</v>
      </c>
      <c r="AC385" s="111">
        <v>12</v>
      </c>
      <c r="AD385" s="111"/>
      <c r="AE385" s="111"/>
      <c r="AF385" s="111"/>
      <c r="AG385" s="111"/>
      <c r="AH385" s="111">
        <v>62</v>
      </c>
      <c r="AI385" s="111"/>
      <c r="AJ385" s="111"/>
      <c r="AK385" s="111"/>
      <c r="AL385" s="111"/>
      <c r="AM385" s="645">
        <f t="shared" si="8"/>
        <v>6288.714453999999</v>
      </c>
      <c r="AO385" s="289"/>
    </row>
    <row r="386" spans="1:42" s="61" customFormat="1" ht="21" customHeight="1" x14ac:dyDescent="0.3">
      <c r="A386" s="707"/>
      <c r="B386" s="181" t="s">
        <v>403</v>
      </c>
      <c r="C386" s="144">
        <v>154.16936999999999</v>
      </c>
      <c r="D386" s="112"/>
      <c r="E386" s="112"/>
      <c r="F386" s="268"/>
      <c r="G386" s="112">
        <v>83</v>
      </c>
      <c r="H386" s="112"/>
      <c r="I386" s="126"/>
      <c r="J386" s="112"/>
      <c r="K386" s="112"/>
      <c r="L386" s="268"/>
      <c r="M386" s="112"/>
      <c r="N386" s="126"/>
      <c r="O386" s="112"/>
      <c r="P386" s="112"/>
      <c r="Q386" s="112"/>
      <c r="R386" s="112"/>
      <c r="S386" s="112">
        <v>1964.7302749999997</v>
      </c>
      <c r="T386" s="145"/>
      <c r="U386" s="144">
        <v>3.1560000000000001</v>
      </c>
      <c r="V386" s="112"/>
      <c r="W386" s="112"/>
      <c r="X386" s="112"/>
      <c r="Y386" s="112">
        <v>31</v>
      </c>
      <c r="Z386" s="112">
        <v>1209</v>
      </c>
      <c r="AA386" s="112"/>
      <c r="AB386" s="112">
        <v>7</v>
      </c>
      <c r="AC386" s="112">
        <v>14</v>
      </c>
      <c r="AD386" s="112"/>
      <c r="AE386" s="112"/>
      <c r="AF386" s="112"/>
      <c r="AG386" s="112"/>
      <c r="AH386" s="112">
        <v>64</v>
      </c>
      <c r="AI386" s="112"/>
      <c r="AJ386" s="112"/>
      <c r="AK386" s="112">
        <f>77.9645/1.001</f>
        <v>77.886613386613391</v>
      </c>
      <c r="AL386" s="112"/>
      <c r="AM386" s="646">
        <f t="shared" si="8"/>
        <v>3607.942258386613</v>
      </c>
      <c r="AO386" s="289"/>
    </row>
    <row r="387" spans="1:42" s="61" customFormat="1" ht="21" customHeight="1" x14ac:dyDescent="0.3">
      <c r="A387" s="705" t="s">
        <v>145</v>
      </c>
      <c r="B387" s="179" t="s">
        <v>293</v>
      </c>
      <c r="C387" s="135"/>
      <c r="D387" s="136"/>
      <c r="E387" s="136"/>
      <c r="F387" s="262">
        <v>122</v>
      </c>
      <c r="G387" s="136">
        <v>20</v>
      </c>
      <c r="H387" s="136">
        <v>3</v>
      </c>
      <c r="I387" s="326"/>
      <c r="J387" s="136"/>
      <c r="K387" s="136"/>
      <c r="L387" s="262"/>
      <c r="M387" s="136"/>
      <c r="N387" s="326"/>
      <c r="O387" s="136"/>
      <c r="P387" s="136"/>
      <c r="Q387" s="136">
        <v>41</v>
      </c>
      <c r="R387" s="136"/>
      <c r="S387" s="136"/>
      <c r="T387" s="137">
        <v>6</v>
      </c>
      <c r="U387" s="632">
        <v>1.089</v>
      </c>
      <c r="V387" s="122"/>
      <c r="W387" s="122"/>
      <c r="X387" s="122"/>
      <c r="Y387" s="122"/>
      <c r="Z387" s="122">
        <v>5</v>
      </c>
      <c r="AA387" s="122"/>
      <c r="AB387" s="122"/>
      <c r="AC387" s="122"/>
      <c r="AD387" s="122"/>
      <c r="AE387" s="122"/>
      <c r="AF387" s="122"/>
      <c r="AG387" s="122"/>
      <c r="AH387" s="122">
        <v>664.69</v>
      </c>
      <c r="AI387" s="122">
        <v>2</v>
      </c>
      <c r="AJ387" s="122"/>
      <c r="AK387" s="122"/>
      <c r="AL387" s="122"/>
      <c r="AM387" s="639">
        <f t="shared" si="8"/>
        <v>864.779</v>
      </c>
      <c r="AO387" s="289"/>
    </row>
    <row r="388" spans="1:42" s="61" customFormat="1" ht="19.5" customHeight="1" x14ac:dyDescent="0.3">
      <c r="A388" s="706"/>
      <c r="B388" s="116" t="s">
        <v>294</v>
      </c>
      <c r="C388" s="138"/>
      <c r="D388" s="109"/>
      <c r="E388" s="109"/>
      <c r="F388" s="263"/>
      <c r="G388" s="109">
        <v>21</v>
      </c>
      <c r="H388" s="109">
        <v>4</v>
      </c>
      <c r="I388" s="123"/>
      <c r="J388" s="109"/>
      <c r="K388" s="109"/>
      <c r="L388" s="263"/>
      <c r="M388" s="109"/>
      <c r="N388" s="123"/>
      <c r="O388" s="109"/>
      <c r="P388" s="109"/>
      <c r="Q388" s="109">
        <v>35</v>
      </c>
      <c r="R388" s="109"/>
      <c r="S388" s="109">
        <v>1352.7539999999999</v>
      </c>
      <c r="T388" s="139"/>
      <c r="U388" s="138">
        <v>1.7769999999999999</v>
      </c>
      <c r="V388" s="109"/>
      <c r="W388" s="109"/>
      <c r="X388" s="109"/>
      <c r="Y388" s="109"/>
      <c r="Z388" s="109">
        <v>10</v>
      </c>
      <c r="AA388" s="109">
        <v>42</v>
      </c>
      <c r="AB388" s="109"/>
      <c r="AC388" s="109"/>
      <c r="AD388" s="109"/>
      <c r="AE388" s="109"/>
      <c r="AF388" s="109"/>
      <c r="AG388" s="109"/>
      <c r="AH388" s="109">
        <v>515.39</v>
      </c>
      <c r="AI388" s="109">
        <v>2</v>
      </c>
      <c r="AJ388" s="109"/>
      <c r="AK388" s="109"/>
      <c r="AL388" s="109"/>
      <c r="AM388" s="640">
        <f t="shared" si="8"/>
        <v>1983.9209999999998</v>
      </c>
      <c r="AO388" s="289"/>
    </row>
    <row r="389" spans="1:42" s="61" customFormat="1" ht="22.5" customHeight="1" x14ac:dyDescent="0.3">
      <c r="A389" s="706"/>
      <c r="B389" s="117" t="s">
        <v>326</v>
      </c>
      <c r="C389" s="140">
        <v>49.759</v>
      </c>
      <c r="D389" s="110"/>
      <c r="E389" s="110"/>
      <c r="F389" s="264"/>
      <c r="G389" s="110">
        <v>22</v>
      </c>
      <c r="H389" s="110">
        <v>70</v>
      </c>
      <c r="I389" s="124"/>
      <c r="J389" s="110"/>
      <c r="K389" s="110"/>
      <c r="L389" s="264"/>
      <c r="M389" s="110"/>
      <c r="N389" s="124"/>
      <c r="O389" s="110"/>
      <c r="P389" s="110"/>
      <c r="Q389" s="110">
        <v>35</v>
      </c>
      <c r="R389" s="110"/>
      <c r="S389" s="110">
        <v>32</v>
      </c>
      <c r="T389" s="141"/>
      <c r="U389" s="140">
        <v>1.2929999999999999</v>
      </c>
      <c r="V389" s="110"/>
      <c r="W389" s="110"/>
      <c r="X389" s="110"/>
      <c r="Y389" s="110"/>
      <c r="Z389" s="110">
        <v>10</v>
      </c>
      <c r="AA389" s="110">
        <v>21</v>
      </c>
      <c r="AB389" s="110"/>
      <c r="AC389" s="110"/>
      <c r="AD389" s="110"/>
      <c r="AE389" s="110"/>
      <c r="AF389" s="110"/>
      <c r="AG389" s="110"/>
      <c r="AH389" s="110">
        <v>569.9920699999999</v>
      </c>
      <c r="AI389" s="110">
        <v>2</v>
      </c>
      <c r="AJ389" s="110"/>
      <c r="AK389" s="110"/>
      <c r="AL389" s="110"/>
      <c r="AM389" s="641">
        <f t="shared" si="8"/>
        <v>813.04406999999992</v>
      </c>
      <c r="AO389" s="289"/>
      <c r="AP389" s="97"/>
    </row>
    <row r="390" spans="1:42" s="61" customFormat="1" ht="25.5" customHeight="1" x14ac:dyDescent="0.3">
      <c r="A390" s="706"/>
      <c r="B390" s="175" t="s">
        <v>327</v>
      </c>
      <c r="C390" s="176">
        <v>64.361999999999995</v>
      </c>
      <c r="D390" s="127"/>
      <c r="E390" s="127"/>
      <c r="F390" s="265"/>
      <c r="G390" s="127">
        <v>32</v>
      </c>
      <c r="H390" s="127">
        <v>234</v>
      </c>
      <c r="I390" s="178"/>
      <c r="J390" s="127"/>
      <c r="K390" s="127"/>
      <c r="L390" s="265"/>
      <c r="M390" s="127"/>
      <c r="N390" s="178"/>
      <c r="O390" s="127">
        <v>52</v>
      </c>
      <c r="P390" s="127"/>
      <c r="Q390" s="127">
        <v>35</v>
      </c>
      <c r="R390" s="127"/>
      <c r="S390" s="127">
        <v>104</v>
      </c>
      <c r="T390" s="177"/>
      <c r="U390" s="176">
        <v>1.3240000000000001</v>
      </c>
      <c r="V390" s="127"/>
      <c r="W390" s="127"/>
      <c r="X390" s="127"/>
      <c r="Y390" s="127"/>
      <c r="Z390" s="127"/>
      <c r="AA390" s="127"/>
      <c r="AB390" s="127"/>
      <c r="AC390" s="127"/>
      <c r="AD390" s="127"/>
      <c r="AE390" s="127"/>
      <c r="AF390" s="127"/>
      <c r="AG390" s="127"/>
      <c r="AH390" s="127">
        <v>864.23</v>
      </c>
      <c r="AI390" s="127">
        <v>2</v>
      </c>
      <c r="AJ390" s="127"/>
      <c r="AK390" s="127"/>
      <c r="AL390" s="127"/>
      <c r="AM390" s="642">
        <f t="shared" si="8"/>
        <v>1388.9159999999999</v>
      </c>
      <c r="AO390" s="289"/>
    </row>
    <row r="391" spans="1:42" s="61" customFormat="1" ht="25.5" customHeight="1" x14ac:dyDescent="0.3">
      <c r="A391" s="706"/>
      <c r="B391" s="180" t="s">
        <v>361</v>
      </c>
      <c r="C391" s="300">
        <v>35.806040000000003</v>
      </c>
      <c r="D391" s="173"/>
      <c r="E391" s="173"/>
      <c r="F391" s="266">
        <v>-23</v>
      </c>
      <c r="G391" s="173">
        <f>32+1</f>
        <v>33</v>
      </c>
      <c r="H391" s="173">
        <f>91+3+45</f>
        <v>139</v>
      </c>
      <c r="I391" s="174"/>
      <c r="J391" s="173"/>
      <c r="K391" s="173"/>
      <c r="L391" s="266"/>
      <c r="M391" s="173"/>
      <c r="N391" s="174"/>
      <c r="O391" s="173"/>
      <c r="P391" s="173"/>
      <c r="Q391" s="173">
        <v>35</v>
      </c>
      <c r="R391" s="173"/>
      <c r="S391" s="173">
        <v>214</v>
      </c>
      <c r="T391" s="327"/>
      <c r="U391" s="300">
        <v>1.272</v>
      </c>
      <c r="V391" s="173"/>
      <c r="W391" s="173"/>
      <c r="X391" s="173"/>
      <c r="Y391" s="173"/>
      <c r="Z391" s="173"/>
      <c r="AA391" s="173">
        <f>21+2.18878</f>
        <v>23.188780000000001</v>
      </c>
      <c r="AB391" s="173"/>
      <c r="AC391" s="173"/>
      <c r="AD391" s="173"/>
      <c r="AE391" s="173"/>
      <c r="AF391" s="173"/>
      <c r="AG391" s="173"/>
      <c r="AH391" s="173">
        <v>865</v>
      </c>
      <c r="AI391" s="173">
        <v>2</v>
      </c>
      <c r="AJ391" s="173"/>
      <c r="AK391" s="173"/>
      <c r="AL391" s="173"/>
      <c r="AM391" s="643">
        <f t="shared" si="8"/>
        <v>1325.2668200000001</v>
      </c>
      <c r="AO391" s="289"/>
      <c r="AP391" s="97"/>
    </row>
    <row r="392" spans="1:42" s="61" customFormat="1" ht="25.5" customHeight="1" x14ac:dyDescent="0.3">
      <c r="A392" s="706"/>
      <c r="B392" s="180" t="s">
        <v>362</v>
      </c>
      <c r="C392" s="300">
        <v>29.988669999999999</v>
      </c>
      <c r="D392" s="173"/>
      <c r="E392" s="173"/>
      <c r="F392" s="266"/>
      <c r="G392" s="173">
        <v>33</v>
      </c>
      <c r="H392" s="173">
        <f>98+6</f>
        <v>104</v>
      </c>
      <c r="I392" s="174"/>
      <c r="J392" s="173"/>
      <c r="K392" s="173"/>
      <c r="L392" s="266"/>
      <c r="M392" s="173"/>
      <c r="N392" s="174"/>
      <c r="O392" s="173"/>
      <c r="P392" s="173"/>
      <c r="Q392" s="173">
        <v>2</v>
      </c>
      <c r="R392" s="173"/>
      <c r="S392" s="173">
        <v>147</v>
      </c>
      <c r="T392" s="327"/>
      <c r="U392" s="300">
        <v>2.2730000000000001</v>
      </c>
      <c r="V392" s="173"/>
      <c r="W392" s="173"/>
      <c r="X392" s="173"/>
      <c r="Y392" s="173"/>
      <c r="Z392" s="173">
        <v>20</v>
      </c>
      <c r="AA392" s="173"/>
      <c r="AB392" s="173"/>
      <c r="AC392" s="173"/>
      <c r="AD392" s="173"/>
      <c r="AE392" s="173"/>
      <c r="AF392" s="173"/>
      <c r="AG392" s="173"/>
      <c r="AH392" s="173">
        <v>975</v>
      </c>
      <c r="AI392" s="173">
        <v>5</v>
      </c>
      <c r="AJ392" s="173"/>
      <c r="AK392" s="173"/>
      <c r="AL392" s="173"/>
      <c r="AM392" s="644">
        <f t="shared" si="8"/>
        <v>1318.2616700000001</v>
      </c>
      <c r="AO392" s="289"/>
      <c r="AP392" s="97"/>
    </row>
    <row r="393" spans="1:42" s="61" customFormat="1" ht="22.5" customHeight="1" x14ac:dyDescent="0.3">
      <c r="A393" s="706"/>
      <c r="B393" s="115" t="s">
        <v>402</v>
      </c>
      <c r="C393" s="142">
        <v>53.359909999999999</v>
      </c>
      <c r="D393" s="111"/>
      <c r="E393" s="111"/>
      <c r="F393" s="267"/>
      <c r="G393" s="111">
        <v>460</v>
      </c>
      <c r="H393" s="111">
        <v>26</v>
      </c>
      <c r="I393" s="125"/>
      <c r="J393" s="111"/>
      <c r="K393" s="111"/>
      <c r="L393" s="267">
        <v>0</v>
      </c>
      <c r="M393" s="111"/>
      <c r="N393" s="125"/>
      <c r="O393" s="111"/>
      <c r="P393" s="111"/>
      <c r="Q393" s="111"/>
      <c r="R393" s="111"/>
      <c r="S393" s="111"/>
      <c r="T393" s="143"/>
      <c r="U393" s="142">
        <v>3.3860000000000001</v>
      </c>
      <c r="V393" s="111"/>
      <c r="W393" s="111"/>
      <c r="X393" s="111"/>
      <c r="Y393" s="111"/>
      <c r="Z393" s="111"/>
      <c r="AA393" s="111"/>
      <c r="AB393" s="111"/>
      <c r="AC393" s="111"/>
      <c r="AD393" s="111"/>
      <c r="AE393" s="111"/>
      <c r="AF393" s="111"/>
      <c r="AG393" s="111"/>
      <c r="AH393" s="111">
        <v>74.400000000000006</v>
      </c>
      <c r="AI393" s="111">
        <v>5</v>
      </c>
      <c r="AJ393" s="111"/>
      <c r="AK393" s="111"/>
      <c r="AL393" s="111"/>
      <c r="AM393" s="645">
        <f t="shared" si="8"/>
        <v>622.14590999999996</v>
      </c>
      <c r="AO393" s="289"/>
    </row>
    <row r="394" spans="1:42" s="61" customFormat="1" ht="21" customHeight="1" x14ac:dyDescent="0.3">
      <c r="A394" s="707"/>
      <c r="B394" s="181" t="s">
        <v>403</v>
      </c>
      <c r="C394" s="144">
        <v>14.70449</v>
      </c>
      <c r="D394" s="112"/>
      <c r="E394" s="112"/>
      <c r="F394" s="268"/>
      <c r="G394" s="112">
        <v>799</v>
      </c>
      <c r="H394" s="112">
        <v>7</v>
      </c>
      <c r="I394" s="126"/>
      <c r="J394" s="112"/>
      <c r="K394" s="112"/>
      <c r="L394" s="268"/>
      <c r="M394" s="112"/>
      <c r="N394" s="126"/>
      <c r="O394" s="112"/>
      <c r="P394" s="112"/>
      <c r="Q394" s="112">
        <v>-0.5</v>
      </c>
      <c r="R394" s="112"/>
      <c r="S394" s="112"/>
      <c r="T394" s="145"/>
      <c r="U394" s="144">
        <v>3.43</v>
      </c>
      <c r="V394" s="112"/>
      <c r="W394" s="112"/>
      <c r="X394" s="112"/>
      <c r="Y394" s="112"/>
      <c r="Z394" s="112"/>
      <c r="AA394" s="112"/>
      <c r="AB394" s="112"/>
      <c r="AC394" s="112"/>
      <c r="AD394" s="112"/>
      <c r="AE394" s="112"/>
      <c r="AF394" s="112"/>
      <c r="AG394" s="112"/>
      <c r="AH394" s="112">
        <v>1199.4000000000001</v>
      </c>
      <c r="AI394" s="112">
        <v>5</v>
      </c>
      <c r="AJ394" s="112"/>
      <c r="AK394" s="112"/>
      <c r="AL394" s="112"/>
      <c r="AM394" s="646">
        <f t="shared" si="8"/>
        <v>2028.03449</v>
      </c>
      <c r="AO394" s="289"/>
    </row>
    <row r="395" spans="1:42" s="61" customFormat="1" ht="21" customHeight="1" x14ac:dyDescent="0.3">
      <c r="A395" s="705" t="s">
        <v>146</v>
      </c>
      <c r="B395" s="179" t="s">
        <v>293</v>
      </c>
      <c r="C395" s="135">
        <v>37</v>
      </c>
      <c r="D395" s="136">
        <v>16384</v>
      </c>
      <c r="E395" s="136"/>
      <c r="F395" s="262"/>
      <c r="G395" s="136">
        <v>26</v>
      </c>
      <c r="H395" s="136">
        <v>2</v>
      </c>
      <c r="I395" s="326"/>
      <c r="J395" s="136"/>
      <c r="K395" s="136"/>
      <c r="L395" s="262">
        <v>7.0640000000000001</v>
      </c>
      <c r="M395" s="136"/>
      <c r="N395" s="326"/>
      <c r="O395" s="136"/>
      <c r="P395" s="136"/>
      <c r="Q395" s="136"/>
      <c r="R395" s="136"/>
      <c r="S395" s="136">
        <v>5</v>
      </c>
      <c r="T395" s="137"/>
      <c r="U395" s="632">
        <v>50</v>
      </c>
      <c r="V395" s="122"/>
      <c r="W395" s="122"/>
      <c r="X395" s="122"/>
      <c r="Y395" s="122">
        <v>10</v>
      </c>
      <c r="Z395" s="122">
        <v>421</v>
      </c>
      <c r="AA395" s="122">
        <v>1.3657000000000001</v>
      </c>
      <c r="AB395" s="122">
        <v>2</v>
      </c>
      <c r="AC395" s="122"/>
      <c r="AD395" s="122">
        <v>15</v>
      </c>
      <c r="AE395" s="122"/>
      <c r="AF395" s="122"/>
      <c r="AG395" s="122">
        <v>1.2509999999999999</v>
      </c>
      <c r="AH395" s="122"/>
      <c r="AI395" s="122" t="s">
        <v>482</v>
      </c>
      <c r="AJ395" s="122"/>
      <c r="AK395" s="122"/>
      <c r="AL395" s="122"/>
      <c r="AM395" s="639">
        <f t="shared" si="8"/>
        <v>16961.680699999997</v>
      </c>
      <c r="AO395" s="289"/>
    </row>
    <row r="396" spans="1:42" s="61" customFormat="1" ht="19.5" customHeight="1" x14ac:dyDescent="0.3">
      <c r="A396" s="706"/>
      <c r="B396" s="116" t="s">
        <v>294</v>
      </c>
      <c r="C396" s="138">
        <v>79</v>
      </c>
      <c r="D396" s="109">
        <v>7888</v>
      </c>
      <c r="E396" s="109"/>
      <c r="F396" s="263"/>
      <c r="G396" s="109">
        <v>27</v>
      </c>
      <c r="H396" s="109">
        <v>3</v>
      </c>
      <c r="I396" s="123"/>
      <c r="J396" s="109"/>
      <c r="K396" s="109"/>
      <c r="L396" s="263">
        <v>83.552000000000007</v>
      </c>
      <c r="M396" s="109"/>
      <c r="N396" s="123"/>
      <c r="O396" s="109"/>
      <c r="P396" s="109"/>
      <c r="Q396" s="109"/>
      <c r="R396" s="109"/>
      <c r="S396" s="109">
        <v>9.4499999999999993</v>
      </c>
      <c r="T396" s="139">
        <v>2</v>
      </c>
      <c r="U396" s="138">
        <v>27.721</v>
      </c>
      <c r="V396" s="109"/>
      <c r="W396" s="109"/>
      <c r="X396" s="109"/>
      <c r="Y396" s="109">
        <v>15</v>
      </c>
      <c r="Z396" s="109">
        <v>427</v>
      </c>
      <c r="AA396" s="109"/>
      <c r="AB396" s="109">
        <v>4</v>
      </c>
      <c r="AC396" s="109"/>
      <c r="AD396" s="109">
        <v>46</v>
      </c>
      <c r="AE396" s="109"/>
      <c r="AF396" s="109"/>
      <c r="AG396" s="109">
        <v>3.7250000000000001</v>
      </c>
      <c r="AH396" s="109">
        <v>94.5</v>
      </c>
      <c r="AI396" s="109" t="s">
        <v>482</v>
      </c>
      <c r="AJ396" s="109"/>
      <c r="AK396" s="109"/>
      <c r="AL396" s="109"/>
      <c r="AM396" s="640">
        <f t="shared" si="8"/>
        <v>8709.9479999999985</v>
      </c>
      <c r="AO396" s="289"/>
    </row>
    <row r="397" spans="1:42" s="61" customFormat="1" ht="22.5" customHeight="1" x14ac:dyDescent="0.3">
      <c r="A397" s="706"/>
      <c r="B397" s="117" t="s">
        <v>326</v>
      </c>
      <c r="C397" s="140">
        <v>23.186</v>
      </c>
      <c r="D397" s="110">
        <v>9502.5709999999999</v>
      </c>
      <c r="E397" s="110"/>
      <c r="F397" s="264"/>
      <c r="G397" s="110">
        <v>27</v>
      </c>
      <c r="H397" s="110">
        <v>8</v>
      </c>
      <c r="I397" s="124"/>
      <c r="J397" s="110"/>
      <c r="K397" s="110"/>
      <c r="L397" s="264">
        <v>10</v>
      </c>
      <c r="M397" s="110"/>
      <c r="N397" s="124"/>
      <c r="O397" s="110"/>
      <c r="P397" s="110"/>
      <c r="Q397" s="110"/>
      <c r="R397" s="110"/>
      <c r="S397" s="110">
        <v>6</v>
      </c>
      <c r="T397" s="141"/>
      <c r="U397" s="140">
        <v>1.19</v>
      </c>
      <c r="V397" s="110"/>
      <c r="W397" s="110"/>
      <c r="X397" s="110"/>
      <c r="Y397" s="110">
        <v>40</v>
      </c>
      <c r="Z397" s="110">
        <v>463</v>
      </c>
      <c r="AA397" s="110"/>
      <c r="AB397" s="110">
        <v>5</v>
      </c>
      <c r="AC397" s="110"/>
      <c r="AD397" s="110">
        <v>31</v>
      </c>
      <c r="AE397" s="110"/>
      <c r="AF397" s="110"/>
      <c r="AG397" s="110">
        <f>1.3/1.3</f>
        <v>1</v>
      </c>
      <c r="AH397" s="110"/>
      <c r="AI397" s="110" t="s">
        <v>482</v>
      </c>
      <c r="AJ397" s="110"/>
      <c r="AK397" s="110"/>
      <c r="AL397" s="110"/>
      <c r="AM397" s="641">
        <f t="shared" si="8"/>
        <v>10117.947</v>
      </c>
      <c r="AO397" s="289"/>
      <c r="AP397" s="97"/>
    </row>
    <row r="398" spans="1:42" s="61" customFormat="1" ht="25.5" customHeight="1" x14ac:dyDescent="0.3">
      <c r="A398" s="706"/>
      <c r="B398" s="175" t="s">
        <v>327</v>
      </c>
      <c r="C398" s="176">
        <v>42.93</v>
      </c>
      <c r="D398" s="127">
        <v>18288.332999999999</v>
      </c>
      <c r="E398" s="127"/>
      <c r="F398" s="265"/>
      <c r="G398" s="127">
        <v>29</v>
      </c>
      <c r="H398" s="127"/>
      <c r="I398" s="178"/>
      <c r="J398" s="127"/>
      <c r="K398" s="127"/>
      <c r="L398" s="265"/>
      <c r="M398" s="127"/>
      <c r="N398" s="178"/>
      <c r="O398" s="127"/>
      <c r="P398" s="127"/>
      <c r="Q398" s="127"/>
      <c r="R398" s="127"/>
      <c r="S398" s="127">
        <v>264</v>
      </c>
      <c r="T398" s="177"/>
      <c r="U398" s="176">
        <v>1.19</v>
      </c>
      <c r="V398" s="127"/>
      <c r="W398" s="127"/>
      <c r="X398" s="127">
        <v>7</v>
      </c>
      <c r="Y398" s="127">
        <v>113</v>
      </c>
      <c r="Z398" s="127">
        <v>706</v>
      </c>
      <c r="AA398" s="127"/>
      <c r="AB398" s="127">
        <v>4</v>
      </c>
      <c r="AC398" s="127"/>
      <c r="AD398" s="127">
        <v>31</v>
      </c>
      <c r="AE398" s="127"/>
      <c r="AF398" s="127"/>
      <c r="AG398" s="127"/>
      <c r="AH398" s="127"/>
      <c r="AI398" s="127" t="s">
        <v>482</v>
      </c>
      <c r="AJ398" s="127"/>
      <c r="AK398" s="127"/>
      <c r="AL398" s="127"/>
      <c r="AM398" s="642">
        <f t="shared" si="8"/>
        <v>19486.452999999998</v>
      </c>
      <c r="AO398" s="289"/>
    </row>
    <row r="399" spans="1:42" s="61" customFormat="1" ht="25.5" customHeight="1" x14ac:dyDescent="0.3">
      <c r="A399" s="706"/>
      <c r="B399" s="180" t="s">
        <v>361</v>
      </c>
      <c r="C399" s="300">
        <v>28.641030000000001</v>
      </c>
      <c r="D399" s="173">
        <v>16099.7</v>
      </c>
      <c r="E399" s="173"/>
      <c r="F399" s="266"/>
      <c r="G399" s="173">
        <v>29</v>
      </c>
      <c r="H399" s="173">
        <v>202</v>
      </c>
      <c r="I399" s="174"/>
      <c r="J399" s="173"/>
      <c r="K399" s="173"/>
      <c r="L399" s="266"/>
      <c r="M399" s="173">
        <v>15.26</v>
      </c>
      <c r="N399" s="174"/>
      <c r="O399" s="173"/>
      <c r="P399" s="173"/>
      <c r="Q399" s="173"/>
      <c r="R399" s="173"/>
      <c r="S399" s="173">
        <v>795</v>
      </c>
      <c r="T399" s="327"/>
      <c r="U399" s="300">
        <v>27.620999999999999</v>
      </c>
      <c r="V399" s="173"/>
      <c r="W399" s="173">
        <v>30</v>
      </c>
      <c r="X399" s="173"/>
      <c r="Y399" s="173">
        <v>63</v>
      </c>
      <c r="Z399" s="173">
        <v>752.78278</v>
      </c>
      <c r="AA399" s="173">
        <v>2.0113099999999999</v>
      </c>
      <c r="AB399" s="173">
        <v>4</v>
      </c>
      <c r="AC399" s="173"/>
      <c r="AD399" s="173">
        <v>66</v>
      </c>
      <c r="AE399" s="173"/>
      <c r="AF399" s="173"/>
      <c r="AG399" s="173"/>
      <c r="AH399" s="173">
        <v>400</v>
      </c>
      <c r="AI399" s="173">
        <v>37</v>
      </c>
      <c r="AJ399" s="173"/>
      <c r="AK399" s="173"/>
      <c r="AL399" s="173"/>
      <c r="AM399" s="643">
        <f t="shared" si="8"/>
        <v>18552.016120000004</v>
      </c>
      <c r="AO399" s="289"/>
      <c r="AP399" s="97"/>
    </row>
    <row r="400" spans="1:42" s="61" customFormat="1" ht="25.5" customHeight="1" x14ac:dyDescent="0.3">
      <c r="A400" s="706"/>
      <c r="B400" s="180" t="s">
        <v>362</v>
      </c>
      <c r="C400" s="300">
        <v>84</v>
      </c>
      <c r="D400" s="173">
        <v>2086.9699999999998</v>
      </c>
      <c r="E400" s="173"/>
      <c r="F400" s="266"/>
      <c r="G400" s="173">
        <v>30</v>
      </c>
      <c r="H400" s="173">
        <v>4</v>
      </c>
      <c r="I400" s="174"/>
      <c r="J400" s="173"/>
      <c r="K400" s="173"/>
      <c r="L400" s="266">
        <v>45</v>
      </c>
      <c r="M400" s="173">
        <v>5</v>
      </c>
      <c r="N400" s="174"/>
      <c r="O400" s="173"/>
      <c r="P400" s="173"/>
      <c r="Q400" s="173"/>
      <c r="R400" s="173"/>
      <c r="S400" s="173">
        <v>37</v>
      </c>
      <c r="T400" s="327"/>
      <c r="U400" s="300">
        <v>17.433</v>
      </c>
      <c r="V400" s="173"/>
      <c r="W400" s="173"/>
      <c r="X400" s="173">
        <v>346</v>
      </c>
      <c r="Y400" s="173">
        <v>129</v>
      </c>
      <c r="Z400" s="173">
        <v>1138.12075</v>
      </c>
      <c r="AA400" s="173"/>
      <c r="AB400" s="173"/>
      <c r="AC400" s="173"/>
      <c r="AD400" s="173">
        <v>72</v>
      </c>
      <c r="AE400" s="173"/>
      <c r="AF400" s="173"/>
      <c r="AG400" s="173"/>
      <c r="AH400" s="173">
        <v>656</v>
      </c>
      <c r="AI400" s="173" t="s">
        <v>482</v>
      </c>
      <c r="AJ400" s="173"/>
      <c r="AK400" s="173"/>
      <c r="AL400" s="173"/>
      <c r="AM400" s="644">
        <f t="shared" si="8"/>
        <v>4650.5237500000003</v>
      </c>
      <c r="AO400" s="289"/>
      <c r="AP400" s="97"/>
    </row>
    <row r="401" spans="1:42" s="61" customFormat="1" ht="22.5" customHeight="1" x14ac:dyDescent="0.3">
      <c r="A401" s="706"/>
      <c r="B401" s="115" t="s">
        <v>402</v>
      </c>
      <c r="C401" s="142">
        <v>58.162959999999998</v>
      </c>
      <c r="D401" s="111">
        <f>(1504325+21007571)/1000</f>
        <v>22511.896000000001</v>
      </c>
      <c r="E401" s="111"/>
      <c r="F401" s="267"/>
      <c r="G401" s="111"/>
      <c r="H401" s="111">
        <v>9</v>
      </c>
      <c r="I401" s="125"/>
      <c r="J401" s="111"/>
      <c r="K401" s="111"/>
      <c r="L401" s="267">
        <v>0</v>
      </c>
      <c r="M401" s="111">
        <v>-18.452069999999999</v>
      </c>
      <c r="N401" s="125"/>
      <c r="O401" s="111"/>
      <c r="P401" s="111"/>
      <c r="Q401" s="111"/>
      <c r="R401" s="111"/>
      <c r="S401" s="111">
        <v>33.584528000000006</v>
      </c>
      <c r="T401" s="143"/>
      <c r="U401" s="142">
        <v>1.3879999999999999</v>
      </c>
      <c r="V401" s="111"/>
      <c r="W401" s="111"/>
      <c r="X401" s="111">
        <v>346</v>
      </c>
      <c r="Y401" s="111">
        <v>143.09800000000001</v>
      </c>
      <c r="Z401" s="111"/>
      <c r="AA401" s="111"/>
      <c r="AB401" s="111"/>
      <c r="AC401" s="111"/>
      <c r="AD401" s="111">
        <v>0</v>
      </c>
      <c r="AE401" s="111"/>
      <c r="AF401" s="111"/>
      <c r="AG401" s="111"/>
      <c r="AH401" s="111">
        <v>200</v>
      </c>
      <c r="AI401" s="111">
        <v>21</v>
      </c>
      <c r="AJ401" s="111"/>
      <c r="AK401" s="111"/>
      <c r="AL401" s="111"/>
      <c r="AM401" s="645">
        <f t="shared" si="8"/>
        <v>23305.677418000003</v>
      </c>
      <c r="AO401" s="289"/>
    </row>
    <row r="402" spans="1:42" s="61" customFormat="1" ht="21" customHeight="1" x14ac:dyDescent="0.3">
      <c r="A402" s="707"/>
      <c r="B402" s="181" t="s">
        <v>403</v>
      </c>
      <c r="C402" s="144">
        <v>42.21857</v>
      </c>
      <c r="D402" s="112">
        <f>(27447892+1577384)/1000</f>
        <v>29025.276000000002</v>
      </c>
      <c r="E402" s="112"/>
      <c r="F402" s="268">
        <v>74</v>
      </c>
      <c r="G402" s="112"/>
      <c r="H402" s="112">
        <v>2</v>
      </c>
      <c r="I402" s="126"/>
      <c r="J402" s="112"/>
      <c r="K402" s="112"/>
      <c r="L402" s="268"/>
      <c r="M402" s="112"/>
      <c r="N402" s="126"/>
      <c r="O402" s="112"/>
      <c r="P402" s="112"/>
      <c r="Q402" s="112"/>
      <c r="R402" s="112"/>
      <c r="S402" s="112">
        <v>8153.9663279999995</v>
      </c>
      <c r="T402" s="145"/>
      <c r="U402" s="144">
        <v>23.978000000000002</v>
      </c>
      <c r="V402" s="112"/>
      <c r="W402" s="112"/>
      <c r="X402" s="112"/>
      <c r="Y402" s="112">
        <v>75.677999999999997</v>
      </c>
      <c r="Z402" s="112"/>
      <c r="AA402" s="112"/>
      <c r="AB402" s="112"/>
      <c r="AC402" s="112"/>
      <c r="AD402" s="112">
        <v>216</v>
      </c>
      <c r="AE402" s="112"/>
      <c r="AF402" s="112"/>
      <c r="AG402" s="112"/>
      <c r="AH402" s="112">
        <v>814.202</v>
      </c>
      <c r="AI402" s="112">
        <v>22</v>
      </c>
      <c r="AJ402" s="112"/>
      <c r="AK402" s="112">
        <v>1.1000000000000001</v>
      </c>
      <c r="AL402" s="112"/>
      <c r="AM402" s="646">
        <f t="shared" si="8"/>
        <v>38450.418898000004</v>
      </c>
      <c r="AO402" s="289"/>
    </row>
    <row r="403" spans="1:42" s="61" customFormat="1" ht="21" customHeight="1" x14ac:dyDescent="0.3">
      <c r="A403" s="705" t="s">
        <v>147</v>
      </c>
      <c r="B403" s="179" t="s">
        <v>293</v>
      </c>
      <c r="C403" s="135">
        <v>85.5</v>
      </c>
      <c r="D403" s="136"/>
      <c r="E403" s="136"/>
      <c r="F403" s="262">
        <v>537.38300000000004</v>
      </c>
      <c r="G403" s="136">
        <v>281</v>
      </c>
      <c r="H403" s="136">
        <v>48</v>
      </c>
      <c r="I403" s="326"/>
      <c r="J403" s="136"/>
      <c r="K403" s="136"/>
      <c r="L403" s="262"/>
      <c r="M403" s="136"/>
      <c r="N403" s="326">
        <v>159.65899999999999</v>
      </c>
      <c r="O403" s="136"/>
      <c r="P403" s="136"/>
      <c r="Q403" s="136"/>
      <c r="R403" s="136"/>
      <c r="S403" s="136">
        <v>293</v>
      </c>
      <c r="T403" s="137">
        <v>163.38300000000001</v>
      </c>
      <c r="U403" s="632">
        <v>6.1790000000000003</v>
      </c>
      <c r="V403" s="122"/>
      <c r="W403" s="122"/>
      <c r="X403" s="122">
        <v>80</v>
      </c>
      <c r="Y403" s="122">
        <v>59.231000000000002</v>
      </c>
      <c r="Z403" s="122">
        <v>400</v>
      </c>
      <c r="AA403" s="122">
        <v>37.277809999999995</v>
      </c>
      <c r="AB403" s="122">
        <v>16</v>
      </c>
      <c r="AC403" s="122">
        <v>99.349000000000004</v>
      </c>
      <c r="AD403" s="122">
        <v>66</v>
      </c>
      <c r="AE403" s="122"/>
      <c r="AF403" s="122"/>
      <c r="AG403" s="122">
        <v>9.6850000000000005</v>
      </c>
      <c r="AH403" s="122"/>
      <c r="AI403" s="122" t="s">
        <v>482</v>
      </c>
      <c r="AJ403" s="122"/>
      <c r="AK403" s="122"/>
      <c r="AL403" s="122">
        <v>8.4364295302013428</v>
      </c>
      <c r="AM403" s="639">
        <f t="shared" si="8"/>
        <v>2350.0832395302014</v>
      </c>
      <c r="AO403" s="289"/>
    </row>
    <row r="404" spans="1:42" s="61" customFormat="1" ht="19.5" customHeight="1" x14ac:dyDescent="0.3">
      <c r="A404" s="706"/>
      <c r="B404" s="116" t="s">
        <v>294</v>
      </c>
      <c r="C404" s="138">
        <v>156.5</v>
      </c>
      <c r="D404" s="109"/>
      <c r="E404" s="109"/>
      <c r="F404" s="263">
        <v>238.185</v>
      </c>
      <c r="G404" s="109">
        <v>486</v>
      </c>
      <c r="H404" s="109">
        <v>147</v>
      </c>
      <c r="I404" s="123"/>
      <c r="J404" s="109">
        <v>10</v>
      </c>
      <c r="K404" s="109"/>
      <c r="L404" s="263"/>
      <c r="M404" s="109"/>
      <c r="N404" s="123">
        <v>540.673</v>
      </c>
      <c r="O404" s="109"/>
      <c r="P404" s="109"/>
      <c r="Q404" s="109"/>
      <c r="R404" s="109"/>
      <c r="S404" s="109">
        <v>320</v>
      </c>
      <c r="T404" s="139">
        <v>126.22199999999999</v>
      </c>
      <c r="U404" s="138">
        <v>7.266</v>
      </c>
      <c r="V404" s="109"/>
      <c r="W404" s="109"/>
      <c r="X404" s="109">
        <v>90</v>
      </c>
      <c r="Y404" s="109">
        <v>84.421000000000006</v>
      </c>
      <c r="Z404" s="109">
        <v>548</v>
      </c>
      <c r="AA404" s="109">
        <v>130.90036000000001</v>
      </c>
      <c r="AB404" s="109">
        <v>18</v>
      </c>
      <c r="AC404" s="109">
        <v>99.942999999999998</v>
      </c>
      <c r="AD404" s="109">
        <v>36</v>
      </c>
      <c r="AE404" s="109"/>
      <c r="AF404" s="109"/>
      <c r="AG404" s="109">
        <v>5.48</v>
      </c>
      <c r="AH404" s="109">
        <v>177.69</v>
      </c>
      <c r="AI404" s="109" t="s">
        <v>482</v>
      </c>
      <c r="AJ404" s="109"/>
      <c r="AK404" s="109"/>
      <c r="AL404" s="109">
        <v>0</v>
      </c>
      <c r="AM404" s="640">
        <f t="shared" si="8"/>
        <v>3222.2803600000002</v>
      </c>
      <c r="AO404" s="289"/>
    </row>
    <row r="405" spans="1:42" s="61" customFormat="1" ht="22.5" customHeight="1" x14ac:dyDescent="0.3">
      <c r="A405" s="706"/>
      <c r="B405" s="117" t="s">
        <v>326</v>
      </c>
      <c r="C405" s="140">
        <v>1130.087</v>
      </c>
      <c r="D405" s="110"/>
      <c r="E405" s="110"/>
      <c r="F405" s="264">
        <v>286</v>
      </c>
      <c r="G405" s="110">
        <v>2234</v>
      </c>
      <c r="H405" s="110">
        <v>133</v>
      </c>
      <c r="I405" s="124"/>
      <c r="J405" s="110"/>
      <c r="K405" s="110"/>
      <c r="L405" s="264">
        <v>36</v>
      </c>
      <c r="M405" s="110"/>
      <c r="N405" s="124">
        <v>520.83000000000004</v>
      </c>
      <c r="O405" s="110"/>
      <c r="P405" s="110">
        <v>36</v>
      </c>
      <c r="Q405" s="110"/>
      <c r="R405" s="110"/>
      <c r="S405" s="110">
        <v>39</v>
      </c>
      <c r="T405" s="141"/>
      <c r="U405" s="140">
        <v>35.612000000000002</v>
      </c>
      <c r="V405" s="110"/>
      <c r="W405" s="110"/>
      <c r="X405" s="110">
        <v>117</v>
      </c>
      <c r="Y405" s="110">
        <v>431</v>
      </c>
      <c r="Z405" s="110">
        <v>1122</v>
      </c>
      <c r="AA405" s="110">
        <f>115.25045-0.028</f>
        <v>115.22244999999999</v>
      </c>
      <c r="AB405" s="110">
        <v>39</v>
      </c>
      <c r="AC405" s="110">
        <v>319.15899999999999</v>
      </c>
      <c r="AD405" s="110">
        <v>41</v>
      </c>
      <c r="AE405" s="110"/>
      <c r="AF405" s="110"/>
      <c r="AG405" s="110"/>
      <c r="AH405" s="110">
        <v>96.092449999999999</v>
      </c>
      <c r="AI405" s="110" t="s">
        <v>482</v>
      </c>
      <c r="AJ405" s="110"/>
      <c r="AK405" s="110"/>
      <c r="AL405" s="110">
        <v>0</v>
      </c>
      <c r="AM405" s="641">
        <f t="shared" si="8"/>
        <v>6731.0029000000004</v>
      </c>
      <c r="AO405" s="289"/>
      <c r="AP405" s="97"/>
    </row>
    <row r="406" spans="1:42" s="61" customFormat="1" ht="25.5" customHeight="1" x14ac:dyDescent="0.3">
      <c r="A406" s="706"/>
      <c r="B406" s="175" t="s">
        <v>327</v>
      </c>
      <c r="C406" s="176">
        <v>319.20400000000001</v>
      </c>
      <c r="D406" s="127"/>
      <c r="E406" s="127">
        <v>18</v>
      </c>
      <c r="F406" s="265">
        <v>539</v>
      </c>
      <c r="G406" s="127">
        <v>637</v>
      </c>
      <c r="H406" s="127">
        <v>41</v>
      </c>
      <c r="I406" s="178"/>
      <c r="J406" s="127">
        <v>20</v>
      </c>
      <c r="K406" s="127"/>
      <c r="L406" s="265"/>
      <c r="M406" s="127"/>
      <c r="N406" s="178">
        <v>745.27599999999995</v>
      </c>
      <c r="O406" s="127"/>
      <c r="P406" s="127">
        <v>19</v>
      </c>
      <c r="Q406" s="127"/>
      <c r="R406" s="127"/>
      <c r="S406" s="127">
        <v>317</v>
      </c>
      <c r="T406" s="177"/>
      <c r="U406" s="176">
        <v>128.27600000000001</v>
      </c>
      <c r="V406" s="127"/>
      <c r="W406" s="127"/>
      <c r="X406" s="127">
        <v>120</v>
      </c>
      <c r="Y406" s="127">
        <v>327</v>
      </c>
      <c r="Z406" s="127">
        <v>2703</v>
      </c>
      <c r="AA406" s="127">
        <v>128.9453</v>
      </c>
      <c r="AB406" s="127">
        <v>40</v>
      </c>
      <c r="AC406" s="127">
        <v>204.30699999999999</v>
      </c>
      <c r="AD406" s="127">
        <v>61</v>
      </c>
      <c r="AE406" s="127"/>
      <c r="AF406" s="127"/>
      <c r="AG406" s="127"/>
      <c r="AH406" s="127">
        <v>1236.1300000000001</v>
      </c>
      <c r="AI406" s="127">
        <v>61</v>
      </c>
      <c r="AJ406" s="127"/>
      <c r="AK406" s="127"/>
      <c r="AL406" s="127">
        <v>58.14732824427481</v>
      </c>
      <c r="AM406" s="642">
        <f t="shared" si="8"/>
        <v>7723.2856282442744</v>
      </c>
      <c r="AO406" s="289"/>
    </row>
    <row r="407" spans="1:42" s="61" customFormat="1" ht="25.5" customHeight="1" x14ac:dyDescent="0.3">
      <c r="A407" s="706"/>
      <c r="B407" s="180" t="s">
        <v>361</v>
      </c>
      <c r="C407" s="300">
        <v>633.33499000000006</v>
      </c>
      <c r="D407" s="173"/>
      <c r="E407" s="173"/>
      <c r="F407" s="266">
        <v>272</v>
      </c>
      <c r="G407" s="173">
        <f>136+1020</f>
        <v>1156</v>
      </c>
      <c r="H407" s="173"/>
      <c r="I407" s="174"/>
      <c r="J407" s="173">
        <v>11</v>
      </c>
      <c r="K407" s="173"/>
      <c r="L407" s="266">
        <v>226</v>
      </c>
      <c r="M407" s="173"/>
      <c r="N407" s="174">
        <v>1045.0170000000001</v>
      </c>
      <c r="O407" s="173"/>
      <c r="P407" s="173"/>
      <c r="Q407" s="173"/>
      <c r="R407" s="173"/>
      <c r="S407" s="173">
        <v>114</v>
      </c>
      <c r="T407" s="327">
        <v>22</v>
      </c>
      <c r="U407" s="300">
        <v>300.863</v>
      </c>
      <c r="V407" s="173">
        <f>3000/1000</f>
        <v>3</v>
      </c>
      <c r="W407" s="173"/>
      <c r="X407" s="173">
        <v>110</v>
      </c>
      <c r="Y407" s="173">
        <v>232</v>
      </c>
      <c r="Z407" s="173">
        <v>2391.0921200000003</v>
      </c>
      <c r="AA407" s="173">
        <f>125.70868-10</f>
        <v>115.70868</v>
      </c>
      <c r="AB407" s="173"/>
      <c r="AC407" s="173">
        <v>236</v>
      </c>
      <c r="AD407" s="173">
        <v>71</v>
      </c>
      <c r="AE407" s="173"/>
      <c r="AF407" s="173"/>
      <c r="AG407" s="173"/>
      <c r="AH407" s="173">
        <v>426</v>
      </c>
      <c r="AI407" s="173">
        <v>22</v>
      </c>
      <c r="AJ407" s="173"/>
      <c r="AK407" s="173">
        <v>4</v>
      </c>
      <c r="AL407" s="173">
        <v>62.952892561983468</v>
      </c>
      <c r="AM407" s="643">
        <f t="shared" si="8"/>
        <v>7453.9686825619838</v>
      </c>
      <c r="AO407" s="289"/>
      <c r="AP407" s="97"/>
    </row>
    <row r="408" spans="1:42" s="61" customFormat="1" ht="25.5" customHeight="1" x14ac:dyDescent="0.3">
      <c r="A408" s="706"/>
      <c r="B408" s="180" t="s">
        <v>362</v>
      </c>
      <c r="C408" s="300">
        <v>641.5</v>
      </c>
      <c r="D408" s="173"/>
      <c r="E408" s="173"/>
      <c r="F408" s="266">
        <v>623</v>
      </c>
      <c r="G408" s="173">
        <f>141+665</f>
        <v>806</v>
      </c>
      <c r="H408" s="173"/>
      <c r="I408" s="174"/>
      <c r="J408" s="173">
        <v>10</v>
      </c>
      <c r="K408" s="173"/>
      <c r="L408" s="266">
        <v>254</v>
      </c>
      <c r="M408" s="173"/>
      <c r="N408" s="174">
        <v>1101.856</v>
      </c>
      <c r="O408" s="173"/>
      <c r="P408" s="173"/>
      <c r="Q408" s="173"/>
      <c r="R408" s="173"/>
      <c r="S408" s="173">
        <v>310</v>
      </c>
      <c r="T408" s="327">
        <v>29.4</v>
      </c>
      <c r="U408" s="300">
        <v>255.292</v>
      </c>
      <c r="V408" s="173">
        <f>(9836/1000)-V407</f>
        <v>6.8360000000000003</v>
      </c>
      <c r="W408" s="173"/>
      <c r="X408" s="173">
        <v>121</v>
      </c>
      <c r="Y408" s="173">
        <v>397</v>
      </c>
      <c r="Z408" s="173">
        <v>2687.5530299999996</v>
      </c>
      <c r="AA408" s="173">
        <v>251.97146000000001</v>
      </c>
      <c r="AB408" s="173"/>
      <c r="AC408" s="173">
        <f>517-236-1</f>
        <v>280</v>
      </c>
      <c r="AD408" s="173">
        <v>254</v>
      </c>
      <c r="AE408" s="173"/>
      <c r="AF408" s="173"/>
      <c r="AG408" s="173"/>
      <c r="AH408" s="173">
        <v>448</v>
      </c>
      <c r="AI408" s="173">
        <v>1</v>
      </c>
      <c r="AJ408" s="173"/>
      <c r="AK408" s="173"/>
      <c r="AL408" s="173">
        <v>77.915276785714269</v>
      </c>
      <c r="AM408" s="644">
        <f t="shared" si="8"/>
        <v>8556.323766785712</v>
      </c>
      <c r="AO408" s="289"/>
      <c r="AP408" s="97"/>
    </row>
    <row r="409" spans="1:42" s="61" customFormat="1" ht="22.5" customHeight="1" x14ac:dyDescent="0.3">
      <c r="A409" s="706"/>
      <c r="B409" s="115" t="s">
        <v>402</v>
      </c>
      <c r="C409" s="142">
        <v>943.42787999999996</v>
      </c>
      <c r="D409" s="111"/>
      <c r="E409" s="111">
        <v>64</v>
      </c>
      <c r="F409" s="267">
        <v>430.9</v>
      </c>
      <c r="G409" s="111">
        <v>1277</v>
      </c>
      <c r="H409" s="111"/>
      <c r="I409" s="125"/>
      <c r="J409" s="111">
        <v>10</v>
      </c>
      <c r="K409" s="111"/>
      <c r="L409" s="267">
        <v>500</v>
      </c>
      <c r="M409" s="111"/>
      <c r="N409" s="125"/>
      <c r="O409" s="111"/>
      <c r="P409" s="111">
        <v>0</v>
      </c>
      <c r="Q409" s="111"/>
      <c r="R409" s="111"/>
      <c r="S409" s="111">
        <v>1728.6202069999999</v>
      </c>
      <c r="T409" s="143">
        <v>170.41</v>
      </c>
      <c r="U409" s="142">
        <v>212.12899999999999</v>
      </c>
      <c r="V409" s="111"/>
      <c r="W409" s="111"/>
      <c r="X409" s="111">
        <v>231</v>
      </c>
      <c r="Y409" s="111">
        <v>986.39599999999996</v>
      </c>
      <c r="Z409" s="111">
        <v>1550</v>
      </c>
      <c r="AA409" s="111">
        <v>201</v>
      </c>
      <c r="AB409" s="111"/>
      <c r="AC409" s="111">
        <v>327</v>
      </c>
      <c r="AD409" s="111">
        <v>197</v>
      </c>
      <c r="AE409" s="111"/>
      <c r="AF409" s="111"/>
      <c r="AG409" s="111"/>
      <c r="AH409" s="111">
        <v>816.72500000000002</v>
      </c>
      <c r="AI409" s="111" t="s">
        <v>482</v>
      </c>
      <c r="AJ409" s="111"/>
      <c r="AK409" s="111">
        <f>19.95/1.097</f>
        <v>18.185961713764812</v>
      </c>
      <c r="AL409" s="111">
        <v>77.935714285714269</v>
      </c>
      <c r="AM409" s="645">
        <f t="shared" si="8"/>
        <v>9741.7297629994773</v>
      </c>
      <c r="AO409" s="289"/>
    </row>
    <row r="410" spans="1:42" s="61" customFormat="1" ht="21" customHeight="1" x14ac:dyDescent="0.3">
      <c r="A410" s="707"/>
      <c r="B410" s="181" t="s">
        <v>403</v>
      </c>
      <c r="C410" s="144">
        <v>459.34417999999999</v>
      </c>
      <c r="D410" s="112"/>
      <c r="E410" s="112"/>
      <c r="F410" s="268">
        <v>168.5</v>
      </c>
      <c r="G410" s="112">
        <v>787</v>
      </c>
      <c r="H410" s="112"/>
      <c r="I410" s="126"/>
      <c r="J410" s="112">
        <v>10</v>
      </c>
      <c r="K410" s="112"/>
      <c r="L410" s="268"/>
      <c r="M410" s="112"/>
      <c r="N410" s="126"/>
      <c r="O410" s="112"/>
      <c r="P410" s="112">
        <v>25</v>
      </c>
      <c r="Q410" s="112"/>
      <c r="R410" s="112"/>
      <c r="S410" s="112">
        <v>1383.8775190000001</v>
      </c>
      <c r="T410" s="145">
        <v>101.57</v>
      </c>
      <c r="U410" s="144">
        <v>127.486</v>
      </c>
      <c r="V410" s="112">
        <v>8.1010000000000009</v>
      </c>
      <c r="W410" s="112"/>
      <c r="X410" s="112">
        <v>-109</v>
      </c>
      <c r="Y410" s="112">
        <v>549.1</v>
      </c>
      <c r="Z410" s="112">
        <v>1073</v>
      </c>
      <c r="AA410" s="112">
        <v>100</v>
      </c>
      <c r="AB410" s="112"/>
      <c r="AC410" s="112">
        <v>0</v>
      </c>
      <c r="AD410" s="112">
        <v>524</v>
      </c>
      <c r="AE410" s="112"/>
      <c r="AF410" s="112"/>
      <c r="AG410" s="112"/>
      <c r="AH410" s="112">
        <v>309.04300000000001</v>
      </c>
      <c r="AI410" s="112" t="s">
        <v>482</v>
      </c>
      <c r="AJ410" s="112"/>
      <c r="AK410" s="112">
        <f>1.5825/1.001</f>
        <v>1.5809190809190812</v>
      </c>
      <c r="AL410" s="112">
        <v>0</v>
      </c>
      <c r="AM410" s="646">
        <f t="shared" si="8"/>
        <v>5518.6026180809185</v>
      </c>
      <c r="AO410" s="289"/>
    </row>
    <row r="411" spans="1:42" s="61" customFormat="1" ht="21" customHeight="1" x14ac:dyDescent="0.3">
      <c r="A411" s="712" t="s">
        <v>60</v>
      </c>
      <c r="B411" s="179" t="s">
        <v>293</v>
      </c>
      <c r="C411" s="135">
        <v>1</v>
      </c>
      <c r="D411" s="136"/>
      <c r="E411" s="136"/>
      <c r="F411" s="262"/>
      <c r="G411" s="136"/>
      <c r="H411" s="136">
        <v>351</v>
      </c>
      <c r="I411" s="326"/>
      <c r="J411" s="136"/>
      <c r="K411" s="136"/>
      <c r="L411" s="136"/>
      <c r="M411" s="136"/>
      <c r="N411" s="326"/>
      <c r="O411" s="136"/>
      <c r="P411" s="136"/>
      <c r="Q411" s="136"/>
      <c r="R411" s="136"/>
      <c r="S411" s="136"/>
      <c r="T411" s="137"/>
      <c r="U411" s="632"/>
      <c r="V411" s="122"/>
      <c r="W411" s="122"/>
      <c r="X411" s="122"/>
      <c r="Y411" s="122"/>
      <c r="Z411" s="122"/>
      <c r="AA411" s="122">
        <v>6.4708699999999997</v>
      </c>
      <c r="AB411" s="122"/>
      <c r="AC411" s="122"/>
      <c r="AD411" s="122"/>
      <c r="AE411" s="122"/>
      <c r="AF411" s="122"/>
      <c r="AG411" s="122"/>
      <c r="AH411" s="122"/>
      <c r="AI411" s="122" t="s">
        <v>482</v>
      </c>
      <c r="AJ411" s="122">
        <v>10</v>
      </c>
      <c r="AK411" s="122"/>
      <c r="AL411" s="122"/>
      <c r="AM411" s="639">
        <f t="shared" si="8"/>
        <v>368.47086999999999</v>
      </c>
      <c r="AO411" s="289"/>
    </row>
    <row r="412" spans="1:42" s="61" customFormat="1" ht="19.5" customHeight="1" x14ac:dyDescent="0.3">
      <c r="A412" s="713"/>
      <c r="B412" s="116" t="s">
        <v>294</v>
      </c>
      <c r="C412" s="138"/>
      <c r="D412" s="109"/>
      <c r="E412" s="109"/>
      <c r="F412" s="263"/>
      <c r="G412" s="109"/>
      <c r="H412" s="109"/>
      <c r="I412" s="123"/>
      <c r="J412" s="109"/>
      <c r="K412" s="109"/>
      <c r="L412" s="109"/>
      <c r="M412" s="109"/>
      <c r="N412" s="123"/>
      <c r="O412" s="109"/>
      <c r="P412" s="109"/>
      <c r="Q412" s="109"/>
      <c r="R412" s="109"/>
      <c r="S412" s="109"/>
      <c r="T412" s="139"/>
      <c r="U412" s="138"/>
      <c r="V412" s="109"/>
      <c r="W412" s="109"/>
      <c r="X412" s="109"/>
      <c r="Y412" s="109"/>
      <c r="Z412" s="109"/>
      <c r="AA412" s="109">
        <v>0.6492</v>
      </c>
      <c r="AB412" s="109"/>
      <c r="AC412" s="109"/>
      <c r="AD412" s="109"/>
      <c r="AE412" s="109"/>
      <c r="AF412" s="109"/>
      <c r="AG412" s="109"/>
      <c r="AH412" s="109"/>
      <c r="AI412" s="109" t="s">
        <v>482</v>
      </c>
      <c r="AJ412" s="109"/>
      <c r="AK412" s="109"/>
      <c r="AL412" s="109"/>
      <c r="AM412" s="640">
        <f t="shared" si="8"/>
        <v>0.6492</v>
      </c>
      <c r="AO412" s="289"/>
    </row>
    <row r="413" spans="1:42" s="61" customFormat="1" ht="22.5" customHeight="1" x14ac:dyDescent="0.3">
      <c r="A413" s="713"/>
      <c r="B413" s="117" t="s">
        <v>326</v>
      </c>
      <c r="C413" s="140"/>
      <c r="D413" s="110"/>
      <c r="E413" s="110"/>
      <c r="F413" s="264">
        <v>718</v>
      </c>
      <c r="G413" s="110"/>
      <c r="H413" s="110">
        <v>30</v>
      </c>
      <c r="I413" s="124"/>
      <c r="J413" s="110"/>
      <c r="K413" s="110"/>
      <c r="L413" s="264"/>
      <c r="M413" s="110"/>
      <c r="N413" s="124"/>
      <c r="O413" s="110"/>
      <c r="P413" s="110"/>
      <c r="Q413" s="110"/>
      <c r="R413" s="110"/>
      <c r="S413" s="110">
        <v>4</v>
      </c>
      <c r="T413" s="141"/>
      <c r="U413" s="140"/>
      <c r="V413" s="110"/>
      <c r="W413" s="110"/>
      <c r="X413" s="110"/>
      <c r="Y413" s="110"/>
      <c r="Z413" s="110"/>
      <c r="AA413" s="110">
        <v>113.72532</v>
      </c>
      <c r="AB413" s="110"/>
      <c r="AC413" s="110"/>
      <c r="AD413" s="110"/>
      <c r="AE413" s="110"/>
      <c r="AF413" s="110">
        <v>36</v>
      </c>
      <c r="AG413" s="110"/>
      <c r="AH413" s="110"/>
      <c r="AI413" s="110" t="s">
        <v>482</v>
      </c>
      <c r="AJ413" s="110"/>
      <c r="AK413" s="110"/>
      <c r="AL413" s="110"/>
      <c r="AM413" s="641">
        <f t="shared" si="8"/>
        <v>901.72532000000001</v>
      </c>
      <c r="AO413" s="289"/>
      <c r="AP413" s="97"/>
    </row>
    <row r="414" spans="1:42" s="61" customFormat="1" ht="25.5" customHeight="1" x14ac:dyDescent="0.3">
      <c r="A414" s="713"/>
      <c r="B414" s="175" t="s">
        <v>327</v>
      </c>
      <c r="C414" s="176"/>
      <c r="D414" s="127"/>
      <c r="E414" s="127"/>
      <c r="F414" s="265"/>
      <c r="G414" s="127"/>
      <c r="H414" s="127"/>
      <c r="I414" s="178"/>
      <c r="J414" s="127"/>
      <c r="K414" s="127"/>
      <c r="L414" s="265"/>
      <c r="M414" s="127"/>
      <c r="N414" s="178"/>
      <c r="O414" s="127"/>
      <c r="P414" s="127"/>
      <c r="Q414" s="127"/>
      <c r="R414" s="127"/>
      <c r="S414" s="127">
        <v>6</v>
      </c>
      <c r="T414" s="177"/>
      <c r="U414" s="176">
        <v>0.93200000000000005</v>
      </c>
      <c r="V414" s="127"/>
      <c r="W414" s="127"/>
      <c r="X414" s="127"/>
      <c r="Y414" s="127"/>
      <c r="Z414" s="127"/>
      <c r="AA414" s="127">
        <v>106.60458</v>
      </c>
      <c r="AB414" s="127"/>
      <c r="AC414" s="127"/>
      <c r="AD414" s="127"/>
      <c r="AE414" s="127"/>
      <c r="AF414" s="127"/>
      <c r="AG414" s="127"/>
      <c r="AH414" s="127"/>
      <c r="AI414" s="127" t="s">
        <v>482</v>
      </c>
      <c r="AJ414" s="127"/>
      <c r="AK414" s="127"/>
      <c r="AL414" s="127"/>
      <c r="AM414" s="642">
        <f t="shared" si="8"/>
        <v>113.53658</v>
      </c>
      <c r="AO414" s="289"/>
    </row>
    <row r="415" spans="1:42" s="61" customFormat="1" ht="25.5" customHeight="1" x14ac:dyDescent="0.3">
      <c r="A415" s="713"/>
      <c r="B415" s="180" t="s">
        <v>361</v>
      </c>
      <c r="C415" s="300"/>
      <c r="D415" s="173"/>
      <c r="E415" s="173"/>
      <c r="F415" s="266"/>
      <c r="G415" s="173"/>
      <c r="H415" s="173"/>
      <c r="I415" s="174"/>
      <c r="J415" s="173"/>
      <c r="K415" s="173">
        <v>308</v>
      </c>
      <c r="L415" s="266"/>
      <c r="M415" s="173"/>
      <c r="N415" s="174"/>
      <c r="O415" s="173"/>
      <c r="P415" s="173"/>
      <c r="Q415" s="173"/>
      <c r="R415" s="173"/>
      <c r="S415" s="173">
        <v>3314</v>
      </c>
      <c r="T415" s="327"/>
      <c r="U415" s="300"/>
      <c r="V415" s="173"/>
      <c r="W415" s="173"/>
      <c r="X415" s="173"/>
      <c r="Y415" s="173"/>
      <c r="Z415" s="173"/>
      <c r="AA415" s="173">
        <v>120</v>
      </c>
      <c r="AB415" s="173"/>
      <c r="AC415" s="173"/>
      <c r="AD415" s="173"/>
      <c r="AE415" s="173"/>
      <c r="AF415" s="173"/>
      <c r="AG415" s="173">
        <v>215</v>
      </c>
      <c r="AH415" s="173">
        <v>632</v>
      </c>
      <c r="AI415" s="173" t="s">
        <v>482</v>
      </c>
      <c r="AJ415" s="173"/>
      <c r="AK415" s="173"/>
      <c r="AL415" s="173"/>
      <c r="AM415" s="643">
        <f t="shared" si="8"/>
        <v>4589</v>
      </c>
      <c r="AO415" s="289"/>
      <c r="AP415" s="97"/>
    </row>
    <row r="416" spans="1:42" s="61" customFormat="1" ht="25.5" customHeight="1" x14ac:dyDescent="0.3">
      <c r="A416" s="713"/>
      <c r="B416" s="180" t="s">
        <v>362</v>
      </c>
      <c r="C416" s="300"/>
      <c r="D416" s="173"/>
      <c r="E416" s="173"/>
      <c r="F416" s="266"/>
      <c r="G416" s="173"/>
      <c r="H416" s="173"/>
      <c r="I416" s="174"/>
      <c r="J416" s="173"/>
      <c r="K416" s="173">
        <v>275</v>
      </c>
      <c r="L416" s="266"/>
      <c r="M416" s="173"/>
      <c r="N416" s="174"/>
      <c r="O416" s="173"/>
      <c r="P416" s="173"/>
      <c r="Q416" s="173"/>
      <c r="R416" s="173"/>
      <c r="S416" s="173">
        <v>1</v>
      </c>
      <c r="T416" s="327"/>
      <c r="U416" s="300">
        <v>0.51900000000000002</v>
      </c>
      <c r="V416" s="173"/>
      <c r="W416" s="173"/>
      <c r="X416" s="173"/>
      <c r="Y416" s="173"/>
      <c r="Z416" s="173"/>
      <c r="AA416" s="173">
        <v>144</v>
      </c>
      <c r="AB416" s="173"/>
      <c r="AC416" s="173"/>
      <c r="AD416" s="173"/>
      <c r="AE416" s="173"/>
      <c r="AF416" s="173"/>
      <c r="AG416" s="173">
        <v>800</v>
      </c>
      <c r="AH416" s="173">
        <v>20958</v>
      </c>
      <c r="AI416" s="173" t="s">
        <v>482</v>
      </c>
      <c r="AJ416" s="173"/>
      <c r="AK416" s="173"/>
      <c r="AL416" s="173"/>
      <c r="AM416" s="644">
        <f t="shared" si="8"/>
        <v>22178.519</v>
      </c>
      <c r="AO416" s="289"/>
      <c r="AP416" s="97"/>
    </row>
    <row r="417" spans="1:42" s="61" customFormat="1" ht="22.5" customHeight="1" x14ac:dyDescent="0.3">
      <c r="A417" s="713"/>
      <c r="B417" s="115" t="s">
        <v>402</v>
      </c>
      <c r="C417" s="142"/>
      <c r="D417" s="111"/>
      <c r="E417" s="111"/>
      <c r="F417" s="267"/>
      <c r="G417" s="111"/>
      <c r="H417" s="111"/>
      <c r="I417" s="125"/>
      <c r="J417" s="111"/>
      <c r="K417" s="111"/>
      <c r="L417" s="267"/>
      <c r="M417" s="111"/>
      <c r="N417" s="125"/>
      <c r="O417" s="111"/>
      <c r="P417" s="111"/>
      <c r="Q417" s="111"/>
      <c r="R417" s="111"/>
      <c r="S417" s="111"/>
      <c r="T417" s="143"/>
      <c r="U417" s="142">
        <v>0.442</v>
      </c>
      <c r="V417" s="111"/>
      <c r="W417" s="111"/>
      <c r="X417" s="111"/>
      <c r="Y417" s="111"/>
      <c r="Z417" s="111"/>
      <c r="AA417" s="111">
        <v>139</v>
      </c>
      <c r="AB417" s="111"/>
      <c r="AC417" s="111"/>
      <c r="AD417" s="111"/>
      <c r="AE417" s="111"/>
      <c r="AF417" s="111"/>
      <c r="AG417" s="111"/>
      <c r="AH417" s="111" t="s">
        <v>482</v>
      </c>
      <c r="AI417" s="111" t="s">
        <v>482</v>
      </c>
      <c r="AJ417" s="111"/>
      <c r="AK417" s="111"/>
      <c r="AL417" s="111"/>
      <c r="AM417" s="645">
        <f t="shared" si="8"/>
        <v>139.44200000000001</v>
      </c>
      <c r="AO417" s="289"/>
    </row>
    <row r="418" spans="1:42" s="61" customFormat="1" ht="21" customHeight="1" x14ac:dyDescent="0.3">
      <c r="A418" s="714"/>
      <c r="B418" s="181" t="s">
        <v>403</v>
      </c>
      <c r="C418" s="144"/>
      <c r="D418" s="112"/>
      <c r="E418" s="112"/>
      <c r="F418" s="268"/>
      <c r="G418" s="112"/>
      <c r="H418" s="112"/>
      <c r="I418" s="126"/>
      <c r="J418" s="112"/>
      <c r="K418" s="112"/>
      <c r="L418" s="268"/>
      <c r="M418" s="112"/>
      <c r="N418" s="126"/>
      <c r="O418" s="112"/>
      <c r="P418" s="112"/>
      <c r="Q418" s="112"/>
      <c r="R418" s="112"/>
      <c r="S418" s="112"/>
      <c r="T418" s="145"/>
      <c r="U418" s="144"/>
      <c r="V418" s="112"/>
      <c r="W418" s="112"/>
      <c r="X418" s="112"/>
      <c r="Y418" s="112"/>
      <c r="Z418" s="112"/>
      <c r="AA418" s="112">
        <v>118</v>
      </c>
      <c r="AB418" s="112"/>
      <c r="AC418" s="112"/>
      <c r="AD418" s="112"/>
      <c r="AE418" s="112"/>
      <c r="AF418" s="112"/>
      <c r="AG418" s="112"/>
      <c r="AH418" s="112" t="s">
        <v>482</v>
      </c>
      <c r="AI418" s="112" t="s">
        <v>482</v>
      </c>
      <c r="AJ418" s="112"/>
      <c r="AK418" s="112"/>
      <c r="AL418" s="112"/>
      <c r="AM418" s="646">
        <f t="shared" si="8"/>
        <v>118</v>
      </c>
      <c r="AO418" s="289"/>
    </row>
    <row r="419" spans="1:42" s="61" customFormat="1" ht="21" customHeight="1" x14ac:dyDescent="0.3">
      <c r="A419" s="712" t="s">
        <v>308</v>
      </c>
      <c r="B419" s="179" t="s">
        <v>293</v>
      </c>
      <c r="C419" s="135"/>
      <c r="D419" s="136">
        <v>1780</v>
      </c>
      <c r="E419" s="136"/>
      <c r="F419" s="262"/>
      <c r="G419" s="136"/>
      <c r="H419" s="136"/>
      <c r="I419" s="326"/>
      <c r="J419" s="136"/>
      <c r="K419" s="136"/>
      <c r="L419" s="262"/>
      <c r="M419" s="136"/>
      <c r="N419" s="326"/>
      <c r="O419" s="136"/>
      <c r="P419" s="136"/>
      <c r="Q419" s="136"/>
      <c r="R419" s="136"/>
      <c r="S419" s="136"/>
      <c r="T419" s="137"/>
      <c r="U419" s="632"/>
      <c r="V419" s="122"/>
      <c r="W419" s="122"/>
      <c r="X419" s="122"/>
      <c r="Y419" s="122"/>
      <c r="Z419" s="122">
        <v>500</v>
      </c>
      <c r="AA419" s="122"/>
      <c r="AB419" s="122"/>
      <c r="AC419" s="122"/>
      <c r="AD419" s="122"/>
      <c r="AE419" s="122"/>
      <c r="AF419" s="122"/>
      <c r="AG419" s="122"/>
      <c r="AH419" s="122"/>
      <c r="AI419" s="122" t="s">
        <v>482</v>
      </c>
      <c r="AJ419" s="122"/>
      <c r="AK419" s="122"/>
      <c r="AL419" s="122"/>
      <c r="AM419" s="639">
        <f t="shared" si="8"/>
        <v>2280</v>
      </c>
      <c r="AO419" s="289"/>
    </row>
    <row r="420" spans="1:42" s="61" customFormat="1" ht="19.5" customHeight="1" x14ac:dyDescent="0.3">
      <c r="A420" s="713"/>
      <c r="B420" s="116" t="s">
        <v>294</v>
      </c>
      <c r="C420" s="138"/>
      <c r="D420" s="109"/>
      <c r="E420" s="109"/>
      <c r="F420" s="263">
        <v>99.988</v>
      </c>
      <c r="G420" s="109"/>
      <c r="H420" s="109">
        <v>1221</v>
      </c>
      <c r="I420" s="123"/>
      <c r="J420" s="109"/>
      <c r="K420" s="109"/>
      <c r="L420" s="263"/>
      <c r="M420" s="109"/>
      <c r="N420" s="123"/>
      <c r="O420" s="109"/>
      <c r="P420" s="109"/>
      <c r="Q420" s="109"/>
      <c r="R420" s="109"/>
      <c r="S420" s="109"/>
      <c r="T420" s="139"/>
      <c r="U420" s="138"/>
      <c r="V420" s="109"/>
      <c r="W420" s="109"/>
      <c r="X420" s="109"/>
      <c r="Y420" s="109"/>
      <c r="Z420" s="109"/>
      <c r="AA420" s="109"/>
      <c r="AB420" s="109"/>
      <c r="AC420" s="109"/>
      <c r="AD420" s="109"/>
      <c r="AE420" s="109"/>
      <c r="AF420" s="109"/>
      <c r="AG420" s="109"/>
      <c r="AH420" s="109"/>
      <c r="AI420" s="109" t="s">
        <v>482</v>
      </c>
      <c r="AJ420" s="109"/>
      <c r="AK420" s="109"/>
      <c r="AL420" s="109"/>
      <c r="AM420" s="640">
        <f t="shared" si="8"/>
        <v>1320.9880000000001</v>
      </c>
      <c r="AO420" s="289"/>
    </row>
    <row r="421" spans="1:42" s="61" customFormat="1" ht="22.5" customHeight="1" x14ac:dyDescent="0.3">
      <c r="A421" s="713"/>
      <c r="B421" s="117" t="s">
        <v>326</v>
      </c>
      <c r="C421" s="140"/>
      <c r="D421" s="110"/>
      <c r="E421" s="110"/>
      <c r="F421" s="264">
        <v>90</v>
      </c>
      <c r="G421" s="110">
        <v>3</v>
      </c>
      <c r="H421" s="110">
        <v>1209</v>
      </c>
      <c r="I421" s="124"/>
      <c r="J421" s="110"/>
      <c r="K421" s="110"/>
      <c r="L421" s="264"/>
      <c r="M421" s="110"/>
      <c r="N421" s="124"/>
      <c r="O421" s="110"/>
      <c r="P421" s="110"/>
      <c r="Q421" s="110"/>
      <c r="R421" s="110"/>
      <c r="S421" s="110"/>
      <c r="T421" s="141"/>
      <c r="U421" s="140"/>
      <c r="V421" s="110"/>
      <c r="W421" s="110"/>
      <c r="X421" s="110"/>
      <c r="Y421" s="110"/>
      <c r="Z421" s="110"/>
      <c r="AA421" s="110"/>
      <c r="AB421" s="110"/>
      <c r="AC421" s="110"/>
      <c r="AD421" s="110"/>
      <c r="AE421" s="110"/>
      <c r="AF421" s="110"/>
      <c r="AG421" s="110"/>
      <c r="AH421" s="110"/>
      <c r="AI421" s="110" t="s">
        <v>482</v>
      </c>
      <c r="AJ421" s="110"/>
      <c r="AK421" s="110"/>
      <c r="AL421" s="110"/>
      <c r="AM421" s="641">
        <f t="shared" ref="AM421:AM476" si="9">SUM(C421:AL421)</f>
        <v>1302</v>
      </c>
      <c r="AO421" s="289"/>
      <c r="AP421" s="97"/>
    </row>
    <row r="422" spans="1:42" s="61" customFormat="1" ht="25.5" customHeight="1" x14ac:dyDescent="0.3">
      <c r="A422" s="713"/>
      <c r="B422" s="175" t="s">
        <v>327</v>
      </c>
      <c r="C422" s="176"/>
      <c r="D422" s="127"/>
      <c r="E422" s="127"/>
      <c r="F422" s="265">
        <v>455</v>
      </c>
      <c r="G422" s="127"/>
      <c r="H422" s="127">
        <v>207</v>
      </c>
      <c r="I422" s="178"/>
      <c r="J422" s="127"/>
      <c r="K422" s="127"/>
      <c r="L422" s="265"/>
      <c r="M422" s="127"/>
      <c r="N422" s="178"/>
      <c r="O422" s="127"/>
      <c r="P422" s="127"/>
      <c r="Q422" s="127"/>
      <c r="R422" s="127"/>
      <c r="S422" s="127">
        <v>5800</v>
      </c>
      <c r="T422" s="177"/>
      <c r="U422" s="176"/>
      <c r="V422" s="127"/>
      <c r="W422" s="127"/>
      <c r="X422" s="127"/>
      <c r="Y422" s="127"/>
      <c r="Z422" s="127"/>
      <c r="AA422" s="127"/>
      <c r="AB422" s="127"/>
      <c r="AC422" s="127"/>
      <c r="AD422" s="127"/>
      <c r="AE422" s="127"/>
      <c r="AF422" s="127"/>
      <c r="AG422" s="127"/>
      <c r="AH422" s="127"/>
      <c r="AI422" s="127" t="s">
        <v>482</v>
      </c>
      <c r="AJ422" s="127"/>
      <c r="AK422" s="127"/>
      <c r="AL422" s="127"/>
      <c r="AM422" s="642">
        <f t="shared" si="9"/>
        <v>6462</v>
      </c>
      <c r="AO422" s="289"/>
    </row>
    <row r="423" spans="1:42" s="61" customFormat="1" ht="25.5" customHeight="1" x14ac:dyDescent="0.3">
      <c r="A423" s="713"/>
      <c r="B423" s="180" t="s">
        <v>361</v>
      </c>
      <c r="C423" s="300">
        <v>174.96299999999999</v>
      </c>
      <c r="D423" s="173"/>
      <c r="E423" s="173"/>
      <c r="F423" s="266"/>
      <c r="G423" s="173"/>
      <c r="H423" s="173">
        <v>1226</v>
      </c>
      <c r="I423" s="174"/>
      <c r="J423" s="173"/>
      <c r="K423" s="173"/>
      <c r="L423" s="266">
        <v>1122</v>
      </c>
      <c r="M423" s="173"/>
      <c r="N423" s="174"/>
      <c r="O423" s="173"/>
      <c r="P423" s="173"/>
      <c r="Q423" s="173"/>
      <c r="R423" s="173"/>
      <c r="S423" s="173">
        <v>10615</v>
      </c>
      <c r="T423" s="327"/>
      <c r="U423" s="300">
        <v>2082.6619999999998</v>
      </c>
      <c r="V423" s="173"/>
      <c r="W423" s="173"/>
      <c r="X423" s="173"/>
      <c r="Y423" s="173"/>
      <c r="Z423" s="173"/>
      <c r="AA423" s="173"/>
      <c r="AB423" s="173"/>
      <c r="AC423" s="173"/>
      <c r="AD423" s="173"/>
      <c r="AE423" s="173"/>
      <c r="AF423" s="173"/>
      <c r="AG423" s="173"/>
      <c r="AH423" s="173"/>
      <c r="AI423" s="173" t="s">
        <v>482</v>
      </c>
      <c r="AJ423" s="173"/>
      <c r="AK423" s="173"/>
      <c r="AL423" s="173"/>
      <c r="AM423" s="643">
        <f t="shared" si="9"/>
        <v>15220.625</v>
      </c>
      <c r="AO423" s="289"/>
      <c r="AP423" s="97"/>
    </row>
    <row r="424" spans="1:42" s="61" customFormat="1" ht="25.5" customHeight="1" x14ac:dyDescent="0.3">
      <c r="A424" s="713"/>
      <c r="B424" s="180" t="s">
        <v>362</v>
      </c>
      <c r="C424" s="300">
        <v>5</v>
      </c>
      <c r="D424" s="173"/>
      <c r="E424" s="173"/>
      <c r="F424" s="266">
        <v>5500</v>
      </c>
      <c r="G424" s="173"/>
      <c r="H424" s="173"/>
      <c r="I424" s="174"/>
      <c r="J424" s="173"/>
      <c r="K424" s="173"/>
      <c r="L424" s="266">
        <v>1262</v>
      </c>
      <c r="M424" s="173"/>
      <c r="N424" s="174"/>
      <c r="O424" s="173"/>
      <c r="P424" s="173"/>
      <c r="Q424" s="173"/>
      <c r="R424" s="173"/>
      <c r="S424" s="173">
        <v>3967</v>
      </c>
      <c r="T424" s="327"/>
      <c r="U424" s="300">
        <v>851.70699999999999</v>
      </c>
      <c r="V424" s="173"/>
      <c r="W424" s="173"/>
      <c r="X424" s="173"/>
      <c r="Y424" s="173"/>
      <c r="Z424" s="173"/>
      <c r="AA424" s="173"/>
      <c r="AB424" s="173"/>
      <c r="AC424" s="173"/>
      <c r="AD424" s="173"/>
      <c r="AE424" s="173"/>
      <c r="AF424" s="173"/>
      <c r="AG424" s="173"/>
      <c r="AH424" s="173"/>
      <c r="AI424" s="173" t="s">
        <v>482</v>
      </c>
      <c r="AJ424" s="173"/>
      <c r="AK424" s="173"/>
      <c r="AL424" s="173"/>
      <c r="AM424" s="644">
        <f t="shared" si="9"/>
        <v>11585.707</v>
      </c>
      <c r="AO424" s="289"/>
      <c r="AP424" s="97"/>
    </row>
    <row r="425" spans="1:42" s="61" customFormat="1" ht="22.5" customHeight="1" x14ac:dyDescent="0.3">
      <c r="A425" s="713"/>
      <c r="B425" s="115" t="s">
        <v>402</v>
      </c>
      <c r="C425" s="142"/>
      <c r="D425" s="111"/>
      <c r="E425" s="111"/>
      <c r="F425" s="267"/>
      <c r="G425" s="111"/>
      <c r="H425" s="111">
        <v>829</v>
      </c>
      <c r="I425" s="125"/>
      <c r="J425" s="111"/>
      <c r="K425" s="111"/>
      <c r="L425" s="267">
        <v>421</v>
      </c>
      <c r="M425" s="111"/>
      <c r="N425" s="125"/>
      <c r="O425" s="111"/>
      <c r="P425" s="111"/>
      <c r="Q425" s="111"/>
      <c r="R425" s="111"/>
      <c r="S425" s="111">
        <v>53.220456000000006</v>
      </c>
      <c r="T425" s="143"/>
      <c r="U425" s="142">
        <v>414.18299999999999</v>
      </c>
      <c r="V425" s="111"/>
      <c r="W425" s="111"/>
      <c r="X425" s="111"/>
      <c r="Y425" s="111"/>
      <c r="Z425" s="111"/>
      <c r="AA425" s="111">
        <v>839</v>
      </c>
      <c r="AB425" s="111"/>
      <c r="AC425" s="111"/>
      <c r="AD425" s="111"/>
      <c r="AE425" s="111"/>
      <c r="AF425" s="111"/>
      <c r="AG425" s="111"/>
      <c r="AH425" s="111" t="s">
        <v>482</v>
      </c>
      <c r="AI425" s="111" t="s">
        <v>482</v>
      </c>
      <c r="AJ425" s="111"/>
      <c r="AK425" s="111"/>
      <c r="AL425" s="111"/>
      <c r="AM425" s="645">
        <f t="shared" si="9"/>
        <v>2556.403456</v>
      </c>
      <c r="AO425" s="289"/>
    </row>
    <row r="426" spans="1:42" s="61" customFormat="1" ht="21" customHeight="1" x14ac:dyDescent="0.3">
      <c r="A426" s="714"/>
      <c r="B426" s="181" t="s">
        <v>403</v>
      </c>
      <c r="C426" s="144"/>
      <c r="D426" s="112"/>
      <c r="E426" s="112"/>
      <c r="F426" s="268">
        <v>1951.2</v>
      </c>
      <c r="G426" s="112"/>
      <c r="H426" s="112">
        <v>300</v>
      </c>
      <c r="I426" s="126"/>
      <c r="J426" s="112"/>
      <c r="K426" s="112"/>
      <c r="L426" s="268">
        <v>363.9</v>
      </c>
      <c r="M426" s="112"/>
      <c r="N426" s="126"/>
      <c r="O426" s="112"/>
      <c r="P426" s="112"/>
      <c r="Q426" s="112"/>
      <c r="R426" s="112"/>
      <c r="S426" s="112">
        <v>2.8855849999999998</v>
      </c>
      <c r="T426" s="145"/>
      <c r="U426" s="144">
        <v>1383.8989999999999</v>
      </c>
      <c r="V426" s="112"/>
      <c r="W426" s="112"/>
      <c r="X426" s="112"/>
      <c r="Y426" s="112"/>
      <c r="Z426" s="112">
        <v>2433</v>
      </c>
      <c r="AA426" s="112"/>
      <c r="AB426" s="112"/>
      <c r="AC426" s="112"/>
      <c r="AD426" s="112"/>
      <c r="AE426" s="112"/>
      <c r="AF426" s="112"/>
      <c r="AG426" s="112"/>
      <c r="AH426" s="112" t="s">
        <v>482</v>
      </c>
      <c r="AI426" s="112" t="s">
        <v>482</v>
      </c>
      <c r="AJ426" s="112"/>
      <c r="AK426" s="112"/>
      <c r="AL426" s="112"/>
      <c r="AM426" s="646">
        <f t="shared" si="9"/>
        <v>6434.8845849999998</v>
      </c>
      <c r="AO426" s="289"/>
    </row>
    <row r="427" spans="1:42" s="61" customFormat="1" ht="21" customHeight="1" x14ac:dyDescent="0.3">
      <c r="A427" s="705" t="s">
        <v>148</v>
      </c>
      <c r="B427" s="179" t="s">
        <v>293</v>
      </c>
      <c r="C427" s="135">
        <v>6283.2</v>
      </c>
      <c r="D427" s="136"/>
      <c r="E427" s="136"/>
      <c r="F427" s="262">
        <v>161.517</v>
      </c>
      <c r="G427" s="136">
        <v>522</v>
      </c>
      <c r="H427" s="136">
        <v>23</v>
      </c>
      <c r="I427" s="326"/>
      <c r="J427" s="136"/>
      <c r="K427" s="136">
        <f>422+334</f>
        <v>756</v>
      </c>
      <c r="L427" s="262">
        <v>3394.4369999999999</v>
      </c>
      <c r="M427" s="136"/>
      <c r="N427" s="326">
        <v>2303.498</v>
      </c>
      <c r="O427" s="136">
        <v>1174.2</v>
      </c>
      <c r="P427" s="136"/>
      <c r="Q427" s="136">
        <v>442</v>
      </c>
      <c r="R427" s="136">
        <f>+(1278+462)/2</f>
        <v>870</v>
      </c>
      <c r="S427" s="136">
        <v>47894.394999999997</v>
      </c>
      <c r="T427" s="137">
        <v>2055.567</v>
      </c>
      <c r="U427" s="632">
        <v>671.14099999999996</v>
      </c>
      <c r="V427" s="122">
        <f>99975/1000</f>
        <v>99.974999999999994</v>
      </c>
      <c r="W427" s="122">
        <v>498</v>
      </c>
      <c r="X427" s="122"/>
      <c r="Y427" s="122">
        <v>33096</v>
      </c>
      <c r="Z427" s="122">
        <v>34373</v>
      </c>
      <c r="AA427" s="122">
        <v>2485.4676199999999</v>
      </c>
      <c r="AB427" s="122"/>
      <c r="AC427" s="122">
        <v>212.589</v>
      </c>
      <c r="AD427" s="122">
        <v>7724</v>
      </c>
      <c r="AE427" s="122">
        <v>79</v>
      </c>
      <c r="AF427" s="122"/>
      <c r="AG427" s="122">
        <v>1.4</v>
      </c>
      <c r="AH427" s="122">
        <v>35860.25</v>
      </c>
      <c r="AI427" s="122">
        <v>9118</v>
      </c>
      <c r="AJ427" s="122"/>
      <c r="AK427" s="122">
        <v>1.34</v>
      </c>
      <c r="AL427" s="122">
        <v>0</v>
      </c>
      <c r="AM427" s="639">
        <f t="shared" si="9"/>
        <v>190099.97662</v>
      </c>
      <c r="AO427" s="289"/>
    </row>
    <row r="428" spans="1:42" s="61" customFormat="1" ht="19.5" customHeight="1" x14ac:dyDescent="0.3">
      <c r="A428" s="706"/>
      <c r="B428" s="116" t="s">
        <v>294</v>
      </c>
      <c r="C428" s="138">
        <v>10515.29</v>
      </c>
      <c r="D428" s="109"/>
      <c r="E428" s="109"/>
      <c r="F428" s="263">
        <v>315.78899999999999</v>
      </c>
      <c r="G428" s="109">
        <v>541</v>
      </c>
      <c r="H428" s="109"/>
      <c r="I428" s="123"/>
      <c r="J428" s="109"/>
      <c r="K428" s="109">
        <f>-73+245+300</f>
        <v>472</v>
      </c>
      <c r="L428" s="263">
        <v>6529.4830000000002</v>
      </c>
      <c r="M428" s="109"/>
      <c r="N428" s="123">
        <v>2903.0790000000002</v>
      </c>
      <c r="O428" s="109">
        <v>1847.8</v>
      </c>
      <c r="P428" s="109"/>
      <c r="Q428" s="109">
        <v>386</v>
      </c>
      <c r="R428" s="109">
        <f>+(1278+462)/2</f>
        <v>870</v>
      </c>
      <c r="S428" s="109">
        <v>55273.133000000002</v>
      </c>
      <c r="T428" s="139">
        <v>2565.3820000000001</v>
      </c>
      <c r="U428" s="138">
        <v>3525.395</v>
      </c>
      <c r="V428" s="109">
        <f>125950/1000-V427</f>
        <v>25.975000000000009</v>
      </c>
      <c r="W428" s="109">
        <f>1046-498</f>
        <v>548</v>
      </c>
      <c r="X428" s="109"/>
      <c r="Y428" s="109">
        <v>39072</v>
      </c>
      <c r="Z428" s="109">
        <v>40510</v>
      </c>
      <c r="AA428" s="109">
        <v>1089.73874</v>
      </c>
      <c r="AB428" s="109"/>
      <c r="AC428" s="109">
        <v>372.8</v>
      </c>
      <c r="AD428" s="109">
        <v>10226</v>
      </c>
      <c r="AE428" s="109">
        <v>226</v>
      </c>
      <c r="AF428" s="109"/>
      <c r="AG428" s="109">
        <v>2.5499999999999998</v>
      </c>
      <c r="AH428" s="109">
        <v>38858.730000000003</v>
      </c>
      <c r="AI428" s="109">
        <v>10462</v>
      </c>
      <c r="AJ428" s="109"/>
      <c r="AK428" s="109"/>
      <c r="AL428" s="109">
        <v>753.07692307692298</v>
      </c>
      <c r="AM428" s="640">
        <f t="shared" si="9"/>
        <v>227891.22166307693</v>
      </c>
      <c r="AO428" s="289"/>
    </row>
    <row r="429" spans="1:42" s="61" customFormat="1" ht="22.5" customHeight="1" x14ac:dyDescent="0.3">
      <c r="A429" s="706"/>
      <c r="B429" s="117" t="s">
        <v>326</v>
      </c>
      <c r="C429" s="140">
        <v>9673.81</v>
      </c>
      <c r="D429" s="110"/>
      <c r="E429" s="110"/>
      <c r="F429" s="264">
        <v>882</v>
      </c>
      <c r="G429" s="110">
        <v>532</v>
      </c>
      <c r="H429" s="110">
        <v>64</v>
      </c>
      <c r="I429" s="124"/>
      <c r="J429" s="110"/>
      <c r="K429" s="110">
        <f>3</f>
        <v>3</v>
      </c>
      <c r="L429" s="264">
        <v>3605</v>
      </c>
      <c r="M429" s="110"/>
      <c r="N429" s="124">
        <v>4407.8249999999998</v>
      </c>
      <c r="O429" s="110">
        <v>2592</v>
      </c>
      <c r="P429" s="110"/>
      <c r="Q429" s="110">
        <v>-45</v>
      </c>
      <c r="R429" s="110">
        <f>+(601+507)/2</f>
        <v>554</v>
      </c>
      <c r="S429" s="110">
        <v>34982</v>
      </c>
      <c r="T429" s="141"/>
      <c r="U429" s="140">
        <v>1575.0619999999999</v>
      </c>
      <c r="V429" s="110">
        <f>(100000+271957)/1000</f>
        <v>371.95699999999999</v>
      </c>
      <c r="W429" s="110">
        <f>557+1587</f>
        <v>2144</v>
      </c>
      <c r="X429" s="110"/>
      <c r="Y429" s="110">
        <v>45444</v>
      </c>
      <c r="Z429" s="110">
        <v>44305</v>
      </c>
      <c r="AA429" s="110">
        <f>313.16241+85.44264</f>
        <v>398.60505000000001</v>
      </c>
      <c r="AB429" s="110"/>
      <c r="AC429" s="110">
        <v>2490.7910000000002</v>
      </c>
      <c r="AD429" s="110">
        <v>10785</v>
      </c>
      <c r="AE429" s="110">
        <f>308</f>
        <v>308</v>
      </c>
      <c r="AF429" s="110"/>
      <c r="AG429" s="110"/>
      <c r="AH429" s="110">
        <v>42344.625119999997</v>
      </c>
      <c r="AI429" s="110">
        <v>7449</v>
      </c>
      <c r="AJ429" s="110"/>
      <c r="AK429" s="110"/>
      <c r="AL429" s="110">
        <v>766.45060526315785</v>
      </c>
      <c r="AM429" s="641">
        <f t="shared" si="9"/>
        <v>215633.12577526315</v>
      </c>
      <c r="AO429" s="289"/>
      <c r="AP429" s="97"/>
    </row>
    <row r="430" spans="1:42" s="61" customFormat="1" ht="25.5" customHeight="1" x14ac:dyDescent="0.3">
      <c r="A430" s="706"/>
      <c r="B430" s="175" t="s">
        <v>327</v>
      </c>
      <c r="C430" s="176">
        <v>12309.195</v>
      </c>
      <c r="D430" s="127"/>
      <c r="E430" s="127"/>
      <c r="F430" s="265">
        <v>325</v>
      </c>
      <c r="G430" s="127">
        <v>537</v>
      </c>
      <c r="H430" s="127">
        <v>29</v>
      </c>
      <c r="I430" s="178"/>
      <c r="J430" s="127"/>
      <c r="K430" s="127">
        <f>25-53</f>
        <v>-28</v>
      </c>
      <c r="L430" s="265">
        <v>3513</v>
      </c>
      <c r="M430" s="127"/>
      <c r="N430" s="178">
        <v>2573.0410000000002</v>
      </c>
      <c r="O430" s="127">
        <v>3554</v>
      </c>
      <c r="P430" s="127"/>
      <c r="Q430" s="127"/>
      <c r="R430" s="127">
        <f>+(601+507)/2</f>
        <v>554</v>
      </c>
      <c r="S430" s="127">
        <v>31291</v>
      </c>
      <c r="T430" s="177"/>
      <c r="U430" s="176">
        <v>735.15899999999999</v>
      </c>
      <c r="V430" s="127">
        <f>(100000+291957)/1000-V429</f>
        <v>20</v>
      </c>
      <c r="W430" s="127">
        <f>669+1587-2144</f>
        <v>112</v>
      </c>
      <c r="X430" s="127"/>
      <c r="Y430" s="127">
        <v>53033</v>
      </c>
      <c r="Z430" s="127">
        <v>58534</v>
      </c>
      <c r="AA430" s="127">
        <f>-50.88206+67.09469</f>
        <v>16.212629999999997</v>
      </c>
      <c r="AB430" s="127"/>
      <c r="AC430" s="127">
        <v>1788.15</v>
      </c>
      <c r="AD430" s="127">
        <v>11381</v>
      </c>
      <c r="AE430" s="127">
        <v>192</v>
      </c>
      <c r="AF430" s="127"/>
      <c r="AG430" s="127"/>
      <c r="AH430" s="127">
        <v>52071.040000000001</v>
      </c>
      <c r="AI430" s="127">
        <v>13299</v>
      </c>
      <c r="AJ430" s="127"/>
      <c r="AK430" s="127"/>
      <c r="AL430" s="127">
        <v>2364.8412213740457</v>
      </c>
      <c r="AM430" s="642">
        <f t="shared" si="9"/>
        <v>248203.63885137407</v>
      </c>
      <c r="AO430" s="289"/>
    </row>
    <row r="431" spans="1:42" s="61" customFormat="1" ht="25.5" customHeight="1" x14ac:dyDescent="0.3">
      <c r="A431" s="706"/>
      <c r="B431" s="180" t="s">
        <v>361</v>
      </c>
      <c r="C431" s="300">
        <v>20536.914779999999</v>
      </c>
      <c r="D431" s="173"/>
      <c r="E431" s="173"/>
      <c r="F431" s="266">
        <v>746</v>
      </c>
      <c r="G431" s="173">
        <v>537</v>
      </c>
      <c r="H431" s="173">
        <v>29</v>
      </c>
      <c r="I431" s="174"/>
      <c r="J431" s="173"/>
      <c r="K431" s="173">
        <v>255</v>
      </c>
      <c r="L431" s="266">
        <v>4269</v>
      </c>
      <c r="M431" s="173"/>
      <c r="N431" s="174">
        <v>7843.8190000000004</v>
      </c>
      <c r="O431" s="173">
        <v>2220</v>
      </c>
      <c r="P431" s="173"/>
      <c r="Q431" s="173"/>
      <c r="R431" s="173">
        <f>224+1075</f>
        <v>1299</v>
      </c>
      <c r="S431" s="173">
        <v>27070</v>
      </c>
      <c r="T431" s="327">
        <v>2692.1</v>
      </c>
      <c r="U431" s="300">
        <v>4720.8500000000004</v>
      </c>
      <c r="V431" s="173">
        <f>(205123+132649)/1000</f>
        <v>337.77199999999999</v>
      </c>
      <c r="W431" s="173">
        <f>859+3346</f>
        <v>4205</v>
      </c>
      <c r="X431" s="173"/>
      <c r="Y431" s="173">
        <v>50661</v>
      </c>
      <c r="Z431" s="173">
        <v>63473.990659999996</v>
      </c>
      <c r="AA431" s="173">
        <v>72.175470000000004</v>
      </c>
      <c r="AB431" s="173">
        <v>48</v>
      </c>
      <c r="AC431" s="173">
        <f>852+953</f>
        <v>1805</v>
      </c>
      <c r="AD431" s="173">
        <v>13725</v>
      </c>
      <c r="AE431" s="173">
        <v>240</v>
      </c>
      <c r="AF431" s="173"/>
      <c r="AG431" s="173">
        <v>8</v>
      </c>
      <c r="AH431" s="173">
        <v>44036</v>
      </c>
      <c r="AI431" s="173">
        <v>7629</v>
      </c>
      <c r="AJ431" s="173"/>
      <c r="AK431" s="173">
        <v>175</v>
      </c>
      <c r="AL431" s="173">
        <v>1228.181818181818</v>
      </c>
      <c r="AM431" s="643">
        <f t="shared" si="9"/>
        <v>259862.80372818181</v>
      </c>
      <c r="AO431" s="289"/>
      <c r="AP431" s="97"/>
    </row>
    <row r="432" spans="1:42" s="61" customFormat="1" ht="25.5" customHeight="1" x14ac:dyDescent="0.3">
      <c r="A432" s="706"/>
      <c r="B432" s="180" t="s">
        <v>362</v>
      </c>
      <c r="C432" s="300">
        <v>24664.712739999999</v>
      </c>
      <c r="D432" s="173"/>
      <c r="E432" s="173"/>
      <c r="F432" s="266">
        <v>916</v>
      </c>
      <c r="G432" s="173">
        <v>554</v>
      </c>
      <c r="H432" s="173">
        <v>29</v>
      </c>
      <c r="I432" s="174"/>
      <c r="J432" s="173"/>
      <c r="K432" s="173">
        <v>109</v>
      </c>
      <c r="L432" s="266">
        <v>3723</v>
      </c>
      <c r="M432" s="173"/>
      <c r="N432" s="174">
        <v>6651.643</v>
      </c>
      <c r="O432" s="173">
        <v>2380</v>
      </c>
      <c r="P432" s="173"/>
      <c r="Q432" s="173">
        <v>13</v>
      </c>
      <c r="R432" s="173">
        <f>224+1075-R431</f>
        <v>0</v>
      </c>
      <c r="S432" s="173">
        <v>29014</v>
      </c>
      <c r="T432" s="327">
        <v>2760.4</v>
      </c>
      <c r="U432" s="300">
        <v>566.23199999999997</v>
      </c>
      <c r="V432" s="173">
        <f>(205123+331003)/1000-V431</f>
        <v>198.35399999999998</v>
      </c>
      <c r="W432" s="173">
        <f>267+3952</f>
        <v>4219</v>
      </c>
      <c r="X432" s="173"/>
      <c r="Y432" s="173">
        <v>57945</v>
      </c>
      <c r="Z432" s="173">
        <v>63362.249730000003</v>
      </c>
      <c r="AA432" s="173">
        <f>116.90107-37</f>
        <v>79.901070000000004</v>
      </c>
      <c r="AB432" s="173">
        <v>53</v>
      </c>
      <c r="AC432" s="173">
        <f>2753-852+889</f>
        <v>2790</v>
      </c>
      <c r="AD432" s="173">
        <v>13960</v>
      </c>
      <c r="AE432" s="173">
        <v>257</v>
      </c>
      <c r="AF432" s="173"/>
      <c r="AG432" s="173">
        <v>8</v>
      </c>
      <c r="AH432" s="173">
        <v>43042</v>
      </c>
      <c r="AI432" s="173">
        <v>13192</v>
      </c>
      <c r="AJ432" s="173"/>
      <c r="AK432" s="173">
        <v>198</v>
      </c>
      <c r="AL432" s="173">
        <v>1748.4991071428572</v>
      </c>
      <c r="AM432" s="644">
        <f t="shared" si="9"/>
        <v>272433.99164714286</v>
      </c>
      <c r="AO432" s="289"/>
      <c r="AP432" s="97"/>
    </row>
    <row r="433" spans="1:42" s="61" customFormat="1" ht="22.5" customHeight="1" x14ac:dyDescent="0.3">
      <c r="A433" s="706"/>
      <c r="B433" s="115" t="s">
        <v>402</v>
      </c>
      <c r="C433" s="142">
        <v>27705.058730000001</v>
      </c>
      <c r="D433" s="111"/>
      <c r="E433" s="111"/>
      <c r="F433" s="267">
        <v>767.7</v>
      </c>
      <c r="G433" s="111">
        <v>1338</v>
      </c>
      <c r="H433" s="111">
        <v>42</v>
      </c>
      <c r="I433" s="125"/>
      <c r="J433" s="111"/>
      <c r="K433" s="111">
        <v>63</v>
      </c>
      <c r="L433" s="267">
        <v>7187</v>
      </c>
      <c r="M433" s="111">
        <v>30.030609999999999</v>
      </c>
      <c r="N433" s="125"/>
      <c r="O433" s="111">
        <v>2395</v>
      </c>
      <c r="P433" s="111"/>
      <c r="Q433" s="111">
        <v>-0.09</v>
      </c>
      <c r="R433" s="111">
        <v>2296</v>
      </c>
      <c r="S433" s="111">
        <v>36040.089908000002</v>
      </c>
      <c r="T433" s="143">
        <v>7358.15</v>
      </c>
      <c r="U433" s="142">
        <v>8207.4750000000004</v>
      </c>
      <c r="V433" s="111">
        <f>6352657.55/1000</f>
        <v>6352.6575499999999</v>
      </c>
      <c r="W433" s="111">
        <f>6129</f>
        <v>6129</v>
      </c>
      <c r="X433" s="111"/>
      <c r="Y433" s="111">
        <v>55779.338000000003</v>
      </c>
      <c r="Z433" s="111">
        <v>51055</v>
      </c>
      <c r="AA433" s="111">
        <v>-22</v>
      </c>
      <c r="AB433" s="111"/>
      <c r="AC433" s="111">
        <v>1502</v>
      </c>
      <c r="AD433" s="111">
        <v>18581</v>
      </c>
      <c r="AE433" s="111">
        <v>417</v>
      </c>
      <c r="AF433" s="111"/>
      <c r="AG433" s="111"/>
      <c r="AH433" s="111">
        <v>56543.697999999997</v>
      </c>
      <c r="AI433" s="111">
        <v>8714</v>
      </c>
      <c r="AJ433" s="111"/>
      <c r="AK433" s="111">
        <f>220.476/1.097</f>
        <v>200.98085688240656</v>
      </c>
      <c r="AL433" s="111">
        <v>918.65624999999989</v>
      </c>
      <c r="AM433" s="645">
        <f t="shared" si="9"/>
        <v>299600.74490488239</v>
      </c>
      <c r="AO433" s="289"/>
    </row>
    <row r="434" spans="1:42" s="61" customFormat="1" ht="21" customHeight="1" x14ac:dyDescent="0.3">
      <c r="A434" s="707"/>
      <c r="B434" s="181" t="s">
        <v>403</v>
      </c>
      <c r="C434" s="144">
        <v>30225.599149999998</v>
      </c>
      <c r="D434" s="112"/>
      <c r="E434" s="112"/>
      <c r="F434" s="268">
        <v>87.1</v>
      </c>
      <c r="G434" s="112"/>
      <c r="H434" s="112"/>
      <c r="I434" s="126"/>
      <c r="J434" s="112"/>
      <c r="K434" s="112">
        <v>670</v>
      </c>
      <c r="L434" s="268">
        <v>6300.5</v>
      </c>
      <c r="M434" s="112">
        <v>107.30652000000001</v>
      </c>
      <c r="N434" s="126"/>
      <c r="O434" s="112">
        <v>2633</v>
      </c>
      <c r="P434" s="112"/>
      <c r="Q434" s="112">
        <v>-11.91</v>
      </c>
      <c r="R434" s="112">
        <f>2296-R433</f>
        <v>0</v>
      </c>
      <c r="S434" s="112">
        <v>55999.168806000009</v>
      </c>
      <c r="T434" s="145">
        <v>7478.38</v>
      </c>
      <c r="U434" s="144">
        <v>4492.5410000000002</v>
      </c>
      <c r="V434" s="112">
        <f>(3981891+9288594)/1000-V433</f>
        <v>6917.8274500000007</v>
      </c>
      <c r="W434" s="112">
        <f>10036-6129</f>
        <v>3907</v>
      </c>
      <c r="X434" s="112"/>
      <c r="Y434" s="112">
        <v>52132.909</v>
      </c>
      <c r="Z434" s="112">
        <v>37944</v>
      </c>
      <c r="AA434" s="112">
        <v>535</v>
      </c>
      <c r="AB434" s="112">
        <v>243.1</v>
      </c>
      <c r="AC434" s="112">
        <v>2273</v>
      </c>
      <c r="AD434" s="112">
        <v>19558</v>
      </c>
      <c r="AE434" s="112">
        <v>188</v>
      </c>
      <c r="AF434" s="112"/>
      <c r="AG434" s="112"/>
      <c r="AH434" s="112">
        <v>41885.078999999998</v>
      </c>
      <c r="AI434" s="112">
        <v>8714</v>
      </c>
      <c r="AJ434" s="112"/>
      <c r="AK434" s="112">
        <f>293.079/1.001</f>
        <v>292.78621378621381</v>
      </c>
      <c r="AL434" s="112">
        <v>1100</v>
      </c>
      <c r="AM434" s="646">
        <f t="shared" si="9"/>
        <v>283672.38713978627</v>
      </c>
      <c r="AO434" s="289"/>
    </row>
    <row r="435" spans="1:42" s="61" customFormat="1" ht="21" customHeight="1" x14ac:dyDescent="0.3">
      <c r="A435" s="705" t="s">
        <v>149</v>
      </c>
      <c r="B435" s="179" t="s">
        <v>293</v>
      </c>
      <c r="C435" s="135"/>
      <c r="D435" s="136"/>
      <c r="E435" s="136"/>
      <c r="F435" s="262"/>
      <c r="G435" s="136"/>
      <c r="H435" s="136"/>
      <c r="I435" s="326"/>
      <c r="J435" s="136"/>
      <c r="K435" s="136"/>
      <c r="L435" s="262"/>
      <c r="M435" s="136"/>
      <c r="N435" s="326"/>
      <c r="O435" s="136"/>
      <c r="P435" s="136"/>
      <c r="Q435" s="136"/>
      <c r="R435" s="136"/>
      <c r="S435" s="136"/>
      <c r="T435" s="137"/>
      <c r="U435" s="632"/>
      <c r="V435" s="122"/>
      <c r="W435" s="122"/>
      <c r="X435" s="122"/>
      <c r="Y435" s="122"/>
      <c r="Z435" s="122"/>
      <c r="AA435" s="122"/>
      <c r="AB435" s="122"/>
      <c r="AC435" s="122"/>
      <c r="AD435" s="122"/>
      <c r="AE435" s="122"/>
      <c r="AF435" s="122"/>
      <c r="AG435" s="122"/>
      <c r="AH435" s="122"/>
      <c r="AI435" s="122" t="s">
        <v>482</v>
      </c>
      <c r="AJ435" s="122"/>
      <c r="AK435" s="122"/>
      <c r="AL435" s="122"/>
      <c r="AM435" s="639">
        <f t="shared" si="9"/>
        <v>0</v>
      </c>
      <c r="AO435" s="289"/>
    </row>
    <row r="436" spans="1:42" s="61" customFormat="1" ht="19.5" customHeight="1" x14ac:dyDescent="0.3">
      <c r="A436" s="706"/>
      <c r="B436" s="116" t="s">
        <v>294</v>
      </c>
      <c r="C436" s="138"/>
      <c r="D436" s="109"/>
      <c r="E436" s="109"/>
      <c r="F436" s="263"/>
      <c r="G436" s="109"/>
      <c r="H436" s="109"/>
      <c r="I436" s="123"/>
      <c r="J436" s="109"/>
      <c r="K436" s="109"/>
      <c r="L436" s="263"/>
      <c r="M436" s="109"/>
      <c r="N436" s="123"/>
      <c r="O436" s="109"/>
      <c r="P436" s="109"/>
      <c r="Q436" s="109"/>
      <c r="R436" s="109"/>
      <c r="S436" s="109">
        <v>5</v>
      </c>
      <c r="T436" s="139"/>
      <c r="U436" s="138"/>
      <c r="V436" s="109"/>
      <c r="W436" s="109"/>
      <c r="X436" s="109"/>
      <c r="Y436" s="109">
        <v>3</v>
      </c>
      <c r="Z436" s="109">
        <v>1</v>
      </c>
      <c r="AA436" s="109"/>
      <c r="AB436" s="109"/>
      <c r="AC436" s="109"/>
      <c r="AD436" s="109"/>
      <c r="AE436" s="109"/>
      <c r="AF436" s="109"/>
      <c r="AG436" s="109"/>
      <c r="AH436" s="109"/>
      <c r="AI436" s="109" t="s">
        <v>482</v>
      </c>
      <c r="AJ436" s="109"/>
      <c r="AK436" s="109"/>
      <c r="AL436" s="109"/>
      <c r="AM436" s="640">
        <f t="shared" si="9"/>
        <v>9</v>
      </c>
      <c r="AO436" s="289"/>
    </row>
    <row r="437" spans="1:42" s="61" customFormat="1" ht="22.5" customHeight="1" x14ac:dyDescent="0.3">
      <c r="A437" s="706"/>
      <c r="B437" s="117" t="s">
        <v>326</v>
      </c>
      <c r="C437" s="140"/>
      <c r="D437" s="110"/>
      <c r="E437" s="110"/>
      <c r="F437" s="264"/>
      <c r="G437" s="110"/>
      <c r="H437" s="110"/>
      <c r="I437" s="124"/>
      <c r="J437" s="110"/>
      <c r="K437" s="110"/>
      <c r="L437" s="264"/>
      <c r="M437" s="110"/>
      <c r="N437" s="124"/>
      <c r="O437" s="110"/>
      <c r="P437" s="110"/>
      <c r="Q437" s="110"/>
      <c r="R437" s="110"/>
      <c r="S437" s="110"/>
      <c r="T437" s="141"/>
      <c r="U437" s="140"/>
      <c r="V437" s="110"/>
      <c r="W437" s="110"/>
      <c r="X437" s="110"/>
      <c r="Y437" s="110"/>
      <c r="Z437" s="110"/>
      <c r="AA437" s="110"/>
      <c r="AB437" s="110"/>
      <c r="AC437" s="110"/>
      <c r="AD437" s="110"/>
      <c r="AE437" s="110"/>
      <c r="AF437" s="110"/>
      <c r="AG437" s="110"/>
      <c r="AH437" s="110">
        <v>183.24624</v>
      </c>
      <c r="AI437" s="110" t="s">
        <v>482</v>
      </c>
      <c r="AJ437" s="110"/>
      <c r="AK437" s="110"/>
      <c r="AL437" s="110"/>
      <c r="AM437" s="641">
        <f t="shared" si="9"/>
        <v>183.24624</v>
      </c>
      <c r="AO437" s="289"/>
      <c r="AP437" s="97"/>
    </row>
    <row r="438" spans="1:42" s="61" customFormat="1" ht="25.5" customHeight="1" x14ac:dyDescent="0.3">
      <c r="A438" s="706"/>
      <c r="B438" s="175" t="s">
        <v>327</v>
      </c>
      <c r="C438" s="176"/>
      <c r="D438" s="127"/>
      <c r="E438" s="127"/>
      <c r="F438" s="265"/>
      <c r="G438" s="127"/>
      <c r="H438" s="127"/>
      <c r="I438" s="178"/>
      <c r="J438" s="127"/>
      <c r="K438" s="127"/>
      <c r="L438" s="265"/>
      <c r="M438" s="127"/>
      <c r="N438" s="178"/>
      <c r="O438" s="127"/>
      <c r="P438" s="127"/>
      <c r="Q438" s="127"/>
      <c r="R438" s="127"/>
      <c r="S438" s="127">
        <v>1</v>
      </c>
      <c r="T438" s="177"/>
      <c r="U438" s="176"/>
      <c r="V438" s="127"/>
      <c r="W438" s="127"/>
      <c r="X438" s="127"/>
      <c r="Y438" s="127">
        <v>27</v>
      </c>
      <c r="Z438" s="127">
        <v>1</v>
      </c>
      <c r="AA438" s="127"/>
      <c r="AB438" s="127"/>
      <c r="AC438" s="127"/>
      <c r="AD438" s="127"/>
      <c r="AE438" s="127"/>
      <c r="AF438" s="127"/>
      <c r="AG438" s="127"/>
      <c r="AH438" s="127">
        <v>51.53</v>
      </c>
      <c r="AI438" s="127" t="s">
        <v>482</v>
      </c>
      <c r="AJ438" s="127"/>
      <c r="AK438" s="127"/>
      <c r="AL438" s="127"/>
      <c r="AM438" s="642">
        <f t="shared" si="9"/>
        <v>80.53</v>
      </c>
      <c r="AO438" s="289"/>
    </row>
    <row r="439" spans="1:42" s="61" customFormat="1" ht="25.5" customHeight="1" x14ac:dyDescent="0.3">
      <c r="A439" s="706"/>
      <c r="B439" s="180" t="s">
        <v>361</v>
      </c>
      <c r="C439" s="300"/>
      <c r="D439" s="173"/>
      <c r="E439" s="173"/>
      <c r="F439" s="266"/>
      <c r="G439" s="173"/>
      <c r="H439" s="173"/>
      <c r="I439" s="174"/>
      <c r="J439" s="173"/>
      <c r="K439" s="173"/>
      <c r="L439" s="266"/>
      <c r="M439" s="173"/>
      <c r="N439" s="174"/>
      <c r="O439" s="173"/>
      <c r="P439" s="173"/>
      <c r="Q439" s="173"/>
      <c r="R439" s="173"/>
      <c r="S439" s="173">
        <v>2587</v>
      </c>
      <c r="T439" s="327"/>
      <c r="U439" s="300"/>
      <c r="V439" s="173"/>
      <c r="W439" s="173"/>
      <c r="X439" s="173"/>
      <c r="Y439" s="173"/>
      <c r="Z439" s="173">
        <v>1</v>
      </c>
      <c r="AA439" s="173"/>
      <c r="AB439" s="173"/>
      <c r="AC439" s="173"/>
      <c r="AD439" s="173"/>
      <c r="AE439" s="173"/>
      <c r="AF439" s="173"/>
      <c r="AG439" s="173"/>
      <c r="AH439" s="173"/>
      <c r="AI439" s="173" t="s">
        <v>482</v>
      </c>
      <c r="AJ439" s="173"/>
      <c r="AK439" s="173"/>
      <c r="AL439" s="173"/>
      <c r="AM439" s="643">
        <f t="shared" si="9"/>
        <v>2588</v>
      </c>
      <c r="AO439" s="289"/>
      <c r="AP439" s="97"/>
    </row>
    <row r="440" spans="1:42" s="61" customFormat="1" ht="25.5" customHeight="1" x14ac:dyDescent="0.3">
      <c r="A440" s="706"/>
      <c r="B440" s="180" t="s">
        <v>362</v>
      </c>
      <c r="C440" s="300">
        <v>2</v>
      </c>
      <c r="D440" s="173"/>
      <c r="E440" s="173"/>
      <c r="F440" s="266"/>
      <c r="G440" s="173"/>
      <c r="H440" s="173"/>
      <c r="I440" s="174"/>
      <c r="J440" s="173"/>
      <c r="K440" s="173"/>
      <c r="L440" s="266"/>
      <c r="M440" s="173"/>
      <c r="N440" s="174"/>
      <c r="O440" s="173"/>
      <c r="P440" s="173"/>
      <c r="Q440" s="173"/>
      <c r="R440" s="173"/>
      <c r="S440" s="173">
        <v>1</v>
      </c>
      <c r="T440" s="327"/>
      <c r="U440" s="300"/>
      <c r="V440" s="173"/>
      <c r="W440" s="173"/>
      <c r="X440" s="173"/>
      <c r="Y440" s="173"/>
      <c r="Z440" s="173">
        <v>414.41133000000002</v>
      </c>
      <c r="AA440" s="173"/>
      <c r="AB440" s="173"/>
      <c r="AC440" s="173"/>
      <c r="AD440" s="173"/>
      <c r="AE440" s="173"/>
      <c r="AF440" s="173"/>
      <c r="AG440" s="173"/>
      <c r="AH440" s="173"/>
      <c r="AI440" s="173" t="s">
        <v>482</v>
      </c>
      <c r="AJ440" s="173"/>
      <c r="AK440" s="173"/>
      <c r="AL440" s="173"/>
      <c r="AM440" s="644">
        <f t="shared" si="9"/>
        <v>417.41133000000002</v>
      </c>
      <c r="AO440" s="289"/>
      <c r="AP440" s="97"/>
    </row>
    <row r="441" spans="1:42" s="61" customFormat="1" ht="22.5" customHeight="1" x14ac:dyDescent="0.3">
      <c r="A441" s="706"/>
      <c r="B441" s="115" t="s">
        <v>402</v>
      </c>
      <c r="C441" s="142"/>
      <c r="D441" s="111"/>
      <c r="E441" s="111"/>
      <c r="F441" s="267"/>
      <c r="G441" s="111"/>
      <c r="H441" s="111"/>
      <c r="I441" s="125"/>
      <c r="J441" s="111"/>
      <c r="K441" s="111"/>
      <c r="L441" s="267"/>
      <c r="M441" s="111"/>
      <c r="N441" s="125"/>
      <c r="O441" s="111"/>
      <c r="P441" s="111"/>
      <c r="Q441" s="111"/>
      <c r="R441" s="111"/>
      <c r="S441" s="111">
        <v>12.0678</v>
      </c>
      <c r="T441" s="143"/>
      <c r="U441" s="142"/>
      <c r="V441" s="111"/>
      <c r="W441" s="111"/>
      <c r="X441" s="111"/>
      <c r="Y441" s="111"/>
      <c r="Z441" s="111"/>
      <c r="AA441" s="111"/>
      <c r="AB441" s="111"/>
      <c r="AC441" s="111"/>
      <c r="AD441" s="111"/>
      <c r="AE441" s="111"/>
      <c r="AF441" s="111"/>
      <c r="AG441" s="111"/>
      <c r="AH441" s="111" t="s">
        <v>482</v>
      </c>
      <c r="AI441" s="111">
        <v>45</v>
      </c>
      <c r="AJ441" s="111"/>
      <c r="AK441" s="111"/>
      <c r="AL441" s="111"/>
      <c r="AM441" s="645">
        <f t="shared" si="9"/>
        <v>57.067799999999998</v>
      </c>
      <c r="AO441" s="289"/>
    </row>
    <row r="442" spans="1:42" s="61" customFormat="1" ht="21" customHeight="1" x14ac:dyDescent="0.3">
      <c r="A442" s="707"/>
      <c r="B442" s="181" t="s">
        <v>403</v>
      </c>
      <c r="C442" s="144">
        <v>66.779179999999997</v>
      </c>
      <c r="D442" s="112"/>
      <c r="E442" s="112"/>
      <c r="F442" s="268"/>
      <c r="G442" s="112"/>
      <c r="H442" s="112">
        <v>1150</v>
      </c>
      <c r="I442" s="126"/>
      <c r="J442" s="112"/>
      <c r="K442" s="112"/>
      <c r="L442" s="268"/>
      <c r="M442" s="112"/>
      <c r="N442" s="126"/>
      <c r="O442" s="112"/>
      <c r="P442" s="112"/>
      <c r="Q442" s="112"/>
      <c r="R442" s="112"/>
      <c r="S442" s="112">
        <v>6.0104100000000003</v>
      </c>
      <c r="T442" s="145"/>
      <c r="U442" s="144"/>
      <c r="V442" s="112"/>
      <c r="W442" s="112"/>
      <c r="X442" s="112"/>
      <c r="Y442" s="112"/>
      <c r="Z442" s="112"/>
      <c r="AA442" s="112"/>
      <c r="AB442" s="112"/>
      <c r="AC442" s="112"/>
      <c r="AD442" s="112"/>
      <c r="AE442" s="112"/>
      <c r="AF442" s="112"/>
      <c r="AG442" s="112"/>
      <c r="AH442" s="112" t="s">
        <v>482</v>
      </c>
      <c r="AI442" s="112">
        <v>45</v>
      </c>
      <c r="AJ442" s="112"/>
      <c r="AK442" s="112"/>
      <c r="AL442" s="112"/>
      <c r="AM442" s="646">
        <f t="shared" si="9"/>
        <v>1267.7895900000001</v>
      </c>
      <c r="AO442" s="289"/>
    </row>
    <row r="443" spans="1:42" s="61" customFormat="1" ht="21" customHeight="1" x14ac:dyDescent="0.3">
      <c r="A443" s="705" t="s">
        <v>150</v>
      </c>
      <c r="B443" s="179" t="s">
        <v>293</v>
      </c>
      <c r="C443" s="135"/>
      <c r="D443" s="136"/>
      <c r="E443" s="136"/>
      <c r="F443" s="262"/>
      <c r="G443" s="136"/>
      <c r="H443" s="136"/>
      <c r="I443" s="326"/>
      <c r="J443" s="136"/>
      <c r="K443" s="136"/>
      <c r="L443" s="262"/>
      <c r="M443" s="136"/>
      <c r="N443" s="326"/>
      <c r="O443" s="136"/>
      <c r="P443" s="136"/>
      <c r="Q443" s="136"/>
      <c r="R443" s="136"/>
      <c r="S443" s="136"/>
      <c r="T443" s="137"/>
      <c r="U443" s="632"/>
      <c r="V443" s="122"/>
      <c r="W443" s="122"/>
      <c r="X443" s="122"/>
      <c r="Y443" s="122"/>
      <c r="Z443" s="122"/>
      <c r="AA443" s="122"/>
      <c r="AB443" s="122"/>
      <c r="AC443" s="122"/>
      <c r="AD443" s="122"/>
      <c r="AE443" s="122"/>
      <c r="AF443" s="122"/>
      <c r="AG443" s="122"/>
      <c r="AH443" s="122"/>
      <c r="AI443" s="122" t="s">
        <v>482</v>
      </c>
      <c r="AJ443" s="122"/>
      <c r="AK443" s="122"/>
      <c r="AL443" s="122"/>
      <c r="AM443" s="639">
        <f t="shared" si="9"/>
        <v>0</v>
      </c>
      <c r="AO443" s="289"/>
    </row>
    <row r="444" spans="1:42" s="61" customFormat="1" ht="19.5" customHeight="1" x14ac:dyDescent="0.3">
      <c r="A444" s="706"/>
      <c r="B444" s="116" t="s">
        <v>294</v>
      </c>
      <c r="C444" s="138"/>
      <c r="D444" s="109"/>
      <c r="E444" s="109"/>
      <c r="F444" s="263"/>
      <c r="G444" s="109"/>
      <c r="H444" s="109"/>
      <c r="I444" s="123"/>
      <c r="J444" s="109"/>
      <c r="K444" s="109"/>
      <c r="L444" s="263"/>
      <c r="M444" s="109"/>
      <c r="N444" s="123"/>
      <c r="O444" s="109"/>
      <c r="P444" s="109"/>
      <c r="Q444" s="109"/>
      <c r="R444" s="109"/>
      <c r="S444" s="109"/>
      <c r="T444" s="139"/>
      <c r="U444" s="138"/>
      <c r="V444" s="109"/>
      <c r="W444" s="109"/>
      <c r="X444" s="109"/>
      <c r="Y444" s="109"/>
      <c r="Z444" s="109"/>
      <c r="AA444" s="109"/>
      <c r="AB444" s="109"/>
      <c r="AC444" s="109"/>
      <c r="AD444" s="109"/>
      <c r="AE444" s="109"/>
      <c r="AF444" s="109"/>
      <c r="AG444" s="109"/>
      <c r="AH444" s="109"/>
      <c r="AI444" s="109" t="s">
        <v>482</v>
      </c>
      <c r="AJ444" s="109"/>
      <c r="AK444" s="109"/>
      <c r="AL444" s="109"/>
      <c r="AM444" s="640">
        <f t="shared" si="9"/>
        <v>0</v>
      </c>
      <c r="AO444" s="289"/>
    </row>
    <row r="445" spans="1:42" s="61" customFormat="1" ht="22.5" customHeight="1" x14ac:dyDescent="0.3">
      <c r="A445" s="706"/>
      <c r="B445" s="117" t="s">
        <v>326</v>
      </c>
      <c r="C445" s="140"/>
      <c r="D445" s="110"/>
      <c r="E445" s="110"/>
      <c r="F445" s="264"/>
      <c r="G445" s="110"/>
      <c r="H445" s="110"/>
      <c r="I445" s="124"/>
      <c r="J445" s="110"/>
      <c r="K445" s="110"/>
      <c r="L445" s="264"/>
      <c r="M445" s="110"/>
      <c r="N445" s="124"/>
      <c r="O445" s="110"/>
      <c r="P445" s="110"/>
      <c r="Q445" s="110"/>
      <c r="R445" s="110"/>
      <c r="S445" s="110"/>
      <c r="T445" s="141"/>
      <c r="U445" s="140"/>
      <c r="V445" s="110"/>
      <c r="W445" s="110"/>
      <c r="X445" s="110"/>
      <c r="Y445" s="110"/>
      <c r="Z445" s="110"/>
      <c r="AA445" s="110"/>
      <c r="AB445" s="110"/>
      <c r="AC445" s="110"/>
      <c r="AD445" s="110"/>
      <c r="AE445" s="110"/>
      <c r="AF445" s="110"/>
      <c r="AG445" s="110"/>
      <c r="AH445" s="110"/>
      <c r="AI445" s="110" t="s">
        <v>482</v>
      </c>
      <c r="AJ445" s="110"/>
      <c r="AK445" s="110"/>
      <c r="AL445" s="110"/>
      <c r="AM445" s="641">
        <f t="shared" si="9"/>
        <v>0</v>
      </c>
      <c r="AO445" s="289"/>
      <c r="AP445" s="97"/>
    </row>
    <row r="446" spans="1:42" s="61" customFormat="1" ht="25.5" customHeight="1" x14ac:dyDescent="0.3">
      <c r="A446" s="706"/>
      <c r="B446" s="175" t="s">
        <v>327</v>
      </c>
      <c r="C446" s="176"/>
      <c r="D446" s="127"/>
      <c r="E446" s="127"/>
      <c r="F446" s="265"/>
      <c r="G446" s="127"/>
      <c r="H446" s="127"/>
      <c r="I446" s="178"/>
      <c r="J446" s="127"/>
      <c r="K446" s="127"/>
      <c r="L446" s="265"/>
      <c r="M446" s="127"/>
      <c r="N446" s="178"/>
      <c r="O446" s="127"/>
      <c r="P446" s="127"/>
      <c r="Q446" s="127"/>
      <c r="R446" s="127"/>
      <c r="S446" s="127">
        <v>3</v>
      </c>
      <c r="T446" s="177"/>
      <c r="U446" s="176"/>
      <c r="V446" s="127"/>
      <c r="W446" s="127"/>
      <c r="X446" s="127"/>
      <c r="Y446" s="127"/>
      <c r="Z446" s="127"/>
      <c r="AA446" s="127"/>
      <c r="AB446" s="127"/>
      <c r="AC446" s="127"/>
      <c r="AD446" s="127"/>
      <c r="AE446" s="127"/>
      <c r="AF446" s="127"/>
      <c r="AG446" s="127"/>
      <c r="AH446" s="127"/>
      <c r="AI446" s="127" t="s">
        <v>482</v>
      </c>
      <c r="AJ446" s="127"/>
      <c r="AK446" s="127"/>
      <c r="AL446" s="127"/>
      <c r="AM446" s="642">
        <f t="shared" si="9"/>
        <v>3</v>
      </c>
      <c r="AO446" s="289"/>
    </row>
    <row r="447" spans="1:42" s="61" customFormat="1" ht="25.5" customHeight="1" x14ac:dyDescent="0.3">
      <c r="A447" s="706"/>
      <c r="B447" s="180" t="s">
        <v>361</v>
      </c>
      <c r="C447" s="300"/>
      <c r="D447" s="173"/>
      <c r="E447" s="173"/>
      <c r="F447" s="266"/>
      <c r="G447" s="173"/>
      <c r="H447" s="173"/>
      <c r="I447" s="174"/>
      <c r="J447" s="173"/>
      <c r="K447" s="173"/>
      <c r="L447" s="266"/>
      <c r="M447" s="173"/>
      <c r="N447" s="174"/>
      <c r="O447" s="173"/>
      <c r="P447" s="173"/>
      <c r="Q447" s="173"/>
      <c r="R447" s="173"/>
      <c r="S447" s="173">
        <v>4</v>
      </c>
      <c r="T447" s="327"/>
      <c r="U447" s="300"/>
      <c r="V447" s="173"/>
      <c r="W447" s="173"/>
      <c r="X447" s="173"/>
      <c r="Y447" s="173"/>
      <c r="Z447" s="173"/>
      <c r="AA447" s="173"/>
      <c r="AB447" s="173"/>
      <c r="AC447" s="173"/>
      <c r="AD447" s="173"/>
      <c r="AE447" s="173"/>
      <c r="AF447" s="173"/>
      <c r="AG447" s="173"/>
      <c r="AH447" s="173"/>
      <c r="AI447" s="173" t="s">
        <v>482</v>
      </c>
      <c r="AJ447" s="173"/>
      <c r="AK447" s="173"/>
      <c r="AL447" s="173"/>
      <c r="AM447" s="643">
        <f t="shared" si="9"/>
        <v>4</v>
      </c>
      <c r="AO447" s="289"/>
      <c r="AP447" s="97"/>
    </row>
    <row r="448" spans="1:42" s="61" customFormat="1" ht="25.5" customHeight="1" x14ac:dyDescent="0.3">
      <c r="A448" s="706"/>
      <c r="B448" s="180" t="s">
        <v>362</v>
      </c>
      <c r="C448" s="300"/>
      <c r="D448" s="173"/>
      <c r="E448" s="173"/>
      <c r="F448" s="266"/>
      <c r="G448" s="173"/>
      <c r="H448" s="173"/>
      <c r="I448" s="174"/>
      <c r="J448" s="173"/>
      <c r="K448" s="173"/>
      <c r="L448" s="266"/>
      <c r="M448" s="173"/>
      <c r="N448" s="174"/>
      <c r="O448" s="173"/>
      <c r="P448" s="173"/>
      <c r="Q448" s="173"/>
      <c r="R448" s="173"/>
      <c r="S448" s="173">
        <v>5</v>
      </c>
      <c r="T448" s="327"/>
      <c r="U448" s="300">
        <v>0.218</v>
      </c>
      <c r="V448" s="173"/>
      <c r="W448" s="173"/>
      <c r="X448" s="173"/>
      <c r="Y448" s="173"/>
      <c r="Z448" s="173"/>
      <c r="AA448" s="173"/>
      <c r="AB448" s="173"/>
      <c r="AC448" s="173"/>
      <c r="AD448" s="173"/>
      <c r="AE448" s="173"/>
      <c r="AF448" s="173"/>
      <c r="AG448" s="173"/>
      <c r="AH448" s="173"/>
      <c r="AI448" s="173" t="s">
        <v>482</v>
      </c>
      <c r="AJ448" s="173"/>
      <c r="AK448" s="173"/>
      <c r="AL448" s="173"/>
      <c r="AM448" s="644">
        <f t="shared" si="9"/>
        <v>5.218</v>
      </c>
      <c r="AO448" s="289"/>
      <c r="AP448" s="97"/>
    </row>
    <row r="449" spans="1:42" s="61" customFormat="1" ht="22.5" customHeight="1" x14ac:dyDescent="0.3">
      <c r="A449" s="706"/>
      <c r="B449" s="115" t="s">
        <v>402</v>
      </c>
      <c r="C449" s="142"/>
      <c r="D449" s="111"/>
      <c r="E449" s="111"/>
      <c r="F449" s="267"/>
      <c r="G449" s="111"/>
      <c r="H449" s="111"/>
      <c r="I449" s="125"/>
      <c r="J449" s="111"/>
      <c r="K449" s="111"/>
      <c r="L449" s="267"/>
      <c r="M449" s="111"/>
      <c r="N449" s="125"/>
      <c r="O449" s="111"/>
      <c r="P449" s="111"/>
      <c r="Q449" s="111"/>
      <c r="R449" s="111"/>
      <c r="S449" s="111"/>
      <c r="T449" s="143"/>
      <c r="U449" s="142"/>
      <c r="V449" s="111"/>
      <c r="W449" s="111"/>
      <c r="X449" s="111"/>
      <c r="Y449" s="111"/>
      <c r="Z449" s="111"/>
      <c r="AA449" s="111"/>
      <c r="AB449" s="111"/>
      <c r="AC449" s="111"/>
      <c r="AD449" s="111"/>
      <c r="AE449" s="111"/>
      <c r="AF449" s="111"/>
      <c r="AG449" s="111"/>
      <c r="AH449" s="111" t="s">
        <v>482</v>
      </c>
      <c r="AI449" s="111" t="s">
        <v>482</v>
      </c>
      <c r="AJ449" s="111"/>
      <c r="AK449" s="111"/>
      <c r="AL449" s="111"/>
      <c r="AM449" s="645">
        <f t="shared" si="9"/>
        <v>0</v>
      </c>
      <c r="AO449" s="289"/>
    </row>
    <row r="450" spans="1:42" s="61" customFormat="1" ht="21" customHeight="1" x14ac:dyDescent="0.3">
      <c r="A450" s="707"/>
      <c r="B450" s="181" t="s">
        <v>403</v>
      </c>
      <c r="C450" s="144"/>
      <c r="D450" s="112"/>
      <c r="E450" s="112"/>
      <c r="F450" s="268"/>
      <c r="G450" s="112"/>
      <c r="H450" s="112"/>
      <c r="I450" s="126"/>
      <c r="J450" s="112"/>
      <c r="K450" s="112"/>
      <c r="L450" s="268">
        <v>49.8</v>
      </c>
      <c r="M450" s="112"/>
      <c r="N450" s="126"/>
      <c r="O450" s="112"/>
      <c r="P450" s="112"/>
      <c r="Q450" s="112"/>
      <c r="R450" s="112"/>
      <c r="S450" s="112">
        <v>31.156413000000001</v>
      </c>
      <c r="T450" s="145"/>
      <c r="U450" s="144"/>
      <c r="V450" s="112"/>
      <c r="W450" s="112"/>
      <c r="X450" s="112"/>
      <c r="Y450" s="112"/>
      <c r="Z450" s="112"/>
      <c r="AA450" s="112"/>
      <c r="AB450" s="112"/>
      <c r="AC450" s="112"/>
      <c r="AD450" s="112"/>
      <c r="AE450" s="112"/>
      <c r="AF450" s="112"/>
      <c r="AG450" s="112"/>
      <c r="AH450" s="112" t="s">
        <v>482</v>
      </c>
      <c r="AI450" s="112" t="s">
        <v>482</v>
      </c>
      <c r="AJ450" s="112"/>
      <c r="AK450" s="112"/>
      <c r="AL450" s="112"/>
      <c r="AM450" s="646">
        <f t="shared" si="9"/>
        <v>80.956412999999998</v>
      </c>
      <c r="AO450" s="289"/>
    </row>
    <row r="451" spans="1:42" s="61" customFormat="1" ht="21" customHeight="1" x14ac:dyDescent="0.3">
      <c r="A451" s="705" t="s">
        <v>151</v>
      </c>
      <c r="B451" s="179" t="s">
        <v>293</v>
      </c>
      <c r="C451" s="135"/>
      <c r="D451" s="136"/>
      <c r="E451" s="136"/>
      <c r="F451" s="262"/>
      <c r="G451" s="136"/>
      <c r="H451" s="136">
        <v>16</v>
      </c>
      <c r="I451" s="326"/>
      <c r="J451" s="136"/>
      <c r="K451" s="136"/>
      <c r="L451" s="262"/>
      <c r="M451" s="136"/>
      <c r="N451" s="326"/>
      <c r="O451" s="136"/>
      <c r="P451" s="136"/>
      <c r="Q451" s="136"/>
      <c r="R451" s="136"/>
      <c r="S451" s="136">
        <v>-5</v>
      </c>
      <c r="T451" s="137"/>
      <c r="U451" s="632"/>
      <c r="V451" s="122"/>
      <c r="W451" s="122"/>
      <c r="X451" s="122"/>
      <c r="Y451" s="122"/>
      <c r="Z451" s="122">
        <v>189</v>
      </c>
      <c r="AA451" s="122"/>
      <c r="AB451" s="122"/>
      <c r="AC451" s="122">
        <v>100</v>
      </c>
      <c r="AD451" s="122"/>
      <c r="AE451" s="122"/>
      <c r="AF451" s="122"/>
      <c r="AG451" s="122"/>
      <c r="AH451" s="122">
        <v>4</v>
      </c>
      <c r="AI451" s="122" t="s">
        <v>482</v>
      </c>
      <c r="AJ451" s="122"/>
      <c r="AK451" s="122">
        <v>109.03</v>
      </c>
      <c r="AL451" s="122"/>
      <c r="AM451" s="639">
        <f t="shared" si="9"/>
        <v>413.03</v>
      </c>
      <c r="AO451" s="289"/>
    </row>
    <row r="452" spans="1:42" s="61" customFormat="1" ht="19.5" customHeight="1" x14ac:dyDescent="0.3">
      <c r="A452" s="706"/>
      <c r="B452" s="116" t="s">
        <v>294</v>
      </c>
      <c r="C452" s="138">
        <v>10</v>
      </c>
      <c r="D452" s="109"/>
      <c r="E452" s="109"/>
      <c r="F452" s="263">
        <v>210.52600000000001</v>
      </c>
      <c r="G452" s="109"/>
      <c r="H452" s="109">
        <v>45</v>
      </c>
      <c r="I452" s="123"/>
      <c r="J452" s="109"/>
      <c r="K452" s="109"/>
      <c r="L452" s="263"/>
      <c r="M452" s="109"/>
      <c r="N452" s="123"/>
      <c r="O452" s="109"/>
      <c r="P452" s="109"/>
      <c r="Q452" s="109"/>
      <c r="R452" s="109"/>
      <c r="S452" s="109"/>
      <c r="T452" s="139"/>
      <c r="U452" s="138">
        <v>1.7090000000000001</v>
      </c>
      <c r="V452" s="109"/>
      <c r="W452" s="109"/>
      <c r="X452" s="109"/>
      <c r="Y452" s="109"/>
      <c r="Z452" s="109">
        <v>40</v>
      </c>
      <c r="AA452" s="109"/>
      <c r="AB452" s="109"/>
      <c r="AC452" s="109"/>
      <c r="AD452" s="109"/>
      <c r="AE452" s="109"/>
      <c r="AF452" s="109"/>
      <c r="AG452" s="109"/>
      <c r="AH452" s="109">
        <v>46.89</v>
      </c>
      <c r="AI452" s="109" t="s">
        <v>482</v>
      </c>
      <c r="AJ452" s="109"/>
      <c r="AK452" s="109">
        <v>62.31</v>
      </c>
      <c r="AL452" s="109"/>
      <c r="AM452" s="640">
        <f t="shared" si="9"/>
        <v>416.435</v>
      </c>
      <c r="AO452" s="289"/>
    </row>
    <row r="453" spans="1:42" s="61" customFormat="1" ht="22.5" customHeight="1" x14ac:dyDescent="0.3">
      <c r="A453" s="706"/>
      <c r="B453" s="117" t="s">
        <v>326</v>
      </c>
      <c r="C453" s="140">
        <v>4.9800000000000004</v>
      </c>
      <c r="D453" s="110"/>
      <c r="E453" s="110"/>
      <c r="F453" s="264"/>
      <c r="G453" s="110"/>
      <c r="H453" s="110">
        <v>2974</v>
      </c>
      <c r="I453" s="124"/>
      <c r="J453" s="110"/>
      <c r="K453" s="110"/>
      <c r="L453" s="264"/>
      <c r="M453" s="110"/>
      <c r="N453" s="124"/>
      <c r="O453" s="110"/>
      <c r="P453" s="110"/>
      <c r="Q453" s="110"/>
      <c r="R453" s="110"/>
      <c r="S453" s="110">
        <v>6569</v>
      </c>
      <c r="T453" s="141"/>
      <c r="U453" s="140">
        <v>0.998</v>
      </c>
      <c r="V453" s="110"/>
      <c r="W453" s="110"/>
      <c r="X453" s="110"/>
      <c r="Y453" s="110"/>
      <c r="Z453" s="110">
        <v>77</v>
      </c>
      <c r="AA453" s="110"/>
      <c r="AB453" s="110"/>
      <c r="AC453" s="110"/>
      <c r="AD453" s="110"/>
      <c r="AE453" s="110"/>
      <c r="AF453" s="110"/>
      <c r="AG453" s="110"/>
      <c r="AH453" s="110"/>
      <c r="AI453" s="110" t="s">
        <v>482</v>
      </c>
      <c r="AJ453" s="110"/>
      <c r="AK453" s="110"/>
      <c r="AL453" s="110"/>
      <c r="AM453" s="641">
        <f t="shared" si="9"/>
        <v>9625.9779999999992</v>
      </c>
      <c r="AO453" s="289"/>
      <c r="AP453" s="97"/>
    </row>
    <row r="454" spans="1:42" s="61" customFormat="1" ht="25.5" customHeight="1" x14ac:dyDescent="0.3">
      <c r="A454" s="706"/>
      <c r="B454" s="175" t="s">
        <v>327</v>
      </c>
      <c r="C454" s="176">
        <v>216.56</v>
      </c>
      <c r="D454" s="127"/>
      <c r="E454" s="127"/>
      <c r="F454" s="265">
        <v>194</v>
      </c>
      <c r="G454" s="127"/>
      <c r="H454" s="127"/>
      <c r="I454" s="178"/>
      <c r="J454" s="127"/>
      <c r="K454" s="127"/>
      <c r="L454" s="265">
        <v>102</v>
      </c>
      <c r="M454" s="127"/>
      <c r="N454" s="178">
        <v>5</v>
      </c>
      <c r="O454" s="127"/>
      <c r="P454" s="127"/>
      <c r="Q454" s="127"/>
      <c r="R454" s="127"/>
      <c r="S454" s="127">
        <v>6176</v>
      </c>
      <c r="T454" s="177"/>
      <c r="U454" s="176">
        <v>63.595999999999997</v>
      </c>
      <c r="V454" s="127"/>
      <c r="W454" s="127"/>
      <c r="X454" s="127"/>
      <c r="Y454" s="127"/>
      <c r="Z454" s="127">
        <v>80</v>
      </c>
      <c r="AA454" s="127"/>
      <c r="AB454" s="127"/>
      <c r="AC454" s="127"/>
      <c r="AD454" s="127"/>
      <c r="AE454" s="127"/>
      <c r="AF454" s="127"/>
      <c r="AG454" s="127"/>
      <c r="AH454" s="127"/>
      <c r="AI454" s="127" t="s">
        <v>482</v>
      </c>
      <c r="AJ454" s="127"/>
      <c r="AK454" s="127"/>
      <c r="AL454" s="127"/>
      <c r="AM454" s="642">
        <f t="shared" si="9"/>
        <v>6837.155999999999</v>
      </c>
      <c r="AO454" s="289"/>
    </row>
    <row r="455" spans="1:42" s="61" customFormat="1" ht="25.5" customHeight="1" x14ac:dyDescent="0.3">
      <c r="A455" s="706"/>
      <c r="B455" s="180" t="s">
        <v>361</v>
      </c>
      <c r="C455" s="300">
        <v>291.02</v>
      </c>
      <c r="D455" s="173"/>
      <c r="E455" s="173"/>
      <c r="F455" s="266">
        <v>161</v>
      </c>
      <c r="G455" s="173">
        <v>1</v>
      </c>
      <c r="H455" s="173">
        <v>4</v>
      </c>
      <c r="I455" s="174"/>
      <c r="J455" s="173"/>
      <c r="K455" s="173"/>
      <c r="L455" s="266"/>
      <c r="M455" s="173"/>
      <c r="N455" s="174">
        <v>9.99</v>
      </c>
      <c r="O455" s="173"/>
      <c r="P455" s="173"/>
      <c r="Q455" s="173"/>
      <c r="R455" s="173"/>
      <c r="S455" s="173">
        <v>4758</v>
      </c>
      <c r="T455" s="327"/>
      <c r="U455" s="300">
        <v>78.731999999999999</v>
      </c>
      <c r="V455" s="173"/>
      <c r="W455" s="173">
        <v>133</v>
      </c>
      <c r="X455" s="173"/>
      <c r="Y455" s="173"/>
      <c r="Z455" s="173">
        <v>100.42861000000001</v>
      </c>
      <c r="AA455" s="173"/>
      <c r="AB455" s="173"/>
      <c r="AC455" s="173"/>
      <c r="AD455" s="173"/>
      <c r="AE455" s="173"/>
      <c r="AF455" s="173"/>
      <c r="AG455" s="173"/>
      <c r="AH455" s="173"/>
      <c r="AI455" s="173" t="s">
        <v>482</v>
      </c>
      <c r="AJ455" s="173"/>
      <c r="AK455" s="173"/>
      <c r="AL455" s="173"/>
      <c r="AM455" s="643">
        <f t="shared" si="9"/>
        <v>5537.1706100000001</v>
      </c>
      <c r="AO455" s="289"/>
      <c r="AP455" s="97"/>
    </row>
    <row r="456" spans="1:42" s="61" customFormat="1" ht="25.5" customHeight="1" x14ac:dyDescent="0.3">
      <c r="A456" s="706"/>
      <c r="B456" s="180" t="s">
        <v>362</v>
      </c>
      <c r="C456" s="300">
        <v>128.63</v>
      </c>
      <c r="D456" s="173"/>
      <c r="E456" s="173"/>
      <c r="F456" s="266">
        <v>227</v>
      </c>
      <c r="G456" s="173"/>
      <c r="H456" s="173">
        <v>69</v>
      </c>
      <c r="I456" s="174"/>
      <c r="J456" s="173"/>
      <c r="K456" s="173"/>
      <c r="L456" s="266"/>
      <c r="M456" s="173"/>
      <c r="N456" s="174"/>
      <c r="O456" s="173"/>
      <c r="P456" s="173"/>
      <c r="Q456" s="173"/>
      <c r="R456" s="173"/>
      <c r="S456" s="173">
        <v>6317</v>
      </c>
      <c r="T456" s="327"/>
      <c r="U456" s="300">
        <v>25.975999999999999</v>
      </c>
      <c r="V456" s="173"/>
      <c r="W456" s="173"/>
      <c r="X456" s="173"/>
      <c r="Y456" s="173"/>
      <c r="Z456" s="173">
        <v>78.81223</v>
      </c>
      <c r="AA456" s="173"/>
      <c r="AB456" s="173"/>
      <c r="AC456" s="173"/>
      <c r="AD456" s="173"/>
      <c r="AE456" s="173"/>
      <c r="AF456" s="173"/>
      <c r="AG456" s="173"/>
      <c r="AH456" s="173"/>
      <c r="AI456" s="173" t="s">
        <v>482</v>
      </c>
      <c r="AJ456" s="173"/>
      <c r="AK456" s="173"/>
      <c r="AL456" s="173"/>
      <c r="AM456" s="644">
        <f t="shared" si="9"/>
        <v>6846.4182299999993</v>
      </c>
      <c r="AO456" s="289"/>
      <c r="AP456" s="97"/>
    </row>
    <row r="457" spans="1:42" s="61" customFormat="1" ht="22.5" customHeight="1" x14ac:dyDescent="0.3">
      <c r="A457" s="706"/>
      <c r="B457" s="115" t="s">
        <v>402</v>
      </c>
      <c r="C457" s="142">
        <v>70.596999999999994</v>
      </c>
      <c r="D457" s="111"/>
      <c r="E457" s="111"/>
      <c r="F457" s="267">
        <v>84.4</v>
      </c>
      <c r="G457" s="111"/>
      <c r="H457" s="111">
        <v>1</v>
      </c>
      <c r="I457" s="125"/>
      <c r="J457" s="111"/>
      <c r="K457" s="111"/>
      <c r="L457" s="267"/>
      <c r="M457" s="111"/>
      <c r="N457" s="125"/>
      <c r="O457" s="111"/>
      <c r="P457" s="111"/>
      <c r="Q457" s="111"/>
      <c r="R457" s="111"/>
      <c r="S457" s="111">
        <v>4818.3698669999994</v>
      </c>
      <c r="T457" s="143">
        <v>45</v>
      </c>
      <c r="U457" s="142">
        <v>36.67</v>
      </c>
      <c r="V457" s="111"/>
      <c r="W457" s="111">
        <f>177</f>
        <v>177</v>
      </c>
      <c r="X457" s="111"/>
      <c r="Y457" s="111"/>
      <c r="Z457" s="111"/>
      <c r="AA457" s="111"/>
      <c r="AB457" s="111"/>
      <c r="AC457" s="111"/>
      <c r="AD457" s="111"/>
      <c r="AE457" s="111"/>
      <c r="AF457" s="111"/>
      <c r="AG457" s="111"/>
      <c r="AH457" s="111" t="s">
        <v>482</v>
      </c>
      <c r="AI457" s="111" t="s">
        <v>482</v>
      </c>
      <c r="AJ457" s="111"/>
      <c r="AK457" s="111"/>
      <c r="AL457" s="111"/>
      <c r="AM457" s="645">
        <f t="shared" si="9"/>
        <v>5233.0368669999998</v>
      </c>
      <c r="AO457" s="289"/>
    </row>
    <row r="458" spans="1:42" s="61" customFormat="1" ht="21" customHeight="1" x14ac:dyDescent="0.3">
      <c r="A458" s="707"/>
      <c r="B458" s="181" t="s">
        <v>403</v>
      </c>
      <c r="C458" s="144">
        <v>158.08476999999999</v>
      </c>
      <c r="D458" s="112"/>
      <c r="E458" s="112"/>
      <c r="F458" s="268">
        <v>10</v>
      </c>
      <c r="G458" s="112"/>
      <c r="H458" s="112">
        <v>288</v>
      </c>
      <c r="I458" s="126"/>
      <c r="J458" s="112"/>
      <c r="K458" s="112"/>
      <c r="L458" s="268"/>
      <c r="M458" s="112"/>
      <c r="N458" s="126"/>
      <c r="O458" s="112"/>
      <c r="P458" s="112"/>
      <c r="Q458" s="112"/>
      <c r="R458" s="112"/>
      <c r="S458" s="112">
        <v>7380.5965919999999</v>
      </c>
      <c r="T458" s="145"/>
      <c r="U458" s="144">
        <v>62.5</v>
      </c>
      <c r="V458" s="112"/>
      <c r="W458" s="112">
        <f>517-177</f>
        <v>340</v>
      </c>
      <c r="X458" s="112"/>
      <c r="Y458" s="112"/>
      <c r="Z458" s="112"/>
      <c r="AA458" s="112"/>
      <c r="AB458" s="112"/>
      <c r="AC458" s="112"/>
      <c r="AD458" s="112"/>
      <c r="AE458" s="112"/>
      <c r="AF458" s="112"/>
      <c r="AG458" s="112"/>
      <c r="AH458" s="112" t="s">
        <v>482</v>
      </c>
      <c r="AI458" s="112" t="s">
        <v>482</v>
      </c>
      <c r="AJ458" s="112"/>
      <c r="AK458" s="112"/>
      <c r="AL458" s="112"/>
      <c r="AM458" s="646">
        <f t="shared" si="9"/>
        <v>8239.1813619999994</v>
      </c>
      <c r="AO458" s="289"/>
    </row>
    <row r="459" spans="1:42" s="61" customFormat="1" ht="21" customHeight="1" x14ac:dyDescent="0.3">
      <c r="A459" s="705" t="s">
        <v>152</v>
      </c>
      <c r="B459" s="179" t="s">
        <v>293</v>
      </c>
      <c r="C459" s="135">
        <v>26</v>
      </c>
      <c r="D459" s="136"/>
      <c r="E459" s="136"/>
      <c r="F459" s="262"/>
      <c r="G459" s="136"/>
      <c r="H459" s="136">
        <v>30</v>
      </c>
      <c r="I459" s="326"/>
      <c r="J459" s="136"/>
      <c r="K459" s="136"/>
      <c r="L459" s="262"/>
      <c r="M459" s="136"/>
      <c r="N459" s="326">
        <v>2161.0610000000001</v>
      </c>
      <c r="O459" s="136"/>
      <c r="P459" s="136"/>
      <c r="Q459" s="136">
        <v>27</v>
      </c>
      <c r="R459" s="136"/>
      <c r="S459" s="136"/>
      <c r="T459" s="137"/>
      <c r="U459" s="632"/>
      <c r="V459" s="122"/>
      <c r="W459" s="122"/>
      <c r="X459" s="122"/>
      <c r="Y459" s="122"/>
      <c r="Z459" s="122">
        <v>430</v>
      </c>
      <c r="AA459" s="122">
        <v>401.90114</v>
      </c>
      <c r="AB459" s="122"/>
      <c r="AC459" s="122"/>
      <c r="AD459" s="122"/>
      <c r="AE459" s="122"/>
      <c r="AF459" s="122"/>
      <c r="AG459" s="122"/>
      <c r="AH459" s="122">
        <v>88.86</v>
      </c>
      <c r="AI459" s="122" t="s">
        <v>482</v>
      </c>
      <c r="AJ459" s="122"/>
      <c r="AK459" s="122"/>
      <c r="AL459" s="122"/>
      <c r="AM459" s="639">
        <f t="shared" si="9"/>
        <v>3164.8221400000002</v>
      </c>
      <c r="AO459" s="289"/>
    </row>
    <row r="460" spans="1:42" s="61" customFormat="1" ht="19.5" customHeight="1" x14ac:dyDescent="0.3">
      <c r="A460" s="706"/>
      <c r="B460" s="116" t="s">
        <v>294</v>
      </c>
      <c r="C460" s="138">
        <v>-3</v>
      </c>
      <c r="D460" s="109"/>
      <c r="E460" s="109"/>
      <c r="F460" s="263">
        <v>310.505</v>
      </c>
      <c r="G460" s="109"/>
      <c r="H460" s="109">
        <v>16</v>
      </c>
      <c r="I460" s="123"/>
      <c r="J460" s="109"/>
      <c r="K460" s="109"/>
      <c r="L460" s="263"/>
      <c r="M460" s="109"/>
      <c r="N460" s="123">
        <v>5352.8779999999997</v>
      </c>
      <c r="O460" s="109"/>
      <c r="P460" s="109"/>
      <c r="Q460" s="109">
        <v>11</v>
      </c>
      <c r="R460" s="109"/>
      <c r="S460" s="109"/>
      <c r="T460" s="139"/>
      <c r="U460" s="138">
        <v>943.92700000000002</v>
      </c>
      <c r="V460" s="109"/>
      <c r="W460" s="109"/>
      <c r="X460" s="109"/>
      <c r="Y460" s="109"/>
      <c r="Z460" s="109">
        <v>449</v>
      </c>
      <c r="AA460" s="109">
        <v>100.01226</v>
      </c>
      <c r="AB460" s="109"/>
      <c r="AC460" s="109"/>
      <c r="AD460" s="109"/>
      <c r="AE460" s="109"/>
      <c r="AF460" s="109"/>
      <c r="AG460" s="109"/>
      <c r="AH460" s="109">
        <v>182</v>
      </c>
      <c r="AI460" s="109" t="s">
        <v>482</v>
      </c>
      <c r="AJ460" s="109"/>
      <c r="AK460" s="109"/>
      <c r="AL460" s="109"/>
      <c r="AM460" s="640">
        <f t="shared" si="9"/>
        <v>7362.3222599999999</v>
      </c>
      <c r="AO460" s="289"/>
    </row>
    <row r="461" spans="1:42" s="61" customFormat="1" ht="22.5" customHeight="1" x14ac:dyDescent="0.3">
      <c r="A461" s="706"/>
      <c r="B461" s="117" t="s">
        <v>326</v>
      </c>
      <c r="C461" s="140">
        <v>10</v>
      </c>
      <c r="D461" s="110"/>
      <c r="E461" s="110"/>
      <c r="F461" s="264">
        <v>60</v>
      </c>
      <c r="G461" s="110">
        <v>15</v>
      </c>
      <c r="H461" s="110">
        <v>72</v>
      </c>
      <c r="I461" s="124"/>
      <c r="J461" s="110"/>
      <c r="K461" s="110"/>
      <c r="L461" s="264"/>
      <c r="M461" s="110"/>
      <c r="N461" s="124"/>
      <c r="O461" s="110"/>
      <c r="P461" s="110"/>
      <c r="Q461" s="110">
        <v>-1</v>
      </c>
      <c r="R461" s="110"/>
      <c r="S461" s="110">
        <v>16541</v>
      </c>
      <c r="T461" s="141"/>
      <c r="U461" s="140">
        <v>672.98900000000003</v>
      </c>
      <c r="V461" s="110"/>
      <c r="W461" s="110"/>
      <c r="X461" s="110"/>
      <c r="Y461" s="110"/>
      <c r="Z461" s="110">
        <v>231</v>
      </c>
      <c r="AA461" s="110">
        <v>74.8</v>
      </c>
      <c r="AB461" s="110"/>
      <c r="AC461" s="110"/>
      <c r="AD461" s="110"/>
      <c r="AE461" s="110"/>
      <c r="AF461" s="110"/>
      <c r="AG461" s="110"/>
      <c r="AH461" s="110"/>
      <c r="AI461" s="110" t="s">
        <v>482</v>
      </c>
      <c r="AJ461" s="110"/>
      <c r="AK461" s="110"/>
      <c r="AL461" s="110"/>
      <c r="AM461" s="641">
        <f t="shared" si="9"/>
        <v>17675.789000000001</v>
      </c>
      <c r="AO461" s="289"/>
      <c r="AP461" s="97"/>
    </row>
    <row r="462" spans="1:42" s="61" customFormat="1" ht="25.5" customHeight="1" x14ac:dyDescent="0.3">
      <c r="A462" s="706"/>
      <c r="B462" s="175" t="s">
        <v>327</v>
      </c>
      <c r="C462" s="176">
        <v>5</v>
      </c>
      <c r="D462" s="127"/>
      <c r="E462" s="127"/>
      <c r="F462" s="265">
        <v>80</v>
      </c>
      <c r="G462" s="127">
        <v>328</v>
      </c>
      <c r="H462" s="127">
        <v>37</v>
      </c>
      <c r="I462" s="178"/>
      <c r="J462" s="127"/>
      <c r="K462" s="127"/>
      <c r="L462" s="265"/>
      <c r="M462" s="127"/>
      <c r="N462" s="178">
        <v>3390.922</v>
      </c>
      <c r="O462" s="127"/>
      <c r="P462" s="127">
        <v>209</v>
      </c>
      <c r="Q462" s="127"/>
      <c r="R462" s="127"/>
      <c r="S462" s="127">
        <v>17227</v>
      </c>
      <c r="T462" s="177"/>
      <c r="U462" s="176">
        <v>871.29</v>
      </c>
      <c r="V462" s="127"/>
      <c r="W462" s="127"/>
      <c r="X462" s="127"/>
      <c r="Y462" s="127"/>
      <c r="Z462" s="127">
        <v>1216</v>
      </c>
      <c r="AA462" s="127"/>
      <c r="AB462" s="127"/>
      <c r="AC462" s="127"/>
      <c r="AD462" s="127"/>
      <c r="AE462" s="127"/>
      <c r="AF462" s="127"/>
      <c r="AG462" s="127"/>
      <c r="AH462" s="127">
        <v>62305.87</v>
      </c>
      <c r="AI462" s="127" t="s">
        <v>482</v>
      </c>
      <c r="AJ462" s="127"/>
      <c r="AK462" s="127"/>
      <c r="AL462" s="127"/>
      <c r="AM462" s="642">
        <f t="shared" si="9"/>
        <v>85670.081999999995</v>
      </c>
      <c r="AO462" s="289"/>
    </row>
    <row r="463" spans="1:42" s="61" customFormat="1" ht="25.5" customHeight="1" x14ac:dyDescent="0.3">
      <c r="A463" s="706"/>
      <c r="B463" s="180" t="s">
        <v>361</v>
      </c>
      <c r="C463" s="300">
        <v>145.69999999999999</v>
      </c>
      <c r="D463" s="173"/>
      <c r="E463" s="173"/>
      <c r="F463" s="266">
        <v>12</v>
      </c>
      <c r="G463" s="173">
        <f>14-3</f>
        <v>11</v>
      </c>
      <c r="H463" s="173"/>
      <c r="I463" s="174"/>
      <c r="J463" s="173"/>
      <c r="K463" s="173"/>
      <c r="L463" s="266"/>
      <c r="M463" s="173"/>
      <c r="N463" s="174">
        <v>1300</v>
      </c>
      <c r="O463" s="173"/>
      <c r="P463" s="173"/>
      <c r="Q463" s="173"/>
      <c r="R463" s="173"/>
      <c r="S463" s="173">
        <v>36762</v>
      </c>
      <c r="T463" s="327"/>
      <c r="U463" s="300">
        <v>10.58</v>
      </c>
      <c r="V463" s="173"/>
      <c r="W463" s="173"/>
      <c r="X463" s="173"/>
      <c r="Y463" s="173"/>
      <c r="Z463" s="173">
        <v>1304.0229299999999</v>
      </c>
      <c r="AA463" s="173">
        <v>40</v>
      </c>
      <c r="AB463" s="173"/>
      <c r="AC463" s="173"/>
      <c r="AD463" s="173"/>
      <c r="AE463" s="173"/>
      <c r="AF463" s="173"/>
      <c r="AG463" s="173"/>
      <c r="AH463" s="173">
        <v>47331</v>
      </c>
      <c r="AI463" s="173" t="s">
        <v>482</v>
      </c>
      <c r="AJ463" s="173"/>
      <c r="AK463" s="173"/>
      <c r="AL463" s="173"/>
      <c r="AM463" s="643">
        <f t="shared" si="9"/>
        <v>86916.302930000005</v>
      </c>
      <c r="AO463" s="289"/>
      <c r="AP463" s="97"/>
    </row>
    <row r="464" spans="1:42" s="61" customFormat="1" ht="25.5" customHeight="1" x14ac:dyDescent="0.3">
      <c r="A464" s="706"/>
      <c r="B464" s="180" t="s">
        <v>362</v>
      </c>
      <c r="C464" s="300">
        <v>40</v>
      </c>
      <c r="D464" s="173"/>
      <c r="E464" s="173"/>
      <c r="F464" s="266"/>
      <c r="G464" s="173">
        <v>14</v>
      </c>
      <c r="H464" s="173"/>
      <c r="I464" s="174"/>
      <c r="J464" s="173"/>
      <c r="K464" s="173"/>
      <c r="L464" s="266"/>
      <c r="M464" s="173"/>
      <c r="N464" s="174">
        <v>2609.2339999999999</v>
      </c>
      <c r="O464" s="173"/>
      <c r="P464" s="173"/>
      <c r="Q464" s="173"/>
      <c r="R464" s="173"/>
      <c r="S464" s="173">
        <v>8386</v>
      </c>
      <c r="T464" s="327"/>
      <c r="U464" s="300">
        <v>15.615</v>
      </c>
      <c r="V464" s="173"/>
      <c r="W464" s="173"/>
      <c r="X464" s="173"/>
      <c r="Y464" s="173"/>
      <c r="Z464" s="173">
        <v>1138.66327</v>
      </c>
      <c r="AA464" s="173"/>
      <c r="AB464" s="173"/>
      <c r="AC464" s="173"/>
      <c r="AD464" s="173"/>
      <c r="AE464" s="173"/>
      <c r="AF464" s="173">
        <v>5</v>
      </c>
      <c r="AG464" s="173"/>
      <c r="AH464" s="173">
        <v>71689</v>
      </c>
      <c r="AI464" s="173" t="s">
        <v>482</v>
      </c>
      <c r="AJ464" s="173"/>
      <c r="AK464" s="173"/>
      <c r="AL464" s="173"/>
      <c r="AM464" s="644">
        <f t="shared" si="9"/>
        <v>83897.512270000007</v>
      </c>
      <c r="AO464" s="289"/>
      <c r="AP464" s="97"/>
    </row>
    <row r="465" spans="1:42" s="61" customFormat="1" ht="22.5" customHeight="1" x14ac:dyDescent="0.3">
      <c r="A465" s="706"/>
      <c r="B465" s="115" t="s">
        <v>402</v>
      </c>
      <c r="C465" s="142">
        <v>27</v>
      </c>
      <c r="D465" s="111"/>
      <c r="E465" s="111"/>
      <c r="F465" s="267"/>
      <c r="G465" s="111"/>
      <c r="H465" s="111"/>
      <c r="I465" s="125"/>
      <c r="J465" s="111"/>
      <c r="K465" s="111"/>
      <c r="L465" s="267"/>
      <c r="M465" s="111"/>
      <c r="N465" s="125"/>
      <c r="O465" s="111"/>
      <c r="P465" s="111"/>
      <c r="Q465" s="111">
        <v>640</v>
      </c>
      <c r="R465" s="111"/>
      <c r="S465" s="111">
        <v>11977.586153</v>
      </c>
      <c r="T465" s="143">
        <v>5</v>
      </c>
      <c r="U465" s="142">
        <v>341.06599999999997</v>
      </c>
      <c r="V465" s="111"/>
      <c r="W465" s="111"/>
      <c r="X465" s="111"/>
      <c r="Y465" s="111"/>
      <c r="Z465" s="111">
        <v>855</v>
      </c>
      <c r="AA465" s="111"/>
      <c r="AB465" s="111">
        <v>2</v>
      </c>
      <c r="AC465" s="111">
        <v>50</v>
      </c>
      <c r="AD465" s="111"/>
      <c r="AE465" s="111"/>
      <c r="AF465" s="111"/>
      <c r="AG465" s="111"/>
      <c r="AH465" s="111">
        <v>247.78</v>
      </c>
      <c r="AI465" s="111" t="s">
        <v>482</v>
      </c>
      <c r="AJ465" s="111"/>
      <c r="AK465" s="111"/>
      <c r="AL465" s="111"/>
      <c r="AM465" s="645">
        <f t="shared" si="9"/>
        <v>14145.432153000002</v>
      </c>
      <c r="AO465" s="289"/>
    </row>
    <row r="466" spans="1:42" s="61" customFormat="1" ht="21" customHeight="1" x14ac:dyDescent="0.3">
      <c r="A466" s="707"/>
      <c r="B466" s="181" t="s">
        <v>403</v>
      </c>
      <c r="C466" s="144">
        <v>33</v>
      </c>
      <c r="D466" s="112"/>
      <c r="E466" s="112"/>
      <c r="F466" s="268"/>
      <c r="G466" s="112">
        <v>539</v>
      </c>
      <c r="H466" s="112"/>
      <c r="I466" s="126"/>
      <c r="J466" s="112"/>
      <c r="K466" s="112"/>
      <c r="L466" s="268"/>
      <c r="M466" s="112"/>
      <c r="N466" s="126"/>
      <c r="O466" s="112"/>
      <c r="P466" s="112"/>
      <c r="Q466" s="112">
        <v>52</v>
      </c>
      <c r="R466" s="112"/>
      <c r="S466" s="112">
        <v>4828.6471040000006</v>
      </c>
      <c r="T466" s="145">
        <v>5</v>
      </c>
      <c r="U466" s="144">
        <v>514.66300000000001</v>
      </c>
      <c r="V466" s="112"/>
      <c r="W466" s="112"/>
      <c r="X466" s="112"/>
      <c r="Y466" s="112">
        <v>85</v>
      </c>
      <c r="Z466" s="112">
        <v>774</v>
      </c>
      <c r="AA466" s="112"/>
      <c r="AB466" s="112"/>
      <c r="AC466" s="112">
        <v>60</v>
      </c>
      <c r="AD466" s="112"/>
      <c r="AE466" s="112"/>
      <c r="AF466" s="112"/>
      <c r="AG466" s="112"/>
      <c r="AH466" s="112">
        <v>247.78</v>
      </c>
      <c r="AI466" s="112" t="s">
        <v>482</v>
      </c>
      <c r="AJ466" s="112"/>
      <c r="AK466" s="112"/>
      <c r="AL466" s="112"/>
      <c r="AM466" s="646">
        <f t="shared" si="9"/>
        <v>7139.0901039999999</v>
      </c>
      <c r="AO466" s="289"/>
    </row>
    <row r="467" spans="1:42" s="61" customFormat="1" ht="21" customHeight="1" x14ac:dyDescent="0.3">
      <c r="A467" s="705" t="s">
        <v>153</v>
      </c>
      <c r="B467" s="179" t="s">
        <v>293</v>
      </c>
      <c r="C467" s="135">
        <v>2</v>
      </c>
      <c r="D467" s="136"/>
      <c r="E467" s="136"/>
      <c r="F467" s="262"/>
      <c r="G467" s="136">
        <v>58</v>
      </c>
      <c r="H467" s="136"/>
      <c r="I467" s="326"/>
      <c r="J467" s="136"/>
      <c r="K467" s="136"/>
      <c r="L467" s="262"/>
      <c r="M467" s="136"/>
      <c r="N467" s="326"/>
      <c r="O467" s="136"/>
      <c r="P467" s="136"/>
      <c r="Q467" s="136"/>
      <c r="R467" s="136"/>
      <c r="S467" s="136"/>
      <c r="T467" s="137">
        <v>9</v>
      </c>
      <c r="U467" s="632">
        <v>2.9119999999999999</v>
      </c>
      <c r="V467" s="122"/>
      <c r="W467" s="122">
        <v>88</v>
      </c>
      <c r="X467" s="122">
        <v>5</v>
      </c>
      <c r="Y467" s="122"/>
      <c r="Z467" s="122">
        <v>-0.75009999999999999</v>
      </c>
      <c r="AA467" s="122">
        <v>12.5</v>
      </c>
      <c r="AB467" s="122">
        <v>7</v>
      </c>
      <c r="AC467" s="122"/>
      <c r="AD467" s="122">
        <v>10</v>
      </c>
      <c r="AE467" s="122"/>
      <c r="AF467" s="122"/>
      <c r="AG467" s="122"/>
      <c r="AH467" s="122">
        <v>381.97</v>
      </c>
      <c r="AI467" s="122" t="s">
        <v>482</v>
      </c>
      <c r="AJ467" s="122"/>
      <c r="AK467" s="122"/>
      <c r="AL467" s="122"/>
      <c r="AM467" s="639">
        <f t="shared" si="9"/>
        <v>575.63190000000009</v>
      </c>
      <c r="AO467" s="289"/>
    </row>
    <row r="468" spans="1:42" s="61" customFormat="1" ht="19.5" customHeight="1" x14ac:dyDescent="0.3">
      <c r="A468" s="706"/>
      <c r="B468" s="116" t="s">
        <v>294</v>
      </c>
      <c r="C468" s="138"/>
      <c r="D468" s="109"/>
      <c r="E468" s="109"/>
      <c r="F468" s="263"/>
      <c r="G468" s="109">
        <v>59</v>
      </c>
      <c r="H468" s="109"/>
      <c r="I468" s="123"/>
      <c r="J468" s="109"/>
      <c r="K468" s="109"/>
      <c r="L468" s="263"/>
      <c r="M468" s="109"/>
      <c r="N468" s="123"/>
      <c r="O468" s="109"/>
      <c r="P468" s="109"/>
      <c r="Q468" s="109"/>
      <c r="R468" s="109"/>
      <c r="S468" s="109">
        <v>668.56100000000004</v>
      </c>
      <c r="T468" s="139"/>
      <c r="U468" s="138">
        <v>5.1639999999999997</v>
      </c>
      <c r="V468" s="109"/>
      <c r="W468" s="109"/>
      <c r="X468" s="109"/>
      <c r="Y468" s="109"/>
      <c r="Z468" s="109"/>
      <c r="AA468" s="109">
        <v>3751.8392000000003</v>
      </c>
      <c r="AB468" s="109"/>
      <c r="AC468" s="109"/>
      <c r="AD468" s="109">
        <v>10</v>
      </c>
      <c r="AE468" s="109"/>
      <c r="AF468" s="109"/>
      <c r="AG468" s="109"/>
      <c r="AH468" s="109">
        <v>546.5</v>
      </c>
      <c r="AI468" s="109" t="s">
        <v>482</v>
      </c>
      <c r="AJ468" s="109"/>
      <c r="AK468" s="109"/>
      <c r="AL468" s="109"/>
      <c r="AM468" s="640">
        <f t="shared" si="9"/>
        <v>5041.0642000000007</v>
      </c>
      <c r="AO468" s="289"/>
    </row>
    <row r="469" spans="1:42" s="61" customFormat="1" ht="22.5" customHeight="1" x14ac:dyDescent="0.3">
      <c r="A469" s="706"/>
      <c r="B469" s="117" t="s">
        <v>326</v>
      </c>
      <c r="C469" s="140">
        <v>8.9819999999999993</v>
      </c>
      <c r="D469" s="110"/>
      <c r="E469" s="110"/>
      <c r="F469" s="264">
        <v>828</v>
      </c>
      <c r="G469" s="110">
        <v>60</v>
      </c>
      <c r="H469" s="110">
        <v>9</v>
      </c>
      <c r="I469" s="124"/>
      <c r="J469" s="110"/>
      <c r="K469" s="110"/>
      <c r="L469" s="264"/>
      <c r="M469" s="110"/>
      <c r="N469" s="124"/>
      <c r="O469" s="110"/>
      <c r="P469" s="110"/>
      <c r="Q469" s="110"/>
      <c r="R469" s="110"/>
      <c r="S469" s="110">
        <v>27043</v>
      </c>
      <c r="T469" s="141"/>
      <c r="U469" s="140">
        <v>6.59</v>
      </c>
      <c r="V469" s="110"/>
      <c r="W469" s="110"/>
      <c r="X469" s="110"/>
      <c r="Y469" s="110"/>
      <c r="Z469" s="110"/>
      <c r="AA469" s="110">
        <v>1239.77793</v>
      </c>
      <c r="AB469" s="110">
        <v>7</v>
      </c>
      <c r="AC469" s="110"/>
      <c r="AD469" s="110">
        <v>10</v>
      </c>
      <c r="AE469" s="110"/>
      <c r="AF469" s="110"/>
      <c r="AG469" s="110">
        <v>1</v>
      </c>
      <c r="AH469" s="110">
        <v>353.5127</v>
      </c>
      <c r="AI469" s="110" t="s">
        <v>482</v>
      </c>
      <c r="AJ469" s="110"/>
      <c r="AK469" s="110"/>
      <c r="AL469" s="110"/>
      <c r="AM469" s="641">
        <f t="shared" si="9"/>
        <v>29566.86263</v>
      </c>
      <c r="AO469" s="289"/>
      <c r="AP469" s="97"/>
    </row>
    <row r="470" spans="1:42" s="61" customFormat="1" ht="25.5" customHeight="1" x14ac:dyDescent="0.3">
      <c r="A470" s="706"/>
      <c r="B470" s="175" t="s">
        <v>327</v>
      </c>
      <c r="C470" s="176">
        <v>20.175999999999998</v>
      </c>
      <c r="D470" s="127"/>
      <c r="E470" s="127"/>
      <c r="F470" s="265">
        <v>306</v>
      </c>
      <c r="G470" s="127">
        <v>91</v>
      </c>
      <c r="H470" s="127">
        <v>753</v>
      </c>
      <c r="I470" s="178"/>
      <c r="J470" s="127"/>
      <c r="K470" s="127"/>
      <c r="L470" s="265"/>
      <c r="M470" s="127"/>
      <c r="N470" s="178"/>
      <c r="O470" s="127"/>
      <c r="P470" s="127"/>
      <c r="Q470" s="127"/>
      <c r="R470" s="127"/>
      <c r="S470" s="127">
        <v>36987</v>
      </c>
      <c r="T470" s="177"/>
      <c r="U470" s="176">
        <v>236.72499999999999</v>
      </c>
      <c r="V470" s="127"/>
      <c r="W470" s="127"/>
      <c r="X470" s="127"/>
      <c r="Y470" s="127"/>
      <c r="Z470" s="127">
        <v>2.5068899999999998</v>
      </c>
      <c r="AA470" s="127">
        <v>568.67388000000005</v>
      </c>
      <c r="AB470" s="127">
        <v>7</v>
      </c>
      <c r="AC470" s="127"/>
      <c r="AD470" s="127"/>
      <c r="AE470" s="127"/>
      <c r="AF470" s="127"/>
      <c r="AG470" s="127">
        <f>1</f>
        <v>1</v>
      </c>
      <c r="AH470" s="127">
        <v>326.61</v>
      </c>
      <c r="AI470" s="127" t="s">
        <v>482</v>
      </c>
      <c r="AJ470" s="127"/>
      <c r="AK470" s="127"/>
      <c r="AL470" s="127"/>
      <c r="AM470" s="642">
        <f t="shared" si="9"/>
        <v>39299.691769999998</v>
      </c>
      <c r="AO470" s="289"/>
    </row>
    <row r="471" spans="1:42" s="61" customFormat="1" ht="25.5" customHeight="1" x14ac:dyDescent="0.3">
      <c r="A471" s="706"/>
      <c r="B471" s="180" t="s">
        <v>361</v>
      </c>
      <c r="C471" s="300">
        <v>20</v>
      </c>
      <c r="D471" s="173"/>
      <c r="E471" s="173"/>
      <c r="F471" s="266">
        <v>253</v>
      </c>
      <c r="G471" s="173">
        <f>90+4</f>
        <v>94</v>
      </c>
      <c r="H471" s="173">
        <v>296</v>
      </c>
      <c r="I471" s="174"/>
      <c r="J471" s="173"/>
      <c r="K471" s="173"/>
      <c r="L471" s="266"/>
      <c r="M471" s="173">
        <v>40</v>
      </c>
      <c r="N471" s="174"/>
      <c r="O471" s="173"/>
      <c r="P471" s="173"/>
      <c r="Q471" s="173"/>
      <c r="R471" s="173"/>
      <c r="S471" s="173">
        <v>39766</v>
      </c>
      <c r="T471" s="327"/>
      <c r="U471" s="300">
        <v>24.62</v>
      </c>
      <c r="V471" s="173"/>
      <c r="W471" s="173">
        <v>13</v>
      </c>
      <c r="X471" s="173"/>
      <c r="Y471" s="173"/>
      <c r="Z471" s="173">
        <v>220.97393</v>
      </c>
      <c r="AA471" s="173">
        <v>610</v>
      </c>
      <c r="AB471" s="173"/>
      <c r="AC471" s="173"/>
      <c r="AD471" s="173">
        <v>10</v>
      </c>
      <c r="AE471" s="173"/>
      <c r="AF471" s="173"/>
      <c r="AG471" s="173"/>
      <c r="AH471" s="173">
        <v>7528</v>
      </c>
      <c r="AI471" s="173" t="s">
        <v>482</v>
      </c>
      <c r="AJ471" s="173"/>
      <c r="AK471" s="173"/>
      <c r="AL471" s="173"/>
      <c r="AM471" s="643">
        <f t="shared" si="9"/>
        <v>48875.593930000003</v>
      </c>
      <c r="AO471" s="289"/>
      <c r="AP471" s="97"/>
    </row>
    <row r="472" spans="1:42" s="61" customFormat="1" ht="25.5" customHeight="1" x14ac:dyDescent="0.3">
      <c r="A472" s="706"/>
      <c r="B472" s="180" t="s">
        <v>362</v>
      </c>
      <c r="C472" s="300">
        <v>20</v>
      </c>
      <c r="D472" s="173"/>
      <c r="E472" s="173"/>
      <c r="F472" s="266">
        <v>158</v>
      </c>
      <c r="G472" s="173">
        <f>93+80</f>
        <v>173</v>
      </c>
      <c r="H472" s="173">
        <f>200+40</f>
        <v>240</v>
      </c>
      <c r="I472" s="174"/>
      <c r="J472" s="173"/>
      <c r="K472" s="173"/>
      <c r="L472" s="266"/>
      <c r="M472" s="173">
        <v>10</v>
      </c>
      <c r="N472" s="174"/>
      <c r="O472" s="173"/>
      <c r="P472" s="173"/>
      <c r="Q472" s="173"/>
      <c r="R472" s="173"/>
      <c r="S472" s="173">
        <v>42290</v>
      </c>
      <c r="T472" s="327"/>
      <c r="U472" s="300">
        <v>109.404</v>
      </c>
      <c r="V472" s="173"/>
      <c r="W472" s="173">
        <v>18</v>
      </c>
      <c r="X472" s="173">
        <v>2442</v>
      </c>
      <c r="Y472" s="173"/>
      <c r="Z472" s="173">
        <v>435.97682000000003</v>
      </c>
      <c r="AA472" s="173"/>
      <c r="AB472" s="173"/>
      <c r="AC472" s="173"/>
      <c r="AD472" s="173">
        <v>10</v>
      </c>
      <c r="AE472" s="173"/>
      <c r="AF472" s="173"/>
      <c r="AG472" s="173"/>
      <c r="AH472" s="173">
        <v>275</v>
      </c>
      <c r="AI472" s="173">
        <v>15</v>
      </c>
      <c r="AJ472" s="173"/>
      <c r="AK472" s="173"/>
      <c r="AL472" s="173"/>
      <c r="AM472" s="644">
        <f t="shared" si="9"/>
        <v>46196.380820000006</v>
      </c>
      <c r="AO472" s="289"/>
      <c r="AP472" s="97"/>
    </row>
    <row r="473" spans="1:42" s="61" customFormat="1" ht="22.5" customHeight="1" x14ac:dyDescent="0.3">
      <c r="A473" s="706"/>
      <c r="B473" s="115" t="s">
        <v>402</v>
      </c>
      <c r="C473" s="142">
        <v>238.697</v>
      </c>
      <c r="D473" s="111"/>
      <c r="E473" s="111"/>
      <c r="F473" s="267"/>
      <c r="G473" s="111">
        <v>138</v>
      </c>
      <c r="H473" s="111"/>
      <c r="I473" s="125"/>
      <c r="J473" s="111"/>
      <c r="K473" s="111"/>
      <c r="L473" s="267"/>
      <c r="M473" s="111">
        <v>10</v>
      </c>
      <c r="N473" s="125"/>
      <c r="O473" s="111"/>
      <c r="P473" s="111"/>
      <c r="Q473" s="111"/>
      <c r="R473" s="111"/>
      <c r="S473" s="111">
        <v>51120.936166</v>
      </c>
      <c r="T473" s="143"/>
      <c r="U473" s="142">
        <v>32.756</v>
      </c>
      <c r="V473" s="111"/>
      <c r="W473" s="111">
        <f>18</f>
        <v>18</v>
      </c>
      <c r="X473" s="111">
        <v>1669</v>
      </c>
      <c r="Y473" s="111"/>
      <c r="Z473" s="111">
        <v>1117</v>
      </c>
      <c r="AA473" s="111">
        <v>989</v>
      </c>
      <c r="AB473" s="111"/>
      <c r="AC473" s="111"/>
      <c r="AD473" s="111">
        <v>10</v>
      </c>
      <c r="AE473" s="111"/>
      <c r="AF473" s="111">
        <v>350.9</v>
      </c>
      <c r="AG473" s="111"/>
      <c r="AH473" s="111">
        <v>1211.145</v>
      </c>
      <c r="AI473" s="111">
        <v>90</v>
      </c>
      <c r="AJ473" s="111"/>
      <c r="AK473" s="111"/>
      <c r="AL473" s="111"/>
      <c r="AM473" s="645">
        <f t="shared" si="9"/>
        <v>56995.434165999999</v>
      </c>
      <c r="AO473" s="289"/>
    </row>
    <row r="474" spans="1:42" s="61" customFormat="1" ht="21" customHeight="1" x14ac:dyDescent="0.3">
      <c r="A474" s="707"/>
      <c r="B474" s="181" t="s">
        <v>403</v>
      </c>
      <c r="C474" s="144">
        <v>167.46866</v>
      </c>
      <c r="D474" s="112"/>
      <c r="E474" s="112"/>
      <c r="F474" s="268"/>
      <c r="G474" s="112">
        <v>113</v>
      </c>
      <c r="H474" s="112">
        <v>84</v>
      </c>
      <c r="I474" s="126"/>
      <c r="J474" s="112"/>
      <c r="K474" s="112"/>
      <c r="L474" s="268"/>
      <c r="M474" s="112">
        <v>109.94816</v>
      </c>
      <c r="N474" s="126"/>
      <c r="O474" s="112"/>
      <c r="P474" s="112"/>
      <c r="Q474" s="112"/>
      <c r="R474" s="112"/>
      <c r="S474" s="112">
        <v>64391.185438999986</v>
      </c>
      <c r="T474" s="145"/>
      <c r="U474" s="144">
        <v>8.3279999999999994</v>
      </c>
      <c r="V474" s="112"/>
      <c r="W474" s="112"/>
      <c r="X474" s="112">
        <v>1473</v>
      </c>
      <c r="Y474" s="112"/>
      <c r="Z474" s="112">
        <v>717</v>
      </c>
      <c r="AA474" s="112">
        <v>-154</v>
      </c>
      <c r="AB474" s="112"/>
      <c r="AC474" s="112">
        <v>1</v>
      </c>
      <c r="AD474" s="112">
        <v>0</v>
      </c>
      <c r="AE474" s="112"/>
      <c r="AF474" s="112">
        <v>350.9</v>
      </c>
      <c r="AG474" s="112"/>
      <c r="AH474" s="112">
        <v>7910.2110000000002</v>
      </c>
      <c r="AI474" s="112">
        <v>90</v>
      </c>
      <c r="AJ474" s="112"/>
      <c r="AK474" s="112"/>
      <c r="AL474" s="112"/>
      <c r="AM474" s="646">
        <f t="shared" si="9"/>
        <v>75262.041258999976</v>
      </c>
      <c r="AO474" s="289"/>
    </row>
    <row r="475" spans="1:42" s="61" customFormat="1" ht="21" customHeight="1" x14ac:dyDescent="0.3">
      <c r="A475" s="705" t="s">
        <v>154</v>
      </c>
      <c r="B475" s="179" t="s">
        <v>293</v>
      </c>
      <c r="C475" s="135">
        <v>0.7</v>
      </c>
      <c r="D475" s="136"/>
      <c r="E475" s="136"/>
      <c r="F475" s="262"/>
      <c r="G475" s="136"/>
      <c r="H475" s="136">
        <v>11</v>
      </c>
      <c r="I475" s="326"/>
      <c r="J475" s="136"/>
      <c r="K475" s="136"/>
      <c r="L475" s="262"/>
      <c r="M475" s="136"/>
      <c r="N475" s="326">
        <v>30.8</v>
      </c>
      <c r="O475" s="136"/>
      <c r="P475" s="136">
        <v>5</v>
      </c>
      <c r="Q475" s="136">
        <v>11</v>
      </c>
      <c r="R475" s="136"/>
      <c r="S475" s="136"/>
      <c r="T475" s="137"/>
      <c r="U475" s="632">
        <v>10.653</v>
      </c>
      <c r="V475" s="122"/>
      <c r="W475" s="122"/>
      <c r="X475" s="122"/>
      <c r="Y475" s="122"/>
      <c r="Z475" s="122"/>
      <c r="AA475" s="122"/>
      <c r="AB475" s="122"/>
      <c r="AC475" s="122"/>
      <c r="AD475" s="122"/>
      <c r="AE475" s="122"/>
      <c r="AF475" s="122"/>
      <c r="AG475" s="122"/>
      <c r="AH475" s="122"/>
      <c r="AI475" s="122" t="s">
        <v>482</v>
      </c>
      <c r="AJ475" s="122"/>
      <c r="AK475" s="122"/>
      <c r="AL475" s="122"/>
      <c r="AM475" s="639">
        <f t="shared" si="9"/>
        <v>69.153000000000006</v>
      </c>
      <c r="AO475" s="289"/>
    </row>
    <row r="476" spans="1:42" s="61" customFormat="1" ht="19.5" customHeight="1" x14ac:dyDescent="0.3">
      <c r="A476" s="706"/>
      <c r="B476" s="116" t="s">
        <v>294</v>
      </c>
      <c r="C476" s="138"/>
      <c r="D476" s="109"/>
      <c r="E476" s="109"/>
      <c r="F476" s="263"/>
      <c r="G476" s="109">
        <v>180</v>
      </c>
      <c r="H476" s="109"/>
      <c r="I476" s="123"/>
      <c r="J476" s="109"/>
      <c r="K476" s="109"/>
      <c r="L476" s="263"/>
      <c r="M476" s="109"/>
      <c r="N476" s="123">
        <v>37.270000000000003</v>
      </c>
      <c r="O476" s="109"/>
      <c r="P476" s="109">
        <v>120</v>
      </c>
      <c r="Q476" s="109"/>
      <c r="R476" s="109"/>
      <c r="S476" s="109"/>
      <c r="T476" s="139">
        <v>2.4</v>
      </c>
      <c r="U476" s="138">
        <v>10.634</v>
      </c>
      <c r="V476" s="109"/>
      <c r="W476" s="109"/>
      <c r="X476" s="109"/>
      <c r="Y476" s="109"/>
      <c r="Z476" s="109">
        <v>26</v>
      </c>
      <c r="AA476" s="109"/>
      <c r="AB476" s="109"/>
      <c r="AC476" s="109"/>
      <c r="AD476" s="109"/>
      <c r="AE476" s="109"/>
      <c r="AF476" s="109"/>
      <c r="AG476" s="109"/>
      <c r="AH476" s="109"/>
      <c r="AI476" s="109" t="s">
        <v>482</v>
      </c>
      <c r="AJ476" s="109"/>
      <c r="AK476" s="109"/>
      <c r="AL476" s="109"/>
      <c r="AM476" s="640">
        <f t="shared" si="9"/>
        <v>376.30399999999997</v>
      </c>
      <c r="AO476" s="289"/>
    </row>
    <row r="477" spans="1:42" s="61" customFormat="1" ht="22.5" customHeight="1" x14ac:dyDescent="0.3">
      <c r="A477" s="706"/>
      <c r="B477" s="117" t="s">
        <v>326</v>
      </c>
      <c r="C477" s="140"/>
      <c r="D477" s="110"/>
      <c r="E477" s="110"/>
      <c r="F477" s="264"/>
      <c r="G477" s="110"/>
      <c r="H477" s="110">
        <v>26</v>
      </c>
      <c r="I477" s="124"/>
      <c r="J477" s="110"/>
      <c r="K477" s="110"/>
      <c r="L477" s="264"/>
      <c r="M477" s="110"/>
      <c r="N477" s="124">
        <v>68.923000000000002</v>
      </c>
      <c r="O477" s="110"/>
      <c r="P477" s="110"/>
      <c r="Q477" s="110">
        <v>-2</v>
      </c>
      <c r="R477" s="110"/>
      <c r="S477" s="110">
        <v>17359</v>
      </c>
      <c r="T477" s="141"/>
      <c r="U477" s="140">
        <v>9.9700000000000006</v>
      </c>
      <c r="V477" s="110"/>
      <c r="W477" s="110"/>
      <c r="X477" s="110"/>
      <c r="Y477" s="110"/>
      <c r="Z477" s="110"/>
      <c r="AA477" s="110"/>
      <c r="AB477" s="110"/>
      <c r="AC477" s="110"/>
      <c r="AD477" s="110"/>
      <c r="AE477" s="110"/>
      <c r="AF477" s="110"/>
      <c r="AG477" s="110"/>
      <c r="AH477" s="110"/>
      <c r="AI477" s="110" t="s">
        <v>482</v>
      </c>
      <c r="AJ477" s="110"/>
      <c r="AK477" s="110"/>
      <c r="AL477" s="110"/>
      <c r="AM477" s="641">
        <f t="shared" ref="AM477:AM532" si="10">SUM(C477:AL477)</f>
        <v>17461.893</v>
      </c>
      <c r="AO477" s="289"/>
      <c r="AP477" s="97"/>
    </row>
    <row r="478" spans="1:42" s="61" customFormat="1" ht="25.5" customHeight="1" x14ac:dyDescent="0.3">
      <c r="A478" s="706"/>
      <c r="B478" s="175" t="s">
        <v>327</v>
      </c>
      <c r="C478" s="176">
        <v>20.882000000000001</v>
      </c>
      <c r="D478" s="127"/>
      <c r="E478" s="127"/>
      <c r="F478" s="265"/>
      <c r="G478" s="127">
        <v>120</v>
      </c>
      <c r="H478" s="127">
        <v>66</v>
      </c>
      <c r="I478" s="178"/>
      <c r="J478" s="127"/>
      <c r="K478" s="127"/>
      <c r="L478" s="265"/>
      <c r="M478" s="127"/>
      <c r="N478" s="178">
        <v>51.14</v>
      </c>
      <c r="O478" s="127"/>
      <c r="P478" s="127"/>
      <c r="Q478" s="127"/>
      <c r="R478" s="127"/>
      <c r="S478" s="127">
        <v>6050</v>
      </c>
      <c r="T478" s="177"/>
      <c r="U478" s="176">
        <v>9.98</v>
      </c>
      <c r="V478" s="127"/>
      <c r="W478" s="127"/>
      <c r="X478" s="127"/>
      <c r="Y478" s="127"/>
      <c r="Z478" s="127"/>
      <c r="AA478" s="127"/>
      <c r="AB478" s="127"/>
      <c r="AC478" s="127"/>
      <c r="AD478" s="127"/>
      <c r="AE478" s="127"/>
      <c r="AF478" s="127"/>
      <c r="AG478" s="127"/>
      <c r="AH478" s="127"/>
      <c r="AI478" s="127" t="s">
        <v>482</v>
      </c>
      <c r="AJ478" s="127"/>
      <c r="AK478" s="127"/>
      <c r="AL478" s="127"/>
      <c r="AM478" s="642">
        <f t="shared" si="10"/>
        <v>6318.0019999999995</v>
      </c>
      <c r="AO478" s="289"/>
    </row>
    <row r="479" spans="1:42" s="61" customFormat="1" ht="25.5" customHeight="1" x14ac:dyDescent="0.3">
      <c r="A479" s="706"/>
      <c r="B479" s="180" t="s">
        <v>361</v>
      </c>
      <c r="C479" s="300"/>
      <c r="D479" s="173"/>
      <c r="E479" s="173"/>
      <c r="F479" s="266"/>
      <c r="G479" s="173"/>
      <c r="H479" s="173"/>
      <c r="I479" s="174"/>
      <c r="J479" s="173"/>
      <c r="K479" s="173"/>
      <c r="L479" s="266"/>
      <c r="M479" s="173"/>
      <c r="N479" s="174">
        <v>54.6</v>
      </c>
      <c r="O479" s="173"/>
      <c r="P479" s="173"/>
      <c r="Q479" s="173"/>
      <c r="R479" s="173"/>
      <c r="S479" s="173">
        <v>13031</v>
      </c>
      <c r="T479" s="327"/>
      <c r="U479" s="300">
        <v>21.888000000000002</v>
      </c>
      <c r="V479" s="173"/>
      <c r="W479" s="173"/>
      <c r="X479" s="173"/>
      <c r="Y479" s="173"/>
      <c r="Z479" s="173"/>
      <c r="AA479" s="173"/>
      <c r="AB479" s="173"/>
      <c r="AC479" s="173"/>
      <c r="AD479" s="173"/>
      <c r="AE479" s="173"/>
      <c r="AF479" s="173">
        <v>190</v>
      </c>
      <c r="AG479" s="173"/>
      <c r="AH479" s="173"/>
      <c r="AI479" s="173" t="s">
        <v>482</v>
      </c>
      <c r="AJ479" s="173"/>
      <c r="AK479" s="173"/>
      <c r="AL479" s="173"/>
      <c r="AM479" s="643">
        <f t="shared" si="10"/>
        <v>13297.488000000001</v>
      </c>
      <c r="AO479" s="289"/>
      <c r="AP479" s="97"/>
    </row>
    <row r="480" spans="1:42" s="61" customFormat="1" ht="25.5" customHeight="1" x14ac:dyDescent="0.3">
      <c r="A480" s="706"/>
      <c r="B480" s="180" t="s">
        <v>362</v>
      </c>
      <c r="C480" s="300"/>
      <c r="D480" s="173"/>
      <c r="E480" s="173"/>
      <c r="F480" s="266"/>
      <c r="G480" s="173">
        <v>8</v>
      </c>
      <c r="H480" s="173"/>
      <c r="I480" s="174"/>
      <c r="J480" s="173"/>
      <c r="K480" s="173"/>
      <c r="L480" s="266"/>
      <c r="M480" s="173"/>
      <c r="N480" s="174">
        <v>59.6</v>
      </c>
      <c r="O480" s="173"/>
      <c r="P480" s="173"/>
      <c r="Q480" s="173"/>
      <c r="R480" s="173"/>
      <c r="S480" s="173">
        <v>4520</v>
      </c>
      <c r="T480" s="327"/>
      <c r="U480" s="300">
        <v>0.61</v>
      </c>
      <c r="V480" s="173"/>
      <c r="W480" s="173"/>
      <c r="X480" s="173"/>
      <c r="Y480" s="173"/>
      <c r="Z480" s="173"/>
      <c r="AA480" s="173"/>
      <c r="AB480" s="173"/>
      <c r="AC480" s="173"/>
      <c r="AD480" s="173"/>
      <c r="AE480" s="173"/>
      <c r="AF480" s="173"/>
      <c r="AG480" s="173"/>
      <c r="AH480" s="173"/>
      <c r="AI480" s="173" t="s">
        <v>482</v>
      </c>
      <c r="AJ480" s="173"/>
      <c r="AK480" s="173"/>
      <c r="AL480" s="173"/>
      <c r="AM480" s="644">
        <f t="shared" si="10"/>
        <v>4588.21</v>
      </c>
      <c r="AO480" s="289"/>
      <c r="AP480" s="97"/>
    </row>
    <row r="481" spans="1:42" s="61" customFormat="1" ht="22.5" customHeight="1" x14ac:dyDescent="0.3">
      <c r="A481" s="706"/>
      <c r="B481" s="115" t="s">
        <v>402</v>
      </c>
      <c r="C481" s="142">
        <v>1</v>
      </c>
      <c r="D481" s="111"/>
      <c r="E481" s="111"/>
      <c r="F481" s="267"/>
      <c r="G481" s="111"/>
      <c r="H481" s="111"/>
      <c r="I481" s="125"/>
      <c r="J481" s="111"/>
      <c r="K481" s="111"/>
      <c r="L481" s="267"/>
      <c r="M481" s="111"/>
      <c r="N481" s="125"/>
      <c r="O481" s="111"/>
      <c r="P481" s="111"/>
      <c r="Q481" s="111"/>
      <c r="R481" s="111"/>
      <c r="S481" s="111">
        <v>6841.9899229999992</v>
      </c>
      <c r="T481" s="143"/>
      <c r="U481" s="142">
        <v>10</v>
      </c>
      <c r="V481" s="111"/>
      <c r="W481" s="111"/>
      <c r="X481" s="111"/>
      <c r="Y481" s="111"/>
      <c r="Z481" s="111"/>
      <c r="AA481" s="111"/>
      <c r="AB481" s="111"/>
      <c r="AC481" s="111"/>
      <c r="AD481" s="111"/>
      <c r="AE481" s="111"/>
      <c r="AF481" s="111"/>
      <c r="AG481" s="111"/>
      <c r="AH481" s="111">
        <v>17019.919999999998</v>
      </c>
      <c r="AI481" s="111" t="s">
        <v>482</v>
      </c>
      <c r="AJ481" s="111"/>
      <c r="AK481" s="111"/>
      <c r="AL481" s="111"/>
      <c r="AM481" s="645">
        <f t="shared" si="10"/>
        <v>23872.909922999999</v>
      </c>
      <c r="AO481" s="289"/>
    </row>
    <row r="482" spans="1:42" s="61" customFormat="1" ht="21" customHeight="1" x14ac:dyDescent="0.3">
      <c r="A482" s="707"/>
      <c r="B482" s="181" t="s">
        <v>403</v>
      </c>
      <c r="C482" s="144">
        <v>202.98</v>
      </c>
      <c r="D482" s="112"/>
      <c r="E482" s="112"/>
      <c r="F482" s="268"/>
      <c r="G482" s="112"/>
      <c r="H482" s="112"/>
      <c r="I482" s="126"/>
      <c r="J482" s="112"/>
      <c r="K482" s="112"/>
      <c r="L482" s="268"/>
      <c r="M482" s="112"/>
      <c r="N482" s="126"/>
      <c r="O482" s="112"/>
      <c r="P482" s="112"/>
      <c r="Q482" s="112"/>
      <c r="R482" s="112"/>
      <c r="S482" s="112">
        <v>9173.1719870000015</v>
      </c>
      <c r="T482" s="145"/>
      <c r="U482" s="144">
        <v>1.262</v>
      </c>
      <c r="V482" s="112"/>
      <c r="W482" s="112"/>
      <c r="X482" s="112"/>
      <c r="Y482" s="112"/>
      <c r="Z482" s="112"/>
      <c r="AA482" s="112"/>
      <c r="AB482" s="112"/>
      <c r="AC482" s="112"/>
      <c r="AD482" s="112"/>
      <c r="AE482" s="112"/>
      <c r="AF482" s="112"/>
      <c r="AG482" s="112"/>
      <c r="AH482" s="112">
        <v>10240.546</v>
      </c>
      <c r="AI482" s="112" t="s">
        <v>482</v>
      </c>
      <c r="AJ482" s="112"/>
      <c r="AK482" s="112"/>
      <c r="AL482" s="112"/>
      <c r="AM482" s="646">
        <f t="shared" si="10"/>
        <v>19617.959987000002</v>
      </c>
      <c r="AO482" s="289"/>
    </row>
    <row r="483" spans="1:42" s="61" customFormat="1" ht="21" customHeight="1" x14ac:dyDescent="0.3">
      <c r="A483" s="705" t="s">
        <v>155</v>
      </c>
      <c r="B483" s="179" t="s">
        <v>293</v>
      </c>
      <c r="C483" s="135"/>
      <c r="D483" s="136"/>
      <c r="E483" s="136"/>
      <c r="F483" s="262"/>
      <c r="G483" s="136"/>
      <c r="H483" s="136">
        <v>30</v>
      </c>
      <c r="I483" s="326"/>
      <c r="J483" s="136"/>
      <c r="K483" s="136"/>
      <c r="L483" s="262"/>
      <c r="M483" s="136"/>
      <c r="N483" s="326"/>
      <c r="O483" s="136"/>
      <c r="P483" s="136">
        <v>20</v>
      </c>
      <c r="Q483" s="136"/>
      <c r="R483" s="136"/>
      <c r="S483" s="136"/>
      <c r="T483" s="137"/>
      <c r="U483" s="632"/>
      <c r="V483" s="122"/>
      <c r="W483" s="122"/>
      <c r="X483" s="122"/>
      <c r="Y483" s="122"/>
      <c r="Z483" s="122">
        <v>13</v>
      </c>
      <c r="AA483" s="122"/>
      <c r="AB483" s="122"/>
      <c r="AC483" s="122"/>
      <c r="AD483" s="122"/>
      <c r="AE483" s="122"/>
      <c r="AF483" s="122"/>
      <c r="AG483" s="122"/>
      <c r="AH483" s="122"/>
      <c r="AI483" s="122" t="s">
        <v>482</v>
      </c>
      <c r="AJ483" s="122"/>
      <c r="AK483" s="122"/>
      <c r="AL483" s="122"/>
      <c r="AM483" s="639">
        <f t="shared" si="10"/>
        <v>63</v>
      </c>
      <c r="AO483" s="289"/>
    </row>
    <row r="484" spans="1:42" s="61" customFormat="1" ht="19.5" customHeight="1" x14ac:dyDescent="0.3">
      <c r="A484" s="706"/>
      <c r="B484" s="116" t="s">
        <v>294</v>
      </c>
      <c r="C484" s="138"/>
      <c r="D484" s="109"/>
      <c r="E484" s="109"/>
      <c r="F484" s="263"/>
      <c r="G484" s="109"/>
      <c r="H484" s="109"/>
      <c r="I484" s="123"/>
      <c r="J484" s="109"/>
      <c r="K484" s="109"/>
      <c r="L484" s="263"/>
      <c r="M484" s="109"/>
      <c r="N484" s="123"/>
      <c r="O484" s="109"/>
      <c r="P484" s="109">
        <v>6</v>
      </c>
      <c r="Q484" s="109"/>
      <c r="R484" s="109"/>
      <c r="S484" s="109">
        <v>-11.019</v>
      </c>
      <c r="T484" s="139"/>
      <c r="U484" s="138"/>
      <c r="V484" s="109"/>
      <c r="W484" s="109"/>
      <c r="X484" s="109"/>
      <c r="Y484" s="109"/>
      <c r="Z484" s="109"/>
      <c r="AA484" s="109"/>
      <c r="AB484" s="109"/>
      <c r="AC484" s="109"/>
      <c r="AD484" s="109"/>
      <c r="AE484" s="109"/>
      <c r="AF484" s="109"/>
      <c r="AG484" s="109"/>
      <c r="AH484" s="109"/>
      <c r="AI484" s="109" t="s">
        <v>482</v>
      </c>
      <c r="AJ484" s="109"/>
      <c r="AK484" s="109"/>
      <c r="AL484" s="109"/>
      <c r="AM484" s="640">
        <f t="shared" si="10"/>
        <v>-5.0190000000000001</v>
      </c>
      <c r="AO484" s="289"/>
    </row>
    <row r="485" spans="1:42" s="61" customFormat="1" ht="22.5" customHeight="1" x14ac:dyDescent="0.3">
      <c r="A485" s="706"/>
      <c r="B485" s="117" t="s">
        <v>326</v>
      </c>
      <c r="C485" s="140"/>
      <c r="D485" s="110"/>
      <c r="E485" s="110"/>
      <c r="F485" s="264"/>
      <c r="G485" s="110"/>
      <c r="H485" s="110">
        <v>423</v>
      </c>
      <c r="I485" s="124"/>
      <c r="J485" s="110"/>
      <c r="K485" s="110"/>
      <c r="L485" s="264"/>
      <c r="M485" s="110"/>
      <c r="N485" s="124"/>
      <c r="O485" s="110"/>
      <c r="P485" s="110">
        <v>147</v>
      </c>
      <c r="Q485" s="110"/>
      <c r="R485" s="110"/>
      <c r="S485" s="110"/>
      <c r="T485" s="141"/>
      <c r="U485" s="140"/>
      <c r="V485" s="110"/>
      <c r="W485" s="110"/>
      <c r="X485" s="110"/>
      <c r="Y485" s="110"/>
      <c r="Z485" s="110"/>
      <c r="AA485" s="110"/>
      <c r="AB485" s="110"/>
      <c r="AC485" s="110"/>
      <c r="AD485" s="110"/>
      <c r="AE485" s="110"/>
      <c r="AF485" s="110"/>
      <c r="AG485" s="110"/>
      <c r="AH485" s="110"/>
      <c r="AI485" s="110" t="s">
        <v>482</v>
      </c>
      <c r="AJ485" s="110"/>
      <c r="AK485" s="110"/>
      <c r="AL485" s="110"/>
      <c r="AM485" s="641">
        <f t="shared" si="10"/>
        <v>570</v>
      </c>
      <c r="AO485" s="289"/>
      <c r="AP485" s="97"/>
    </row>
    <row r="486" spans="1:42" s="61" customFormat="1" ht="25.5" customHeight="1" x14ac:dyDescent="0.3">
      <c r="A486" s="706"/>
      <c r="B486" s="175" t="s">
        <v>327</v>
      </c>
      <c r="C486" s="176">
        <v>204.97499999999999</v>
      </c>
      <c r="D486" s="127"/>
      <c r="E486" s="127"/>
      <c r="F486" s="265"/>
      <c r="G486" s="127"/>
      <c r="H486" s="127"/>
      <c r="I486" s="178"/>
      <c r="J486" s="127"/>
      <c r="K486" s="127"/>
      <c r="L486" s="265"/>
      <c r="M486" s="127"/>
      <c r="N486" s="178"/>
      <c r="O486" s="127"/>
      <c r="P486" s="127"/>
      <c r="Q486" s="127"/>
      <c r="R486" s="127"/>
      <c r="S486" s="127">
        <v>1816</v>
      </c>
      <c r="T486" s="177"/>
      <c r="U486" s="176"/>
      <c r="V486" s="127"/>
      <c r="W486" s="127">
        <v>96</v>
      </c>
      <c r="X486" s="127"/>
      <c r="Y486" s="127"/>
      <c r="Z486" s="127"/>
      <c r="AA486" s="127"/>
      <c r="AB486" s="127"/>
      <c r="AC486" s="127"/>
      <c r="AD486" s="127"/>
      <c r="AE486" s="127"/>
      <c r="AF486" s="127"/>
      <c r="AG486" s="127"/>
      <c r="AH486" s="127"/>
      <c r="AI486" s="127" t="s">
        <v>482</v>
      </c>
      <c r="AJ486" s="127"/>
      <c r="AK486" s="127"/>
      <c r="AL486" s="127"/>
      <c r="AM486" s="642">
        <f t="shared" si="10"/>
        <v>2116.9749999999999</v>
      </c>
      <c r="AO486" s="289"/>
    </row>
    <row r="487" spans="1:42" s="61" customFormat="1" ht="25.5" customHeight="1" x14ac:dyDescent="0.3">
      <c r="A487" s="706"/>
      <c r="B487" s="180" t="s">
        <v>361</v>
      </c>
      <c r="C487" s="300"/>
      <c r="D487" s="173"/>
      <c r="E487" s="173"/>
      <c r="F487" s="266"/>
      <c r="G487" s="173"/>
      <c r="H487" s="173"/>
      <c r="I487" s="174"/>
      <c r="J487" s="173"/>
      <c r="K487" s="173"/>
      <c r="L487" s="266"/>
      <c r="M487" s="173"/>
      <c r="N487" s="174"/>
      <c r="O487" s="173"/>
      <c r="P487" s="173"/>
      <c r="Q487" s="173"/>
      <c r="R487" s="173"/>
      <c r="S487" s="173">
        <v>101</v>
      </c>
      <c r="T487" s="327"/>
      <c r="U487" s="300"/>
      <c r="V487" s="173"/>
      <c r="W487" s="173"/>
      <c r="X487" s="173"/>
      <c r="Y487" s="173"/>
      <c r="Z487" s="173"/>
      <c r="AA487" s="173"/>
      <c r="AB487" s="173"/>
      <c r="AC487" s="173"/>
      <c r="AD487" s="173"/>
      <c r="AE487" s="173"/>
      <c r="AF487" s="173"/>
      <c r="AG487" s="173"/>
      <c r="AH487" s="173"/>
      <c r="AI487" s="173" t="s">
        <v>482</v>
      </c>
      <c r="AJ487" s="173"/>
      <c r="AK487" s="173"/>
      <c r="AL487" s="173"/>
      <c r="AM487" s="643">
        <f t="shared" si="10"/>
        <v>101</v>
      </c>
      <c r="AO487" s="289"/>
      <c r="AP487" s="97"/>
    </row>
    <row r="488" spans="1:42" s="61" customFormat="1" ht="25.5" customHeight="1" x14ac:dyDescent="0.3">
      <c r="A488" s="706"/>
      <c r="B488" s="180" t="s">
        <v>362</v>
      </c>
      <c r="C488" s="300"/>
      <c r="D488" s="173"/>
      <c r="E488" s="173"/>
      <c r="F488" s="266"/>
      <c r="G488" s="173"/>
      <c r="H488" s="173"/>
      <c r="I488" s="174"/>
      <c r="J488" s="173"/>
      <c r="K488" s="173"/>
      <c r="L488" s="266"/>
      <c r="M488" s="173"/>
      <c r="N488" s="174"/>
      <c r="O488" s="173"/>
      <c r="P488" s="173"/>
      <c r="Q488" s="173"/>
      <c r="R488" s="173"/>
      <c r="S488" s="173">
        <v>1964</v>
      </c>
      <c r="T488" s="327"/>
      <c r="U488" s="300"/>
      <c r="V488" s="173"/>
      <c r="W488" s="173">
        <v>147</v>
      </c>
      <c r="X488" s="173"/>
      <c r="Y488" s="173"/>
      <c r="Z488" s="173"/>
      <c r="AA488" s="173"/>
      <c r="AB488" s="173"/>
      <c r="AC488" s="173"/>
      <c r="AD488" s="173"/>
      <c r="AE488" s="173"/>
      <c r="AF488" s="173"/>
      <c r="AG488" s="173"/>
      <c r="AH488" s="173"/>
      <c r="AI488" s="173" t="s">
        <v>482</v>
      </c>
      <c r="AJ488" s="173"/>
      <c r="AK488" s="173"/>
      <c r="AL488" s="173"/>
      <c r="AM488" s="644">
        <f t="shared" si="10"/>
        <v>2111</v>
      </c>
      <c r="AO488" s="289"/>
      <c r="AP488" s="97"/>
    </row>
    <row r="489" spans="1:42" s="61" customFormat="1" ht="22.5" customHeight="1" x14ac:dyDescent="0.3">
      <c r="A489" s="706"/>
      <c r="B489" s="115" t="s">
        <v>402</v>
      </c>
      <c r="C489" s="142"/>
      <c r="D489" s="111"/>
      <c r="E489" s="111"/>
      <c r="F489" s="267"/>
      <c r="G489" s="111"/>
      <c r="H489" s="111"/>
      <c r="I489" s="125"/>
      <c r="J489" s="111"/>
      <c r="K489" s="111"/>
      <c r="L489" s="267"/>
      <c r="M489" s="111"/>
      <c r="N489" s="125"/>
      <c r="O489" s="111"/>
      <c r="P489" s="111"/>
      <c r="Q489" s="111"/>
      <c r="R489" s="111"/>
      <c r="S489" s="111">
        <v>26.559844000000002</v>
      </c>
      <c r="T489" s="143"/>
      <c r="U489" s="142"/>
      <c r="V489" s="111"/>
      <c r="W489" s="111"/>
      <c r="X489" s="111"/>
      <c r="Y489" s="111"/>
      <c r="Z489" s="111"/>
      <c r="AA489" s="111"/>
      <c r="AB489" s="111"/>
      <c r="AC489" s="111"/>
      <c r="AD489" s="111"/>
      <c r="AE489" s="111"/>
      <c r="AF489" s="111"/>
      <c r="AG489" s="111"/>
      <c r="AH489" s="111" t="s">
        <v>482</v>
      </c>
      <c r="AI489" s="111">
        <v>944</v>
      </c>
      <c r="AJ489" s="111"/>
      <c r="AK489" s="111"/>
      <c r="AL489" s="111"/>
      <c r="AM489" s="645">
        <f t="shared" si="10"/>
        <v>970.559844</v>
      </c>
      <c r="AO489" s="289"/>
    </row>
    <row r="490" spans="1:42" s="61" customFormat="1" ht="21" customHeight="1" x14ac:dyDescent="0.3">
      <c r="A490" s="707"/>
      <c r="B490" s="181" t="s">
        <v>403</v>
      </c>
      <c r="C490" s="144"/>
      <c r="D490" s="112"/>
      <c r="E490" s="112"/>
      <c r="F490" s="268"/>
      <c r="G490" s="112"/>
      <c r="H490" s="112"/>
      <c r="I490" s="126"/>
      <c r="J490" s="112"/>
      <c r="K490" s="112"/>
      <c r="L490" s="268"/>
      <c r="M490" s="112"/>
      <c r="N490" s="126"/>
      <c r="O490" s="112"/>
      <c r="P490" s="112"/>
      <c r="Q490" s="112"/>
      <c r="R490" s="112"/>
      <c r="S490" s="112">
        <v>71.55386</v>
      </c>
      <c r="T490" s="145"/>
      <c r="U490" s="144">
        <v>3000</v>
      </c>
      <c r="V490" s="112"/>
      <c r="W490" s="112"/>
      <c r="X490" s="112"/>
      <c r="Y490" s="112"/>
      <c r="Z490" s="112"/>
      <c r="AA490" s="112"/>
      <c r="AB490" s="112"/>
      <c r="AC490" s="112"/>
      <c r="AD490" s="112"/>
      <c r="AE490" s="112"/>
      <c r="AF490" s="112"/>
      <c r="AG490" s="112"/>
      <c r="AH490" s="112" t="s">
        <v>482</v>
      </c>
      <c r="AI490" s="112">
        <v>945</v>
      </c>
      <c r="AJ490" s="112"/>
      <c r="AK490" s="112"/>
      <c r="AL490" s="112"/>
      <c r="AM490" s="646">
        <f t="shared" si="10"/>
        <v>4016.55386</v>
      </c>
      <c r="AO490" s="289"/>
    </row>
    <row r="491" spans="1:42" s="61" customFormat="1" ht="21" customHeight="1" x14ac:dyDescent="0.3">
      <c r="A491" s="705" t="s">
        <v>156</v>
      </c>
      <c r="B491" s="179" t="s">
        <v>293</v>
      </c>
      <c r="C491" s="135"/>
      <c r="D491" s="136"/>
      <c r="E491" s="136"/>
      <c r="F491" s="262"/>
      <c r="G491" s="136"/>
      <c r="H491" s="136"/>
      <c r="I491" s="326"/>
      <c r="J491" s="136"/>
      <c r="K491" s="136"/>
      <c r="L491" s="262"/>
      <c r="M491" s="136"/>
      <c r="N491" s="326"/>
      <c r="O491" s="136"/>
      <c r="P491" s="136"/>
      <c r="Q491" s="136"/>
      <c r="R491" s="136"/>
      <c r="S491" s="136"/>
      <c r="T491" s="137"/>
      <c r="U491" s="632"/>
      <c r="V491" s="122"/>
      <c r="W491" s="122"/>
      <c r="X491" s="122"/>
      <c r="Y491" s="122"/>
      <c r="Z491" s="122"/>
      <c r="AA491" s="122"/>
      <c r="AB491" s="122"/>
      <c r="AC491" s="122"/>
      <c r="AD491" s="122"/>
      <c r="AE491" s="122"/>
      <c r="AF491" s="122"/>
      <c r="AG491" s="122">
        <v>0.45500000000000002</v>
      </c>
      <c r="AH491" s="122">
        <v>35</v>
      </c>
      <c r="AI491" s="122" t="s">
        <v>482</v>
      </c>
      <c r="AJ491" s="122"/>
      <c r="AK491" s="122"/>
      <c r="AL491" s="122"/>
      <c r="AM491" s="639">
        <f t="shared" si="10"/>
        <v>35.454999999999998</v>
      </c>
      <c r="AO491" s="289"/>
    </row>
    <row r="492" spans="1:42" s="61" customFormat="1" ht="19.5" customHeight="1" x14ac:dyDescent="0.3">
      <c r="A492" s="706"/>
      <c r="B492" s="116" t="s">
        <v>294</v>
      </c>
      <c r="C492" s="138"/>
      <c r="D492" s="109"/>
      <c r="E492" s="109"/>
      <c r="F492" s="263"/>
      <c r="G492" s="109"/>
      <c r="H492" s="109"/>
      <c r="I492" s="123"/>
      <c r="J492" s="109"/>
      <c r="K492" s="109"/>
      <c r="L492" s="263"/>
      <c r="M492" s="109"/>
      <c r="N492" s="123"/>
      <c r="O492" s="109"/>
      <c r="P492" s="109"/>
      <c r="Q492" s="109"/>
      <c r="R492" s="109"/>
      <c r="S492" s="109"/>
      <c r="T492" s="139">
        <v>0.57499999999999996</v>
      </c>
      <c r="U492" s="138"/>
      <c r="V492" s="109"/>
      <c r="W492" s="109"/>
      <c r="X492" s="109"/>
      <c r="Y492" s="109"/>
      <c r="Z492" s="109"/>
      <c r="AA492" s="109"/>
      <c r="AB492" s="109"/>
      <c r="AC492" s="109"/>
      <c r="AD492" s="109"/>
      <c r="AE492" s="109"/>
      <c r="AF492" s="109"/>
      <c r="AG492" s="109"/>
      <c r="AH492" s="109">
        <v>47.25</v>
      </c>
      <c r="AI492" s="109" t="s">
        <v>482</v>
      </c>
      <c r="AJ492" s="109"/>
      <c r="AK492" s="109"/>
      <c r="AL492" s="109"/>
      <c r="AM492" s="640">
        <f t="shared" si="10"/>
        <v>47.825000000000003</v>
      </c>
      <c r="AO492" s="289"/>
    </row>
    <row r="493" spans="1:42" s="61" customFormat="1" ht="22.5" customHeight="1" x14ac:dyDescent="0.3">
      <c r="A493" s="706"/>
      <c r="B493" s="117" t="s">
        <v>326</v>
      </c>
      <c r="C493" s="140"/>
      <c r="D493" s="110"/>
      <c r="E493" s="110"/>
      <c r="F493" s="264"/>
      <c r="G493" s="110">
        <v>1</v>
      </c>
      <c r="H493" s="110"/>
      <c r="I493" s="124"/>
      <c r="J493" s="110"/>
      <c r="K493" s="110"/>
      <c r="L493" s="264"/>
      <c r="M493" s="110"/>
      <c r="N493" s="124"/>
      <c r="O493" s="110"/>
      <c r="P493" s="110"/>
      <c r="Q493" s="110"/>
      <c r="R493" s="110"/>
      <c r="S493" s="110" t="s">
        <v>359</v>
      </c>
      <c r="T493" s="141"/>
      <c r="U493" s="140">
        <v>3.7999999999999999E-2</v>
      </c>
      <c r="V493" s="110"/>
      <c r="W493" s="110"/>
      <c r="X493" s="110"/>
      <c r="Y493" s="110"/>
      <c r="Z493" s="110"/>
      <c r="AA493" s="110"/>
      <c r="AB493" s="110"/>
      <c r="AC493" s="110"/>
      <c r="AD493" s="110"/>
      <c r="AE493" s="110"/>
      <c r="AF493" s="110"/>
      <c r="AG493" s="110"/>
      <c r="AH493" s="110"/>
      <c r="AI493" s="110" t="s">
        <v>482</v>
      </c>
      <c r="AJ493" s="110"/>
      <c r="AK493" s="110"/>
      <c r="AL493" s="110"/>
      <c r="AM493" s="641">
        <f t="shared" si="10"/>
        <v>1.038</v>
      </c>
      <c r="AO493" s="289"/>
      <c r="AP493" s="97"/>
    </row>
    <row r="494" spans="1:42" s="61" customFormat="1" ht="25.5" customHeight="1" x14ac:dyDescent="0.3">
      <c r="A494" s="706"/>
      <c r="B494" s="175" t="s">
        <v>327</v>
      </c>
      <c r="C494" s="176"/>
      <c r="D494" s="127"/>
      <c r="E494" s="127"/>
      <c r="F494" s="265"/>
      <c r="G494" s="127">
        <v>1</v>
      </c>
      <c r="H494" s="127"/>
      <c r="I494" s="178"/>
      <c r="J494" s="127"/>
      <c r="K494" s="127"/>
      <c r="L494" s="265"/>
      <c r="M494" s="127"/>
      <c r="N494" s="178"/>
      <c r="O494" s="127"/>
      <c r="P494" s="127"/>
      <c r="Q494" s="127"/>
      <c r="R494" s="127"/>
      <c r="S494" s="127">
        <v>106</v>
      </c>
      <c r="T494" s="177"/>
      <c r="U494" s="176">
        <v>3.2000000000000001E-2</v>
      </c>
      <c r="V494" s="127"/>
      <c r="W494" s="127"/>
      <c r="X494" s="127"/>
      <c r="Y494" s="127"/>
      <c r="Z494" s="127"/>
      <c r="AA494" s="127"/>
      <c r="AB494" s="127"/>
      <c r="AC494" s="127"/>
      <c r="AD494" s="127"/>
      <c r="AE494" s="127"/>
      <c r="AF494" s="127"/>
      <c r="AG494" s="127"/>
      <c r="AH494" s="127">
        <v>105.74</v>
      </c>
      <c r="AI494" s="127" t="s">
        <v>482</v>
      </c>
      <c r="AJ494" s="127"/>
      <c r="AK494" s="127"/>
      <c r="AL494" s="127"/>
      <c r="AM494" s="642">
        <f t="shared" si="10"/>
        <v>212.77199999999999</v>
      </c>
      <c r="AO494" s="289"/>
    </row>
    <row r="495" spans="1:42" s="61" customFormat="1" ht="25.5" customHeight="1" x14ac:dyDescent="0.3">
      <c r="A495" s="706"/>
      <c r="B495" s="180" t="s">
        <v>361</v>
      </c>
      <c r="C495" s="300"/>
      <c r="D495" s="173"/>
      <c r="E495" s="173"/>
      <c r="F495" s="266"/>
      <c r="G495" s="173"/>
      <c r="H495" s="173"/>
      <c r="I495" s="174"/>
      <c r="J495" s="173"/>
      <c r="K495" s="173"/>
      <c r="L495" s="266"/>
      <c r="M495" s="173"/>
      <c r="N495" s="174"/>
      <c r="O495" s="173"/>
      <c r="P495" s="173"/>
      <c r="Q495" s="173"/>
      <c r="R495" s="173"/>
      <c r="S495" s="173">
        <v>220</v>
      </c>
      <c r="T495" s="327"/>
      <c r="U495" s="300">
        <v>2.7E-2</v>
      </c>
      <c r="V495" s="173"/>
      <c r="W495" s="173"/>
      <c r="X495" s="173"/>
      <c r="Y495" s="173"/>
      <c r="Z495" s="173"/>
      <c r="AA495" s="173"/>
      <c r="AB495" s="173"/>
      <c r="AC495" s="173"/>
      <c r="AD495" s="173"/>
      <c r="AE495" s="173"/>
      <c r="AF495" s="173"/>
      <c r="AG495" s="173"/>
      <c r="AH495" s="173"/>
      <c r="AI495" s="173" t="s">
        <v>482</v>
      </c>
      <c r="AJ495" s="173"/>
      <c r="AK495" s="173"/>
      <c r="AL495" s="173"/>
      <c r="AM495" s="643">
        <f t="shared" si="10"/>
        <v>220.02699999999999</v>
      </c>
      <c r="AO495" s="289"/>
      <c r="AP495" s="97"/>
    </row>
    <row r="496" spans="1:42" s="61" customFormat="1" ht="25.5" customHeight="1" x14ac:dyDescent="0.3">
      <c r="A496" s="706"/>
      <c r="B496" s="180" t="s">
        <v>362</v>
      </c>
      <c r="C496" s="300"/>
      <c r="D496" s="173"/>
      <c r="E496" s="173"/>
      <c r="F496" s="266"/>
      <c r="G496" s="173"/>
      <c r="H496" s="173"/>
      <c r="I496" s="174"/>
      <c r="J496" s="173"/>
      <c r="K496" s="173"/>
      <c r="L496" s="266"/>
      <c r="M496" s="173"/>
      <c r="N496" s="174"/>
      <c r="O496" s="173"/>
      <c r="P496" s="173"/>
      <c r="Q496" s="173"/>
      <c r="R496" s="173"/>
      <c r="S496" s="173">
        <v>181</v>
      </c>
      <c r="T496" s="327"/>
      <c r="U496" s="300">
        <v>2.7E-2</v>
      </c>
      <c r="V496" s="173"/>
      <c r="W496" s="173"/>
      <c r="X496" s="173">
        <v>1</v>
      </c>
      <c r="Y496" s="173"/>
      <c r="Z496" s="173"/>
      <c r="AA496" s="173"/>
      <c r="AB496" s="173"/>
      <c r="AC496" s="173"/>
      <c r="AD496" s="173"/>
      <c r="AE496" s="173"/>
      <c r="AF496" s="173"/>
      <c r="AG496" s="173"/>
      <c r="AH496" s="173"/>
      <c r="AI496" s="173" t="s">
        <v>482</v>
      </c>
      <c r="AJ496" s="173"/>
      <c r="AK496" s="173"/>
      <c r="AL496" s="173"/>
      <c r="AM496" s="644">
        <f t="shared" si="10"/>
        <v>182.02699999999999</v>
      </c>
      <c r="AO496" s="289"/>
      <c r="AP496" s="97"/>
    </row>
    <row r="497" spans="1:42" s="61" customFormat="1" ht="22.5" customHeight="1" x14ac:dyDescent="0.3">
      <c r="A497" s="706"/>
      <c r="B497" s="115" t="s">
        <v>402</v>
      </c>
      <c r="C497" s="142"/>
      <c r="D497" s="111"/>
      <c r="E497" s="111"/>
      <c r="F497" s="267"/>
      <c r="G497" s="111"/>
      <c r="H497" s="111"/>
      <c r="I497" s="125"/>
      <c r="J497" s="111"/>
      <c r="K497" s="111"/>
      <c r="L497" s="267"/>
      <c r="M497" s="111"/>
      <c r="N497" s="125"/>
      <c r="O497" s="111"/>
      <c r="P497" s="111"/>
      <c r="Q497" s="111"/>
      <c r="R497" s="111"/>
      <c r="S497" s="111"/>
      <c r="T497" s="143"/>
      <c r="U497" s="142">
        <v>3.2000000000000001E-2</v>
      </c>
      <c r="V497" s="111"/>
      <c r="W497" s="111"/>
      <c r="X497" s="111"/>
      <c r="Y497" s="111"/>
      <c r="Z497" s="111"/>
      <c r="AA497" s="111"/>
      <c r="AB497" s="111">
        <v>60</v>
      </c>
      <c r="AC497" s="111"/>
      <c r="AD497" s="111"/>
      <c r="AE497" s="111"/>
      <c r="AF497" s="111"/>
      <c r="AG497" s="111"/>
      <c r="AH497" s="111" t="s">
        <v>482</v>
      </c>
      <c r="AI497" s="111" t="s">
        <v>482</v>
      </c>
      <c r="AJ497" s="111"/>
      <c r="AK497" s="111"/>
      <c r="AL497" s="111"/>
      <c r="AM497" s="645">
        <f t="shared" si="10"/>
        <v>60.031999999999996</v>
      </c>
      <c r="AO497" s="289"/>
    </row>
    <row r="498" spans="1:42" s="61" customFormat="1" ht="21" customHeight="1" x14ac:dyDescent="0.3">
      <c r="A498" s="707"/>
      <c r="B498" s="181" t="s">
        <v>403</v>
      </c>
      <c r="C498" s="144"/>
      <c r="D498" s="112"/>
      <c r="E498" s="112"/>
      <c r="F498" s="268"/>
      <c r="G498" s="112"/>
      <c r="H498" s="112"/>
      <c r="I498" s="126"/>
      <c r="J498" s="112"/>
      <c r="K498" s="112"/>
      <c r="L498" s="268"/>
      <c r="M498" s="112"/>
      <c r="N498" s="126"/>
      <c r="O498" s="112"/>
      <c r="P498" s="112"/>
      <c r="Q498" s="112"/>
      <c r="R498" s="112"/>
      <c r="S498" s="112"/>
      <c r="T498" s="145"/>
      <c r="U498" s="144"/>
      <c r="V498" s="112"/>
      <c r="W498" s="112"/>
      <c r="X498" s="112"/>
      <c r="Y498" s="112"/>
      <c r="Z498" s="112"/>
      <c r="AA498" s="112"/>
      <c r="AB498" s="112">
        <v>117</v>
      </c>
      <c r="AC498" s="112"/>
      <c r="AD498" s="112"/>
      <c r="AE498" s="112"/>
      <c r="AF498" s="112"/>
      <c r="AG498" s="112"/>
      <c r="AH498" s="112" t="s">
        <v>482</v>
      </c>
      <c r="AI498" s="112" t="s">
        <v>482</v>
      </c>
      <c r="AJ498" s="112"/>
      <c r="AK498" s="112"/>
      <c r="AL498" s="112"/>
      <c r="AM498" s="646">
        <f t="shared" si="10"/>
        <v>117</v>
      </c>
      <c r="AO498" s="289"/>
    </row>
    <row r="499" spans="1:42" s="61" customFormat="1" ht="21" customHeight="1" x14ac:dyDescent="0.3">
      <c r="A499" s="705" t="s">
        <v>157</v>
      </c>
      <c r="B499" s="179" t="s">
        <v>293</v>
      </c>
      <c r="C499" s="135">
        <v>56</v>
      </c>
      <c r="D499" s="136"/>
      <c r="E499" s="136"/>
      <c r="F499" s="262"/>
      <c r="G499" s="136">
        <v>7</v>
      </c>
      <c r="H499" s="136"/>
      <c r="I499" s="326"/>
      <c r="J499" s="136"/>
      <c r="K499" s="136"/>
      <c r="L499" s="262"/>
      <c r="M499" s="136"/>
      <c r="N499" s="326"/>
      <c r="O499" s="136"/>
      <c r="P499" s="136"/>
      <c r="Q499" s="136"/>
      <c r="R499" s="136"/>
      <c r="S499" s="136">
        <v>19.573</v>
      </c>
      <c r="T499" s="137"/>
      <c r="U499" s="632"/>
      <c r="V499" s="122"/>
      <c r="W499" s="122"/>
      <c r="X499" s="122"/>
      <c r="Y499" s="122">
        <v>17</v>
      </c>
      <c r="Z499" s="122">
        <v>16</v>
      </c>
      <c r="AA499" s="122"/>
      <c r="AB499" s="122"/>
      <c r="AC499" s="122"/>
      <c r="AD499" s="122"/>
      <c r="AE499" s="122"/>
      <c r="AF499" s="122"/>
      <c r="AG499" s="122"/>
      <c r="AH499" s="122"/>
      <c r="AI499" s="122" t="s">
        <v>482</v>
      </c>
      <c r="AJ499" s="122"/>
      <c r="AK499" s="122"/>
      <c r="AL499" s="122">
        <v>6.8890872483221477</v>
      </c>
      <c r="AM499" s="639">
        <f t="shared" si="10"/>
        <v>122.46208724832215</v>
      </c>
      <c r="AO499" s="289"/>
    </row>
    <row r="500" spans="1:42" s="61" customFormat="1" ht="19.5" customHeight="1" x14ac:dyDescent="0.3">
      <c r="A500" s="706"/>
      <c r="B500" s="116" t="s">
        <v>294</v>
      </c>
      <c r="C500" s="138">
        <v>83</v>
      </c>
      <c r="D500" s="109"/>
      <c r="E500" s="109"/>
      <c r="F500" s="263"/>
      <c r="G500" s="109">
        <v>142</v>
      </c>
      <c r="H500" s="109">
        <v>2</v>
      </c>
      <c r="I500" s="123"/>
      <c r="J500" s="109"/>
      <c r="K500" s="109"/>
      <c r="L500" s="263"/>
      <c r="M500" s="109"/>
      <c r="N500" s="123"/>
      <c r="O500" s="109"/>
      <c r="P500" s="109"/>
      <c r="Q500" s="109"/>
      <c r="R500" s="109"/>
      <c r="S500" s="109">
        <v>27.725999999999999</v>
      </c>
      <c r="T500" s="139">
        <v>6</v>
      </c>
      <c r="U500" s="138"/>
      <c r="V500" s="109"/>
      <c r="W500" s="109"/>
      <c r="X500" s="109"/>
      <c r="Y500" s="109">
        <v>20</v>
      </c>
      <c r="Z500" s="109">
        <v>42</v>
      </c>
      <c r="AA500" s="109"/>
      <c r="AB500" s="109"/>
      <c r="AC500" s="109"/>
      <c r="AD500" s="109"/>
      <c r="AE500" s="109"/>
      <c r="AF500" s="109"/>
      <c r="AG500" s="109"/>
      <c r="AH500" s="109"/>
      <c r="AI500" s="109" t="s">
        <v>482</v>
      </c>
      <c r="AJ500" s="109"/>
      <c r="AK500" s="109"/>
      <c r="AL500" s="109"/>
      <c r="AM500" s="640">
        <f t="shared" si="10"/>
        <v>322.726</v>
      </c>
      <c r="AO500" s="289"/>
    </row>
    <row r="501" spans="1:42" s="61" customFormat="1" ht="22.5" customHeight="1" x14ac:dyDescent="0.3">
      <c r="A501" s="706"/>
      <c r="B501" s="117" t="s">
        <v>326</v>
      </c>
      <c r="C501" s="140">
        <v>63.691000000000003</v>
      </c>
      <c r="D501" s="110"/>
      <c r="E501" s="110"/>
      <c r="F501" s="264"/>
      <c r="G501" s="110">
        <v>18</v>
      </c>
      <c r="H501" s="110"/>
      <c r="I501" s="124"/>
      <c r="J501" s="110"/>
      <c r="K501" s="110"/>
      <c r="L501" s="264"/>
      <c r="M501" s="110"/>
      <c r="N501" s="124"/>
      <c r="O501" s="110"/>
      <c r="P501" s="110"/>
      <c r="Q501" s="110"/>
      <c r="R501" s="110"/>
      <c r="S501" s="110">
        <v>2</v>
      </c>
      <c r="T501" s="141"/>
      <c r="U501" s="140">
        <v>0.36599999999999999</v>
      </c>
      <c r="V501" s="110"/>
      <c r="W501" s="110"/>
      <c r="X501" s="110"/>
      <c r="Y501" s="110">
        <v>63</v>
      </c>
      <c r="Z501" s="110">
        <v>44</v>
      </c>
      <c r="AA501" s="110"/>
      <c r="AB501" s="110"/>
      <c r="AC501" s="110"/>
      <c r="AD501" s="110"/>
      <c r="AE501" s="110"/>
      <c r="AF501" s="110"/>
      <c r="AG501" s="110">
        <v>1</v>
      </c>
      <c r="AH501" s="110"/>
      <c r="AI501" s="110" t="s">
        <v>482</v>
      </c>
      <c r="AJ501" s="110"/>
      <c r="AK501" s="110"/>
      <c r="AL501" s="110"/>
      <c r="AM501" s="641">
        <f t="shared" si="10"/>
        <v>192.05700000000002</v>
      </c>
      <c r="AO501" s="289"/>
      <c r="AP501" s="97"/>
    </row>
    <row r="502" spans="1:42" s="61" customFormat="1" ht="25.5" customHeight="1" x14ac:dyDescent="0.3">
      <c r="A502" s="706"/>
      <c r="B502" s="175" t="s">
        <v>327</v>
      </c>
      <c r="C502" s="176">
        <v>139.96899999999999</v>
      </c>
      <c r="D502" s="127"/>
      <c r="E502" s="127"/>
      <c r="F502" s="265"/>
      <c r="G502" s="127">
        <v>711</v>
      </c>
      <c r="H502" s="127"/>
      <c r="I502" s="178"/>
      <c r="J502" s="127"/>
      <c r="K502" s="127"/>
      <c r="L502" s="265"/>
      <c r="M502" s="127"/>
      <c r="N502" s="178"/>
      <c r="O502" s="127"/>
      <c r="P502" s="127"/>
      <c r="Q502" s="127"/>
      <c r="R502" s="127"/>
      <c r="S502" s="127">
        <v>52</v>
      </c>
      <c r="T502" s="177"/>
      <c r="U502" s="176">
        <v>0.36599999999999999</v>
      </c>
      <c r="V502" s="127"/>
      <c r="W502" s="127"/>
      <c r="X502" s="127"/>
      <c r="Y502" s="127">
        <v>56</v>
      </c>
      <c r="Z502" s="127">
        <v>60</v>
      </c>
      <c r="AA502" s="127"/>
      <c r="AB502" s="127"/>
      <c r="AC502" s="127"/>
      <c r="AD502" s="127"/>
      <c r="AE502" s="127"/>
      <c r="AF502" s="127"/>
      <c r="AG502" s="127"/>
      <c r="AH502" s="127"/>
      <c r="AI502" s="127">
        <v>5</v>
      </c>
      <c r="AJ502" s="127"/>
      <c r="AK502" s="127">
        <v>1</v>
      </c>
      <c r="AL502" s="127"/>
      <c r="AM502" s="642">
        <f t="shared" si="10"/>
        <v>1025.335</v>
      </c>
      <c r="AO502" s="289"/>
    </row>
    <row r="503" spans="1:42" s="61" customFormat="1" ht="25.5" customHeight="1" x14ac:dyDescent="0.3">
      <c r="A503" s="706"/>
      <c r="B503" s="180" t="s">
        <v>361</v>
      </c>
      <c r="C503" s="300">
        <v>176</v>
      </c>
      <c r="D503" s="173"/>
      <c r="E503" s="173"/>
      <c r="F503" s="266"/>
      <c r="G503" s="173">
        <f>940</f>
        <v>940</v>
      </c>
      <c r="H503" s="173"/>
      <c r="I503" s="174"/>
      <c r="J503" s="173"/>
      <c r="K503" s="173"/>
      <c r="L503" s="266"/>
      <c r="M503" s="173"/>
      <c r="N503" s="174">
        <v>29.228999999999999</v>
      </c>
      <c r="O503" s="173"/>
      <c r="P503" s="173"/>
      <c r="Q503" s="173"/>
      <c r="R503" s="173"/>
      <c r="S503" s="173">
        <v>14</v>
      </c>
      <c r="T503" s="327"/>
      <c r="U503" s="300">
        <v>6.8659999999999997</v>
      </c>
      <c r="V503" s="173">
        <f>10000/1000</f>
        <v>10</v>
      </c>
      <c r="W503" s="173"/>
      <c r="X503" s="173"/>
      <c r="Y503" s="173">
        <v>128</v>
      </c>
      <c r="Z503" s="173">
        <v>140.30126000000001</v>
      </c>
      <c r="AA503" s="173"/>
      <c r="AB503" s="173">
        <v>91</v>
      </c>
      <c r="AC503" s="173"/>
      <c r="AD503" s="173"/>
      <c r="AE503" s="173"/>
      <c r="AF503" s="173"/>
      <c r="AG503" s="173"/>
      <c r="AH503" s="173"/>
      <c r="AI503" s="173" t="s">
        <v>482</v>
      </c>
      <c r="AJ503" s="173"/>
      <c r="AK503" s="173">
        <v>3</v>
      </c>
      <c r="AL503" s="173">
        <v>12.629752066115703</v>
      </c>
      <c r="AM503" s="643">
        <f t="shared" si="10"/>
        <v>1551.0260120661158</v>
      </c>
      <c r="AO503" s="289"/>
      <c r="AP503" s="97"/>
    </row>
    <row r="504" spans="1:42" s="61" customFormat="1" ht="25.5" customHeight="1" x14ac:dyDescent="0.3">
      <c r="A504" s="706"/>
      <c r="B504" s="180" t="s">
        <v>362</v>
      </c>
      <c r="C504" s="300">
        <v>213</v>
      </c>
      <c r="D504" s="173"/>
      <c r="E504" s="173"/>
      <c r="F504" s="266"/>
      <c r="G504" s="173">
        <f>10+136</f>
        <v>146</v>
      </c>
      <c r="H504" s="173"/>
      <c r="I504" s="174"/>
      <c r="J504" s="173"/>
      <c r="K504" s="173"/>
      <c r="L504" s="266"/>
      <c r="M504" s="173"/>
      <c r="N504" s="174">
        <v>76.879000000000005</v>
      </c>
      <c r="O504" s="173"/>
      <c r="P504" s="173"/>
      <c r="Q504" s="173"/>
      <c r="R504" s="173"/>
      <c r="S504" s="173">
        <v>29</v>
      </c>
      <c r="T504" s="327"/>
      <c r="U504" s="300">
        <v>0.97599999999999998</v>
      </c>
      <c r="V504" s="173">
        <f>(31791/1000)-V503</f>
        <v>21.791</v>
      </c>
      <c r="W504" s="173"/>
      <c r="X504" s="173"/>
      <c r="Y504" s="173">
        <v>159</v>
      </c>
      <c r="Z504" s="173">
        <v>81.734889999999993</v>
      </c>
      <c r="AA504" s="173"/>
      <c r="AB504" s="173">
        <v>178</v>
      </c>
      <c r="AC504" s="173"/>
      <c r="AD504" s="173"/>
      <c r="AE504" s="173"/>
      <c r="AF504" s="173"/>
      <c r="AG504" s="173"/>
      <c r="AH504" s="173">
        <v>42</v>
      </c>
      <c r="AI504" s="173">
        <v>3</v>
      </c>
      <c r="AJ504" s="173"/>
      <c r="AK504" s="173">
        <v>3</v>
      </c>
      <c r="AL504" s="173">
        <v>28.605428571428568</v>
      </c>
      <c r="AM504" s="644">
        <f t="shared" si="10"/>
        <v>982.98631857142846</v>
      </c>
      <c r="AO504" s="289"/>
      <c r="AP504" s="97"/>
    </row>
    <row r="505" spans="1:42" s="61" customFormat="1" ht="22.5" customHeight="1" x14ac:dyDescent="0.3">
      <c r="A505" s="706"/>
      <c r="B505" s="115" t="s">
        <v>402</v>
      </c>
      <c r="C505" s="142">
        <v>284.49572999999998</v>
      </c>
      <c r="D505" s="111"/>
      <c r="E505" s="111"/>
      <c r="F505" s="267"/>
      <c r="G505" s="111">
        <v>1116</v>
      </c>
      <c r="H505" s="111"/>
      <c r="I505" s="125"/>
      <c r="J505" s="111"/>
      <c r="K505" s="111"/>
      <c r="L505" s="267"/>
      <c r="M505" s="111"/>
      <c r="N505" s="125"/>
      <c r="O505" s="111"/>
      <c r="P505" s="111"/>
      <c r="Q505" s="111"/>
      <c r="R505" s="111"/>
      <c r="S505" s="111">
        <v>276.10417799999999</v>
      </c>
      <c r="T505" s="143"/>
      <c r="U505" s="142">
        <v>1.01</v>
      </c>
      <c r="V505" s="111"/>
      <c r="W505" s="111"/>
      <c r="X505" s="111"/>
      <c r="Y505" s="111">
        <v>274.89699999999999</v>
      </c>
      <c r="Z505" s="111">
        <v>341</v>
      </c>
      <c r="AA505" s="111"/>
      <c r="AB505" s="111">
        <v>250</v>
      </c>
      <c r="AC505" s="111"/>
      <c r="AD505" s="111">
        <v>0</v>
      </c>
      <c r="AE505" s="111"/>
      <c r="AF505" s="111"/>
      <c r="AG505" s="111"/>
      <c r="AH505" s="111">
        <v>241.999</v>
      </c>
      <c r="AI505" s="111"/>
      <c r="AJ505" s="111"/>
      <c r="AK505" s="111"/>
      <c r="AL505" s="111">
        <v>44.129464285714285</v>
      </c>
      <c r="AM505" s="645">
        <f t="shared" si="10"/>
        <v>2829.6353722857143</v>
      </c>
      <c r="AO505" s="289"/>
    </row>
    <row r="506" spans="1:42" s="61" customFormat="1" ht="21" customHeight="1" x14ac:dyDescent="0.3">
      <c r="A506" s="707"/>
      <c r="B506" s="181" t="s">
        <v>403</v>
      </c>
      <c r="C506" s="144">
        <v>162.06511</v>
      </c>
      <c r="D506" s="112"/>
      <c r="E506" s="112"/>
      <c r="F506" s="268"/>
      <c r="G506" s="112"/>
      <c r="H506" s="112"/>
      <c r="I506" s="126"/>
      <c r="J506" s="112"/>
      <c r="K506" s="112"/>
      <c r="L506" s="268"/>
      <c r="M506" s="112">
        <v>6.5</v>
      </c>
      <c r="N506" s="126"/>
      <c r="O506" s="112"/>
      <c r="P506" s="112"/>
      <c r="Q506" s="112"/>
      <c r="R506" s="112"/>
      <c r="S506" s="112">
        <v>90.459195999999991</v>
      </c>
      <c r="T506" s="145"/>
      <c r="U506" s="144">
        <v>5.3579999999999997</v>
      </c>
      <c r="V506" s="112"/>
      <c r="W506" s="112"/>
      <c r="X506" s="112"/>
      <c r="Y506" s="112">
        <v>268.35199999999998</v>
      </c>
      <c r="Z506" s="112">
        <v>245</v>
      </c>
      <c r="AA506" s="112"/>
      <c r="AB506" s="112"/>
      <c r="AC506" s="112"/>
      <c r="AD506" s="112">
        <v>87</v>
      </c>
      <c r="AE506" s="112"/>
      <c r="AF506" s="112"/>
      <c r="AG506" s="112"/>
      <c r="AH506" s="112" t="s">
        <v>482</v>
      </c>
      <c r="AI506" s="112"/>
      <c r="AJ506" s="112"/>
      <c r="AK506" s="112"/>
      <c r="AL506" s="112"/>
      <c r="AM506" s="646">
        <f t="shared" si="10"/>
        <v>864.73430600000006</v>
      </c>
      <c r="AO506" s="289"/>
    </row>
    <row r="507" spans="1:42" s="61" customFormat="1" ht="21" customHeight="1" x14ac:dyDescent="0.3">
      <c r="A507" s="705" t="s">
        <v>158</v>
      </c>
      <c r="B507" s="179" t="s">
        <v>293</v>
      </c>
      <c r="C507" s="135"/>
      <c r="D507" s="136"/>
      <c r="E507" s="136"/>
      <c r="F507" s="262"/>
      <c r="G507" s="136"/>
      <c r="H507" s="136"/>
      <c r="I507" s="326"/>
      <c r="J507" s="136"/>
      <c r="K507" s="136"/>
      <c r="L507" s="262"/>
      <c r="M507" s="136"/>
      <c r="N507" s="326"/>
      <c r="O507" s="136"/>
      <c r="P507" s="136"/>
      <c r="Q507" s="136"/>
      <c r="R507" s="136"/>
      <c r="S507" s="136"/>
      <c r="T507" s="137"/>
      <c r="U507" s="632"/>
      <c r="V507" s="122"/>
      <c r="W507" s="122"/>
      <c r="X507" s="122"/>
      <c r="Y507" s="122"/>
      <c r="Z507" s="122">
        <v>49.264420000000001</v>
      </c>
      <c r="AA507" s="122"/>
      <c r="AB507" s="122"/>
      <c r="AC507" s="122"/>
      <c r="AD507" s="122"/>
      <c r="AE507" s="122"/>
      <c r="AF507" s="122"/>
      <c r="AG507" s="122"/>
      <c r="AH507" s="122"/>
      <c r="AI507" s="122"/>
      <c r="AJ507" s="122"/>
      <c r="AK507" s="122"/>
      <c r="AL507" s="122"/>
      <c r="AM507" s="639">
        <f t="shared" si="10"/>
        <v>49.264420000000001</v>
      </c>
      <c r="AO507" s="289"/>
    </row>
    <row r="508" spans="1:42" s="61" customFormat="1" ht="19.5" customHeight="1" x14ac:dyDescent="0.3">
      <c r="A508" s="706"/>
      <c r="B508" s="116" t="s">
        <v>294</v>
      </c>
      <c r="C508" s="138"/>
      <c r="D508" s="109"/>
      <c r="E508" s="109"/>
      <c r="F508" s="263">
        <v>2382.9479999999999</v>
      </c>
      <c r="G508" s="109">
        <v>3</v>
      </c>
      <c r="H508" s="109"/>
      <c r="I508" s="123"/>
      <c r="J508" s="109"/>
      <c r="K508" s="109"/>
      <c r="L508" s="263"/>
      <c r="M508" s="109"/>
      <c r="N508" s="123"/>
      <c r="O508" s="109"/>
      <c r="P508" s="109"/>
      <c r="Q508" s="109"/>
      <c r="R508" s="109"/>
      <c r="S508" s="109">
        <v>157.57499999999999</v>
      </c>
      <c r="T508" s="139"/>
      <c r="U508" s="138"/>
      <c r="V508" s="109"/>
      <c r="W508" s="109"/>
      <c r="X508" s="109"/>
      <c r="Y508" s="109"/>
      <c r="Z508" s="109">
        <v>50.018410000000003</v>
      </c>
      <c r="AA508" s="109"/>
      <c r="AB508" s="109"/>
      <c r="AC508" s="109"/>
      <c r="AD508" s="109"/>
      <c r="AE508" s="109"/>
      <c r="AF508" s="109"/>
      <c r="AG508" s="109"/>
      <c r="AH508" s="109"/>
      <c r="AI508" s="109"/>
      <c r="AJ508" s="109"/>
      <c r="AK508" s="109"/>
      <c r="AL508" s="109"/>
      <c r="AM508" s="640">
        <f t="shared" si="10"/>
        <v>2593.5414099999998</v>
      </c>
      <c r="AO508" s="289"/>
    </row>
    <row r="509" spans="1:42" s="61" customFormat="1" ht="22.5" customHeight="1" x14ac:dyDescent="0.3">
      <c r="A509" s="706"/>
      <c r="B509" s="117" t="s">
        <v>326</v>
      </c>
      <c r="C509" s="140"/>
      <c r="D509" s="110"/>
      <c r="E509" s="110"/>
      <c r="F509" s="264">
        <v>1341</v>
      </c>
      <c r="G509" s="110">
        <v>153</v>
      </c>
      <c r="H509" s="110"/>
      <c r="I509" s="124"/>
      <c r="J509" s="110"/>
      <c r="K509" s="110"/>
      <c r="L509" s="264"/>
      <c r="M509" s="110"/>
      <c r="N509" s="124"/>
      <c r="O509" s="110"/>
      <c r="P509" s="110">
        <v>1</v>
      </c>
      <c r="Q509" s="110"/>
      <c r="R509" s="110"/>
      <c r="S509" s="110"/>
      <c r="T509" s="141"/>
      <c r="U509" s="140">
        <v>0.122</v>
      </c>
      <c r="V509" s="110"/>
      <c r="W509" s="110"/>
      <c r="X509" s="110">
        <v>15</v>
      </c>
      <c r="Y509" s="110"/>
      <c r="Z509" s="110">
        <v>49</v>
      </c>
      <c r="AA509" s="110"/>
      <c r="AB509" s="110"/>
      <c r="AC509" s="110"/>
      <c r="AD509" s="110"/>
      <c r="AE509" s="110"/>
      <c r="AF509" s="110"/>
      <c r="AG509" s="110"/>
      <c r="AH509" s="110"/>
      <c r="AI509" s="110"/>
      <c r="AJ509" s="110"/>
      <c r="AK509" s="110"/>
      <c r="AL509" s="110"/>
      <c r="AM509" s="641">
        <f t="shared" si="10"/>
        <v>1559.1220000000001</v>
      </c>
      <c r="AO509" s="289"/>
      <c r="AP509" s="97"/>
    </row>
    <row r="510" spans="1:42" s="61" customFormat="1" ht="25.5" customHeight="1" x14ac:dyDescent="0.3">
      <c r="A510" s="706"/>
      <c r="B510" s="175" t="s">
        <v>327</v>
      </c>
      <c r="C510" s="176"/>
      <c r="D510" s="127"/>
      <c r="E510" s="127"/>
      <c r="F510" s="265"/>
      <c r="G510" s="127">
        <v>3</v>
      </c>
      <c r="H510" s="127">
        <v>2198</v>
      </c>
      <c r="I510" s="178"/>
      <c r="J510" s="127"/>
      <c r="K510" s="127"/>
      <c r="L510" s="265"/>
      <c r="M510" s="127"/>
      <c r="N510" s="178"/>
      <c r="O510" s="127"/>
      <c r="P510" s="127"/>
      <c r="Q510" s="127"/>
      <c r="R510" s="127"/>
      <c r="S510" s="127">
        <v>227</v>
      </c>
      <c r="T510" s="177"/>
      <c r="U510" s="176">
        <v>0.122</v>
      </c>
      <c r="V510" s="127"/>
      <c r="W510" s="127"/>
      <c r="X510" s="127"/>
      <c r="Y510" s="127"/>
      <c r="Z510" s="127">
        <v>50</v>
      </c>
      <c r="AA510" s="127"/>
      <c r="AB510" s="127"/>
      <c r="AC510" s="127"/>
      <c r="AD510" s="127"/>
      <c r="AE510" s="127"/>
      <c r="AF510" s="127"/>
      <c r="AG510" s="127"/>
      <c r="AH510" s="127">
        <v>30.38</v>
      </c>
      <c r="AI510" s="127"/>
      <c r="AJ510" s="127"/>
      <c r="AK510" s="127"/>
      <c r="AL510" s="127"/>
      <c r="AM510" s="642">
        <f t="shared" si="10"/>
        <v>2508.502</v>
      </c>
      <c r="AO510" s="289"/>
    </row>
    <row r="511" spans="1:42" s="61" customFormat="1" ht="25.5" customHeight="1" x14ac:dyDescent="0.3">
      <c r="A511" s="706"/>
      <c r="B511" s="180" t="s">
        <v>361</v>
      </c>
      <c r="C511" s="300">
        <v>5</v>
      </c>
      <c r="D511" s="173"/>
      <c r="E511" s="173"/>
      <c r="F511" s="266">
        <v>65</v>
      </c>
      <c r="G511" s="173">
        <f>3+0</f>
        <v>3</v>
      </c>
      <c r="H511" s="173">
        <v>31</v>
      </c>
      <c r="I511" s="174"/>
      <c r="J511" s="173"/>
      <c r="K511" s="173"/>
      <c r="L511" s="266"/>
      <c r="M511" s="173"/>
      <c r="N511" s="174"/>
      <c r="O511" s="173"/>
      <c r="P511" s="173"/>
      <c r="Q511" s="173"/>
      <c r="R511" s="173"/>
      <c r="S511" s="173">
        <v>353</v>
      </c>
      <c r="T511" s="327"/>
      <c r="U511" s="300">
        <v>0.19600000000000001</v>
      </c>
      <c r="V511" s="173"/>
      <c r="W511" s="173"/>
      <c r="X511" s="173">
        <v>10</v>
      </c>
      <c r="Y511" s="173"/>
      <c r="Z511" s="173">
        <v>49.711589999999994</v>
      </c>
      <c r="AA511" s="173"/>
      <c r="AB511" s="173"/>
      <c r="AC511" s="173"/>
      <c r="AD511" s="173"/>
      <c r="AE511" s="173"/>
      <c r="AF511" s="173"/>
      <c r="AG511" s="173"/>
      <c r="AH511" s="173"/>
      <c r="AI511" s="173"/>
      <c r="AJ511" s="173"/>
      <c r="AK511" s="173"/>
      <c r="AL511" s="173"/>
      <c r="AM511" s="643">
        <f t="shared" si="10"/>
        <v>516.90759000000003</v>
      </c>
      <c r="AO511" s="289"/>
      <c r="AP511" s="97"/>
    </row>
    <row r="512" spans="1:42" s="61" customFormat="1" ht="25.5" customHeight="1" x14ac:dyDescent="0.3">
      <c r="A512" s="706"/>
      <c r="B512" s="180" t="s">
        <v>362</v>
      </c>
      <c r="C512" s="300">
        <v>5</v>
      </c>
      <c r="D512" s="173"/>
      <c r="E512" s="173"/>
      <c r="F512" s="266"/>
      <c r="G512" s="173">
        <v>3</v>
      </c>
      <c r="H512" s="173">
        <v>2238</v>
      </c>
      <c r="I512" s="174"/>
      <c r="J512" s="173"/>
      <c r="K512" s="173"/>
      <c r="L512" s="266"/>
      <c r="M512" s="173"/>
      <c r="N512" s="174"/>
      <c r="O512" s="173"/>
      <c r="P512" s="173"/>
      <c r="Q512" s="173"/>
      <c r="R512" s="173"/>
      <c r="S512" s="173">
        <v>529</v>
      </c>
      <c r="T512" s="327"/>
      <c r="U512" s="300">
        <v>2.5649999999999999</v>
      </c>
      <c r="V512" s="173"/>
      <c r="W512" s="173"/>
      <c r="X512" s="173"/>
      <c r="Y512" s="173"/>
      <c r="Z512" s="173">
        <v>50.293440000000004</v>
      </c>
      <c r="AA512" s="173">
        <v>210</v>
      </c>
      <c r="AB512" s="173"/>
      <c r="AC512" s="173"/>
      <c r="AD512" s="173"/>
      <c r="AE512" s="173"/>
      <c r="AF512" s="173"/>
      <c r="AG512" s="173"/>
      <c r="AH512" s="173"/>
      <c r="AI512" s="173"/>
      <c r="AJ512" s="173"/>
      <c r="AK512" s="173"/>
      <c r="AL512" s="173"/>
      <c r="AM512" s="644">
        <f t="shared" si="10"/>
        <v>3037.85844</v>
      </c>
      <c r="AO512" s="289"/>
      <c r="AP512" s="97"/>
    </row>
    <row r="513" spans="1:42" s="61" customFormat="1" ht="22.5" customHeight="1" x14ac:dyDescent="0.3">
      <c r="A513" s="706"/>
      <c r="B513" s="115" t="s">
        <v>402</v>
      </c>
      <c r="C513" s="142"/>
      <c r="D513" s="111"/>
      <c r="E513" s="111"/>
      <c r="F513" s="267"/>
      <c r="G513" s="111">
        <v>91</v>
      </c>
      <c r="H513" s="111">
        <v>52</v>
      </c>
      <c r="I513" s="125"/>
      <c r="J513" s="111"/>
      <c r="K513" s="111"/>
      <c r="L513" s="267"/>
      <c r="M513" s="111"/>
      <c r="N513" s="125"/>
      <c r="O513" s="111"/>
      <c r="P513" s="111"/>
      <c r="Q513" s="111"/>
      <c r="R513" s="111"/>
      <c r="S513" s="111"/>
      <c r="T513" s="143">
        <v>4.4800000000000004</v>
      </c>
      <c r="U513" s="142">
        <v>0.26</v>
      </c>
      <c r="V513" s="111"/>
      <c r="W513" s="111"/>
      <c r="X513" s="111"/>
      <c r="Y513" s="111"/>
      <c r="Z513" s="111"/>
      <c r="AA513" s="111">
        <v>1</v>
      </c>
      <c r="AB513" s="111"/>
      <c r="AC513" s="111"/>
      <c r="AD513" s="111"/>
      <c r="AE513" s="111"/>
      <c r="AF513" s="111"/>
      <c r="AG513" s="111"/>
      <c r="AH513" s="111">
        <v>8978.3510000000006</v>
      </c>
      <c r="AI513" s="111"/>
      <c r="AJ513" s="111"/>
      <c r="AK513" s="111"/>
      <c r="AL513" s="111"/>
      <c r="AM513" s="645">
        <f t="shared" si="10"/>
        <v>9127.0910000000003</v>
      </c>
      <c r="AO513" s="289"/>
    </row>
    <row r="514" spans="1:42" s="61" customFormat="1" ht="21" customHeight="1" x14ac:dyDescent="0.3">
      <c r="A514" s="707"/>
      <c r="B514" s="181" t="s">
        <v>403</v>
      </c>
      <c r="C514" s="144">
        <v>20.64</v>
      </c>
      <c r="D514" s="112"/>
      <c r="E514" s="112"/>
      <c r="F514" s="268"/>
      <c r="G514" s="112">
        <v>59</v>
      </c>
      <c r="H514" s="112">
        <v>11398.26641</v>
      </c>
      <c r="I514" s="126"/>
      <c r="J514" s="112"/>
      <c r="K514" s="112"/>
      <c r="L514" s="268"/>
      <c r="M514" s="112"/>
      <c r="N514" s="126"/>
      <c r="O514" s="112"/>
      <c r="P514" s="112"/>
      <c r="Q514" s="112"/>
      <c r="R514" s="112"/>
      <c r="S514" s="112"/>
      <c r="T514" s="145">
        <v>9.81</v>
      </c>
      <c r="U514" s="144">
        <v>0.221</v>
      </c>
      <c r="V514" s="112"/>
      <c r="W514" s="112"/>
      <c r="X514" s="112"/>
      <c r="Y514" s="112"/>
      <c r="Z514" s="112"/>
      <c r="AA514" s="112"/>
      <c r="AB514" s="112"/>
      <c r="AC514" s="112"/>
      <c r="AD514" s="112"/>
      <c r="AE514" s="112"/>
      <c r="AF514" s="112"/>
      <c r="AG514" s="112"/>
      <c r="AH514" s="112">
        <v>66932.418000000005</v>
      </c>
      <c r="AI514" s="112"/>
      <c r="AJ514" s="112"/>
      <c r="AK514" s="112"/>
      <c r="AL514" s="112"/>
      <c r="AM514" s="646">
        <f t="shared" si="10"/>
        <v>78420.355410000004</v>
      </c>
      <c r="AO514" s="289"/>
    </row>
    <row r="515" spans="1:42" s="61" customFormat="1" ht="21" customHeight="1" x14ac:dyDescent="0.3">
      <c r="A515" s="705" t="s">
        <v>59</v>
      </c>
      <c r="B515" s="179" t="s">
        <v>293</v>
      </c>
      <c r="C515" s="135"/>
      <c r="D515" s="136"/>
      <c r="E515" s="136"/>
      <c r="F515" s="262"/>
      <c r="G515" s="136"/>
      <c r="H515" s="136"/>
      <c r="I515" s="326"/>
      <c r="J515" s="136"/>
      <c r="K515" s="136"/>
      <c r="L515" s="262"/>
      <c r="M515" s="136"/>
      <c r="N515" s="326"/>
      <c r="O515" s="136"/>
      <c r="P515" s="136"/>
      <c r="Q515" s="136"/>
      <c r="R515" s="136"/>
      <c r="S515" s="136"/>
      <c r="T515" s="137"/>
      <c r="U515" s="632"/>
      <c r="V515" s="122"/>
      <c r="W515" s="122"/>
      <c r="X515" s="122"/>
      <c r="Y515" s="122"/>
      <c r="Z515" s="122"/>
      <c r="AA515" s="122"/>
      <c r="AB515" s="122"/>
      <c r="AC515" s="122"/>
      <c r="AD515" s="122"/>
      <c r="AE515" s="122"/>
      <c r="AF515" s="122"/>
      <c r="AG515" s="122"/>
      <c r="AH515" s="122"/>
      <c r="AI515" s="122"/>
      <c r="AJ515" s="122"/>
      <c r="AK515" s="122"/>
      <c r="AL515" s="122"/>
      <c r="AM515" s="639">
        <f t="shared" si="10"/>
        <v>0</v>
      </c>
      <c r="AO515" s="289"/>
    </row>
    <row r="516" spans="1:42" s="61" customFormat="1" ht="19.5" customHeight="1" x14ac:dyDescent="0.3">
      <c r="A516" s="706"/>
      <c r="B516" s="116" t="s">
        <v>294</v>
      </c>
      <c r="C516" s="138"/>
      <c r="D516" s="109"/>
      <c r="E516" s="109"/>
      <c r="F516" s="263"/>
      <c r="G516" s="109"/>
      <c r="H516" s="109"/>
      <c r="I516" s="123"/>
      <c r="J516" s="109"/>
      <c r="K516" s="109"/>
      <c r="L516" s="263"/>
      <c r="M516" s="109"/>
      <c r="N516" s="123"/>
      <c r="O516" s="109"/>
      <c r="P516" s="109"/>
      <c r="Q516" s="109"/>
      <c r="R516" s="109"/>
      <c r="S516" s="109"/>
      <c r="T516" s="139"/>
      <c r="U516" s="138"/>
      <c r="V516" s="109"/>
      <c r="W516" s="109"/>
      <c r="X516" s="109"/>
      <c r="Y516" s="109"/>
      <c r="Z516" s="109"/>
      <c r="AA516" s="109"/>
      <c r="AB516" s="109"/>
      <c r="AC516" s="109"/>
      <c r="AD516" s="109"/>
      <c r="AE516" s="109"/>
      <c r="AF516" s="109"/>
      <c r="AG516" s="109"/>
      <c r="AH516" s="109"/>
      <c r="AI516" s="109"/>
      <c r="AJ516" s="109"/>
      <c r="AK516" s="109"/>
      <c r="AL516" s="109"/>
      <c r="AM516" s="640">
        <f t="shared" si="10"/>
        <v>0</v>
      </c>
      <c r="AO516" s="289"/>
    </row>
    <row r="517" spans="1:42" s="61" customFormat="1" ht="22.5" customHeight="1" x14ac:dyDescent="0.3">
      <c r="A517" s="706"/>
      <c r="B517" s="117" t="s">
        <v>326</v>
      </c>
      <c r="C517" s="140"/>
      <c r="D517" s="110"/>
      <c r="E517" s="110"/>
      <c r="F517" s="264"/>
      <c r="G517" s="110"/>
      <c r="H517" s="110"/>
      <c r="I517" s="124"/>
      <c r="J517" s="110"/>
      <c r="K517" s="110"/>
      <c r="L517" s="264"/>
      <c r="M517" s="110"/>
      <c r="N517" s="124"/>
      <c r="O517" s="110"/>
      <c r="P517" s="110"/>
      <c r="Q517" s="110"/>
      <c r="R517" s="110"/>
      <c r="S517" s="110"/>
      <c r="T517" s="141"/>
      <c r="U517" s="140"/>
      <c r="V517" s="110"/>
      <c r="W517" s="110"/>
      <c r="X517" s="110"/>
      <c r="Y517" s="110"/>
      <c r="Z517" s="110"/>
      <c r="AA517" s="110"/>
      <c r="AB517" s="110"/>
      <c r="AC517" s="110"/>
      <c r="AD517" s="110"/>
      <c r="AE517" s="110"/>
      <c r="AF517" s="110"/>
      <c r="AG517" s="110"/>
      <c r="AH517" s="110"/>
      <c r="AI517" s="110"/>
      <c r="AJ517" s="110"/>
      <c r="AK517" s="110"/>
      <c r="AL517" s="110"/>
      <c r="AM517" s="641">
        <f t="shared" si="10"/>
        <v>0</v>
      </c>
      <c r="AO517" s="289"/>
      <c r="AP517" s="97"/>
    </row>
    <row r="518" spans="1:42" s="61" customFormat="1" ht="25.5" customHeight="1" x14ac:dyDescent="0.3">
      <c r="A518" s="706"/>
      <c r="B518" s="175" t="s">
        <v>327</v>
      </c>
      <c r="C518" s="176"/>
      <c r="D518" s="127"/>
      <c r="E518" s="127"/>
      <c r="F518" s="265"/>
      <c r="G518" s="127"/>
      <c r="H518" s="127"/>
      <c r="I518" s="178"/>
      <c r="J518" s="127"/>
      <c r="K518" s="127"/>
      <c r="L518" s="265"/>
      <c r="M518" s="127"/>
      <c r="N518" s="178"/>
      <c r="O518" s="127"/>
      <c r="P518" s="127"/>
      <c r="Q518" s="127"/>
      <c r="R518" s="127"/>
      <c r="S518" s="127"/>
      <c r="T518" s="177"/>
      <c r="U518" s="176"/>
      <c r="V518" s="127"/>
      <c r="W518" s="127"/>
      <c r="X518" s="127"/>
      <c r="Y518" s="127"/>
      <c r="Z518" s="127"/>
      <c r="AA518" s="127"/>
      <c r="AB518" s="127"/>
      <c r="AC518" s="127"/>
      <c r="AD518" s="127"/>
      <c r="AE518" s="127"/>
      <c r="AF518" s="127"/>
      <c r="AG518" s="127"/>
      <c r="AH518" s="127">
        <v>285.39999999999998</v>
      </c>
      <c r="AI518" s="127"/>
      <c r="AJ518" s="127"/>
      <c r="AK518" s="127"/>
      <c r="AL518" s="127"/>
      <c r="AM518" s="642">
        <f t="shared" si="10"/>
        <v>285.39999999999998</v>
      </c>
      <c r="AO518" s="289"/>
    </row>
    <row r="519" spans="1:42" s="61" customFormat="1" ht="25.5" customHeight="1" x14ac:dyDescent="0.3">
      <c r="A519" s="706"/>
      <c r="B519" s="180" t="s">
        <v>361</v>
      </c>
      <c r="C519" s="300"/>
      <c r="D519" s="173"/>
      <c r="E519" s="173"/>
      <c r="F519" s="266"/>
      <c r="G519" s="173"/>
      <c r="H519" s="173"/>
      <c r="I519" s="174"/>
      <c r="J519" s="173"/>
      <c r="K519" s="173"/>
      <c r="L519" s="266"/>
      <c r="M519" s="173"/>
      <c r="N519" s="174"/>
      <c r="O519" s="173"/>
      <c r="P519" s="173"/>
      <c r="Q519" s="173"/>
      <c r="R519" s="173"/>
      <c r="S519" s="173"/>
      <c r="T519" s="327"/>
      <c r="U519" s="300"/>
      <c r="V519" s="173"/>
      <c r="W519" s="173"/>
      <c r="X519" s="173"/>
      <c r="Y519" s="173"/>
      <c r="Z519" s="173"/>
      <c r="AA519" s="173"/>
      <c r="AB519" s="173"/>
      <c r="AC519" s="173"/>
      <c r="AD519" s="173"/>
      <c r="AE519" s="173"/>
      <c r="AF519" s="173"/>
      <c r="AG519" s="173"/>
      <c r="AH519" s="173">
        <v>222</v>
      </c>
      <c r="AI519" s="173"/>
      <c r="AJ519" s="173"/>
      <c r="AK519" s="173"/>
      <c r="AL519" s="173"/>
      <c r="AM519" s="643">
        <f t="shared" si="10"/>
        <v>222</v>
      </c>
      <c r="AO519" s="289"/>
      <c r="AP519" s="97"/>
    </row>
    <row r="520" spans="1:42" s="61" customFormat="1" ht="25.5" customHeight="1" x14ac:dyDescent="0.3">
      <c r="A520" s="706"/>
      <c r="B520" s="180" t="s">
        <v>362</v>
      </c>
      <c r="C520" s="300"/>
      <c r="D520" s="173"/>
      <c r="E520" s="173"/>
      <c r="F520" s="266"/>
      <c r="G520" s="173"/>
      <c r="H520" s="173"/>
      <c r="I520" s="174"/>
      <c r="J520" s="173"/>
      <c r="K520" s="173"/>
      <c r="L520" s="266"/>
      <c r="M520" s="173"/>
      <c r="N520" s="174"/>
      <c r="O520" s="173"/>
      <c r="P520" s="173"/>
      <c r="Q520" s="173"/>
      <c r="R520" s="173"/>
      <c r="S520" s="173"/>
      <c r="T520" s="327"/>
      <c r="U520" s="300"/>
      <c r="V520" s="173"/>
      <c r="W520" s="173"/>
      <c r="X520" s="173"/>
      <c r="Y520" s="173"/>
      <c r="Z520" s="173" t="s">
        <v>10</v>
      </c>
      <c r="AA520" s="173"/>
      <c r="AB520" s="173"/>
      <c r="AC520" s="173"/>
      <c r="AD520" s="173"/>
      <c r="AE520" s="173"/>
      <c r="AF520" s="173"/>
      <c r="AG520" s="173"/>
      <c r="AH520" s="173">
        <v>133</v>
      </c>
      <c r="AI520" s="173"/>
      <c r="AJ520" s="173"/>
      <c r="AK520" s="173"/>
      <c r="AL520" s="173"/>
      <c r="AM520" s="644">
        <f t="shared" si="10"/>
        <v>133</v>
      </c>
      <c r="AO520" s="289"/>
      <c r="AP520" s="97"/>
    </row>
    <row r="521" spans="1:42" s="61" customFormat="1" ht="22.5" customHeight="1" x14ac:dyDescent="0.3">
      <c r="A521" s="706"/>
      <c r="B521" s="115" t="s">
        <v>402</v>
      </c>
      <c r="C521" s="142"/>
      <c r="D521" s="111"/>
      <c r="E521" s="111"/>
      <c r="F521" s="267"/>
      <c r="G521" s="111"/>
      <c r="H521" s="111"/>
      <c r="I521" s="125"/>
      <c r="J521" s="111"/>
      <c r="K521" s="111"/>
      <c r="L521" s="267"/>
      <c r="M521" s="111"/>
      <c r="N521" s="125"/>
      <c r="O521" s="111"/>
      <c r="P521" s="111"/>
      <c r="Q521" s="111"/>
      <c r="R521" s="111"/>
      <c r="S521" s="111"/>
      <c r="T521" s="143"/>
      <c r="U521" s="142"/>
      <c r="V521" s="111"/>
      <c r="W521" s="111"/>
      <c r="X521" s="111"/>
      <c r="Y521" s="111"/>
      <c r="Z521" s="111"/>
      <c r="AA521" s="111"/>
      <c r="AB521" s="111"/>
      <c r="AC521" s="111"/>
      <c r="AD521" s="111"/>
      <c r="AE521" s="111"/>
      <c r="AF521" s="111"/>
      <c r="AG521" s="111"/>
      <c r="AH521" s="111">
        <v>30.425000000000001</v>
      </c>
      <c r="AI521" s="111"/>
      <c r="AJ521" s="111"/>
      <c r="AK521" s="111"/>
      <c r="AL521" s="111"/>
      <c r="AM521" s="645">
        <f t="shared" si="10"/>
        <v>30.425000000000001</v>
      </c>
      <c r="AO521" s="289"/>
    </row>
    <row r="522" spans="1:42" s="61" customFormat="1" ht="21" customHeight="1" x14ac:dyDescent="0.3">
      <c r="A522" s="707"/>
      <c r="B522" s="181" t="s">
        <v>403</v>
      </c>
      <c r="C522" s="144"/>
      <c r="D522" s="112"/>
      <c r="E522" s="112"/>
      <c r="F522" s="268"/>
      <c r="G522" s="112"/>
      <c r="H522" s="112"/>
      <c r="I522" s="126"/>
      <c r="J522" s="112"/>
      <c r="K522" s="112"/>
      <c r="L522" s="268"/>
      <c r="M522" s="112"/>
      <c r="N522" s="126"/>
      <c r="O522" s="112"/>
      <c r="P522" s="112"/>
      <c r="Q522" s="112"/>
      <c r="R522" s="112"/>
      <c r="S522" s="112"/>
      <c r="T522" s="145"/>
      <c r="U522" s="144"/>
      <c r="V522" s="112"/>
      <c r="W522" s="112"/>
      <c r="X522" s="112"/>
      <c r="Y522" s="112"/>
      <c r="Z522" s="112"/>
      <c r="AA522" s="112"/>
      <c r="AB522" s="112"/>
      <c r="AC522" s="112"/>
      <c r="AD522" s="112"/>
      <c r="AE522" s="112"/>
      <c r="AF522" s="112"/>
      <c r="AG522" s="112"/>
      <c r="AH522" s="112">
        <v>131.58799999999999</v>
      </c>
      <c r="AI522" s="112"/>
      <c r="AJ522" s="112"/>
      <c r="AK522" s="112"/>
      <c r="AL522" s="112"/>
      <c r="AM522" s="646">
        <f t="shared" si="10"/>
        <v>131.58799999999999</v>
      </c>
      <c r="AO522" s="289"/>
    </row>
    <row r="523" spans="1:42" s="61" customFormat="1" ht="21" customHeight="1" x14ac:dyDescent="0.3">
      <c r="A523" s="705" t="s">
        <v>159</v>
      </c>
      <c r="B523" s="179" t="s">
        <v>293</v>
      </c>
      <c r="C523" s="135">
        <v>10</v>
      </c>
      <c r="D523" s="136"/>
      <c r="E523" s="136"/>
      <c r="F523" s="262"/>
      <c r="G523" s="136"/>
      <c r="H523" s="136">
        <v>44</v>
      </c>
      <c r="I523" s="326"/>
      <c r="J523" s="136"/>
      <c r="K523" s="136"/>
      <c r="L523" s="262"/>
      <c r="M523" s="136"/>
      <c r="N523" s="326"/>
      <c r="O523" s="136"/>
      <c r="P523" s="136"/>
      <c r="Q523" s="136"/>
      <c r="R523" s="136"/>
      <c r="S523" s="136">
        <v>7.681</v>
      </c>
      <c r="T523" s="137">
        <v>4.6219999999999999</v>
      </c>
      <c r="U523" s="632"/>
      <c r="V523" s="122"/>
      <c r="W523" s="122"/>
      <c r="X523" s="122"/>
      <c r="Y523" s="122"/>
      <c r="Z523" s="122">
        <v>1.6434500000000001</v>
      </c>
      <c r="AA523" s="122"/>
      <c r="AB523" s="122"/>
      <c r="AC523" s="122"/>
      <c r="AD523" s="122"/>
      <c r="AE523" s="122"/>
      <c r="AF523" s="122"/>
      <c r="AG523" s="122"/>
      <c r="AH523" s="122"/>
      <c r="AI523" s="122"/>
      <c r="AJ523" s="122"/>
      <c r="AK523" s="122"/>
      <c r="AL523" s="122"/>
      <c r="AM523" s="639">
        <f t="shared" si="10"/>
        <v>67.946449999999999</v>
      </c>
      <c r="AO523" s="289"/>
    </row>
    <row r="524" spans="1:42" s="61" customFormat="1" ht="19.5" customHeight="1" x14ac:dyDescent="0.3">
      <c r="A524" s="706"/>
      <c r="B524" s="116" t="s">
        <v>294</v>
      </c>
      <c r="C524" s="138"/>
      <c r="D524" s="109"/>
      <c r="E524" s="109"/>
      <c r="F524" s="263"/>
      <c r="G524" s="109"/>
      <c r="H524" s="109">
        <v>5</v>
      </c>
      <c r="I524" s="123"/>
      <c r="J524" s="109"/>
      <c r="K524" s="109"/>
      <c r="L524" s="263"/>
      <c r="M524" s="109"/>
      <c r="N524" s="123"/>
      <c r="O524" s="109"/>
      <c r="P524" s="109"/>
      <c r="Q524" s="109"/>
      <c r="R524" s="109"/>
      <c r="S524" s="109"/>
      <c r="T524" s="139">
        <v>4.6020000000000003</v>
      </c>
      <c r="U524" s="138">
        <v>0.50900000000000001</v>
      </c>
      <c r="V524" s="109"/>
      <c r="W524" s="109"/>
      <c r="X524" s="109">
        <v>3</v>
      </c>
      <c r="Y524" s="109"/>
      <c r="Z524" s="109"/>
      <c r="AA524" s="109"/>
      <c r="AB524" s="109"/>
      <c r="AC524" s="109"/>
      <c r="AD524" s="109"/>
      <c r="AE524" s="109"/>
      <c r="AF524" s="109"/>
      <c r="AG524" s="109"/>
      <c r="AH524" s="109"/>
      <c r="AI524" s="109"/>
      <c r="AJ524" s="109"/>
      <c r="AK524" s="109"/>
      <c r="AL524" s="109"/>
      <c r="AM524" s="640">
        <f t="shared" si="10"/>
        <v>13.111000000000001</v>
      </c>
      <c r="AO524" s="289"/>
    </row>
    <row r="525" spans="1:42" s="61" customFormat="1" ht="22.5" customHeight="1" x14ac:dyDescent="0.3">
      <c r="A525" s="706"/>
      <c r="B525" s="117" t="s">
        <v>326</v>
      </c>
      <c r="C525" s="140">
        <v>82.328999999999994</v>
      </c>
      <c r="D525" s="110"/>
      <c r="E525" s="110"/>
      <c r="F525" s="264"/>
      <c r="G525" s="110"/>
      <c r="H525" s="110">
        <v>5</v>
      </c>
      <c r="I525" s="124"/>
      <c r="J525" s="110"/>
      <c r="K525" s="110"/>
      <c r="L525" s="264"/>
      <c r="M525" s="110"/>
      <c r="N525" s="124"/>
      <c r="O525" s="110"/>
      <c r="P525" s="110"/>
      <c r="Q525" s="110"/>
      <c r="R525" s="110"/>
      <c r="S525" s="110"/>
      <c r="T525" s="141"/>
      <c r="U525" s="140"/>
      <c r="V525" s="110"/>
      <c r="W525" s="110"/>
      <c r="X525" s="110">
        <v>3</v>
      </c>
      <c r="Y525" s="110"/>
      <c r="Z525" s="110">
        <v>16</v>
      </c>
      <c r="AA525" s="110"/>
      <c r="AB525" s="110"/>
      <c r="AC525" s="110"/>
      <c r="AD525" s="110"/>
      <c r="AE525" s="110"/>
      <c r="AF525" s="110"/>
      <c r="AG525" s="110"/>
      <c r="AH525" s="110"/>
      <c r="AI525" s="110"/>
      <c r="AJ525" s="110"/>
      <c r="AK525" s="110"/>
      <c r="AL525" s="110"/>
      <c r="AM525" s="641">
        <f t="shared" si="10"/>
        <v>106.32899999999999</v>
      </c>
      <c r="AO525" s="289"/>
      <c r="AP525" s="97"/>
    </row>
    <row r="526" spans="1:42" s="61" customFormat="1" ht="25.5" customHeight="1" x14ac:dyDescent="0.3">
      <c r="A526" s="706"/>
      <c r="B526" s="175" t="s">
        <v>327</v>
      </c>
      <c r="C526" s="176">
        <v>74.709000000000003</v>
      </c>
      <c r="D526" s="127"/>
      <c r="E526" s="127"/>
      <c r="F526" s="265"/>
      <c r="G526" s="127"/>
      <c r="H526" s="127">
        <v>25</v>
      </c>
      <c r="I526" s="178"/>
      <c r="J526" s="127"/>
      <c r="K526" s="127"/>
      <c r="L526" s="265"/>
      <c r="M526" s="127"/>
      <c r="N526" s="178"/>
      <c r="O526" s="127"/>
      <c r="P526" s="127"/>
      <c r="Q526" s="127"/>
      <c r="R526" s="127"/>
      <c r="S526" s="127">
        <v>42</v>
      </c>
      <c r="T526" s="177"/>
      <c r="U526" s="176">
        <v>0.24399999999999999</v>
      </c>
      <c r="V526" s="127"/>
      <c r="W526" s="127"/>
      <c r="X526" s="127">
        <v>3</v>
      </c>
      <c r="Y526" s="127"/>
      <c r="Z526" s="127">
        <v>84.443169999999995</v>
      </c>
      <c r="AA526" s="127"/>
      <c r="AB526" s="127"/>
      <c r="AC526" s="127"/>
      <c r="AD526" s="127"/>
      <c r="AE526" s="127"/>
      <c r="AF526" s="127"/>
      <c r="AG526" s="127"/>
      <c r="AH526" s="127"/>
      <c r="AI526" s="127"/>
      <c r="AJ526" s="127"/>
      <c r="AK526" s="127"/>
      <c r="AL526" s="127"/>
      <c r="AM526" s="642">
        <f t="shared" si="10"/>
        <v>229.39616999999998</v>
      </c>
      <c r="AO526" s="289"/>
    </row>
    <row r="527" spans="1:42" s="61" customFormat="1" ht="25.5" customHeight="1" x14ac:dyDescent="0.3">
      <c r="A527" s="706"/>
      <c r="B527" s="180" t="s">
        <v>361</v>
      </c>
      <c r="C527" s="300">
        <v>83.877399999999994</v>
      </c>
      <c r="D527" s="173"/>
      <c r="E527" s="173"/>
      <c r="F527" s="266"/>
      <c r="G527" s="173"/>
      <c r="H527" s="173"/>
      <c r="I527" s="174"/>
      <c r="J527" s="173"/>
      <c r="K527" s="173"/>
      <c r="L527" s="266"/>
      <c r="M527" s="173"/>
      <c r="N527" s="174"/>
      <c r="O527" s="173"/>
      <c r="P527" s="173"/>
      <c r="Q527" s="173"/>
      <c r="R527" s="173"/>
      <c r="S527" s="173">
        <v>74</v>
      </c>
      <c r="T527" s="327"/>
      <c r="U527" s="300"/>
      <c r="V527" s="173"/>
      <c r="W527" s="173"/>
      <c r="X527" s="173"/>
      <c r="Y527" s="173"/>
      <c r="Z527" s="173">
        <v>65</v>
      </c>
      <c r="AA527" s="173"/>
      <c r="AB527" s="173"/>
      <c r="AC527" s="173"/>
      <c r="AD527" s="173"/>
      <c r="AE527" s="173"/>
      <c r="AF527" s="173"/>
      <c r="AG527" s="173"/>
      <c r="AH527" s="173"/>
      <c r="AI527" s="173"/>
      <c r="AJ527" s="173"/>
      <c r="AK527" s="173"/>
      <c r="AL527" s="173"/>
      <c r="AM527" s="643">
        <f t="shared" si="10"/>
        <v>222.87739999999999</v>
      </c>
      <c r="AO527" s="289"/>
      <c r="AP527" s="97"/>
    </row>
    <row r="528" spans="1:42" s="61" customFormat="1" ht="25.5" customHeight="1" x14ac:dyDescent="0.3">
      <c r="A528" s="706"/>
      <c r="B528" s="180" t="s">
        <v>362</v>
      </c>
      <c r="C528" s="300">
        <v>83.878330000000005</v>
      </c>
      <c r="D528" s="173"/>
      <c r="E528" s="173"/>
      <c r="F528" s="266"/>
      <c r="G528" s="173"/>
      <c r="H528" s="173">
        <v>129</v>
      </c>
      <c r="I528" s="174"/>
      <c r="J528" s="173"/>
      <c r="K528" s="173"/>
      <c r="L528" s="266"/>
      <c r="M528" s="173"/>
      <c r="N528" s="174"/>
      <c r="O528" s="173"/>
      <c r="P528" s="173"/>
      <c r="Q528" s="173"/>
      <c r="R528" s="173"/>
      <c r="S528" s="173">
        <v>121</v>
      </c>
      <c r="T528" s="327"/>
      <c r="U528" s="300">
        <v>0.22800000000000001</v>
      </c>
      <c r="V528" s="173"/>
      <c r="W528" s="173"/>
      <c r="X528" s="173"/>
      <c r="Y528" s="173"/>
      <c r="Z528" s="173"/>
      <c r="AA528" s="173"/>
      <c r="AB528" s="173"/>
      <c r="AC528" s="173"/>
      <c r="AD528" s="173"/>
      <c r="AE528" s="173"/>
      <c r="AF528" s="173"/>
      <c r="AG528" s="173"/>
      <c r="AH528" s="173"/>
      <c r="AI528" s="173"/>
      <c r="AJ528" s="173"/>
      <c r="AK528" s="173"/>
      <c r="AL528" s="173"/>
      <c r="AM528" s="644">
        <f t="shared" si="10"/>
        <v>334.10633000000001</v>
      </c>
      <c r="AO528" s="289"/>
      <c r="AP528" s="97"/>
    </row>
    <row r="529" spans="1:42" s="61" customFormat="1" ht="22.5" customHeight="1" x14ac:dyDescent="0.3">
      <c r="A529" s="706"/>
      <c r="B529" s="115" t="s">
        <v>402</v>
      </c>
      <c r="C529" s="142">
        <v>89.149460000000005</v>
      </c>
      <c r="D529" s="111"/>
      <c r="E529" s="111"/>
      <c r="F529" s="267"/>
      <c r="G529" s="111"/>
      <c r="H529" s="111">
        <v>96</v>
      </c>
      <c r="I529" s="125"/>
      <c r="J529" s="111"/>
      <c r="K529" s="111"/>
      <c r="L529" s="267"/>
      <c r="M529" s="111"/>
      <c r="N529" s="125"/>
      <c r="O529" s="111"/>
      <c r="P529" s="111"/>
      <c r="Q529" s="111"/>
      <c r="R529" s="111"/>
      <c r="S529" s="111"/>
      <c r="T529" s="143">
        <v>0</v>
      </c>
      <c r="U529" s="142">
        <v>0.28799999999999998</v>
      </c>
      <c r="V529" s="111"/>
      <c r="W529" s="111"/>
      <c r="X529" s="111"/>
      <c r="Y529" s="111"/>
      <c r="Z529" s="111"/>
      <c r="AA529" s="111"/>
      <c r="AB529" s="111"/>
      <c r="AC529" s="111"/>
      <c r="AD529" s="111"/>
      <c r="AE529" s="111"/>
      <c r="AF529" s="111"/>
      <c r="AG529" s="111"/>
      <c r="AH529" s="111" t="s">
        <v>482</v>
      </c>
      <c r="AI529" s="111"/>
      <c r="AJ529" s="111"/>
      <c r="AK529" s="111"/>
      <c r="AL529" s="111"/>
      <c r="AM529" s="645">
        <f t="shared" si="10"/>
        <v>185.43746000000002</v>
      </c>
      <c r="AO529" s="289"/>
    </row>
    <row r="530" spans="1:42" s="61" customFormat="1" ht="21" customHeight="1" x14ac:dyDescent="0.3">
      <c r="A530" s="707"/>
      <c r="B530" s="181" t="s">
        <v>403</v>
      </c>
      <c r="C530" s="144">
        <v>89.093999999999994</v>
      </c>
      <c r="D530" s="112"/>
      <c r="E530" s="112"/>
      <c r="F530" s="268"/>
      <c r="G530" s="112"/>
      <c r="H530" s="112"/>
      <c r="I530" s="126"/>
      <c r="J530" s="112"/>
      <c r="K530" s="112"/>
      <c r="L530" s="268"/>
      <c r="M530" s="112"/>
      <c r="N530" s="126"/>
      <c r="O530" s="112"/>
      <c r="P530" s="112"/>
      <c r="Q530" s="112"/>
      <c r="R530" s="112"/>
      <c r="S530" s="112"/>
      <c r="T530" s="145">
        <v>0</v>
      </c>
      <c r="U530" s="144"/>
      <c r="V530" s="112"/>
      <c r="W530" s="112"/>
      <c r="X530" s="112"/>
      <c r="Y530" s="112"/>
      <c r="Z530" s="112"/>
      <c r="AA530" s="112"/>
      <c r="AB530" s="112"/>
      <c r="AC530" s="112"/>
      <c r="AD530" s="112"/>
      <c r="AE530" s="112"/>
      <c r="AF530" s="112"/>
      <c r="AG530" s="112"/>
      <c r="AH530" s="112" t="s">
        <v>482</v>
      </c>
      <c r="AI530" s="112"/>
      <c r="AJ530" s="112"/>
      <c r="AK530" s="112"/>
      <c r="AL530" s="112"/>
      <c r="AM530" s="646">
        <f t="shared" si="10"/>
        <v>89.093999999999994</v>
      </c>
      <c r="AO530" s="289"/>
    </row>
    <row r="531" spans="1:42" s="61" customFormat="1" ht="21" customHeight="1" x14ac:dyDescent="0.3">
      <c r="A531" s="705" t="s">
        <v>160</v>
      </c>
      <c r="B531" s="179" t="s">
        <v>293</v>
      </c>
      <c r="C531" s="135">
        <v>4399.6000000000004</v>
      </c>
      <c r="D531" s="136"/>
      <c r="E531" s="136"/>
      <c r="F531" s="262">
        <v>667.86800000000005</v>
      </c>
      <c r="G531" s="136">
        <v>647</v>
      </c>
      <c r="H531" s="136">
        <v>17</v>
      </c>
      <c r="I531" s="326"/>
      <c r="J531" s="136"/>
      <c r="K531" s="136">
        <f>2+94</f>
        <v>96</v>
      </c>
      <c r="L531" s="262">
        <v>164.666</v>
      </c>
      <c r="M531" s="136">
        <v>16.812999999999999</v>
      </c>
      <c r="N531" s="326">
        <v>2142.5079999999998</v>
      </c>
      <c r="O531" s="136">
        <v>294.3</v>
      </c>
      <c r="P531" s="136"/>
      <c r="Q531" s="136">
        <v>610</v>
      </c>
      <c r="R531" s="136">
        <v>209.5</v>
      </c>
      <c r="S531" s="136">
        <v>12917.323</v>
      </c>
      <c r="T531" s="137">
        <v>2820.6889999999999</v>
      </c>
      <c r="U531" s="632">
        <v>402.86200000000002</v>
      </c>
      <c r="V531" s="122">
        <f>(54010+14730)/1000</f>
        <v>68.739999999999995</v>
      </c>
      <c r="W531" s="122">
        <v>1031</v>
      </c>
      <c r="X531" s="122">
        <v>499</v>
      </c>
      <c r="Y531" s="122">
        <v>11953</v>
      </c>
      <c r="Z531" s="122">
        <v>19779</v>
      </c>
      <c r="AA531" s="122">
        <v>66.545539999999988</v>
      </c>
      <c r="AB531" s="122"/>
      <c r="AC531" s="122">
        <v>780.16600000000005</v>
      </c>
      <c r="AD531" s="122">
        <v>2819</v>
      </c>
      <c r="AE531" s="122">
        <v>121</v>
      </c>
      <c r="AF531" s="122"/>
      <c r="AG531" s="122">
        <v>9.1389999999999993</v>
      </c>
      <c r="AH531" s="122">
        <v>16989.03</v>
      </c>
      <c r="AI531" s="122">
        <v>805</v>
      </c>
      <c r="AJ531" s="122"/>
      <c r="AK531" s="122">
        <v>1665.06</v>
      </c>
      <c r="AL531" s="122">
        <v>330.13087248322148</v>
      </c>
      <c r="AM531" s="639">
        <f t="shared" si="10"/>
        <v>82321.940412483222</v>
      </c>
      <c r="AO531" s="289"/>
    </row>
    <row r="532" spans="1:42" s="61" customFormat="1" ht="19.5" customHeight="1" x14ac:dyDescent="0.3">
      <c r="A532" s="706"/>
      <c r="B532" s="116" t="s">
        <v>294</v>
      </c>
      <c r="C532" s="138">
        <v>8231.66</v>
      </c>
      <c r="D532" s="109"/>
      <c r="E532" s="109"/>
      <c r="F532" s="263">
        <v>1734.9839999999999</v>
      </c>
      <c r="G532" s="109">
        <v>514</v>
      </c>
      <c r="H532" s="109"/>
      <c r="I532" s="123"/>
      <c r="J532" s="109"/>
      <c r="K532" s="109">
        <f>399+55</f>
        <v>454</v>
      </c>
      <c r="L532" s="263">
        <v>570.12599999999998</v>
      </c>
      <c r="M532" s="109"/>
      <c r="N532" s="123">
        <v>1847.9359999999999</v>
      </c>
      <c r="O532" s="109">
        <v>504.7</v>
      </c>
      <c r="P532" s="109">
        <v>112</v>
      </c>
      <c r="Q532" s="109">
        <v>1174</v>
      </c>
      <c r="R532" s="109">
        <v>209.5</v>
      </c>
      <c r="S532" s="109">
        <v>14531.755999999999</v>
      </c>
      <c r="T532" s="139">
        <v>3085.1469999999999</v>
      </c>
      <c r="U532" s="138">
        <v>1421.027</v>
      </c>
      <c r="V532" s="109">
        <f>(114950+73263)/1000-V531</f>
        <v>119.473</v>
      </c>
      <c r="W532" s="109">
        <f>3438-1031</f>
        <v>2407</v>
      </c>
      <c r="X532" s="109">
        <v>794</v>
      </c>
      <c r="Y532" s="109">
        <v>14743</v>
      </c>
      <c r="Z532" s="109">
        <v>23863</v>
      </c>
      <c r="AA532" s="109">
        <v>573.82083</v>
      </c>
      <c r="AB532" s="109"/>
      <c r="AC532" s="109">
        <v>381.29500000000002</v>
      </c>
      <c r="AD532" s="109">
        <v>3458</v>
      </c>
      <c r="AE532" s="109"/>
      <c r="AF532" s="109"/>
      <c r="AG532" s="109">
        <v>5.04</v>
      </c>
      <c r="AH532" s="109">
        <v>17680.27</v>
      </c>
      <c r="AI532" s="109">
        <v>2320</v>
      </c>
      <c r="AJ532" s="109"/>
      <c r="AK532" s="109">
        <v>1103.22</v>
      </c>
      <c r="AL532" s="109">
        <v>505.22692307692307</v>
      </c>
      <c r="AM532" s="640">
        <f t="shared" si="10"/>
        <v>102344.18175307692</v>
      </c>
      <c r="AO532" s="289"/>
    </row>
    <row r="533" spans="1:42" s="61" customFormat="1" ht="22.5" customHeight="1" x14ac:dyDescent="0.3">
      <c r="A533" s="706"/>
      <c r="B533" s="117" t="s">
        <v>326</v>
      </c>
      <c r="C533" s="140">
        <v>9257.7250000000004</v>
      </c>
      <c r="D533" s="110"/>
      <c r="E533" s="110"/>
      <c r="F533" s="264">
        <v>1557</v>
      </c>
      <c r="G533" s="110">
        <v>394</v>
      </c>
      <c r="H533" s="110">
        <v>49</v>
      </c>
      <c r="I533" s="124"/>
      <c r="J533" s="110"/>
      <c r="K533" s="110">
        <f>422+136+2537</f>
        <v>3095</v>
      </c>
      <c r="L533" s="264">
        <v>1160</v>
      </c>
      <c r="M533" s="110"/>
      <c r="N533" s="124">
        <v>3632.578</v>
      </c>
      <c r="O533" s="110">
        <v>678</v>
      </c>
      <c r="P533" s="110">
        <v>205</v>
      </c>
      <c r="Q533" s="110">
        <v>513</v>
      </c>
      <c r="R533" s="110">
        <f>(1205+19)/2</f>
        <v>612</v>
      </c>
      <c r="S533" s="110">
        <v>11822</v>
      </c>
      <c r="T533" s="141"/>
      <c r="U533" s="140">
        <v>1573.8440000000001</v>
      </c>
      <c r="V533" s="110">
        <f>(48078+60089)/1000</f>
        <v>108.167</v>
      </c>
      <c r="W533" s="110">
        <v>1326</v>
      </c>
      <c r="X533" s="110">
        <v>957</v>
      </c>
      <c r="Y533" s="110">
        <v>16699</v>
      </c>
      <c r="Z533" s="110">
        <v>29969</v>
      </c>
      <c r="AA533" s="110">
        <f>-622.64219+1359.23247</f>
        <v>736.59027999999989</v>
      </c>
      <c r="AB533" s="110"/>
      <c r="AC533" s="110">
        <v>2008.626</v>
      </c>
      <c r="AD533" s="110">
        <v>4527</v>
      </c>
      <c r="AE533" s="110">
        <v>124</v>
      </c>
      <c r="AF533" s="110"/>
      <c r="AG533" s="110"/>
      <c r="AH533" s="110">
        <v>17561.681829999998</v>
      </c>
      <c r="AI533" s="110">
        <v>3187</v>
      </c>
      <c r="AJ533" s="110"/>
      <c r="AK533" s="110">
        <v>445</v>
      </c>
      <c r="AL533" s="110">
        <v>563.68421052631584</v>
      </c>
      <c r="AM533" s="641">
        <f t="shared" ref="AM533:AM596" si="11">SUM(C533:AL533)</f>
        <v>112761.89632052633</v>
      </c>
      <c r="AO533" s="289"/>
      <c r="AP533" s="97"/>
    </row>
    <row r="534" spans="1:42" s="61" customFormat="1" ht="25.5" customHeight="1" x14ac:dyDescent="0.3">
      <c r="A534" s="706"/>
      <c r="B534" s="175" t="s">
        <v>327</v>
      </c>
      <c r="C534" s="176">
        <v>11064.380999999999</v>
      </c>
      <c r="D534" s="127"/>
      <c r="E534" s="127"/>
      <c r="F534" s="265">
        <v>4781</v>
      </c>
      <c r="G534" s="127">
        <v>445</v>
      </c>
      <c r="H534" s="127">
        <v>51</v>
      </c>
      <c r="I534" s="178"/>
      <c r="J534" s="127"/>
      <c r="K534" s="127">
        <f>427+262+2656</f>
        <v>3345</v>
      </c>
      <c r="L534" s="265">
        <v>3465</v>
      </c>
      <c r="M534" s="127"/>
      <c r="N534" s="178">
        <v>2244.2269999999999</v>
      </c>
      <c r="O534" s="127">
        <v>526</v>
      </c>
      <c r="P534" s="127"/>
      <c r="Q534" s="127">
        <v>1</v>
      </c>
      <c r="R534" s="127">
        <f>(1205+19)/2</f>
        <v>612</v>
      </c>
      <c r="S534" s="127">
        <v>14330</v>
      </c>
      <c r="T534" s="177"/>
      <c r="U534" s="176">
        <v>3352.5140000000001</v>
      </c>
      <c r="V534" s="127">
        <f>(130942+97296)/1000-V533</f>
        <v>120.071</v>
      </c>
      <c r="W534" s="127">
        <f>2539-1326</f>
        <v>1213</v>
      </c>
      <c r="X534" s="127">
        <v>1085</v>
      </c>
      <c r="Y534" s="127">
        <v>18780</v>
      </c>
      <c r="Z534" s="127">
        <v>35738</v>
      </c>
      <c r="AA534" s="127">
        <f>3.04774+1391.88556</f>
        <v>1394.9332999999999</v>
      </c>
      <c r="AB534" s="127"/>
      <c r="AC534" s="127">
        <v>151.87700000000018</v>
      </c>
      <c r="AD534" s="127">
        <v>4587</v>
      </c>
      <c r="AE534" s="127">
        <v>142</v>
      </c>
      <c r="AF534" s="127"/>
      <c r="AG534" s="127"/>
      <c r="AH534" s="127">
        <v>22854.02</v>
      </c>
      <c r="AI534" s="127">
        <v>6899</v>
      </c>
      <c r="AJ534" s="127"/>
      <c r="AK534" s="127">
        <v>1223</v>
      </c>
      <c r="AL534" s="127">
        <v>529.35114503816794</v>
      </c>
      <c r="AM534" s="642">
        <f t="shared" si="11"/>
        <v>138934.37444503818</v>
      </c>
      <c r="AO534" s="289"/>
    </row>
    <row r="535" spans="1:42" s="61" customFormat="1" ht="25.5" customHeight="1" x14ac:dyDescent="0.3">
      <c r="A535" s="706"/>
      <c r="B535" s="180" t="s">
        <v>361</v>
      </c>
      <c r="C535" s="300">
        <v>17070.47363</v>
      </c>
      <c r="D535" s="173"/>
      <c r="E535" s="173"/>
      <c r="F535" s="266">
        <v>2372</v>
      </c>
      <c r="G535" s="173">
        <f>398+74</f>
        <v>472</v>
      </c>
      <c r="H535" s="173">
        <f>22+24</f>
        <v>46</v>
      </c>
      <c r="I535" s="174"/>
      <c r="J535" s="173"/>
      <c r="K535" s="173">
        <v>636</v>
      </c>
      <c r="L535" s="266">
        <v>466</v>
      </c>
      <c r="M535" s="173"/>
      <c r="N535" s="174">
        <v>2855.1579999999999</v>
      </c>
      <c r="O535" s="173">
        <v>641</v>
      </c>
      <c r="P535" s="173">
        <v>100</v>
      </c>
      <c r="Q535" s="173">
        <v>-1</v>
      </c>
      <c r="R535" s="173">
        <v>1285</v>
      </c>
      <c r="S535" s="173">
        <v>11803</v>
      </c>
      <c r="T535" s="327">
        <v>1905.9</v>
      </c>
      <c r="U535" s="300">
        <v>1746.058</v>
      </c>
      <c r="V535" s="173">
        <f>(161399+65866)/1000</f>
        <v>227.26499999999999</v>
      </c>
      <c r="W535" s="173">
        <v>1975</v>
      </c>
      <c r="X535" s="173">
        <v>581</v>
      </c>
      <c r="Y535" s="173">
        <v>20231</v>
      </c>
      <c r="Z535" s="173">
        <v>36164.13235</v>
      </c>
      <c r="AA535" s="173">
        <f>32.45026+4.2994</f>
        <v>36.749659999999999</v>
      </c>
      <c r="AB535" s="173">
        <v>59</v>
      </c>
      <c r="AC535" s="173">
        <v>3447</v>
      </c>
      <c r="AD535" s="173">
        <v>5146</v>
      </c>
      <c r="AE535" s="173">
        <v>601</v>
      </c>
      <c r="AF535" s="173"/>
      <c r="AG535" s="173">
        <v>8</v>
      </c>
      <c r="AH535" s="173">
        <v>18321</v>
      </c>
      <c r="AI535" s="173">
        <v>9297</v>
      </c>
      <c r="AJ535" s="173">
        <v>33</v>
      </c>
      <c r="AK535" s="173">
        <v>60</v>
      </c>
      <c r="AL535" s="173">
        <v>651.65289256198344</v>
      </c>
      <c r="AM535" s="643">
        <f t="shared" si="11"/>
        <v>138236.389532562</v>
      </c>
      <c r="AO535" s="289"/>
      <c r="AP535" s="97"/>
    </row>
    <row r="536" spans="1:42" s="61" customFormat="1" ht="25.5" customHeight="1" x14ac:dyDescent="0.3">
      <c r="A536" s="706"/>
      <c r="B536" s="180" t="s">
        <v>362</v>
      </c>
      <c r="C536" s="300">
        <v>17609.62198</v>
      </c>
      <c r="D536" s="173"/>
      <c r="E536" s="173">
        <v>42</v>
      </c>
      <c r="F536" s="266">
        <v>1327</v>
      </c>
      <c r="G536" s="173">
        <f>411+69</f>
        <v>480</v>
      </c>
      <c r="H536" s="173">
        <f>46+24</f>
        <v>70</v>
      </c>
      <c r="I536" s="174"/>
      <c r="J536" s="173"/>
      <c r="K536" s="173">
        <v>691</v>
      </c>
      <c r="L536" s="266">
        <v>1168</v>
      </c>
      <c r="M536" s="173"/>
      <c r="N536" s="174">
        <v>4200.2269999999999</v>
      </c>
      <c r="O536" s="173">
        <v>751</v>
      </c>
      <c r="P536" s="173"/>
      <c r="Q536" s="173"/>
      <c r="R536" s="173"/>
      <c r="S536" s="173">
        <v>11149</v>
      </c>
      <c r="T536" s="327">
        <v>5650.3</v>
      </c>
      <c r="U536" s="300">
        <v>1811.134</v>
      </c>
      <c r="V536" s="173">
        <f>(255003+306324)/1000-V535</f>
        <v>334.06200000000001</v>
      </c>
      <c r="W536" s="173">
        <v>2970</v>
      </c>
      <c r="X536" s="173">
        <v>963</v>
      </c>
      <c r="Y536" s="173">
        <v>24329</v>
      </c>
      <c r="Z536" s="173">
        <v>38687.451309999997</v>
      </c>
      <c r="AA536" s="173">
        <f>7.85878+22</f>
        <v>29.858779999999999</v>
      </c>
      <c r="AB536" s="173">
        <v>67</v>
      </c>
      <c r="AC536" s="173">
        <f>4668-3447+310</f>
        <v>1531</v>
      </c>
      <c r="AD536" s="173">
        <v>7025</v>
      </c>
      <c r="AE536" s="173">
        <f>5</f>
        <v>5</v>
      </c>
      <c r="AF536" s="173"/>
      <c r="AG536" s="173">
        <v>8</v>
      </c>
      <c r="AH536" s="173">
        <v>24983</v>
      </c>
      <c r="AI536" s="173">
        <v>9770</v>
      </c>
      <c r="AJ536" s="173">
        <v>103</v>
      </c>
      <c r="AK536" s="173">
        <v>102</v>
      </c>
      <c r="AL536" s="173">
        <v>553.125</v>
      </c>
      <c r="AM536" s="644">
        <f t="shared" si="11"/>
        <v>156409.78006999998</v>
      </c>
      <c r="AO536" s="289"/>
      <c r="AP536" s="97"/>
    </row>
    <row r="537" spans="1:42" s="61" customFormat="1" ht="22.5" customHeight="1" x14ac:dyDescent="0.3">
      <c r="A537" s="706"/>
      <c r="B537" s="115" t="s">
        <v>402</v>
      </c>
      <c r="C537" s="142">
        <v>24290.264500000001</v>
      </c>
      <c r="D537" s="111"/>
      <c r="E537" s="111"/>
      <c r="F537" s="267">
        <v>758.9</v>
      </c>
      <c r="G537" s="111">
        <v>15</v>
      </c>
      <c r="H537" s="111">
        <v>28</v>
      </c>
      <c r="I537" s="125"/>
      <c r="J537" s="111"/>
      <c r="K537" s="111">
        <v>847</v>
      </c>
      <c r="L537" s="267">
        <v>1751</v>
      </c>
      <c r="M537" s="111"/>
      <c r="N537" s="125"/>
      <c r="O537" s="111">
        <v>1265</v>
      </c>
      <c r="P537" s="111"/>
      <c r="Q537" s="111"/>
      <c r="R537" s="111"/>
      <c r="S537" s="111">
        <v>14858.926321000001</v>
      </c>
      <c r="T537" s="143">
        <v>2211.62</v>
      </c>
      <c r="U537" s="142">
        <v>990.24199999999996</v>
      </c>
      <c r="V537" s="111">
        <f>1203178.7/1000</f>
        <v>1203.1786999999999</v>
      </c>
      <c r="W537" s="111">
        <f>4063</f>
        <v>4063</v>
      </c>
      <c r="X537" s="111">
        <v>1082</v>
      </c>
      <c r="Y537" s="111">
        <v>27601.062000000002</v>
      </c>
      <c r="Z537" s="111">
        <v>12490</v>
      </c>
      <c r="AA537" s="111">
        <v>62</v>
      </c>
      <c r="AB537" s="111">
        <v>155.5</v>
      </c>
      <c r="AC537" s="111">
        <v>2678</v>
      </c>
      <c r="AD537" s="111">
        <v>7009</v>
      </c>
      <c r="AE537" s="111">
        <v>777</v>
      </c>
      <c r="AF537" s="111"/>
      <c r="AG537" s="111"/>
      <c r="AH537" s="111">
        <v>28256.633000000002</v>
      </c>
      <c r="AI537" s="111">
        <v>11968</v>
      </c>
      <c r="AJ537" s="111"/>
      <c r="AK537" s="111">
        <f>136.572/1.097</f>
        <v>124.49589790337284</v>
      </c>
      <c r="AL537" s="111">
        <v>1348.6830357142858</v>
      </c>
      <c r="AM537" s="645">
        <f t="shared" si="11"/>
        <v>145834.50545461767</v>
      </c>
      <c r="AO537" s="289"/>
    </row>
    <row r="538" spans="1:42" s="61" customFormat="1" ht="21" customHeight="1" x14ac:dyDescent="0.3">
      <c r="A538" s="707"/>
      <c r="B538" s="181" t="s">
        <v>403</v>
      </c>
      <c r="C538" s="144">
        <v>25725.077710000001</v>
      </c>
      <c r="D538" s="112"/>
      <c r="E538" s="112"/>
      <c r="F538" s="268">
        <v>3509.8</v>
      </c>
      <c r="G538" s="112">
        <v>131</v>
      </c>
      <c r="H538" s="112"/>
      <c r="I538" s="126"/>
      <c r="J538" s="112"/>
      <c r="K538" s="112">
        <v>1373</v>
      </c>
      <c r="L538" s="268">
        <v>518.5</v>
      </c>
      <c r="M538" s="112">
        <v>13</v>
      </c>
      <c r="N538" s="126"/>
      <c r="O538" s="112">
        <v>2308</v>
      </c>
      <c r="P538" s="112"/>
      <c r="Q538" s="112"/>
      <c r="R538" s="112"/>
      <c r="S538" s="112">
        <v>17981.069230000001</v>
      </c>
      <c r="T538" s="145">
        <v>3243.06</v>
      </c>
      <c r="U538" s="144">
        <v>3886.9780000000001</v>
      </c>
      <c r="V538" s="112">
        <f>(1381957)/1000-V537</f>
        <v>178.77830000000017</v>
      </c>
      <c r="W538" s="112">
        <f>6761-4063</f>
        <v>2698</v>
      </c>
      <c r="X538" s="112">
        <v>948</v>
      </c>
      <c r="Y538" s="112">
        <v>26880.561000000002</v>
      </c>
      <c r="Z538" s="112">
        <v>13626</v>
      </c>
      <c r="AA538" s="112">
        <v>1207</v>
      </c>
      <c r="AB538" s="112"/>
      <c r="AC538" s="112">
        <v>3071</v>
      </c>
      <c r="AD538" s="112">
        <v>8345</v>
      </c>
      <c r="AE538" s="112">
        <v>26</v>
      </c>
      <c r="AF538" s="112"/>
      <c r="AG538" s="112"/>
      <c r="AH538" s="112">
        <v>28523.712</v>
      </c>
      <c r="AI538" s="112">
        <v>11969</v>
      </c>
      <c r="AJ538" s="112">
        <v>65</v>
      </c>
      <c r="AK538" s="112">
        <f>183.0425/1.001</f>
        <v>182.85964035964037</v>
      </c>
      <c r="AL538" s="112">
        <v>1984</v>
      </c>
      <c r="AM538" s="646">
        <f t="shared" si="11"/>
        <v>158394.39588035963</v>
      </c>
      <c r="AO538" s="289"/>
    </row>
    <row r="539" spans="1:42" s="61" customFormat="1" ht="21" customHeight="1" x14ac:dyDescent="0.3">
      <c r="A539" s="705" t="s">
        <v>161</v>
      </c>
      <c r="B539" s="179" t="s">
        <v>293</v>
      </c>
      <c r="C539" s="135">
        <v>4053.04</v>
      </c>
      <c r="D539" s="136"/>
      <c r="E539" s="136"/>
      <c r="F539" s="262">
        <v>533.66999999999996</v>
      </c>
      <c r="G539" s="136">
        <v>4732</v>
      </c>
      <c r="H539" s="136">
        <v>100</v>
      </c>
      <c r="I539" s="326"/>
      <c r="J539" s="136"/>
      <c r="K539" s="136"/>
      <c r="L539" s="262">
        <v>4017.998</v>
      </c>
      <c r="M539" s="136">
        <v>66.143000000000001</v>
      </c>
      <c r="N539" s="326"/>
      <c r="O539" s="136">
        <v>648.4</v>
      </c>
      <c r="P539" s="136"/>
      <c r="Q539" s="136">
        <v>180</v>
      </c>
      <c r="R539" s="136">
        <v>787.5</v>
      </c>
      <c r="S539" s="136">
        <v>14901.682000000001</v>
      </c>
      <c r="T539" s="137">
        <v>2006.8</v>
      </c>
      <c r="U539" s="632">
        <v>663.32600000000002</v>
      </c>
      <c r="V539" s="122"/>
      <c r="W539" s="122">
        <v>703</v>
      </c>
      <c r="X539" s="122">
        <v>150</v>
      </c>
      <c r="Y539" s="122">
        <v>10711</v>
      </c>
      <c r="Z539" s="122">
        <v>91619</v>
      </c>
      <c r="AA539" s="122">
        <v>1438.8006399999999</v>
      </c>
      <c r="AB539" s="122">
        <v>22</v>
      </c>
      <c r="AC539" s="122">
        <v>1738.847</v>
      </c>
      <c r="AD539" s="122">
        <v>6099</v>
      </c>
      <c r="AE539" s="122"/>
      <c r="AF539" s="122"/>
      <c r="AG539" s="122">
        <v>11.35</v>
      </c>
      <c r="AH539" s="122">
        <v>17340.23</v>
      </c>
      <c r="AI539" s="122">
        <v>3025</v>
      </c>
      <c r="AJ539" s="122">
        <v>228</v>
      </c>
      <c r="AK539" s="122">
        <v>486.42</v>
      </c>
      <c r="AL539" s="122">
        <v>75.559463939597322</v>
      </c>
      <c r="AM539" s="639">
        <f t="shared" si="11"/>
        <v>166338.76610393965</v>
      </c>
      <c r="AO539" s="289"/>
    </row>
    <row r="540" spans="1:42" s="61" customFormat="1" ht="19.5" customHeight="1" x14ac:dyDescent="0.3">
      <c r="A540" s="706"/>
      <c r="B540" s="116" t="s">
        <v>294</v>
      </c>
      <c r="C540" s="138">
        <v>4815.8</v>
      </c>
      <c r="D540" s="109"/>
      <c r="E540" s="109"/>
      <c r="F540" s="263">
        <v>1576.8510000000001</v>
      </c>
      <c r="G540" s="109">
        <v>5901</v>
      </c>
      <c r="H540" s="109">
        <v>930</v>
      </c>
      <c r="I540" s="123"/>
      <c r="J540" s="109"/>
      <c r="K540" s="109"/>
      <c r="L540" s="263">
        <v>4060.97</v>
      </c>
      <c r="M540" s="109">
        <v>99.483999999999995</v>
      </c>
      <c r="N540" s="123">
        <v>59.116999999999997</v>
      </c>
      <c r="O540" s="109">
        <v>642.20000000000005</v>
      </c>
      <c r="P540" s="109"/>
      <c r="Q540" s="109">
        <v>229</v>
      </c>
      <c r="R540" s="109">
        <v>787.5</v>
      </c>
      <c r="S540" s="109">
        <v>18283.045999999998</v>
      </c>
      <c r="T540" s="139">
        <v>3340.13</v>
      </c>
      <c r="U540" s="138">
        <v>1000.48</v>
      </c>
      <c r="V540" s="109">
        <f>467350/1000</f>
        <v>467.35</v>
      </c>
      <c r="W540" s="109"/>
      <c r="X540" s="109">
        <v>201</v>
      </c>
      <c r="Y540" s="109">
        <v>11849</v>
      </c>
      <c r="Z540" s="109">
        <v>50034</v>
      </c>
      <c r="AA540" s="109">
        <v>2061.33376</v>
      </c>
      <c r="AB540" s="109">
        <v>35</v>
      </c>
      <c r="AC540" s="109">
        <v>2222.047</v>
      </c>
      <c r="AD540" s="109">
        <v>3687</v>
      </c>
      <c r="AE540" s="109"/>
      <c r="AF540" s="109"/>
      <c r="AG540" s="109">
        <v>36.016000000000005</v>
      </c>
      <c r="AH540" s="109">
        <v>16358.01</v>
      </c>
      <c r="AI540" s="109">
        <v>2113</v>
      </c>
      <c r="AJ540" s="109">
        <v>263</v>
      </c>
      <c r="AK540" s="109">
        <v>347.45</v>
      </c>
      <c r="AL540" s="109">
        <v>1509.4502</v>
      </c>
      <c r="AM540" s="640">
        <f t="shared" si="11"/>
        <v>132909.23495999997</v>
      </c>
      <c r="AO540" s="289"/>
    </row>
    <row r="541" spans="1:42" s="61" customFormat="1" ht="22.5" customHeight="1" x14ac:dyDescent="0.3">
      <c r="A541" s="706"/>
      <c r="B541" s="117" t="s">
        <v>326</v>
      </c>
      <c r="C541" s="140">
        <v>7827.6769999999997</v>
      </c>
      <c r="D541" s="110"/>
      <c r="E541" s="110"/>
      <c r="F541" s="264">
        <v>8617</v>
      </c>
      <c r="G541" s="110">
        <v>5788</v>
      </c>
      <c r="H541" s="110">
        <v>1209</v>
      </c>
      <c r="I541" s="124"/>
      <c r="J541" s="110"/>
      <c r="K541" s="110">
        <f>344+46</f>
        <v>390</v>
      </c>
      <c r="L541" s="264">
        <v>8141</v>
      </c>
      <c r="M541" s="110">
        <f>382801/1000</f>
        <v>382.80099999999999</v>
      </c>
      <c r="N541" s="124">
        <v>71.213999999999999</v>
      </c>
      <c r="O541" s="110">
        <v>1012</v>
      </c>
      <c r="P541" s="110">
        <v>35</v>
      </c>
      <c r="Q541" s="110">
        <v>340</v>
      </c>
      <c r="R541" s="110">
        <f>+(928+1177)/2</f>
        <v>1052.5</v>
      </c>
      <c r="S541" s="110">
        <v>9616</v>
      </c>
      <c r="T541" s="141"/>
      <c r="U541" s="140">
        <v>1582.7239999999999</v>
      </c>
      <c r="V541" s="110">
        <f>(109404+224886)/1000</f>
        <v>334.29</v>
      </c>
      <c r="W541" s="110"/>
      <c r="X541" s="110">
        <v>301</v>
      </c>
      <c r="Y541" s="110">
        <v>11947</v>
      </c>
      <c r="Z541" s="110">
        <v>57983</v>
      </c>
      <c r="AA541" s="110">
        <v>2474.0849199999998</v>
      </c>
      <c r="AB541" s="110">
        <v>36</v>
      </c>
      <c r="AC541" s="110">
        <v>2396.0529999999999</v>
      </c>
      <c r="AD541" s="110">
        <v>4462</v>
      </c>
      <c r="AE541" s="110"/>
      <c r="AF541" s="110"/>
      <c r="AG541" s="110"/>
      <c r="AH541" s="110">
        <v>25247.984410000001</v>
      </c>
      <c r="AI541" s="110">
        <v>26537</v>
      </c>
      <c r="AJ541" s="110">
        <v>263</v>
      </c>
      <c r="AK541" s="110">
        <f>506+9</f>
        <v>515</v>
      </c>
      <c r="AL541" s="110">
        <v>625.82071496491233</v>
      </c>
      <c r="AM541" s="641">
        <f t="shared" si="11"/>
        <v>179187.1490449649</v>
      </c>
      <c r="AO541" s="289"/>
      <c r="AP541" s="97"/>
    </row>
    <row r="542" spans="1:42" s="61" customFormat="1" ht="25.5" customHeight="1" x14ac:dyDescent="0.3">
      <c r="A542" s="706"/>
      <c r="B542" s="175" t="s">
        <v>327</v>
      </c>
      <c r="C542" s="176">
        <v>12213.651</v>
      </c>
      <c r="D542" s="127"/>
      <c r="E542" s="127"/>
      <c r="F542" s="265">
        <v>3490</v>
      </c>
      <c r="G542" s="127">
        <v>5530</v>
      </c>
      <c r="H542" s="127">
        <v>2175</v>
      </c>
      <c r="I542" s="178"/>
      <c r="J542" s="127"/>
      <c r="K542" s="127">
        <f>486-9</f>
        <v>477</v>
      </c>
      <c r="L542" s="265">
        <v>5550</v>
      </c>
      <c r="M542" s="127">
        <f>103064/1000</f>
        <v>103.06399999999999</v>
      </c>
      <c r="N542" s="178"/>
      <c r="O542" s="127">
        <v>747</v>
      </c>
      <c r="P542" s="127"/>
      <c r="Q542" s="127">
        <v>1032</v>
      </c>
      <c r="R542" s="127">
        <f>+(928+1177)/2</f>
        <v>1052.5</v>
      </c>
      <c r="S542" s="127">
        <v>12540</v>
      </c>
      <c r="T542" s="177"/>
      <c r="U542" s="176">
        <v>3414.5010000000002</v>
      </c>
      <c r="V542" s="127">
        <f>(224973+1020277)/1000-V541</f>
        <v>910.96</v>
      </c>
      <c r="W542" s="127"/>
      <c r="X542" s="127">
        <v>330</v>
      </c>
      <c r="Y542" s="127">
        <v>13550</v>
      </c>
      <c r="Z542" s="127">
        <v>141590</v>
      </c>
      <c r="AA542" s="127">
        <f>1612.1419</f>
        <v>1612.1419000000001</v>
      </c>
      <c r="AB542" s="127">
        <v>39</v>
      </c>
      <c r="AC542" s="127">
        <v>2379.6979999999999</v>
      </c>
      <c r="AD542" s="127">
        <v>10177</v>
      </c>
      <c r="AE542" s="127"/>
      <c r="AF542" s="127"/>
      <c r="AG542" s="127">
        <f>161.7/1.3</f>
        <v>124.38461538461537</v>
      </c>
      <c r="AH542" s="127">
        <v>37571.32</v>
      </c>
      <c r="AI542" s="127">
        <v>14861</v>
      </c>
      <c r="AJ542" s="127">
        <v>293</v>
      </c>
      <c r="AK542" s="127">
        <f>358+4</f>
        <v>362</v>
      </c>
      <c r="AL542" s="127">
        <v>0</v>
      </c>
      <c r="AM542" s="642">
        <f t="shared" si="11"/>
        <v>272125.22051538463</v>
      </c>
      <c r="AO542" s="289"/>
    </row>
    <row r="543" spans="1:42" s="61" customFormat="1" ht="25.5" customHeight="1" x14ac:dyDescent="0.3">
      <c r="A543" s="706"/>
      <c r="B543" s="180" t="s">
        <v>361</v>
      </c>
      <c r="C543" s="300">
        <v>12946.88243</v>
      </c>
      <c r="D543" s="173"/>
      <c r="E543" s="173"/>
      <c r="F543" s="266">
        <v>3994</v>
      </c>
      <c r="G543" s="173">
        <f>4508+334</f>
        <v>4842</v>
      </c>
      <c r="H543" s="173">
        <f>256+387+111+76+303</f>
        <v>1133</v>
      </c>
      <c r="I543" s="174"/>
      <c r="J543" s="173"/>
      <c r="K543" s="173">
        <v>270</v>
      </c>
      <c r="L543" s="266">
        <v>5324</v>
      </c>
      <c r="M543" s="173">
        <v>98.29</v>
      </c>
      <c r="N543" s="174">
        <v>58.024000000000001</v>
      </c>
      <c r="O543" s="173">
        <v>796</v>
      </c>
      <c r="P543" s="173">
        <v>78</v>
      </c>
      <c r="Q543" s="173">
        <v>45</v>
      </c>
      <c r="R543" s="173">
        <v>1018</v>
      </c>
      <c r="S543" s="173">
        <v>22596</v>
      </c>
      <c r="T543" s="327">
        <v>959.1</v>
      </c>
      <c r="U543" s="300">
        <v>5367.098</v>
      </c>
      <c r="V543" s="173">
        <f>(115349+416634)/1000</f>
        <v>531.98299999999995</v>
      </c>
      <c r="W543" s="173">
        <v>14</v>
      </c>
      <c r="X543" s="173">
        <v>522</v>
      </c>
      <c r="Y543" s="173">
        <v>18887</v>
      </c>
      <c r="Z543" s="173">
        <v>82822.358039999992</v>
      </c>
      <c r="AA543" s="173">
        <f>761.63926+1583</f>
        <v>2344.6392599999999</v>
      </c>
      <c r="AB543" s="173">
        <v>861</v>
      </c>
      <c r="AC543" s="173">
        <f>2378+343</f>
        <v>2721</v>
      </c>
      <c r="AD543" s="173">
        <v>11974</v>
      </c>
      <c r="AE543" s="173"/>
      <c r="AF543" s="173"/>
      <c r="AG543" s="173">
        <v>526</v>
      </c>
      <c r="AH543" s="173">
        <v>26632</v>
      </c>
      <c r="AI543" s="173">
        <v>23888.68</v>
      </c>
      <c r="AJ543" s="173">
        <v>274</v>
      </c>
      <c r="AK543" s="173">
        <v>493</v>
      </c>
      <c r="AL543" s="173">
        <v>988.01652892561992</v>
      </c>
      <c r="AM543" s="643">
        <f t="shared" si="11"/>
        <v>233005.0712589256</v>
      </c>
      <c r="AO543" s="289"/>
      <c r="AP543" s="97"/>
    </row>
    <row r="544" spans="1:42" s="61" customFormat="1" ht="25.5" customHeight="1" x14ac:dyDescent="0.3">
      <c r="A544" s="706"/>
      <c r="B544" s="180" t="s">
        <v>362</v>
      </c>
      <c r="C544" s="300">
        <v>11906.34987</v>
      </c>
      <c r="D544" s="173"/>
      <c r="E544" s="173"/>
      <c r="F544" s="266">
        <v>3324</v>
      </c>
      <c r="G544" s="173">
        <f>4654+1384</f>
        <v>6038</v>
      </c>
      <c r="H544" s="173">
        <v>286</v>
      </c>
      <c r="I544" s="174"/>
      <c r="J544" s="173"/>
      <c r="K544" s="173">
        <v>66</v>
      </c>
      <c r="L544" s="266">
        <v>4563</v>
      </c>
      <c r="M544" s="173"/>
      <c r="N544" s="174">
        <v>627.45299999999997</v>
      </c>
      <c r="O544" s="173">
        <v>504</v>
      </c>
      <c r="P544" s="173"/>
      <c r="Q544" s="173"/>
      <c r="R544" s="173">
        <f>1755-R543</f>
        <v>737</v>
      </c>
      <c r="S544" s="173">
        <v>11368</v>
      </c>
      <c r="T544" s="327">
        <v>1074</v>
      </c>
      <c r="U544" s="300">
        <v>5164.7830000000004</v>
      </c>
      <c r="V544" s="173">
        <f>(243977+609576)/1000-V543</f>
        <v>321.57000000000005</v>
      </c>
      <c r="W544" s="173">
        <v>827</v>
      </c>
      <c r="X544" s="173">
        <v>587</v>
      </c>
      <c r="Y544" s="173">
        <v>21140</v>
      </c>
      <c r="Z544" s="173">
        <v>78332.648130000001</v>
      </c>
      <c r="AA544" s="173">
        <f>857.24421+6362</f>
        <v>7219.2442099999998</v>
      </c>
      <c r="AB544" s="173">
        <v>789</v>
      </c>
      <c r="AC544" s="173">
        <f>4727-2378+1151</f>
        <v>3500</v>
      </c>
      <c r="AD544" s="173">
        <v>12770</v>
      </c>
      <c r="AE544" s="173"/>
      <c r="AF544" s="173"/>
      <c r="AG544" s="173">
        <v>440</v>
      </c>
      <c r="AH544" s="173">
        <v>32874</v>
      </c>
      <c r="AI544" s="173">
        <v>15102.32</v>
      </c>
      <c r="AJ544" s="173">
        <v>268</v>
      </c>
      <c r="AK544" s="173">
        <v>1119</v>
      </c>
      <c r="AL544" s="173">
        <v>0</v>
      </c>
      <c r="AM544" s="644">
        <f t="shared" si="11"/>
        <v>220948.36821000002</v>
      </c>
      <c r="AO544" s="289"/>
      <c r="AP544" s="97"/>
    </row>
    <row r="545" spans="1:42" s="61" customFormat="1" ht="22.5" customHeight="1" x14ac:dyDescent="0.3">
      <c r="A545" s="706"/>
      <c r="B545" s="115" t="s">
        <v>402</v>
      </c>
      <c r="C545" s="142">
        <v>16758.490809999999</v>
      </c>
      <c r="D545" s="111"/>
      <c r="E545" s="111">
        <v>19</v>
      </c>
      <c r="F545" s="267">
        <v>6156.3</v>
      </c>
      <c r="G545" s="111">
        <v>1572</v>
      </c>
      <c r="H545" s="111">
        <v>16</v>
      </c>
      <c r="I545" s="125"/>
      <c r="J545" s="111"/>
      <c r="K545" s="111"/>
      <c r="L545" s="267">
        <v>2479</v>
      </c>
      <c r="M545" s="111"/>
      <c r="N545" s="125"/>
      <c r="O545" s="111">
        <v>1172</v>
      </c>
      <c r="P545" s="111"/>
      <c r="Q545" s="111">
        <v>-16</v>
      </c>
      <c r="R545" s="111">
        <v>518</v>
      </c>
      <c r="S545" s="111">
        <v>12456.700782</v>
      </c>
      <c r="T545" s="143">
        <v>2251.46</v>
      </c>
      <c r="U545" s="142">
        <v>7789.6409999999996</v>
      </c>
      <c r="V545" s="111">
        <f>409425/1000</f>
        <v>409.42500000000001</v>
      </c>
      <c r="W545" s="111">
        <f>315</f>
        <v>315</v>
      </c>
      <c r="X545" s="111">
        <v>486</v>
      </c>
      <c r="Y545" s="111">
        <v>23578.963</v>
      </c>
      <c r="Z545" s="111">
        <v>25906</v>
      </c>
      <c r="AA545" s="111">
        <v>2723</v>
      </c>
      <c r="AB545" s="111">
        <v>191.3</v>
      </c>
      <c r="AC545" s="111">
        <v>3607</v>
      </c>
      <c r="AD545" s="111">
        <v>12937</v>
      </c>
      <c r="AE545" s="111">
        <v>155</v>
      </c>
      <c r="AF545" s="111"/>
      <c r="AG545" s="111"/>
      <c r="AH545" s="111">
        <v>40657.517999999996</v>
      </c>
      <c r="AI545" s="111">
        <v>9701</v>
      </c>
      <c r="AJ545" s="111">
        <v>96</v>
      </c>
      <c r="AK545" s="111">
        <f>1007.418/1.097</f>
        <v>918.33910665451231</v>
      </c>
      <c r="AL545" s="111">
        <v>0</v>
      </c>
      <c r="AM545" s="645">
        <f t="shared" si="11"/>
        <v>172854.13769865452</v>
      </c>
      <c r="AO545" s="289"/>
    </row>
    <row r="546" spans="1:42" s="61" customFormat="1" ht="21" customHeight="1" x14ac:dyDescent="0.3">
      <c r="A546" s="707"/>
      <c r="B546" s="181" t="s">
        <v>403</v>
      </c>
      <c r="C546" s="144">
        <v>9754.0139099999997</v>
      </c>
      <c r="D546" s="112"/>
      <c r="E546" s="112"/>
      <c r="F546" s="268">
        <v>1213.3</v>
      </c>
      <c r="G546" s="112">
        <v>1306</v>
      </c>
      <c r="H546" s="112"/>
      <c r="I546" s="126"/>
      <c r="J546" s="112"/>
      <c r="K546" s="112">
        <v>156</v>
      </c>
      <c r="L546" s="268">
        <v>7516.5</v>
      </c>
      <c r="M546" s="112">
        <v>17</v>
      </c>
      <c r="N546" s="126"/>
      <c r="O546" s="112"/>
      <c r="P546" s="112"/>
      <c r="Q546" s="112">
        <v>-23</v>
      </c>
      <c r="R546" s="112">
        <f>1668-R545</f>
        <v>1150</v>
      </c>
      <c r="S546" s="112">
        <v>11962.466597000001</v>
      </c>
      <c r="T546" s="145">
        <v>2897.36</v>
      </c>
      <c r="U546" s="144">
        <v>7077.9610000000002</v>
      </c>
      <c r="V546" s="112">
        <f>(398466+824855+266924)/1000-V545</f>
        <v>1080.82</v>
      </c>
      <c r="W546" s="112"/>
      <c r="X546" s="112">
        <v>254</v>
      </c>
      <c r="Y546" s="112">
        <v>23209.995999999999</v>
      </c>
      <c r="Z546" s="112">
        <v>21660</v>
      </c>
      <c r="AA546" s="112">
        <v>8009</v>
      </c>
      <c r="AB546" s="112">
        <v>697.6</v>
      </c>
      <c r="AC546" s="112">
        <v>3626</v>
      </c>
      <c r="AD546" s="112">
        <v>10820</v>
      </c>
      <c r="AE546" s="112"/>
      <c r="AF546" s="112"/>
      <c r="AG546" s="112"/>
      <c r="AH546" s="112">
        <v>23409.952000000001</v>
      </c>
      <c r="AI546" s="112">
        <v>9701</v>
      </c>
      <c r="AJ546" s="112">
        <v>291</v>
      </c>
      <c r="AK546" s="112">
        <f>928.7165/1.001</f>
        <v>927.7887112887114</v>
      </c>
      <c r="AL546" s="112">
        <v>2683</v>
      </c>
      <c r="AM546" s="646">
        <f t="shared" si="11"/>
        <v>149397.75821828871</v>
      </c>
      <c r="AO546" s="289"/>
    </row>
    <row r="547" spans="1:42" s="61" customFormat="1" ht="21" customHeight="1" x14ac:dyDescent="0.3">
      <c r="A547" s="705" t="s">
        <v>162</v>
      </c>
      <c r="B547" s="179" t="s">
        <v>293</v>
      </c>
      <c r="C547" s="135"/>
      <c r="D547" s="136"/>
      <c r="E547" s="136"/>
      <c r="F547" s="262"/>
      <c r="G547" s="136"/>
      <c r="H547" s="136"/>
      <c r="I547" s="326"/>
      <c r="J547" s="136"/>
      <c r="K547" s="136"/>
      <c r="L547" s="262"/>
      <c r="M547" s="136"/>
      <c r="N547" s="326"/>
      <c r="O547" s="136"/>
      <c r="P547" s="136"/>
      <c r="Q547" s="136"/>
      <c r="R547" s="136"/>
      <c r="S547" s="136"/>
      <c r="T547" s="137"/>
      <c r="U547" s="632"/>
      <c r="V547" s="122"/>
      <c r="W547" s="122"/>
      <c r="X547" s="122"/>
      <c r="Y547" s="122"/>
      <c r="Z547" s="122"/>
      <c r="AA547" s="122"/>
      <c r="AB547" s="122"/>
      <c r="AC547" s="122"/>
      <c r="AD547" s="122"/>
      <c r="AE547" s="122"/>
      <c r="AF547" s="122"/>
      <c r="AG547" s="122">
        <v>1.35</v>
      </c>
      <c r="AH547" s="122"/>
      <c r="AI547" s="122" t="s">
        <v>482</v>
      </c>
      <c r="AJ547" s="122"/>
      <c r="AK547" s="122"/>
      <c r="AL547" s="122"/>
      <c r="AM547" s="639">
        <f t="shared" si="11"/>
        <v>1.35</v>
      </c>
      <c r="AO547" s="289"/>
    </row>
    <row r="548" spans="1:42" s="61" customFormat="1" ht="19.5" customHeight="1" x14ac:dyDescent="0.3">
      <c r="A548" s="706"/>
      <c r="B548" s="116" t="s">
        <v>294</v>
      </c>
      <c r="C548" s="138"/>
      <c r="D548" s="109"/>
      <c r="E548" s="109"/>
      <c r="F548" s="263"/>
      <c r="G548" s="109"/>
      <c r="H548" s="109"/>
      <c r="I548" s="123"/>
      <c r="J548" s="109"/>
      <c r="K548" s="109"/>
      <c r="L548" s="263"/>
      <c r="M548" s="109"/>
      <c r="N548" s="123"/>
      <c r="O548" s="109"/>
      <c r="P548" s="109"/>
      <c r="Q548" s="109"/>
      <c r="R548" s="109"/>
      <c r="S548" s="109"/>
      <c r="T548" s="139"/>
      <c r="U548" s="138"/>
      <c r="V548" s="109"/>
      <c r="W548" s="109"/>
      <c r="X548" s="109"/>
      <c r="Y548" s="109"/>
      <c r="Z548" s="109"/>
      <c r="AA548" s="109"/>
      <c r="AB548" s="109"/>
      <c r="AC548" s="109"/>
      <c r="AD548" s="109"/>
      <c r="AE548" s="109"/>
      <c r="AF548" s="109"/>
      <c r="AG548" s="109">
        <v>1.25</v>
      </c>
      <c r="AH548" s="109"/>
      <c r="AI548" s="109" t="s">
        <v>482</v>
      </c>
      <c r="AJ548" s="109"/>
      <c r="AK548" s="109"/>
      <c r="AL548" s="109"/>
      <c r="AM548" s="640">
        <f t="shared" si="11"/>
        <v>1.25</v>
      </c>
      <c r="AO548" s="289"/>
    </row>
    <row r="549" spans="1:42" s="61" customFormat="1" ht="22.5" customHeight="1" x14ac:dyDescent="0.3">
      <c r="A549" s="706"/>
      <c r="B549" s="117" t="s">
        <v>326</v>
      </c>
      <c r="C549" s="140"/>
      <c r="D549" s="110"/>
      <c r="E549" s="110"/>
      <c r="F549" s="264"/>
      <c r="G549" s="110"/>
      <c r="H549" s="110"/>
      <c r="I549" s="124"/>
      <c r="J549" s="110"/>
      <c r="K549" s="110"/>
      <c r="L549" s="264"/>
      <c r="M549" s="110"/>
      <c r="N549" s="124"/>
      <c r="O549" s="110"/>
      <c r="P549" s="110"/>
      <c r="Q549" s="110"/>
      <c r="R549" s="110"/>
      <c r="S549" s="110"/>
      <c r="T549" s="141"/>
      <c r="U549" s="140"/>
      <c r="V549" s="110"/>
      <c r="W549" s="110"/>
      <c r="X549" s="110"/>
      <c r="Y549" s="110"/>
      <c r="Z549" s="110"/>
      <c r="AA549" s="110"/>
      <c r="AB549" s="110"/>
      <c r="AC549" s="110"/>
      <c r="AD549" s="110"/>
      <c r="AE549" s="110"/>
      <c r="AF549" s="110"/>
      <c r="AG549" s="110"/>
      <c r="AH549" s="110"/>
      <c r="AI549" s="110" t="s">
        <v>482</v>
      </c>
      <c r="AJ549" s="110"/>
      <c r="AK549" s="110"/>
      <c r="AL549" s="110"/>
      <c r="AM549" s="641">
        <f t="shared" si="11"/>
        <v>0</v>
      </c>
      <c r="AO549" s="289"/>
      <c r="AP549" s="97"/>
    </row>
    <row r="550" spans="1:42" s="61" customFormat="1" ht="25.5" customHeight="1" x14ac:dyDescent="0.3">
      <c r="A550" s="706"/>
      <c r="B550" s="175" t="s">
        <v>327</v>
      </c>
      <c r="C550" s="176"/>
      <c r="D550" s="127"/>
      <c r="E550" s="127"/>
      <c r="F550" s="265"/>
      <c r="G550" s="127"/>
      <c r="H550" s="127"/>
      <c r="I550" s="178"/>
      <c r="J550" s="127"/>
      <c r="K550" s="127"/>
      <c r="L550" s="265"/>
      <c r="M550" s="127"/>
      <c r="N550" s="178"/>
      <c r="O550" s="127"/>
      <c r="P550" s="127"/>
      <c r="Q550" s="127"/>
      <c r="R550" s="127"/>
      <c r="S550" s="127"/>
      <c r="T550" s="177"/>
      <c r="U550" s="176"/>
      <c r="V550" s="127"/>
      <c r="W550" s="127"/>
      <c r="X550" s="127"/>
      <c r="Y550" s="127"/>
      <c r="Z550" s="127"/>
      <c r="AA550" s="127"/>
      <c r="AB550" s="127"/>
      <c r="AC550" s="127"/>
      <c r="AD550" s="127"/>
      <c r="AE550" s="127"/>
      <c r="AF550" s="127"/>
      <c r="AG550" s="127"/>
      <c r="AH550" s="127"/>
      <c r="AI550" s="127" t="s">
        <v>482</v>
      </c>
      <c r="AJ550" s="127"/>
      <c r="AK550" s="127"/>
      <c r="AL550" s="127"/>
      <c r="AM550" s="642">
        <f t="shared" si="11"/>
        <v>0</v>
      </c>
      <c r="AO550" s="289"/>
    </row>
    <row r="551" spans="1:42" s="61" customFormat="1" ht="25.5" customHeight="1" x14ac:dyDescent="0.3">
      <c r="A551" s="706"/>
      <c r="B551" s="180" t="s">
        <v>361</v>
      </c>
      <c r="C551" s="300"/>
      <c r="D551" s="173"/>
      <c r="E551" s="173"/>
      <c r="F551" s="266"/>
      <c r="G551" s="173"/>
      <c r="H551" s="173"/>
      <c r="I551" s="174"/>
      <c r="J551" s="173"/>
      <c r="K551" s="173"/>
      <c r="L551" s="266"/>
      <c r="M551" s="173"/>
      <c r="N551" s="174"/>
      <c r="O551" s="173"/>
      <c r="P551" s="173"/>
      <c r="Q551" s="173"/>
      <c r="R551" s="173"/>
      <c r="S551" s="173"/>
      <c r="T551" s="327"/>
      <c r="U551" s="300"/>
      <c r="V551" s="173"/>
      <c r="W551" s="173"/>
      <c r="X551" s="173"/>
      <c r="Y551" s="173"/>
      <c r="Z551" s="173"/>
      <c r="AA551" s="173"/>
      <c r="AB551" s="173"/>
      <c r="AC551" s="173"/>
      <c r="AD551" s="173"/>
      <c r="AE551" s="173"/>
      <c r="AF551" s="173"/>
      <c r="AG551" s="173"/>
      <c r="AH551" s="173"/>
      <c r="AI551" s="173" t="s">
        <v>482</v>
      </c>
      <c r="AJ551" s="173"/>
      <c r="AK551" s="173">
        <v>13</v>
      </c>
      <c r="AL551" s="173"/>
      <c r="AM551" s="643">
        <f t="shared" si="11"/>
        <v>13</v>
      </c>
      <c r="AO551" s="289"/>
      <c r="AP551" s="97"/>
    </row>
    <row r="552" spans="1:42" s="61" customFormat="1" ht="25.5" customHeight="1" x14ac:dyDescent="0.3">
      <c r="A552" s="706"/>
      <c r="B552" s="180" t="s">
        <v>362</v>
      </c>
      <c r="C552" s="300"/>
      <c r="D552" s="173"/>
      <c r="E552" s="173"/>
      <c r="F552" s="266"/>
      <c r="G552" s="173"/>
      <c r="H552" s="173"/>
      <c r="I552" s="174"/>
      <c r="J552" s="173"/>
      <c r="K552" s="173"/>
      <c r="L552" s="266"/>
      <c r="M552" s="173"/>
      <c r="N552" s="174"/>
      <c r="O552" s="173"/>
      <c r="P552" s="173"/>
      <c r="Q552" s="173"/>
      <c r="R552" s="173"/>
      <c r="S552" s="173"/>
      <c r="T552" s="327"/>
      <c r="U552" s="300"/>
      <c r="V552" s="173"/>
      <c r="W552" s="173"/>
      <c r="X552" s="173"/>
      <c r="Y552" s="173"/>
      <c r="Z552" s="173"/>
      <c r="AA552" s="173"/>
      <c r="AB552" s="173"/>
      <c r="AC552" s="173"/>
      <c r="AD552" s="173"/>
      <c r="AE552" s="173"/>
      <c r="AF552" s="173"/>
      <c r="AG552" s="173"/>
      <c r="AH552" s="173"/>
      <c r="AI552" s="173" t="s">
        <v>482</v>
      </c>
      <c r="AJ552" s="173"/>
      <c r="AK552" s="173"/>
      <c r="AL552" s="173"/>
      <c r="AM552" s="644">
        <f t="shared" si="11"/>
        <v>0</v>
      </c>
      <c r="AO552" s="289"/>
      <c r="AP552" s="97"/>
    </row>
    <row r="553" spans="1:42" s="61" customFormat="1" ht="22.5" customHeight="1" x14ac:dyDescent="0.3">
      <c r="A553" s="706"/>
      <c r="B553" s="115" t="s">
        <v>402</v>
      </c>
      <c r="C553" s="142"/>
      <c r="D553" s="111"/>
      <c r="E553" s="111"/>
      <c r="F553" s="267"/>
      <c r="G553" s="111"/>
      <c r="H553" s="111"/>
      <c r="I553" s="125"/>
      <c r="J553" s="111"/>
      <c r="K553" s="111"/>
      <c r="L553" s="267"/>
      <c r="M553" s="111"/>
      <c r="N553" s="125"/>
      <c r="O553" s="111"/>
      <c r="P553" s="111"/>
      <c r="Q553" s="111"/>
      <c r="R553" s="111"/>
      <c r="S553" s="111"/>
      <c r="T553" s="143"/>
      <c r="U553" s="142"/>
      <c r="V553" s="111"/>
      <c r="W553" s="111"/>
      <c r="X553" s="111"/>
      <c r="Y553" s="111"/>
      <c r="Z553" s="111"/>
      <c r="AA553" s="111"/>
      <c r="AB553" s="111"/>
      <c r="AC553" s="111"/>
      <c r="AD553" s="111"/>
      <c r="AE553" s="111"/>
      <c r="AF553" s="111"/>
      <c r="AG553" s="111"/>
      <c r="AH553" s="111" t="s">
        <v>482</v>
      </c>
      <c r="AI553" s="111" t="s">
        <v>482</v>
      </c>
      <c r="AJ553" s="111"/>
      <c r="AK553" s="111"/>
      <c r="AL553" s="111"/>
      <c r="AM553" s="645">
        <f t="shared" si="11"/>
        <v>0</v>
      </c>
      <c r="AO553" s="289"/>
    </row>
    <row r="554" spans="1:42" s="61" customFormat="1" ht="21" customHeight="1" x14ac:dyDescent="0.3">
      <c r="A554" s="707"/>
      <c r="B554" s="181" t="s">
        <v>403</v>
      </c>
      <c r="C554" s="144"/>
      <c r="D554" s="112"/>
      <c r="E554" s="112"/>
      <c r="F554" s="268"/>
      <c r="G554" s="112"/>
      <c r="H554" s="112"/>
      <c r="I554" s="126"/>
      <c r="J554" s="112"/>
      <c r="K554" s="112"/>
      <c r="L554" s="268"/>
      <c r="M554" s="112"/>
      <c r="N554" s="126"/>
      <c r="O554" s="112"/>
      <c r="P554" s="112"/>
      <c r="Q554" s="112"/>
      <c r="R554" s="112"/>
      <c r="S554" s="112">
        <v>-3.8929999999999999E-2</v>
      </c>
      <c r="T554" s="145"/>
      <c r="U554" s="144"/>
      <c r="V554" s="112"/>
      <c r="W554" s="112"/>
      <c r="X554" s="112"/>
      <c r="Y554" s="112"/>
      <c r="Z554" s="112"/>
      <c r="AA554" s="112"/>
      <c r="AB554" s="112"/>
      <c r="AC554" s="112"/>
      <c r="AD554" s="112"/>
      <c r="AE554" s="112"/>
      <c r="AF554" s="112"/>
      <c r="AG554" s="112"/>
      <c r="AH554" s="112" t="s">
        <v>482</v>
      </c>
      <c r="AI554" s="112" t="s">
        <v>482</v>
      </c>
      <c r="AJ554" s="112"/>
      <c r="AK554" s="112"/>
      <c r="AL554" s="112"/>
      <c r="AM554" s="646">
        <f t="shared" si="11"/>
        <v>-3.8929999999999999E-2</v>
      </c>
      <c r="AO554" s="289"/>
    </row>
    <row r="555" spans="1:42" s="61" customFormat="1" ht="21" customHeight="1" x14ac:dyDescent="0.3">
      <c r="A555" s="705" t="s">
        <v>163</v>
      </c>
      <c r="B555" s="179" t="s">
        <v>293</v>
      </c>
      <c r="C555" s="135"/>
      <c r="D555" s="136"/>
      <c r="E555" s="136"/>
      <c r="F555" s="262"/>
      <c r="G555" s="136"/>
      <c r="H555" s="136"/>
      <c r="I555" s="326"/>
      <c r="J555" s="136"/>
      <c r="K555" s="136"/>
      <c r="L555" s="262"/>
      <c r="M555" s="136"/>
      <c r="N555" s="326"/>
      <c r="O555" s="136"/>
      <c r="P555" s="136"/>
      <c r="Q555" s="136"/>
      <c r="R555" s="136"/>
      <c r="S555" s="136"/>
      <c r="T555" s="137"/>
      <c r="U555" s="632"/>
      <c r="V555" s="122"/>
      <c r="W555" s="122"/>
      <c r="X555" s="122"/>
      <c r="Y555" s="122"/>
      <c r="Z555" s="122"/>
      <c r="AA555" s="122"/>
      <c r="AB555" s="122"/>
      <c r="AC555" s="122"/>
      <c r="AD555" s="122"/>
      <c r="AE555" s="122"/>
      <c r="AF555" s="122"/>
      <c r="AG555" s="122">
        <v>0.73499999999999999</v>
      </c>
      <c r="AH555" s="122"/>
      <c r="AI555" s="122" t="s">
        <v>482</v>
      </c>
      <c r="AJ555" s="122"/>
      <c r="AK555" s="122"/>
      <c r="AL555" s="122"/>
      <c r="AM555" s="639">
        <f t="shared" si="11"/>
        <v>0.73499999999999999</v>
      </c>
      <c r="AO555" s="289"/>
    </row>
    <row r="556" spans="1:42" s="61" customFormat="1" ht="19.5" customHeight="1" x14ac:dyDescent="0.3">
      <c r="A556" s="706"/>
      <c r="B556" s="116" t="s">
        <v>294</v>
      </c>
      <c r="C556" s="138"/>
      <c r="D556" s="109"/>
      <c r="E556" s="109"/>
      <c r="F556" s="263"/>
      <c r="G556" s="109"/>
      <c r="H556" s="109"/>
      <c r="I556" s="123"/>
      <c r="J556" s="109"/>
      <c r="K556" s="109"/>
      <c r="L556" s="263"/>
      <c r="M556" s="109"/>
      <c r="N556" s="123"/>
      <c r="O556" s="109"/>
      <c r="P556" s="109"/>
      <c r="Q556" s="109"/>
      <c r="R556" s="109"/>
      <c r="S556" s="109"/>
      <c r="T556" s="139"/>
      <c r="U556" s="138">
        <v>0.57099999999999995</v>
      </c>
      <c r="V556" s="109"/>
      <c r="W556" s="109"/>
      <c r="X556" s="109"/>
      <c r="Y556" s="109"/>
      <c r="Z556" s="109">
        <v>3</v>
      </c>
      <c r="AA556" s="109"/>
      <c r="AB556" s="109"/>
      <c r="AC556" s="109"/>
      <c r="AD556" s="109"/>
      <c r="AE556" s="109"/>
      <c r="AF556" s="109"/>
      <c r="AG556" s="109"/>
      <c r="AH556" s="109"/>
      <c r="AI556" s="109" t="s">
        <v>482</v>
      </c>
      <c r="AJ556" s="109"/>
      <c r="AK556" s="109"/>
      <c r="AL556" s="109"/>
      <c r="AM556" s="640">
        <f t="shared" si="11"/>
        <v>3.5709999999999997</v>
      </c>
      <c r="AO556" s="289"/>
    </row>
    <row r="557" spans="1:42" s="61" customFormat="1" ht="22.5" customHeight="1" x14ac:dyDescent="0.3">
      <c r="A557" s="706"/>
      <c r="B557" s="117" t="s">
        <v>326</v>
      </c>
      <c r="C557" s="140"/>
      <c r="D557" s="110"/>
      <c r="E557" s="110"/>
      <c r="F557" s="264"/>
      <c r="G557" s="110"/>
      <c r="H557" s="110"/>
      <c r="I557" s="124"/>
      <c r="J557" s="110"/>
      <c r="K557" s="110"/>
      <c r="L557" s="264"/>
      <c r="M557" s="110"/>
      <c r="N557" s="124"/>
      <c r="O557" s="110"/>
      <c r="P557" s="110">
        <v>22</v>
      </c>
      <c r="Q557" s="110"/>
      <c r="R557" s="110"/>
      <c r="S557" s="110"/>
      <c r="T557" s="141"/>
      <c r="U557" s="140"/>
      <c r="V557" s="110"/>
      <c r="W557" s="110">
        <v>84</v>
      </c>
      <c r="X557" s="110"/>
      <c r="Y557" s="110"/>
      <c r="Z557" s="110">
        <v>198.5</v>
      </c>
      <c r="AA557" s="110"/>
      <c r="AB557" s="110"/>
      <c r="AC557" s="110"/>
      <c r="AD557" s="110"/>
      <c r="AE557" s="110"/>
      <c r="AF557" s="110"/>
      <c r="AG557" s="110"/>
      <c r="AH557" s="110"/>
      <c r="AI557" s="110" t="s">
        <v>482</v>
      </c>
      <c r="AJ557" s="110"/>
      <c r="AK557" s="110"/>
      <c r="AL557" s="110"/>
      <c r="AM557" s="641">
        <f t="shared" si="11"/>
        <v>304.5</v>
      </c>
      <c r="AO557" s="289"/>
      <c r="AP557" s="97"/>
    </row>
    <row r="558" spans="1:42" s="61" customFormat="1" ht="25.5" customHeight="1" x14ac:dyDescent="0.3">
      <c r="A558" s="706"/>
      <c r="B558" s="175" t="s">
        <v>327</v>
      </c>
      <c r="C558" s="176">
        <v>150.26499999999999</v>
      </c>
      <c r="D558" s="127"/>
      <c r="E558" s="127"/>
      <c r="F558" s="265"/>
      <c r="G558" s="127"/>
      <c r="H558" s="127"/>
      <c r="I558" s="178"/>
      <c r="J558" s="127"/>
      <c r="K558" s="127"/>
      <c r="L558" s="265"/>
      <c r="M558" s="127"/>
      <c r="N558" s="178"/>
      <c r="O558" s="127"/>
      <c r="P558" s="127"/>
      <c r="Q558" s="127"/>
      <c r="R558" s="127"/>
      <c r="S558" s="127">
        <v>531</v>
      </c>
      <c r="T558" s="177"/>
      <c r="U558" s="176">
        <v>0.48</v>
      </c>
      <c r="V558" s="127"/>
      <c r="W558" s="127"/>
      <c r="X558" s="127"/>
      <c r="Y558" s="127"/>
      <c r="Z558" s="127">
        <v>317.65165999999999</v>
      </c>
      <c r="AA558" s="127"/>
      <c r="AB558" s="127"/>
      <c r="AC558" s="127"/>
      <c r="AD558" s="127"/>
      <c r="AE558" s="127"/>
      <c r="AF558" s="127"/>
      <c r="AG558" s="127"/>
      <c r="AH558" s="127"/>
      <c r="AI558" s="127" t="s">
        <v>482</v>
      </c>
      <c r="AJ558" s="127"/>
      <c r="AK558" s="127"/>
      <c r="AL558" s="127"/>
      <c r="AM558" s="642">
        <f t="shared" si="11"/>
        <v>999.39666</v>
      </c>
      <c r="AO558" s="289"/>
    </row>
    <row r="559" spans="1:42" s="61" customFormat="1" ht="25.5" customHeight="1" x14ac:dyDescent="0.3">
      <c r="A559" s="706"/>
      <c r="B559" s="180" t="s">
        <v>361</v>
      </c>
      <c r="C559" s="300">
        <v>12.426969999999999</v>
      </c>
      <c r="D559" s="173"/>
      <c r="E559" s="173"/>
      <c r="F559" s="266">
        <v>1646.77</v>
      </c>
      <c r="G559" s="173">
        <v>12</v>
      </c>
      <c r="H559" s="173"/>
      <c r="I559" s="174"/>
      <c r="J559" s="173"/>
      <c r="K559" s="173"/>
      <c r="L559" s="266"/>
      <c r="M559" s="173"/>
      <c r="N559" s="174"/>
      <c r="O559" s="173"/>
      <c r="P559" s="173"/>
      <c r="Q559" s="173"/>
      <c r="R559" s="173"/>
      <c r="S559" s="173">
        <v>396</v>
      </c>
      <c r="T559" s="327"/>
      <c r="U559" s="300">
        <v>0.27800000000000002</v>
      </c>
      <c r="V559" s="173"/>
      <c r="W559" s="173"/>
      <c r="X559" s="173"/>
      <c r="Y559" s="173"/>
      <c r="Z559" s="173">
        <v>539.24703</v>
      </c>
      <c r="AA559" s="173"/>
      <c r="AB559" s="173"/>
      <c r="AC559" s="173"/>
      <c r="AD559" s="173"/>
      <c r="AE559" s="173"/>
      <c r="AF559" s="173"/>
      <c r="AG559" s="173"/>
      <c r="AH559" s="173"/>
      <c r="AI559" s="173" t="s">
        <v>482</v>
      </c>
      <c r="AJ559" s="173"/>
      <c r="AK559" s="173"/>
      <c r="AL559" s="173"/>
      <c r="AM559" s="643">
        <f t="shared" si="11"/>
        <v>2606.7219999999998</v>
      </c>
      <c r="AO559" s="289"/>
      <c r="AP559" s="97"/>
    </row>
    <row r="560" spans="1:42" s="61" customFormat="1" ht="25.5" customHeight="1" x14ac:dyDescent="0.3">
      <c r="A560" s="706"/>
      <c r="B560" s="180" t="s">
        <v>362</v>
      </c>
      <c r="C560" s="300">
        <v>7.8300600000000005</v>
      </c>
      <c r="D560" s="173"/>
      <c r="E560" s="173"/>
      <c r="F560" s="266"/>
      <c r="G560" s="173"/>
      <c r="H560" s="173"/>
      <c r="I560" s="174"/>
      <c r="J560" s="173"/>
      <c r="K560" s="173"/>
      <c r="L560" s="266"/>
      <c r="M560" s="173"/>
      <c r="N560" s="174"/>
      <c r="O560" s="173"/>
      <c r="P560" s="173"/>
      <c r="Q560" s="173"/>
      <c r="R560" s="173"/>
      <c r="S560" s="173">
        <v>2063</v>
      </c>
      <c r="T560" s="327"/>
      <c r="U560" s="300">
        <v>0.68700000000000006</v>
      </c>
      <c r="V560" s="173"/>
      <c r="W560" s="173"/>
      <c r="X560" s="173"/>
      <c r="Y560" s="173"/>
      <c r="Z560" s="173">
        <v>479.51326</v>
      </c>
      <c r="AA560" s="173"/>
      <c r="AB560" s="173"/>
      <c r="AC560" s="173"/>
      <c r="AD560" s="173"/>
      <c r="AE560" s="173"/>
      <c r="AF560" s="173"/>
      <c r="AG560" s="173"/>
      <c r="AH560" s="173"/>
      <c r="AI560" s="173" t="s">
        <v>482</v>
      </c>
      <c r="AJ560" s="173"/>
      <c r="AK560" s="173"/>
      <c r="AL560" s="173"/>
      <c r="AM560" s="644">
        <f t="shared" si="11"/>
        <v>2551.0303199999998</v>
      </c>
      <c r="AO560" s="289"/>
      <c r="AP560" s="97"/>
    </row>
    <row r="561" spans="1:42" s="61" customFormat="1" ht="22.5" customHeight="1" x14ac:dyDescent="0.3">
      <c r="A561" s="706"/>
      <c r="B561" s="115" t="s">
        <v>402</v>
      </c>
      <c r="C561" s="142"/>
      <c r="D561" s="111"/>
      <c r="E561" s="111"/>
      <c r="F561" s="267">
        <v>1465.9</v>
      </c>
      <c r="G561" s="111"/>
      <c r="H561" s="111">
        <v>798</v>
      </c>
      <c r="I561" s="125"/>
      <c r="J561" s="111"/>
      <c r="K561" s="111"/>
      <c r="L561" s="267"/>
      <c r="M561" s="111"/>
      <c r="N561" s="125"/>
      <c r="O561" s="111"/>
      <c r="P561" s="111"/>
      <c r="Q561" s="111"/>
      <c r="R561" s="111"/>
      <c r="S561" s="111">
        <v>367.85112300000003</v>
      </c>
      <c r="T561" s="143"/>
      <c r="U561" s="142">
        <v>0.39800000000000002</v>
      </c>
      <c r="V561" s="111"/>
      <c r="W561" s="111">
        <v>107</v>
      </c>
      <c r="X561" s="111"/>
      <c r="Y561" s="111"/>
      <c r="Z561" s="111">
        <v>206</v>
      </c>
      <c r="AA561" s="111"/>
      <c r="AB561" s="111"/>
      <c r="AC561" s="111"/>
      <c r="AD561" s="111"/>
      <c r="AE561" s="111"/>
      <c r="AF561" s="111"/>
      <c r="AG561" s="111"/>
      <c r="AH561" s="111" t="s">
        <v>482</v>
      </c>
      <c r="AI561" s="111">
        <v>208</v>
      </c>
      <c r="AJ561" s="111"/>
      <c r="AK561" s="111"/>
      <c r="AL561" s="111"/>
      <c r="AM561" s="645">
        <f t="shared" si="11"/>
        <v>3153.1491230000001</v>
      </c>
      <c r="AO561" s="289"/>
    </row>
    <row r="562" spans="1:42" s="61" customFormat="1" ht="21" customHeight="1" x14ac:dyDescent="0.3">
      <c r="A562" s="707"/>
      <c r="B562" s="181" t="s">
        <v>403</v>
      </c>
      <c r="C562" s="144"/>
      <c r="D562" s="112"/>
      <c r="E562" s="112"/>
      <c r="F562" s="268">
        <v>1115</v>
      </c>
      <c r="G562" s="112"/>
      <c r="H562" s="112">
        <v>799.97500000000002</v>
      </c>
      <c r="I562" s="126"/>
      <c r="J562" s="112"/>
      <c r="K562" s="112"/>
      <c r="L562" s="268"/>
      <c r="M562" s="112"/>
      <c r="N562" s="126"/>
      <c r="O562" s="112"/>
      <c r="P562" s="112"/>
      <c r="Q562" s="112"/>
      <c r="R562" s="112"/>
      <c r="S562" s="112">
        <v>392.155911</v>
      </c>
      <c r="T562" s="145"/>
      <c r="U562" s="144"/>
      <c r="V562" s="112"/>
      <c r="W562" s="112">
        <f>268-107</f>
        <v>161</v>
      </c>
      <c r="X562" s="112"/>
      <c r="Y562" s="112"/>
      <c r="Z562" s="112">
        <v>210</v>
      </c>
      <c r="AA562" s="112"/>
      <c r="AB562" s="112"/>
      <c r="AC562" s="112"/>
      <c r="AD562" s="112"/>
      <c r="AE562" s="112"/>
      <c r="AF562" s="112"/>
      <c r="AG562" s="112"/>
      <c r="AH562" s="112" t="s">
        <v>482</v>
      </c>
      <c r="AI562" s="112">
        <v>209</v>
      </c>
      <c r="AJ562" s="112"/>
      <c r="AK562" s="112"/>
      <c r="AL562" s="112"/>
      <c r="AM562" s="646">
        <f t="shared" si="11"/>
        <v>2887.1309109999997</v>
      </c>
      <c r="AO562" s="289"/>
    </row>
    <row r="563" spans="1:42" s="61" customFormat="1" ht="21" customHeight="1" x14ac:dyDescent="0.3">
      <c r="A563" s="705" t="s">
        <v>164</v>
      </c>
      <c r="B563" s="179" t="s">
        <v>293</v>
      </c>
      <c r="C563" s="135"/>
      <c r="D563" s="136"/>
      <c r="E563" s="136"/>
      <c r="F563" s="262"/>
      <c r="G563" s="136"/>
      <c r="H563" s="136"/>
      <c r="I563" s="326"/>
      <c r="J563" s="136"/>
      <c r="K563" s="136"/>
      <c r="L563" s="262"/>
      <c r="M563" s="136"/>
      <c r="N563" s="326"/>
      <c r="O563" s="136"/>
      <c r="P563" s="136"/>
      <c r="Q563" s="136"/>
      <c r="R563" s="136"/>
      <c r="S563" s="136"/>
      <c r="T563" s="137"/>
      <c r="U563" s="632">
        <v>366.68</v>
      </c>
      <c r="V563" s="122"/>
      <c r="W563" s="122"/>
      <c r="X563" s="122"/>
      <c r="Y563" s="122"/>
      <c r="Z563" s="122">
        <v>11</v>
      </c>
      <c r="AA563" s="122"/>
      <c r="AB563" s="122"/>
      <c r="AC563" s="122"/>
      <c r="AD563" s="122"/>
      <c r="AE563" s="122"/>
      <c r="AF563" s="122"/>
      <c r="AG563" s="122"/>
      <c r="AH563" s="122"/>
      <c r="AI563" s="122" t="s">
        <v>482</v>
      </c>
      <c r="AJ563" s="122"/>
      <c r="AK563" s="122"/>
      <c r="AL563" s="122"/>
      <c r="AM563" s="639">
        <f t="shared" si="11"/>
        <v>377.68</v>
      </c>
      <c r="AO563" s="289"/>
    </row>
    <row r="564" spans="1:42" s="61" customFormat="1" ht="19.5" customHeight="1" x14ac:dyDescent="0.3">
      <c r="A564" s="706"/>
      <c r="B564" s="116" t="s">
        <v>294</v>
      </c>
      <c r="C564" s="138"/>
      <c r="D564" s="109"/>
      <c r="E564" s="109"/>
      <c r="F564" s="263"/>
      <c r="G564" s="109"/>
      <c r="H564" s="109"/>
      <c r="I564" s="123"/>
      <c r="J564" s="109"/>
      <c r="K564" s="109"/>
      <c r="L564" s="263"/>
      <c r="M564" s="109"/>
      <c r="N564" s="123"/>
      <c r="O564" s="109"/>
      <c r="P564" s="109"/>
      <c r="Q564" s="109"/>
      <c r="R564" s="109"/>
      <c r="S564" s="109"/>
      <c r="T564" s="139"/>
      <c r="U564" s="138">
        <v>499.97500000000002</v>
      </c>
      <c r="V564" s="109"/>
      <c r="W564" s="109"/>
      <c r="X564" s="109"/>
      <c r="Y564" s="109"/>
      <c r="Z564" s="109"/>
      <c r="AA564" s="109"/>
      <c r="AB564" s="109"/>
      <c r="AC564" s="109"/>
      <c r="AD564" s="109"/>
      <c r="AE564" s="109"/>
      <c r="AF564" s="109"/>
      <c r="AG564" s="109"/>
      <c r="AH564" s="109"/>
      <c r="AI564" s="109" t="s">
        <v>482</v>
      </c>
      <c r="AJ564" s="109"/>
      <c r="AK564" s="109"/>
      <c r="AL564" s="109"/>
      <c r="AM564" s="640">
        <f t="shared" si="11"/>
        <v>499.97500000000002</v>
      </c>
      <c r="AO564" s="289"/>
    </row>
    <row r="565" spans="1:42" s="61" customFormat="1" ht="22.5" customHeight="1" x14ac:dyDescent="0.3">
      <c r="A565" s="706"/>
      <c r="B565" s="117" t="s">
        <v>326</v>
      </c>
      <c r="C565" s="140"/>
      <c r="D565" s="110"/>
      <c r="E565" s="110"/>
      <c r="F565" s="264"/>
      <c r="G565" s="110"/>
      <c r="H565" s="110"/>
      <c r="I565" s="124"/>
      <c r="J565" s="110"/>
      <c r="K565" s="110"/>
      <c r="L565" s="264"/>
      <c r="M565" s="110"/>
      <c r="N565" s="124"/>
      <c r="O565" s="110"/>
      <c r="P565" s="110"/>
      <c r="Q565" s="110"/>
      <c r="R565" s="110"/>
      <c r="S565" s="110"/>
      <c r="T565" s="141"/>
      <c r="U565" s="140">
        <v>308.7</v>
      </c>
      <c r="V565" s="110"/>
      <c r="W565" s="110"/>
      <c r="X565" s="110"/>
      <c r="Y565" s="110"/>
      <c r="Z565" s="110"/>
      <c r="AA565" s="110"/>
      <c r="AB565" s="110"/>
      <c r="AC565" s="110"/>
      <c r="AD565" s="110"/>
      <c r="AE565" s="110"/>
      <c r="AF565" s="110"/>
      <c r="AG565" s="110"/>
      <c r="AH565" s="110"/>
      <c r="AI565" s="110" t="s">
        <v>482</v>
      </c>
      <c r="AJ565" s="110"/>
      <c r="AK565" s="110"/>
      <c r="AL565" s="110"/>
      <c r="AM565" s="641">
        <f t="shared" si="11"/>
        <v>308.7</v>
      </c>
      <c r="AO565" s="289"/>
      <c r="AP565" s="97"/>
    </row>
    <row r="566" spans="1:42" s="61" customFormat="1" ht="25.5" customHeight="1" x14ac:dyDescent="0.3">
      <c r="A566" s="706"/>
      <c r="B566" s="175" t="s">
        <v>327</v>
      </c>
      <c r="C566" s="176"/>
      <c r="D566" s="127"/>
      <c r="E566" s="127"/>
      <c r="F566" s="265"/>
      <c r="G566" s="127"/>
      <c r="H566" s="127">
        <v>488</v>
      </c>
      <c r="I566" s="178"/>
      <c r="J566" s="127"/>
      <c r="K566" s="127"/>
      <c r="L566" s="265"/>
      <c r="M566" s="127"/>
      <c r="N566" s="178"/>
      <c r="O566" s="127"/>
      <c r="P566" s="127"/>
      <c r="Q566" s="127"/>
      <c r="R566" s="127"/>
      <c r="S566" s="127">
        <v>7</v>
      </c>
      <c r="T566" s="177"/>
      <c r="U566" s="176"/>
      <c r="V566" s="127"/>
      <c r="W566" s="127"/>
      <c r="X566" s="127"/>
      <c r="Y566" s="127"/>
      <c r="Z566" s="127">
        <v>112</v>
      </c>
      <c r="AA566" s="127"/>
      <c r="AB566" s="127"/>
      <c r="AC566" s="127"/>
      <c r="AD566" s="127"/>
      <c r="AE566" s="127"/>
      <c r="AF566" s="127"/>
      <c r="AG566" s="127"/>
      <c r="AH566" s="127"/>
      <c r="AI566" s="127" t="s">
        <v>482</v>
      </c>
      <c r="AJ566" s="127"/>
      <c r="AK566" s="127"/>
      <c r="AL566" s="127"/>
      <c r="AM566" s="642">
        <f t="shared" si="11"/>
        <v>607</v>
      </c>
      <c r="AO566" s="289"/>
    </row>
    <row r="567" spans="1:42" s="61" customFormat="1" ht="25.5" customHeight="1" x14ac:dyDescent="0.3">
      <c r="A567" s="706"/>
      <c r="B567" s="180" t="s">
        <v>361</v>
      </c>
      <c r="C567" s="300"/>
      <c r="D567" s="173"/>
      <c r="E567" s="173"/>
      <c r="G567" s="173"/>
      <c r="H567" s="173"/>
      <c r="I567" s="174"/>
      <c r="J567" s="173"/>
      <c r="K567" s="173"/>
      <c r="L567" s="266"/>
      <c r="M567" s="173"/>
      <c r="N567" s="174"/>
      <c r="O567" s="173"/>
      <c r="P567" s="173"/>
      <c r="Q567" s="173"/>
      <c r="R567" s="173"/>
      <c r="S567" s="173">
        <v>35</v>
      </c>
      <c r="T567" s="327"/>
      <c r="U567" s="300">
        <v>114.85</v>
      </c>
      <c r="V567" s="173"/>
      <c r="W567" s="173"/>
      <c r="X567" s="173"/>
      <c r="Y567" s="173"/>
      <c r="Z567" s="173"/>
      <c r="AA567" s="173"/>
      <c r="AB567" s="173"/>
      <c r="AC567" s="173"/>
      <c r="AD567" s="173"/>
      <c r="AE567" s="173"/>
      <c r="AF567" s="173"/>
      <c r="AG567" s="173"/>
      <c r="AH567" s="173"/>
      <c r="AI567" s="173" t="s">
        <v>482</v>
      </c>
      <c r="AJ567" s="173"/>
      <c r="AK567" s="173"/>
      <c r="AL567" s="173"/>
      <c r="AM567" s="643">
        <f t="shared" si="11"/>
        <v>149.85</v>
      </c>
      <c r="AO567" s="289"/>
      <c r="AP567" s="97"/>
    </row>
    <row r="568" spans="1:42" s="61" customFormat="1" ht="25.5" customHeight="1" x14ac:dyDescent="0.3">
      <c r="A568" s="706"/>
      <c r="B568" s="180" t="s">
        <v>362</v>
      </c>
      <c r="C568" s="300"/>
      <c r="D568" s="173"/>
      <c r="E568" s="173"/>
      <c r="F568" s="266"/>
      <c r="G568" s="173"/>
      <c r="H568" s="173"/>
      <c r="I568" s="174"/>
      <c r="J568" s="173"/>
      <c r="K568" s="173"/>
      <c r="L568" s="266"/>
      <c r="M568" s="173"/>
      <c r="N568" s="174"/>
      <c r="O568" s="173"/>
      <c r="P568" s="173"/>
      <c r="Q568" s="173"/>
      <c r="R568" s="173"/>
      <c r="S568" s="173">
        <v>143</v>
      </c>
      <c r="T568" s="327"/>
      <c r="U568" s="300">
        <v>1.2370000000000001</v>
      </c>
      <c r="V568" s="173"/>
      <c r="W568" s="173"/>
      <c r="X568" s="173"/>
      <c r="Y568" s="173"/>
      <c r="Z568" s="173"/>
      <c r="AA568" s="173"/>
      <c r="AB568" s="173"/>
      <c r="AC568" s="173"/>
      <c r="AD568" s="173"/>
      <c r="AE568" s="173"/>
      <c r="AF568" s="173"/>
      <c r="AG568" s="173"/>
      <c r="AH568" s="173"/>
      <c r="AI568" s="173" t="s">
        <v>482</v>
      </c>
      <c r="AJ568" s="173"/>
      <c r="AK568" s="173"/>
      <c r="AL568" s="173"/>
      <c r="AM568" s="644">
        <f t="shared" si="11"/>
        <v>144.23699999999999</v>
      </c>
      <c r="AO568" s="289"/>
      <c r="AP568" s="97"/>
    </row>
    <row r="569" spans="1:42" s="61" customFormat="1" ht="22.5" customHeight="1" x14ac:dyDescent="0.3">
      <c r="A569" s="706"/>
      <c r="B569" s="115" t="s">
        <v>402</v>
      </c>
      <c r="C569" s="142"/>
      <c r="D569" s="111"/>
      <c r="E569" s="111"/>
      <c r="F569" s="267"/>
      <c r="G569" s="111"/>
      <c r="H569" s="111"/>
      <c r="I569" s="125"/>
      <c r="J569" s="111"/>
      <c r="K569" s="111"/>
      <c r="L569" s="267"/>
      <c r="M569" s="111"/>
      <c r="N569" s="125"/>
      <c r="O569" s="111"/>
      <c r="P569" s="111">
        <v>12</v>
      </c>
      <c r="Q569" s="111"/>
      <c r="R569" s="111"/>
      <c r="S569" s="111">
        <v>0</v>
      </c>
      <c r="T569" s="143">
        <v>0</v>
      </c>
      <c r="U569" s="142">
        <v>2.5</v>
      </c>
      <c r="V569" s="111"/>
      <c r="W569" s="111"/>
      <c r="X569" s="111"/>
      <c r="Y569" s="111"/>
      <c r="Z569" s="111"/>
      <c r="AA569" s="111"/>
      <c r="AB569" s="111"/>
      <c r="AC569" s="111"/>
      <c r="AD569" s="111"/>
      <c r="AE569" s="111"/>
      <c r="AF569" s="111"/>
      <c r="AG569" s="111"/>
      <c r="AH569" s="111" t="s">
        <v>482</v>
      </c>
      <c r="AI569" s="111" t="s">
        <v>482</v>
      </c>
      <c r="AJ569" s="111"/>
      <c r="AK569" s="111"/>
      <c r="AL569" s="111"/>
      <c r="AM569" s="645">
        <f t="shared" si="11"/>
        <v>14.5</v>
      </c>
      <c r="AO569" s="289"/>
    </row>
    <row r="570" spans="1:42" s="61" customFormat="1" ht="21" customHeight="1" x14ac:dyDescent="0.3">
      <c r="A570" s="707"/>
      <c r="B570" s="181" t="s">
        <v>403</v>
      </c>
      <c r="C570" s="144">
        <v>184.755</v>
      </c>
      <c r="D570" s="112"/>
      <c r="E570" s="112"/>
      <c r="F570" s="268"/>
      <c r="G570" s="112"/>
      <c r="H570" s="112"/>
      <c r="I570" s="126"/>
      <c r="J570" s="112"/>
      <c r="K570" s="112"/>
      <c r="L570" s="268"/>
      <c r="M570" s="112"/>
      <c r="N570" s="126"/>
      <c r="O570" s="112"/>
      <c r="P570" s="112">
        <v>41</v>
      </c>
      <c r="Q570" s="112"/>
      <c r="R570" s="112"/>
      <c r="S570" s="112">
        <v>-0.37368299999999999</v>
      </c>
      <c r="T570" s="145">
        <v>0</v>
      </c>
      <c r="U570" s="144"/>
      <c r="V570" s="112"/>
      <c r="W570" s="112"/>
      <c r="X570" s="112"/>
      <c r="Y570" s="112"/>
      <c r="Z570" s="112"/>
      <c r="AA570" s="112"/>
      <c r="AB570" s="112"/>
      <c r="AC570" s="112"/>
      <c r="AD570" s="112"/>
      <c r="AE570" s="112"/>
      <c r="AF570" s="112"/>
      <c r="AG570" s="112"/>
      <c r="AH570" s="112" t="s">
        <v>482</v>
      </c>
      <c r="AI570" s="112" t="s">
        <v>482</v>
      </c>
      <c r="AJ570" s="112"/>
      <c r="AK570" s="112"/>
      <c r="AL570" s="112"/>
      <c r="AM570" s="646">
        <f t="shared" si="11"/>
        <v>225.381317</v>
      </c>
      <c r="AO570" s="289"/>
    </row>
    <row r="571" spans="1:42" s="61" customFormat="1" ht="21" customHeight="1" x14ac:dyDescent="0.3">
      <c r="A571" s="705" t="s">
        <v>165</v>
      </c>
      <c r="B571" s="179" t="s">
        <v>293</v>
      </c>
      <c r="C571" s="135">
        <v>7.5</v>
      </c>
      <c r="D571" s="136"/>
      <c r="E571" s="136"/>
      <c r="F571" s="262"/>
      <c r="G571" s="136"/>
      <c r="H571" s="136"/>
      <c r="I571" s="326"/>
      <c r="J571" s="136"/>
      <c r="K571" s="136"/>
      <c r="L571" s="262"/>
      <c r="M571" s="136"/>
      <c r="N571" s="326"/>
      <c r="O571" s="136"/>
      <c r="P571" s="136"/>
      <c r="Q571" s="136"/>
      <c r="R571" s="136"/>
      <c r="S571" s="136"/>
      <c r="T571" s="137"/>
      <c r="U571" s="632"/>
      <c r="V571" s="122"/>
      <c r="W571" s="122"/>
      <c r="X571" s="122"/>
      <c r="Y571" s="122"/>
      <c r="Z571" s="122"/>
      <c r="AA571" s="122"/>
      <c r="AB571" s="122"/>
      <c r="AC571" s="122"/>
      <c r="AD571" s="122"/>
      <c r="AE571" s="122"/>
      <c r="AF571" s="122"/>
      <c r="AG571" s="122"/>
      <c r="AH571" s="122"/>
      <c r="AI571" s="122" t="s">
        <v>482</v>
      </c>
      <c r="AJ571" s="122"/>
      <c r="AK571" s="122"/>
      <c r="AL571" s="122"/>
      <c r="AM571" s="639">
        <f t="shared" si="11"/>
        <v>7.5</v>
      </c>
      <c r="AO571" s="289"/>
    </row>
    <row r="572" spans="1:42" s="61" customFormat="1" ht="19.5" customHeight="1" x14ac:dyDescent="0.3">
      <c r="A572" s="706"/>
      <c r="B572" s="116" t="s">
        <v>294</v>
      </c>
      <c r="C572" s="138">
        <v>3.75</v>
      </c>
      <c r="D572" s="109"/>
      <c r="E572" s="109"/>
      <c r="F572" s="263"/>
      <c r="G572" s="109"/>
      <c r="H572" s="109"/>
      <c r="I572" s="123"/>
      <c r="J572" s="109"/>
      <c r="K572" s="109"/>
      <c r="L572" s="263"/>
      <c r="M572" s="109"/>
      <c r="N572" s="123"/>
      <c r="O572" s="109"/>
      <c r="P572" s="109"/>
      <c r="Q572" s="109"/>
      <c r="R572" s="109"/>
      <c r="S572" s="109"/>
      <c r="T572" s="139"/>
      <c r="U572" s="138"/>
      <c r="V572" s="109"/>
      <c r="W572" s="109"/>
      <c r="X572" s="109"/>
      <c r="Y572" s="109"/>
      <c r="Z572" s="109"/>
      <c r="AA572" s="109"/>
      <c r="AB572" s="109"/>
      <c r="AC572" s="109"/>
      <c r="AD572" s="109"/>
      <c r="AE572" s="109"/>
      <c r="AF572" s="109"/>
      <c r="AG572" s="109"/>
      <c r="AH572" s="109"/>
      <c r="AI572" s="109" t="s">
        <v>482</v>
      </c>
      <c r="AJ572" s="109"/>
      <c r="AK572" s="109"/>
      <c r="AL572" s="109"/>
      <c r="AM572" s="640">
        <f t="shared" si="11"/>
        <v>3.75</v>
      </c>
      <c r="AO572" s="289"/>
    </row>
    <row r="573" spans="1:42" s="61" customFormat="1" ht="22.5" customHeight="1" x14ac:dyDescent="0.3">
      <c r="A573" s="706"/>
      <c r="B573" s="117" t="s">
        <v>326</v>
      </c>
      <c r="C573" s="140">
        <v>81.245000000000005</v>
      </c>
      <c r="D573" s="110"/>
      <c r="E573" s="110"/>
      <c r="F573" s="264"/>
      <c r="G573" s="110"/>
      <c r="H573" s="110"/>
      <c r="I573" s="124"/>
      <c r="J573" s="110"/>
      <c r="K573" s="110"/>
      <c r="L573" s="264"/>
      <c r="M573" s="110"/>
      <c r="N573" s="124"/>
      <c r="O573" s="110"/>
      <c r="P573" s="110"/>
      <c r="Q573" s="110"/>
      <c r="R573" s="110"/>
      <c r="S573" s="110">
        <v>3650</v>
      </c>
      <c r="T573" s="141"/>
      <c r="U573" s="140"/>
      <c r="V573" s="110"/>
      <c r="W573" s="110"/>
      <c r="X573" s="110"/>
      <c r="Y573" s="110"/>
      <c r="Z573" s="110">
        <v>2</v>
      </c>
      <c r="AA573" s="110"/>
      <c r="AB573" s="110"/>
      <c r="AC573" s="110"/>
      <c r="AD573" s="110"/>
      <c r="AE573" s="110"/>
      <c r="AF573" s="110"/>
      <c r="AG573" s="110"/>
      <c r="AH573" s="110"/>
      <c r="AI573" s="110" t="s">
        <v>482</v>
      </c>
      <c r="AJ573" s="110"/>
      <c r="AK573" s="110"/>
      <c r="AL573" s="110"/>
      <c r="AM573" s="641">
        <f t="shared" si="11"/>
        <v>3733.2449999999999</v>
      </c>
      <c r="AO573" s="289"/>
      <c r="AP573" s="97"/>
    </row>
    <row r="574" spans="1:42" s="61" customFormat="1" ht="25.5" customHeight="1" x14ac:dyDescent="0.3">
      <c r="A574" s="706"/>
      <c r="B574" s="175" t="s">
        <v>327</v>
      </c>
      <c r="C574" s="176">
        <v>20</v>
      </c>
      <c r="D574" s="127"/>
      <c r="E574" s="127"/>
      <c r="F574" s="265"/>
      <c r="G574" s="127"/>
      <c r="H574" s="127"/>
      <c r="I574" s="178"/>
      <c r="J574" s="127"/>
      <c r="K574" s="127"/>
      <c r="L574" s="265"/>
      <c r="M574" s="127"/>
      <c r="N574" s="178"/>
      <c r="O574" s="127"/>
      <c r="P574" s="127"/>
      <c r="Q574" s="127"/>
      <c r="R574" s="127"/>
      <c r="S574" s="127">
        <v>3357</v>
      </c>
      <c r="T574" s="177"/>
      <c r="U574" s="176"/>
      <c r="V574" s="127"/>
      <c r="W574" s="127"/>
      <c r="X574" s="127"/>
      <c r="Y574" s="127"/>
      <c r="Z574" s="127">
        <v>54.347819999999999</v>
      </c>
      <c r="AA574" s="127"/>
      <c r="AB574" s="127"/>
      <c r="AC574" s="127"/>
      <c r="AD574" s="127"/>
      <c r="AE574" s="127"/>
      <c r="AF574" s="127"/>
      <c r="AG574" s="127"/>
      <c r="AH574" s="127">
        <v>108.65</v>
      </c>
      <c r="AI574" s="127" t="s">
        <v>482</v>
      </c>
      <c r="AJ574" s="127"/>
      <c r="AK574" s="127"/>
      <c r="AL574" s="127"/>
      <c r="AM574" s="642">
        <f t="shared" si="11"/>
        <v>3539.99782</v>
      </c>
      <c r="AO574" s="289"/>
    </row>
    <row r="575" spans="1:42" s="61" customFormat="1" ht="25.5" customHeight="1" x14ac:dyDescent="0.3">
      <c r="A575" s="706"/>
      <c r="B575" s="180" t="s">
        <v>361</v>
      </c>
      <c r="C575" s="300">
        <v>47.514470000000003</v>
      </c>
      <c r="D575" s="173"/>
      <c r="E575" s="173"/>
      <c r="F575" s="266"/>
      <c r="G575" s="173"/>
      <c r="H575" s="173"/>
      <c r="I575" s="174"/>
      <c r="J575" s="173"/>
      <c r="K575" s="173"/>
      <c r="L575" s="266"/>
      <c r="M575" s="173"/>
      <c r="N575" s="174"/>
      <c r="O575" s="173"/>
      <c r="P575" s="173"/>
      <c r="Q575" s="173"/>
      <c r="R575" s="173"/>
      <c r="S575" s="173">
        <v>4724</v>
      </c>
      <c r="T575" s="327"/>
      <c r="U575" s="300"/>
      <c r="V575" s="173"/>
      <c r="W575" s="173">
        <v>166</v>
      </c>
      <c r="X575" s="173"/>
      <c r="Y575" s="173"/>
      <c r="Z575" s="173">
        <v>1.9989000000000001</v>
      </c>
      <c r="AA575" s="173"/>
      <c r="AB575" s="173"/>
      <c r="AC575" s="173"/>
      <c r="AD575" s="173"/>
      <c r="AE575" s="173"/>
      <c r="AF575" s="173"/>
      <c r="AG575" s="173"/>
      <c r="AH575" s="173"/>
      <c r="AI575" s="173" t="s">
        <v>482</v>
      </c>
      <c r="AJ575" s="173"/>
      <c r="AK575" s="173"/>
      <c r="AL575" s="173"/>
      <c r="AM575" s="643">
        <f t="shared" si="11"/>
        <v>4939.5133699999997</v>
      </c>
      <c r="AO575" s="289"/>
      <c r="AP575" s="97"/>
    </row>
    <row r="576" spans="1:42" s="61" customFormat="1" ht="25.5" customHeight="1" x14ac:dyDescent="0.3">
      <c r="A576" s="706"/>
      <c r="B576" s="180" t="s">
        <v>362</v>
      </c>
      <c r="C576" s="300">
        <v>539.49573999999996</v>
      </c>
      <c r="D576" s="173"/>
      <c r="E576" s="173"/>
      <c r="F576" s="266"/>
      <c r="G576" s="173"/>
      <c r="H576" s="173"/>
      <c r="I576" s="174"/>
      <c r="J576" s="173"/>
      <c r="K576" s="173"/>
      <c r="L576" s="266"/>
      <c r="M576" s="173"/>
      <c r="N576" s="174"/>
      <c r="O576" s="173"/>
      <c r="P576" s="173"/>
      <c r="Q576" s="173"/>
      <c r="R576" s="173"/>
      <c r="S576" s="173">
        <v>1848</v>
      </c>
      <c r="T576" s="327"/>
      <c r="U576" s="300"/>
      <c r="V576" s="173"/>
      <c r="W576" s="173">
        <v>221</v>
      </c>
      <c r="X576" s="173"/>
      <c r="Y576" s="173"/>
      <c r="Z576" s="173">
        <v>2.0455199999999998</v>
      </c>
      <c r="AA576" s="173"/>
      <c r="AB576" s="173"/>
      <c r="AC576" s="173"/>
      <c r="AD576" s="173"/>
      <c r="AE576" s="173"/>
      <c r="AF576" s="173"/>
      <c r="AG576" s="173"/>
      <c r="AH576" s="173"/>
      <c r="AI576" s="173" t="s">
        <v>482</v>
      </c>
      <c r="AJ576" s="173"/>
      <c r="AK576" s="173"/>
      <c r="AL576" s="173"/>
      <c r="AM576" s="644">
        <f t="shared" si="11"/>
        <v>2610.54126</v>
      </c>
      <c r="AO576" s="289"/>
      <c r="AP576" s="97"/>
    </row>
    <row r="577" spans="1:42" s="61" customFormat="1" ht="22.5" customHeight="1" x14ac:dyDescent="0.3">
      <c r="A577" s="706"/>
      <c r="B577" s="115" t="s">
        <v>402</v>
      </c>
      <c r="C577" s="142">
        <v>23.637630000000001</v>
      </c>
      <c r="D577" s="111"/>
      <c r="E577" s="111"/>
      <c r="F577" s="267"/>
      <c r="G577" s="111"/>
      <c r="H577" s="111">
        <v>5</v>
      </c>
      <c r="I577" s="125"/>
      <c r="J577" s="111"/>
      <c r="K577" s="111"/>
      <c r="L577" s="267"/>
      <c r="M577" s="111"/>
      <c r="N577" s="125"/>
      <c r="O577" s="111"/>
      <c r="P577" s="111"/>
      <c r="Q577" s="111"/>
      <c r="R577" s="111"/>
      <c r="S577" s="111">
        <v>1592.7346580000001</v>
      </c>
      <c r="T577" s="143">
        <v>0</v>
      </c>
      <c r="U577" s="142">
        <v>5.0999999999999997E-2</v>
      </c>
      <c r="V577" s="111"/>
      <c r="W577" s="111">
        <f>357</f>
        <v>357</v>
      </c>
      <c r="X577" s="111"/>
      <c r="Y577" s="111"/>
      <c r="Z577" s="111"/>
      <c r="AA577" s="111"/>
      <c r="AB577" s="111"/>
      <c r="AC577" s="111"/>
      <c r="AD577" s="111"/>
      <c r="AE577" s="111"/>
      <c r="AF577" s="111"/>
      <c r="AG577" s="111"/>
      <c r="AH577" s="111" t="s">
        <v>482</v>
      </c>
      <c r="AI577" s="111">
        <v>25</v>
      </c>
      <c r="AJ577" s="111"/>
      <c r="AK577" s="111"/>
      <c r="AL577" s="111"/>
      <c r="AM577" s="645">
        <f t="shared" si="11"/>
        <v>2003.423288</v>
      </c>
      <c r="AO577" s="289"/>
    </row>
    <row r="578" spans="1:42" s="61" customFormat="1" ht="21" customHeight="1" x14ac:dyDescent="0.3">
      <c r="A578" s="707"/>
      <c r="B578" s="181" t="s">
        <v>403</v>
      </c>
      <c r="C578" s="144">
        <v>131.66829000000001</v>
      </c>
      <c r="D578" s="112"/>
      <c r="E578" s="112"/>
      <c r="F578" s="268"/>
      <c r="G578" s="112"/>
      <c r="H578" s="112">
        <v>3</v>
      </c>
      <c r="I578" s="126"/>
      <c r="J578" s="112"/>
      <c r="K578" s="112"/>
      <c r="L578" s="268"/>
      <c r="M578" s="112"/>
      <c r="N578" s="126"/>
      <c r="O578" s="112"/>
      <c r="P578" s="112"/>
      <c r="Q578" s="112"/>
      <c r="R578" s="112"/>
      <c r="S578" s="112">
        <v>1491.8111019999999</v>
      </c>
      <c r="T578" s="145">
        <v>0</v>
      </c>
      <c r="U578" s="144">
        <v>9.5000000000000001E-2</v>
      </c>
      <c r="V578" s="112"/>
      <c r="W578" s="112">
        <f>905-357</f>
        <v>548</v>
      </c>
      <c r="X578" s="112"/>
      <c r="Y578" s="112"/>
      <c r="Z578" s="112"/>
      <c r="AA578" s="112"/>
      <c r="AB578" s="112"/>
      <c r="AC578" s="112"/>
      <c r="AD578" s="112"/>
      <c r="AE578" s="112"/>
      <c r="AF578" s="112"/>
      <c r="AG578" s="112"/>
      <c r="AH578" s="112" t="s">
        <v>482</v>
      </c>
      <c r="AI578" s="112">
        <v>25</v>
      </c>
      <c r="AJ578" s="112"/>
      <c r="AK578" s="112"/>
      <c r="AL578" s="112"/>
      <c r="AM578" s="646">
        <f t="shared" si="11"/>
        <v>2199.574392</v>
      </c>
      <c r="AO578" s="289"/>
    </row>
    <row r="579" spans="1:42" s="61" customFormat="1" ht="21" customHeight="1" x14ac:dyDescent="0.3">
      <c r="A579" s="705" t="s">
        <v>166</v>
      </c>
      <c r="B579" s="179" t="s">
        <v>293</v>
      </c>
      <c r="C579" s="135">
        <v>13407.49</v>
      </c>
      <c r="D579" s="136"/>
      <c r="E579" s="136"/>
      <c r="F579" s="262">
        <v>7983.1509999999998</v>
      </c>
      <c r="G579" s="136">
        <v>5024</v>
      </c>
      <c r="H579" s="136">
        <v>100</v>
      </c>
      <c r="I579" s="326"/>
      <c r="J579" s="136">
        <v>276</v>
      </c>
      <c r="K579" s="136">
        <f>2968+121+4298+2</f>
        <v>7389</v>
      </c>
      <c r="L579" s="262">
        <v>5114.8</v>
      </c>
      <c r="M579" s="136"/>
      <c r="N579" s="326">
        <v>7161.52</v>
      </c>
      <c r="O579" s="136">
        <v>1449</v>
      </c>
      <c r="P579" s="136"/>
      <c r="Q579" s="136">
        <v>544</v>
      </c>
      <c r="R579" s="136">
        <f>+(2009+350)/2</f>
        <v>1179.5</v>
      </c>
      <c r="S579" s="136">
        <v>23728.374</v>
      </c>
      <c r="T579" s="137">
        <v>5009.7160000000003</v>
      </c>
      <c r="U579" s="632">
        <v>3666.7240000000002</v>
      </c>
      <c r="V579" s="122">
        <f>(100000+50000+1622969)/1000</f>
        <v>1772.9690000000001</v>
      </c>
      <c r="W579" s="122">
        <v>641</v>
      </c>
      <c r="X579" s="122">
        <v>641</v>
      </c>
      <c r="Y579" s="122">
        <v>30560</v>
      </c>
      <c r="Z579" s="122">
        <v>66864</v>
      </c>
      <c r="AA579" s="122">
        <v>231.49502999999999</v>
      </c>
      <c r="AB579" s="122"/>
      <c r="AC579" s="122">
        <v>2514.3359999999998</v>
      </c>
      <c r="AD579" s="122">
        <v>9248</v>
      </c>
      <c r="AE579" s="122"/>
      <c r="AF579" s="122"/>
      <c r="AG579" s="122">
        <v>24.98</v>
      </c>
      <c r="AH579" s="122">
        <v>45875.15</v>
      </c>
      <c r="AI579" s="122">
        <v>3856</v>
      </c>
      <c r="AJ579" s="122">
        <v>82</v>
      </c>
      <c r="AK579" s="122">
        <v>258.36</v>
      </c>
      <c r="AL579" s="122">
        <v>1178.1570134228189</v>
      </c>
      <c r="AM579" s="639">
        <f t="shared" si="11"/>
        <v>245780.72204342281</v>
      </c>
      <c r="AO579" s="289"/>
    </row>
    <row r="580" spans="1:42" s="61" customFormat="1" ht="19.5" customHeight="1" x14ac:dyDescent="0.3">
      <c r="A580" s="706"/>
      <c r="B580" s="116" t="s">
        <v>294</v>
      </c>
      <c r="C580" s="138">
        <v>15606.6</v>
      </c>
      <c r="D580" s="109"/>
      <c r="E580" s="109"/>
      <c r="F580" s="263">
        <v>12209.286</v>
      </c>
      <c r="G580" s="109">
        <v>6384</v>
      </c>
      <c r="H580" s="109">
        <v>101</v>
      </c>
      <c r="I580" s="123"/>
      <c r="J580" s="109">
        <v>81</v>
      </c>
      <c r="K580" s="109">
        <f>1614+196</f>
        <v>1810</v>
      </c>
      <c r="L580" s="263">
        <v>5330.4210000000003</v>
      </c>
      <c r="M580" s="109">
        <f>38521/1000</f>
        <v>38.521000000000001</v>
      </c>
      <c r="N580" s="123">
        <v>10506.950999999999</v>
      </c>
      <c r="O580" s="109">
        <v>1555.5</v>
      </c>
      <c r="P580" s="109"/>
      <c r="Q580" s="109">
        <v>580</v>
      </c>
      <c r="R580" s="109">
        <f>+(2009+350)/2</f>
        <v>1179.5</v>
      </c>
      <c r="S580" s="109">
        <v>28284.934000000001</v>
      </c>
      <c r="T580" s="139">
        <v>5865.8720000000003</v>
      </c>
      <c r="U580" s="138">
        <v>2823.587</v>
      </c>
      <c r="V580" s="109">
        <f>(200000+658712+3568288)/1000-V579</f>
        <v>2654.0309999999999</v>
      </c>
      <c r="W580" s="109">
        <f>2041-641</f>
        <v>1400</v>
      </c>
      <c r="X580" s="109">
        <v>742</v>
      </c>
      <c r="Y580" s="109">
        <v>32557</v>
      </c>
      <c r="Z580" s="109">
        <v>91909</v>
      </c>
      <c r="AA580" s="109">
        <v>266.86700000000002</v>
      </c>
      <c r="AB580" s="109"/>
      <c r="AC580" s="109">
        <v>2545.5189999999998</v>
      </c>
      <c r="AD580" s="109">
        <v>11695</v>
      </c>
      <c r="AE580" s="109"/>
      <c r="AF580" s="109"/>
      <c r="AG580" s="109">
        <v>11.118</v>
      </c>
      <c r="AH580" s="109">
        <v>46803.35</v>
      </c>
      <c r="AI580" s="109">
        <v>6784</v>
      </c>
      <c r="AJ580" s="109">
        <v>96</v>
      </c>
      <c r="AK580" s="109">
        <v>426.55</v>
      </c>
      <c r="AL580" s="109">
        <v>1246.0468999999998</v>
      </c>
      <c r="AM580" s="640">
        <f t="shared" si="11"/>
        <v>291493.65389999998</v>
      </c>
      <c r="AO580" s="289"/>
    </row>
    <row r="581" spans="1:42" s="61" customFormat="1" ht="22.5" customHeight="1" x14ac:dyDescent="0.3">
      <c r="A581" s="706"/>
      <c r="B581" s="117" t="s">
        <v>326</v>
      </c>
      <c r="C581" s="140">
        <v>12070.61</v>
      </c>
      <c r="D581" s="110"/>
      <c r="E581" s="110"/>
      <c r="F581" s="264">
        <v>9778</v>
      </c>
      <c r="G581" s="110">
        <v>5571</v>
      </c>
      <c r="H581" s="110">
        <v>524</v>
      </c>
      <c r="I581" s="124"/>
      <c r="J581" s="110">
        <v>24</v>
      </c>
      <c r="K581" s="110">
        <f>913+265</f>
        <v>1178</v>
      </c>
      <c r="L581" s="264">
        <v>2364</v>
      </c>
      <c r="M581" s="110">
        <f>9359/1000</f>
        <v>9.359</v>
      </c>
      <c r="N581" s="124">
        <v>11476.174000000001</v>
      </c>
      <c r="O581" s="110">
        <v>2360</v>
      </c>
      <c r="P581" s="110">
        <v>66</v>
      </c>
      <c r="Q581" s="110">
        <v>1087</v>
      </c>
      <c r="R581" s="110">
        <f>(162+162)/2</f>
        <v>162</v>
      </c>
      <c r="S581" s="110">
        <v>23318</v>
      </c>
      <c r="T581" s="141"/>
      <c r="U581" s="140">
        <v>2780.8429999999998</v>
      </c>
      <c r="V581" s="110">
        <f>(166700+326940+2154965)/1000</f>
        <v>2648.605</v>
      </c>
      <c r="W581" s="110">
        <f>391+817+13</f>
        <v>1221</v>
      </c>
      <c r="X581" s="110">
        <v>718</v>
      </c>
      <c r="Y581" s="110">
        <v>31194</v>
      </c>
      <c r="Z581" s="110">
        <v>98307</v>
      </c>
      <c r="AA581" s="110">
        <f>191.00144</f>
        <v>191.00144</v>
      </c>
      <c r="AB581" s="110"/>
      <c r="AC581" s="110">
        <v>2213.7370000000001</v>
      </c>
      <c r="AD581" s="110">
        <v>9357</v>
      </c>
      <c r="AE581" s="110">
        <f>1659+235</f>
        <v>1894</v>
      </c>
      <c r="AF581" s="110"/>
      <c r="AG581" s="110"/>
      <c r="AH581" s="110">
        <v>65058.84448</v>
      </c>
      <c r="AI581" s="110">
        <v>8767</v>
      </c>
      <c r="AJ581" s="110">
        <v>104</v>
      </c>
      <c r="AK581" s="110">
        <v>601</v>
      </c>
      <c r="AL581" s="110">
        <v>742.92994736842115</v>
      </c>
      <c r="AM581" s="641">
        <f t="shared" si="11"/>
        <v>295787.10386736837</v>
      </c>
      <c r="AO581" s="289"/>
      <c r="AP581" s="97"/>
    </row>
    <row r="582" spans="1:42" s="61" customFormat="1" ht="25.5" customHeight="1" x14ac:dyDescent="0.3">
      <c r="A582" s="706"/>
      <c r="B582" s="175" t="s">
        <v>327</v>
      </c>
      <c r="C582" s="176">
        <v>18446.687999999998</v>
      </c>
      <c r="D582" s="127"/>
      <c r="E582" s="127"/>
      <c r="F582" s="265">
        <v>12326</v>
      </c>
      <c r="G582" s="127">
        <v>6272</v>
      </c>
      <c r="H582" s="127">
        <v>1120</v>
      </c>
      <c r="I582" s="178"/>
      <c r="J582" s="127"/>
      <c r="K582" s="127">
        <f>583+184</f>
        <v>767</v>
      </c>
      <c r="L582" s="265">
        <v>3000</v>
      </c>
      <c r="M582" s="127"/>
      <c r="N582" s="178">
        <v>15197.511</v>
      </c>
      <c r="O582" s="127">
        <v>2776</v>
      </c>
      <c r="P582" s="127"/>
      <c r="Q582" s="127">
        <v>551</v>
      </c>
      <c r="R582" s="127">
        <f>(162+162)/2</f>
        <v>162</v>
      </c>
      <c r="S582" s="127">
        <v>75778</v>
      </c>
      <c r="T582" s="177"/>
      <c r="U582" s="176">
        <v>2728.652</v>
      </c>
      <c r="V582" s="127">
        <f>(266700+807713+4438395)/1000-V581</f>
        <v>2864.203</v>
      </c>
      <c r="W582" s="127">
        <f>9368+1301+13-1221</f>
        <v>9461</v>
      </c>
      <c r="X582" s="127">
        <v>1271</v>
      </c>
      <c r="Y582" s="127">
        <v>40157</v>
      </c>
      <c r="Z582" s="127">
        <v>177595</v>
      </c>
      <c r="AA582" s="127">
        <f>8.44437-14.49247</f>
        <v>-6.0481000000000016</v>
      </c>
      <c r="AB582" s="127"/>
      <c r="AC582" s="127">
        <v>1487.8980000000001</v>
      </c>
      <c r="AD582" s="127">
        <v>10922</v>
      </c>
      <c r="AE582" s="127">
        <f>1143+1662</f>
        <v>2805</v>
      </c>
      <c r="AF582" s="127"/>
      <c r="AG582" s="127">
        <f>63/1.3</f>
        <v>48.46153846153846</v>
      </c>
      <c r="AH582" s="127">
        <v>68974.69</v>
      </c>
      <c r="AI582" s="127">
        <v>7359</v>
      </c>
      <c r="AJ582" s="127">
        <v>201</v>
      </c>
      <c r="AK582" s="127">
        <f>447+15</f>
        <v>462</v>
      </c>
      <c r="AL582" s="127">
        <v>2024.9725190839692</v>
      </c>
      <c r="AM582" s="642">
        <f t="shared" si="11"/>
        <v>464752.02795754554</v>
      </c>
      <c r="AO582" s="289"/>
    </row>
    <row r="583" spans="1:42" s="61" customFormat="1" ht="25.5" customHeight="1" x14ac:dyDescent="0.3">
      <c r="A583" s="706"/>
      <c r="B583" s="180" t="s">
        <v>361</v>
      </c>
      <c r="C583" s="300">
        <v>22952.18003</v>
      </c>
      <c r="D583" s="173">
        <v>264</v>
      </c>
      <c r="E583" s="173"/>
      <c r="F583" s="266">
        <v>13015</v>
      </c>
      <c r="G583" s="173">
        <f>6477+2258</f>
        <v>8735</v>
      </c>
      <c r="H583" s="173">
        <f>119+50</f>
        <v>169</v>
      </c>
      <c r="I583" s="174"/>
      <c r="J583" s="173"/>
      <c r="K583" s="173">
        <v>328</v>
      </c>
      <c r="L583" s="266">
        <v>5242</v>
      </c>
      <c r="M583" s="173">
        <v>24.47</v>
      </c>
      <c r="N583" s="174">
        <v>10257.534</v>
      </c>
      <c r="O583" s="173">
        <v>2770</v>
      </c>
      <c r="P583" s="173"/>
      <c r="Q583" s="173">
        <v>152</v>
      </c>
      <c r="R583" s="173">
        <f>16+526</f>
        <v>542</v>
      </c>
      <c r="S583" s="173">
        <v>35555</v>
      </c>
      <c r="T583" s="327">
        <v>2253.6</v>
      </c>
      <c r="U583" s="300">
        <v>2065.1909999999998</v>
      </c>
      <c r="V583" s="173">
        <f>(2164427+140000+1000000)/1000</f>
        <v>3304.4270000000001</v>
      </c>
      <c r="W583" s="173">
        <f>734+726</f>
        <v>1460</v>
      </c>
      <c r="X583" s="173">
        <v>508</v>
      </c>
      <c r="Y583" s="173">
        <v>31087</v>
      </c>
      <c r="Z583" s="173">
        <v>141094.58325999998</v>
      </c>
      <c r="AA583" s="173">
        <f>0.01776+1094</f>
        <v>1094.01776</v>
      </c>
      <c r="AB583" s="173"/>
      <c r="AC583" s="173">
        <f>1573+255</f>
        <v>1828</v>
      </c>
      <c r="AD583" s="173">
        <v>8302</v>
      </c>
      <c r="AE583" s="173">
        <f>1260+639</f>
        <v>1899</v>
      </c>
      <c r="AF583" s="173">
        <v>592</v>
      </c>
      <c r="AG583" s="173">
        <v>58</v>
      </c>
      <c r="AH583" s="173">
        <v>56174</v>
      </c>
      <c r="AI583" s="173">
        <v>5233</v>
      </c>
      <c r="AJ583" s="173">
        <v>208</v>
      </c>
      <c r="AK583" s="173">
        <v>705</v>
      </c>
      <c r="AL583" s="173">
        <v>2352.4793388429753</v>
      </c>
      <c r="AM583" s="643">
        <f t="shared" si="11"/>
        <v>360224.48238884297</v>
      </c>
      <c r="AO583" s="289"/>
      <c r="AP583" s="97"/>
    </row>
    <row r="584" spans="1:42" s="61" customFormat="1" ht="25.5" customHeight="1" x14ac:dyDescent="0.3">
      <c r="A584" s="706"/>
      <c r="B584" s="180" t="s">
        <v>362</v>
      </c>
      <c r="C584" s="300">
        <v>14528.812319999999</v>
      </c>
      <c r="D584" s="173">
        <v>53</v>
      </c>
      <c r="E584" s="173"/>
      <c r="F584" s="266">
        <v>12605</v>
      </c>
      <c r="G584" s="173">
        <f>6685+1186</f>
        <v>7871</v>
      </c>
      <c r="H584" s="173">
        <f>377+126+50</f>
        <v>553</v>
      </c>
      <c r="I584" s="174"/>
      <c r="J584" s="173"/>
      <c r="K584" s="173">
        <v>360</v>
      </c>
      <c r="L584" s="266">
        <v>2262</v>
      </c>
      <c r="M584" s="173">
        <v>318.97000000000003</v>
      </c>
      <c r="N584" s="174">
        <v>6657.4629999999997</v>
      </c>
      <c r="O584" s="173">
        <v>2987</v>
      </c>
      <c r="P584" s="173"/>
      <c r="Q584" s="173">
        <v>329</v>
      </c>
      <c r="R584" s="173">
        <f>1164+16-R583</f>
        <v>638</v>
      </c>
      <c r="S584" s="173">
        <v>42052</v>
      </c>
      <c r="T584" s="327">
        <v>2020.1</v>
      </c>
      <c r="U584" s="300">
        <v>3247.8670000000002</v>
      </c>
      <c r="V584" s="173">
        <f>(280000+2630519+4579621)/1000-V583</f>
        <v>4185.7129999999997</v>
      </c>
      <c r="W584" s="173">
        <v>1851</v>
      </c>
      <c r="X584" s="173">
        <v>115</v>
      </c>
      <c r="Y584" s="173">
        <v>33285</v>
      </c>
      <c r="Z584" s="173">
        <v>139031.54227999999</v>
      </c>
      <c r="AA584" s="173">
        <v>846</v>
      </c>
      <c r="AB584" s="173"/>
      <c r="AC584" s="173">
        <f>4555-1573-1+408</f>
        <v>3389</v>
      </c>
      <c r="AD584" s="173">
        <v>10866</v>
      </c>
      <c r="AE584" s="173">
        <f>2520+1649</f>
        <v>4169</v>
      </c>
      <c r="AF584" s="173">
        <v>612</v>
      </c>
      <c r="AG584" s="173">
        <v>48</v>
      </c>
      <c r="AH584" s="173">
        <v>64391</v>
      </c>
      <c r="AI584" s="173">
        <v>9450</v>
      </c>
      <c r="AJ584" s="173">
        <v>228</v>
      </c>
      <c r="AK584" s="173">
        <v>733</v>
      </c>
      <c r="AL584" s="173">
        <v>1673.5267857142856</v>
      </c>
      <c r="AM584" s="644">
        <f t="shared" si="11"/>
        <v>371356.99438571424</v>
      </c>
      <c r="AO584" s="289"/>
      <c r="AP584" s="97"/>
    </row>
    <row r="585" spans="1:42" s="61" customFormat="1" ht="22.5" customHeight="1" x14ac:dyDescent="0.3">
      <c r="A585" s="706"/>
      <c r="B585" s="115" t="s">
        <v>402</v>
      </c>
      <c r="C585" s="142">
        <v>44125.631589999997</v>
      </c>
      <c r="D585" s="111">
        <v>53</v>
      </c>
      <c r="E585" s="111"/>
      <c r="F585" s="267">
        <v>8602.6</v>
      </c>
      <c r="G585" s="111">
        <v>1784</v>
      </c>
      <c r="H585" s="111">
        <v>154</v>
      </c>
      <c r="I585" s="125"/>
      <c r="J585" s="111"/>
      <c r="K585" s="111">
        <v>900</v>
      </c>
      <c r="L585" s="267">
        <v>8980</v>
      </c>
      <c r="M585" s="111">
        <v>236.29204999999999</v>
      </c>
      <c r="N585" s="125"/>
      <c r="O585" s="111">
        <v>3416</v>
      </c>
      <c r="P585" s="111"/>
      <c r="Q585" s="111">
        <v>77</v>
      </c>
      <c r="R585" s="111">
        <v>52</v>
      </c>
      <c r="S585" s="111">
        <v>70109.587109</v>
      </c>
      <c r="T585" s="143">
        <v>4586.5</v>
      </c>
      <c r="U585" s="142">
        <v>3801.239</v>
      </c>
      <c r="V585" s="111">
        <f>6561612.66/1000</f>
        <v>6561.6126599999998</v>
      </c>
      <c r="W585" s="111">
        <v>2013</v>
      </c>
      <c r="X585" s="111"/>
      <c r="Y585" s="111">
        <v>48884.186999999998</v>
      </c>
      <c r="Z585" s="111">
        <v>47593</v>
      </c>
      <c r="AA585" s="111">
        <v>1039</v>
      </c>
      <c r="AB585" s="111">
        <v>90.7</v>
      </c>
      <c r="AC585" s="111">
        <v>8845</v>
      </c>
      <c r="AD585" s="111">
        <v>17775</v>
      </c>
      <c r="AE585" s="111">
        <v>4887</v>
      </c>
      <c r="AF585" s="111">
        <v>381.83977000000004</v>
      </c>
      <c r="AG585" s="111"/>
      <c r="AH585" s="111">
        <v>100634.424</v>
      </c>
      <c r="AI585" s="111">
        <v>24075</v>
      </c>
      <c r="AJ585" s="111">
        <v>456</v>
      </c>
      <c r="AK585" s="111">
        <f>1211.934/1.097</f>
        <v>1104.771194165907</v>
      </c>
      <c r="AL585" s="111">
        <v>1595.7589285714284</v>
      </c>
      <c r="AM585" s="645">
        <f t="shared" si="11"/>
        <v>412814.14330173738</v>
      </c>
      <c r="AO585" s="289"/>
    </row>
    <row r="586" spans="1:42" s="61" customFormat="1" ht="21" customHeight="1" x14ac:dyDescent="0.3">
      <c r="A586" s="707"/>
      <c r="B586" s="181" t="s">
        <v>403</v>
      </c>
      <c r="C586" s="144">
        <v>58266.357080000002</v>
      </c>
      <c r="D586" s="112">
        <v>53</v>
      </c>
      <c r="E586" s="112"/>
      <c r="F586" s="268">
        <v>14539.9</v>
      </c>
      <c r="G586" s="112">
        <v>910</v>
      </c>
      <c r="H586" s="112">
        <v>329</v>
      </c>
      <c r="I586" s="126"/>
      <c r="J586" s="112"/>
      <c r="K586" s="112">
        <v>670</v>
      </c>
      <c r="L586" s="268">
        <v>9022.9</v>
      </c>
      <c r="M586" s="112">
        <v>735.66336000000001</v>
      </c>
      <c r="N586" s="126"/>
      <c r="O586" s="112">
        <v>3077</v>
      </c>
      <c r="P586" s="112"/>
      <c r="Q586" s="112">
        <v>-5</v>
      </c>
      <c r="R586" s="112">
        <f>306-R585</f>
        <v>254</v>
      </c>
      <c r="S586" s="112">
        <v>78938.971999999994</v>
      </c>
      <c r="T586" s="145">
        <v>5727.65</v>
      </c>
      <c r="U586" s="144">
        <v>4980.6639999999998</v>
      </c>
      <c r="V586" s="112">
        <f>(2207300+2212357+5769741+20+5087461)/1000-V585</f>
        <v>8715.2663400000019</v>
      </c>
      <c r="W586" s="112">
        <f>4592+1045-2013</f>
        <v>3624</v>
      </c>
      <c r="X586" s="112">
        <v>152</v>
      </c>
      <c r="Y586" s="112">
        <v>54529.972999999998</v>
      </c>
      <c r="Z586" s="112">
        <v>54126</v>
      </c>
      <c r="AA586" s="112">
        <v>2156</v>
      </c>
      <c r="AB586" s="112">
        <v>705.6</v>
      </c>
      <c r="AC586" s="112">
        <v>13508</v>
      </c>
      <c r="AD586" s="112">
        <f>31840-AD585</f>
        <v>14065</v>
      </c>
      <c r="AE586" s="112">
        <v>4928</v>
      </c>
      <c r="AF586" s="112">
        <v>946.77412698412707</v>
      </c>
      <c r="AG586" s="112"/>
      <c r="AH586" s="112">
        <v>132068.64600000001</v>
      </c>
      <c r="AI586" s="112">
        <v>24076</v>
      </c>
      <c r="AJ586" s="112">
        <v>589</v>
      </c>
      <c r="AK586" s="112">
        <f>1855.8505/1.001</f>
        <v>1853.9965034965037</v>
      </c>
      <c r="AL586" s="112">
        <v>1550</v>
      </c>
      <c r="AM586" s="646">
        <f t="shared" si="11"/>
        <v>495094.36241048056</v>
      </c>
      <c r="AO586" s="289"/>
    </row>
    <row r="587" spans="1:42" s="61" customFormat="1" ht="21" customHeight="1" x14ac:dyDescent="0.3">
      <c r="A587" s="705" t="s">
        <v>167</v>
      </c>
      <c r="B587" s="179" t="s">
        <v>293</v>
      </c>
      <c r="C587" s="135"/>
      <c r="D587" s="136"/>
      <c r="E587" s="136"/>
      <c r="F587" s="262"/>
      <c r="G587" s="136">
        <v>4</v>
      </c>
      <c r="H587" s="136">
        <v>20</v>
      </c>
      <c r="I587" s="326"/>
      <c r="J587" s="136"/>
      <c r="K587" s="136"/>
      <c r="L587" s="262"/>
      <c r="M587" s="136"/>
      <c r="N587" s="326"/>
      <c r="O587" s="136"/>
      <c r="P587" s="136"/>
      <c r="Q587" s="136"/>
      <c r="R587" s="136"/>
      <c r="S587" s="136"/>
      <c r="T587" s="137">
        <v>1.48</v>
      </c>
      <c r="U587" s="632"/>
      <c r="V587" s="122"/>
      <c r="W587" s="122"/>
      <c r="X587" s="122"/>
      <c r="Y587" s="122"/>
      <c r="Z587" s="122">
        <v>2</v>
      </c>
      <c r="AA587" s="122"/>
      <c r="AB587" s="122"/>
      <c r="AC587" s="122"/>
      <c r="AD587" s="122"/>
      <c r="AE587" s="122"/>
      <c r="AF587" s="122"/>
      <c r="AG587" s="122"/>
      <c r="AH587" s="122"/>
      <c r="AI587" s="122" t="s">
        <v>482</v>
      </c>
      <c r="AJ587" s="122"/>
      <c r="AK587" s="122"/>
      <c r="AL587" s="122"/>
      <c r="AM587" s="639">
        <f t="shared" si="11"/>
        <v>27.48</v>
      </c>
      <c r="AO587" s="289"/>
    </row>
    <row r="588" spans="1:42" s="61" customFormat="1" ht="19.5" customHeight="1" x14ac:dyDescent="0.3">
      <c r="A588" s="706"/>
      <c r="B588" s="116" t="s">
        <v>294</v>
      </c>
      <c r="C588" s="138"/>
      <c r="D588" s="109"/>
      <c r="E588" s="109"/>
      <c r="F588" s="263"/>
      <c r="G588" s="109"/>
      <c r="H588" s="109">
        <v>9</v>
      </c>
      <c r="I588" s="123"/>
      <c r="J588" s="109"/>
      <c r="K588" s="109"/>
      <c r="L588" s="263"/>
      <c r="M588" s="109"/>
      <c r="N588" s="123"/>
      <c r="O588" s="109"/>
      <c r="P588" s="109"/>
      <c r="Q588" s="109"/>
      <c r="R588" s="109"/>
      <c r="S588" s="109"/>
      <c r="T588" s="139">
        <v>1.5</v>
      </c>
      <c r="U588" s="138"/>
      <c r="V588" s="109"/>
      <c r="W588" s="109"/>
      <c r="X588" s="109"/>
      <c r="Y588" s="109"/>
      <c r="Z588" s="109"/>
      <c r="AA588" s="109"/>
      <c r="AB588" s="109"/>
      <c r="AC588" s="109"/>
      <c r="AD588" s="109"/>
      <c r="AE588" s="109"/>
      <c r="AF588" s="109"/>
      <c r="AG588" s="109"/>
      <c r="AH588" s="109"/>
      <c r="AI588" s="109" t="s">
        <v>482</v>
      </c>
      <c r="AJ588" s="109"/>
      <c r="AK588" s="109"/>
      <c r="AL588" s="109"/>
      <c r="AM588" s="640">
        <f t="shared" si="11"/>
        <v>10.5</v>
      </c>
      <c r="AO588" s="289"/>
    </row>
    <row r="589" spans="1:42" s="61" customFormat="1" ht="22.5" customHeight="1" x14ac:dyDescent="0.3">
      <c r="A589" s="706"/>
      <c r="B589" s="117" t="s">
        <v>326</v>
      </c>
      <c r="C589" s="140"/>
      <c r="D589" s="110"/>
      <c r="E589" s="110"/>
      <c r="F589" s="264"/>
      <c r="G589" s="110">
        <v>22</v>
      </c>
      <c r="H589" s="110">
        <v>9</v>
      </c>
      <c r="I589" s="124"/>
      <c r="J589" s="110"/>
      <c r="K589" s="110"/>
      <c r="L589" s="264"/>
      <c r="M589" s="110"/>
      <c r="N589" s="124"/>
      <c r="O589" s="110"/>
      <c r="P589" s="110"/>
      <c r="Q589" s="110"/>
      <c r="R589" s="110"/>
      <c r="S589" s="110">
        <v>196</v>
      </c>
      <c r="T589" s="141"/>
      <c r="U589" s="140"/>
      <c r="V589" s="110"/>
      <c r="W589" s="110"/>
      <c r="X589" s="110">
        <v>10</v>
      </c>
      <c r="Y589" s="110">
        <v>10</v>
      </c>
      <c r="Z589" s="110">
        <v>15</v>
      </c>
      <c r="AA589" s="110"/>
      <c r="AB589" s="110">
        <v>10</v>
      </c>
      <c r="AC589" s="110"/>
      <c r="AD589" s="110"/>
      <c r="AE589" s="110"/>
      <c r="AF589" s="110"/>
      <c r="AG589" s="110"/>
      <c r="AH589" s="110">
        <v>15</v>
      </c>
      <c r="AI589" s="110" t="s">
        <v>482</v>
      </c>
      <c r="AJ589" s="110"/>
      <c r="AK589" s="110"/>
      <c r="AL589" s="110"/>
      <c r="AM589" s="641">
        <f t="shared" si="11"/>
        <v>287</v>
      </c>
      <c r="AO589" s="289"/>
      <c r="AP589" s="97"/>
    </row>
    <row r="590" spans="1:42" s="61" customFormat="1" ht="25.5" customHeight="1" x14ac:dyDescent="0.3">
      <c r="A590" s="706"/>
      <c r="B590" s="175" t="s">
        <v>327</v>
      </c>
      <c r="C590" s="176">
        <v>20.638999999999999</v>
      </c>
      <c r="D590" s="127"/>
      <c r="E590" s="127"/>
      <c r="F590" s="265"/>
      <c r="G590" s="127">
        <v>44</v>
      </c>
      <c r="H590" s="127"/>
      <c r="I590" s="178"/>
      <c r="J590" s="127"/>
      <c r="K590" s="127"/>
      <c r="L590" s="265"/>
      <c r="M590" s="127"/>
      <c r="N590" s="178"/>
      <c r="O590" s="127"/>
      <c r="P590" s="127"/>
      <c r="Q590" s="127"/>
      <c r="R590" s="127"/>
      <c r="S590" s="127">
        <v>29</v>
      </c>
      <c r="T590" s="177"/>
      <c r="U590" s="176"/>
      <c r="V590" s="127"/>
      <c r="W590" s="127"/>
      <c r="X590" s="127"/>
      <c r="Y590" s="127"/>
      <c r="Z590" s="127"/>
      <c r="AA590" s="127"/>
      <c r="AB590" s="127"/>
      <c r="AC590" s="127"/>
      <c r="AD590" s="127"/>
      <c r="AE590" s="127"/>
      <c r="AF590" s="127"/>
      <c r="AG590" s="127"/>
      <c r="AH590" s="127"/>
      <c r="AI590" s="127" t="s">
        <v>482</v>
      </c>
      <c r="AJ590" s="127"/>
      <c r="AK590" s="127"/>
      <c r="AL590" s="127"/>
      <c r="AM590" s="642">
        <f t="shared" si="11"/>
        <v>93.638999999999996</v>
      </c>
      <c r="AO590" s="289"/>
    </row>
    <row r="591" spans="1:42" s="61" customFormat="1" ht="25.5" customHeight="1" x14ac:dyDescent="0.3">
      <c r="A591" s="706"/>
      <c r="B591" s="180" t="s">
        <v>361</v>
      </c>
      <c r="C591" s="300"/>
      <c r="D591" s="173"/>
      <c r="E591" s="173"/>
      <c r="F591" s="266"/>
      <c r="G591" s="173">
        <f>3+237</f>
        <v>240</v>
      </c>
      <c r="H591" s="173"/>
      <c r="I591" s="174"/>
      <c r="J591" s="173"/>
      <c r="K591" s="173"/>
      <c r="L591" s="266"/>
      <c r="M591" s="173"/>
      <c r="N591" s="174"/>
      <c r="O591" s="173"/>
      <c r="P591" s="173"/>
      <c r="Q591" s="173"/>
      <c r="R591" s="173"/>
      <c r="S591" s="173">
        <v>1026</v>
      </c>
      <c r="T591" s="327"/>
      <c r="U591" s="300">
        <v>218.483</v>
      </c>
      <c r="V591" s="173"/>
      <c r="W591" s="173"/>
      <c r="X591" s="173">
        <v>10</v>
      </c>
      <c r="Y591" s="173"/>
      <c r="Z591" s="173">
        <v>20</v>
      </c>
      <c r="AA591" s="173">
        <v>0.36607000000000001</v>
      </c>
      <c r="AB591" s="173"/>
      <c r="AC591" s="173"/>
      <c r="AD591" s="173"/>
      <c r="AE591" s="173"/>
      <c r="AF591" s="173"/>
      <c r="AG591" s="173"/>
      <c r="AH591" s="173">
        <v>10</v>
      </c>
      <c r="AI591" s="173" t="s">
        <v>482</v>
      </c>
      <c r="AJ591" s="173"/>
      <c r="AK591" s="173"/>
      <c r="AL591" s="173"/>
      <c r="AM591" s="643">
        <f t="shared" si="11"/>
        <v>1524.84907</v>
      </c>
      <c r="AO591" s="289"/>
      <c r="AP591" s="97"/>
    </row>
    <row r="592" spans="1:42" s="61" customFormat="1" ht="25.5" customHeight="1" x14ac:dyDescent="0.3">
      <c r="A592" s="706"/>
      <c r="B592" s="180" t="s">
        <v>362</v>
      </c>
      <c r="C592" s="300"/>
      <c r="D592" s="173"/>
      <c r="E592" s="173"/>
      <c r="F592" s="266">
        <v>68</v>
      </c>
      <c r="G592" s="173"/>
      <c r="H592" s="173"/>
      <c r="I592" s="174"/>
      <c r="J592" s="173"/>
      <c r="K592" s="173">
        <v>100</v>
      </c>
      <c r="L592" s="266">
        <v>90</v>
      </c>
      <c r="M592" s="173"/>
      <c r="N592" s="174"/>
      <c r="O592" s="173"/>
      <c r="P592" s="173"/>
      <c r="Q592" s="173"/>
      <c r="R592" s="173"/>
      <c r="S592" s="173">
        <v>153</v>
      </c>
      <c r="T592" s="327"/>
      <c r="U592" s="300"/>
      <c r="V592" s="173"/>
      <c r="W592" s="173"/>
      <c r="X592" s="173"/>
      <c r="Y592" s="173"/>
      <c r="Z592" s="173"/>
      <c r="AA592" s="173"/>
      <c r="AB592" s="173">
        <v>10</v>
      </c>
      <c r="AC592" s="173"/>
      <c r="AD592" s="173"/>
      <c r="AE592" s="173"/>
      <c r="AF592" s="173"/>
      <c r="AG592" s="173"/>
      <c r="AH592" s="173"/>
      <c r="AI592" s="173">
        <v>15</v>
      </c>
      <c r="AJ592" s="173"/>
      <c r="AK592" s="173"/>
      <c r="AL592" s="173"/>
      <c r="AM592" s="644">
        <f t="shared" si="11"/>
        <v>436</v>
      </c>
      <c r="AO592" s="289"/>
      <c r="AP592" s="97"/>
    </row>
    <row r="593" spans="1:42" s="61" customFormat="1" ht="22.5" customHeight="1" x14ac:dyDescent="0.3">
      <c r="A593" s="706"/>
      <c r="B593" s="115" t="s">
        <v>402</v>
      </c>
      <c r="C593" s="142"/>
      <c r="D593" s="111"/>
      <c r="E593" s="111"/>
      <c r="F593" s="267"/>
      <c r="G593" s="111">
        <v>512</v>
      </c>
      <c r="H593" s="111">
        <v>6</v>
      </c>
      <c r="I593" s="125"/>
      <c r="J593" s="111"/>
      <c r="K593" s="111"/>
      <c r="L593" s="267">
        <v>0</v>
      </c>
      <c r="M593" s="111"/>
      <c r="N593" s="125"/>
      <c r="O593" s="111"/>
      <c r="P593" s="111"/>
      <c r="Q593" s="111"/>
      <c r="R593" s="111"/>
      <c r="S593" s="111">
        <v>891.00830499999995</v>
      </c>
      <c r="T593" s="143"/>
      <c r="U593" s="142"/>
      <c r="V593" s="111"/>
      <c r="W593" s="111"/>
      <c r="X593" s="111"/>
      <c r="Y593" s="111"/>
      <c r="Z593" s="111"/>
      <c r="AA593" s="111"/>
      <c r="AB593" s="111"/>
      <c r="AC593" s="111"/>
      <c r="AD593" s="111"/>
      <c r="AE593" s="111"/>
      <c r="AF593" s="111"/>
      <c r="AG593" s="111"/>
      <c r="AH593" s="111">
        <v>4550</v>
      </c>
      <c r="AI593" s="111">
        <v>7</v>
      </c>
      <c r="AJ593" s="111"/>
      <c r="AK593" s="111"/>
      <c r="AL593" s="111"/>
      <c r="AM593" s="645">
        <f t="shared" si="11"/>
        <v>5966.0083049999994</v>
      </c>
      <c r="AO593" s="289"/>
    </row>
    <row r="594" spans="1:42" s="61" customFormat="1" ht="21" customHeight="1" x14ac:dyDescent="0.3">
      <c r="A594" s="707"/>
      <c r="B594" s="181" t="s">
        <v>403</v>
      </c>
      <c r="C594" s="144">
        <v>40</v>
      </c>
      <c r="D594" s="112"/>
      <c r="E594" s="112"/>
      <c r="F594" s="268"/>
      <c r="G594" s="112">
        <v>22</v>
      </c>
      <c r="H594" s="112"/>
      <c r="I594" s="126"/>
      <c r="J594" s="112"/>
      <c r="K594" s="112"/>
      <c r="L594" s="268">
        <v>23.6</v>
      </c>
      <c r="M594" s="112"/>
      <c r="N594" s="126"/>
      <c r="O594" s="112"/>
      <c r="P594" s="112"/>
      <c r="Q594" s="112"/>
      <c r="R594" s="112"/>
      <c r="S594" s="112">
        <v>625.76484800000014</v>
      </c>
      <c r="T594" s="145"/>
      <c r="U594" s="144">
        <v>1.3009999999999999</v>
      </c>
      <c r="V594" s="112"/>
      <c r="W594" s="112"/>
      <c r="X594" s="112"/>
      <c r="Y594" s="112"/>
      <c r="Z594" s="112"/>
      <c r="AA594" s="112"/>
      <c r="AB594" s="112"/>
      <c r="AC594" s="112"/>
      <c r="AD594" s="112"/>
      <c r="AE594" s="112"/>
      <c r="AF594" s="112"/>
      <c r="AG594" s="112"/>
      <c r="AH594" s="112" t="s">
        <v>482</v>
      </c>
      <c r="AI594" s="112">
        <v>8</v>
      </c>
      <c r="AJ594" s="112"/>
      <c r="AK594" s="112"/>
      <c r="AL594" s="112"/>
      <c r="AM594" s="646">
        <f t="shared" si="11"/>
        <v>720.66584800000021</v>
      </c>
      <c r="AO594" s="289"/>
    </row>
    <row r="595" spans="1:42" s="61" customFormat="1" ht="21" customHeight="1" x14ac:dyDescent="0.3">
      <c r="A595" s="705" t="s">
        <v>46</v>
      </c>
      <c r="B595" s="179" t="s">
        <v>293</v>
      </c>
      <c r="C595" s="135"/>
      <c r="D595" s="136"/>
      <c r="E595" s="136"/>
      <c r="F595" s="262"/>
      <c r="G595" s="136"/>
      <c r="H595" s="136"/>
      <c r="I595" s="326"/>
      <c r="J595" s="136"/>
      <c r="K595" s="136"/>
      <c r="L595" s="262"/>
      <c r="M595" s="136"/>
      <c r="N595" s="326"/>
      <c r="O595" s="136"/>
      <c r="P595" s="136"/>
      <c r="Q595" s="136"/>
      <c r="R595" s="136"/>
      <c r="S595" s="136"/>
      <c r="T595" s="137"/>
      <c r="U595" s="632"/>
      <c r="V595" s="122"/>
      <c r="W595" s="122"/>
      <c r="X595" s="122"/>
      <c r="Y595" s="122"/>
      <c r="Z595" s="122"/>
      <c r="AA595" s="122"/>
      <c r="AB595" s="122"/>
      <c r="AC595" s="122"/>
      <c r="AD595" s="122"/>
      <c r="AE595" s="122"/>
      <c r="AF595" s="122"/>
      <c r="AG595" s="122"/>
      <c r="AH595" s="122"/>
      <c r="AI595" s="122" t="s">
        <v>482</v>
      </c>
      <c r="AJ595" s="122"/>
      <c r="AK595" s="122"/>
      <c r="AL595" s="122"/>
      <c r="AM595" s="639">
        <f t="shared" si="11"/>
        <v>0</v>
      </c>
      <c r="AO595" s="289"/>
    </row>
    <row r="596" spans="1:42" s="61" customFormat="1" ht="19.5" customHeight="1" x14ac:dyDescent="0.3">
      <c r="A596" s="706"/>
      <c r="B596" s="116" t="s">
        <v>294</v>
      </c>
      <c r="C596" s="138"/>
      <c r="D596" s="109"/>
      <c r="E596" s="109"/>
      <c r="F596" s="263"/>
      <c r="G596" s="109"/>
      <c r="H596" s="109"/>
      <c r="I596" s="123"/>
      <c r="J596" s="109"/>
      <c r="K596" s="109"/>
      <c r="L596" s="263"/>
      <c r="M596" s="109"/>
      <c r="N596" s="123"/>
      <c r="O596" s="109"/>
      <c r="P596" s="109"/>
      <c r="Q596" s="109"/>
      <c r="R596" s="109"/>
      <c r="S596" s="109"/>
      <c r="T596" s="139"/>
      <c r="U596" s="138"/>
      <c r="V596" s="109"/>
      <c r="W596" s="109"/>
      <c r="X596" s="109"/>
      <c r="Y596" s="109"/>
      <c r="Z596" s="109"/>
      <c r="AA596" s="109"/>
      <c r="AB596" s="109"/>
      <c r="AC596" s="109"/>
      <c r="AD596" s="109"/>
      <c r="AE596" s="109"/>
      <c r="AF596" s="109"/>
      <c r="AG596" s="109"/>
      <c r="AH596" s="109"/>
      <c r="AI596" s="109" t="s">
        <v>482</v>
      </c>
      <c r="AJ596" s="109"/>
      <c r="AK596" s="109"/>
      <c r="AL596" s="109"/>
      <c r="AM596" s="640">
        <f t="shared" si="11"/>
        <v>0</v>
      </c>
      <c r="AO596" s="289"/>
    </row>
    <row r="597" spans="1:42" s="61" customFormat="1" ht="22.5" customHeight="1" x14ac:dyDescent="0.3">
      <c r="A597" s="706"/>
      <c r="B597" s="117" t="s">
        <v>326</v>
      </c>
      <c r="C597" s="140"/>
      <c r="D597" s="110"/>
      <c r="E597" s="110"/>
      <c r="F597" s="264"/>
      <c r="G597" s="110"/>
      <c r="H597" s="110"/>
      <c r="I597" s="124"/>
      <c r="J597" s="110"/>
      <c r="K597" s="110"/>
      <c r="L597" s="264"/>
      <c r="M597" s="110"/>
      <c r="N597" s="124"/>
      <c r="O597" s="110"/>
      <c r="P597" s="110"/>
      <c r="Q597" s="110"/>
      <c r="R597" s="110"/>
      <c r="S597" s="110"/>
      <c r="T597" s="141"/>
      <c r="U597" s="140"/>
      <c r="V597" s="110"/>
      <c r="W597" s="110"/>
      <c r="X597" s="110"/>
      <c r="Y597" s="110"/>
      <c r="Z597" s="110"/>
      <c r="AA597" s="110"/>
      <c r="AB597" s="110"/>
      <c r="AC597" s="110"/>
      <c r="AD597" s="110"/>
      <c r="AE597" s="110"/>
      <c r="AF597" s="110"/>
      <c r="AG597" s="110"/>
      <c r="AH597" s="110"/>
      <c r="AI597" s="110" t="s">
        <v>482</v>
      </c>
      <c r="AJ597" s="110"/>
      <c r="AK597" s="110"/>
      <c r="AL597" s="110"/>
      <c r="AM597" s="641">
        <f t="shared" ref="AM597:AM660" si="12">SUM(C597:AL597)</f>
        <v>0</v>
      </c>
      <c r="AO597" s="289"/>
      <c r="AP597" s="97"/>
    </row>
    <row r="598" spans="1:42" s="61" customFormat="1" ht="25.5" customHeight="1" x14ac:dyDescent="0.3">
      <c r="A598" s="706"/>
      <c r="B598" s="175" t="s">
        <v>327</v>
      </c>
      <c r="C598" s="176"/>
      <c r="D598" s="127"/>
      <c r="E598" s="127"/>
      <c r="F598" s="265"/>
      <c r="G598" s="127"/>
      <c r="H598" s="127"/>
      <c r="I598" s="178"/>
      <c r="J598" s="127"/>
      <c r="K598" s="127"/>
      <c r="L598" s="265"/>
      <c r="M598" s="127"/>
      <c r="N598" s="178"/>
      <c r="O598" s="127"/>
      <c r="P598" s="127"/>
      <c r="Q598" s="127"/>
      <c r="R598" s="127"/>
      <c r="S598" s="127"/>
      <c r="T598" s="177"/>
      <c r="U598" s="176"/>
      <c r="V598" s="127"/>
      <c r="W598" s="127"/>
      <c r="X598" s="127"/>
      <c r="Y598" s="127"/>
      <c r="Z598" s="127"/>
      <c r="AA598" s="127"/>
      <c r="AB598" s="127"/>
      <c r="AC598" s="127"/>
      <c r="AD598" s="127"/>
      <c r="AE598" s="127"/>
      <c r="AF598" s="127"/>
      <c r="AG598" s="127"/>
      <c r="AH598" s="127"/>
      <c r="AI598" s="127" t="s">
        <v>482</v>
      </c>
      <c r="AJ598" s="127"/>
      <c r="AK598" s="127"/>
      <c r="AL598" s="127"/>
      <c r="AM598" s="642">
        <f t="shared" si="12"/>
        <v>0</v>
      </c>
      <c r="AO598" s="289"/>
    </row>
    <row r="599" spans="1:42" s="61" customFormat="1" ht="25.5" customHeight="1" x14ac:dyDescent="0.3">
      <c r="A599" s="706"/>
      <c r="B599" s="180" t="s">
        <v>361</v>
      </c>
      <c r="C599" s="300"/>
      <c r="D599" s="173"/>
      <c r="E599" s="173"/>
      <c r="F599" s="266"/>
      <c r="G599" s="173"/>
      <c r="H599" s="173"/>
      <c r="I599" s="174"/>
      <c r="J599" s="173"/>
      <c r="K599" s="173"/>
      <c r="L599" s="266"/>
      <c r="M599" s="173"/>
      <c r="N599" s="174"/>
      <c r="O599" s="173"/>
      <c r="P599" s="173"/>
      <c r="Q599" s="173"/>
      <c r="R599" s="173"/>
      <c r="S599" s="173"/>
      <c r="T599" s="327"/>
      <c r="U599" s="300"/>
      <c r="V599" s="173"/>
      <c r="W599" s="173"/>
      <c r="X599" s="173"/>
      <c r="Y599" s="173"/>
      <c r="Z599" s="173">
        <v>26.796680000000002</v>
      </c>
      <c r="AA599" s="173"/>
      <c r="AB599" s="173"/>
      <c r="AC599" s="173"/>
      <c r="AD599" s="173"/>
      <c r="AE599" s="173"/>
      <c r="AF599" s="173"/>
      <c r="AG599" s="173"/>
      <c r="AH599" s="173"/>
      <c r="AI599" s="173" t="s">
        <v>482</v>
      </c>
      <c r="AJ599" s="173"/>
      <c r="AK599" s="173"/>
      <c r="AL599" s="173"/>
      <c r="AM599" s="643">
        <f t="shared" si="12"/>
        <v>26.796680000000002</v>
      </c>
      <c r="AO599" s="289"/>
      <c r="AP599" s="97"/>
    </row>
    <row r="600" spans="1:42" s="61" customFormat="1" ht="25.5" customHeight="1" x14ac:dyDescent="0.3">
      <c r="A600" s="706"/>
      <c r="B600" s="180" t="s">
        <v>362</v>
      </c>
      <c r="C600" s="300"/>
      <c r="D600" s="173"/>
      <c r="E600" s="173"/>
      <c r="F600" s="266"/>
      <c r="G600" s="173"/>
      <c r="H600" s="173"/>
      <c r="I600" s="174"/>
      <c r="J600" s="173"/>
      <c r="K600" s="173"/>
      <c r="L600" s="266"/>
      <c r="M600" s="173"/>
      <c r="N600" s="174"/>
      <c r="O600" s="173"/>
      <c r="P600" s="173"/>
      <c r="Q600" s="173"/>
      <c r="R600" s="173"/>
      <c r="S600" s="173"/>
      <c r="T600" s="327"/>
      <c r="U600" s="300"/>
      <c r="V600" s="173"/>
      <c r="W600" s="173"/>
      <c r="X600" s="173"/>
      <c r="Y600" s="173"/>
      <c r="Z600" s="173">
        <v>21.366109999999999</v>
      </c>
      <c r="AA600" s="173"/>
      <c r="AB600" s="173"/>
      <c r="AC600" s="173"/>
      <c r="AD600" s="173"/>
      <c r="AE600" s="173"/>
      <c r="AF600" s="173"/>
      <c r="AG600" s="173"/>
      <c r="AH600" s="173"/>
      <c r="AI600" s="173" t="s">
        <v>482</v>
      </c>
      <c r="AJ600" s="173"/>
      <c r="AK600" s="173"/>
      <c r="AL600" s="173"/>
      <c r="AM600" s="644">
        <f t="shared" si="12"/>
        <v>21.366109999999999</v>
      </c>
      <c r="AO600" s="289"/>
      <c r="AP600" s="97"/>
    </row>
    <row r="601" spans="1:42" s="61" customFormat="1" ht="22.5" customHeight="1" x14ac:dyDescent="0.3">
      <c r="A601" s="706"/>
      <c r="B601" s="115" t="s">
        <v>402</v>
      </c>
      <c r="C601" s="142"/>
      <c r="D601" s="111"/>
      <c r="E601" s="111"/>
      <c r="F601" s="267"/>
      <c r="G601" s="111"/>
      <c r="H601" s="111"/>
      <c r="I601" s="125"/>
      <c r="J601" s="111"/>
      <c r="K601" s="111"/>
      <c r="L601" s="267"/>
      <c r="M601" s="111"/>
      <c r="N601" s="125"/>
      <c r="O601" s="111"/>
      <c r="P601" s="111"/>
      <c r="Q601" s="111"/>
      <c r="R601" s="111"/>
      <c r="S601" s="111"/>
      <c r="T601" s="143"/>
      <c r="U601" s="142"/>
      <c r="V601" s="111"/>
      <c r="W601" s="111"/>
      <c r="X601" s="111"/>
      <c r="Y601" s="111"/>
      <c r="Z601" s="111"/>
      <c r="AA601" s="111"/>
      <c r="AB601" s="111"/>
      <c r="AC601" s="111"/>
      <c r="AD601" s="111"/>
      <c r="AE601" s="111"/>
      <c r="AF601" s="111"/>
      <c r="AG601" s="111"/>
      <c r="AH601" s="111" t="s">
        <v>482</v>
      </c>
      <c r="AI601" s="111" t="s">
        <v>482</v>
      </c>
      <c r="AJ601" s="111"/>
      <c r="AK601" s="111"/>
      <c r="AL601" s="111"/>
      <c r="AM601" s="645">
        <f t="shared" si="12"/>
        <v>0</v>
      </c>
      <c r="AO601" s="289"/>
    </row>
    <row r="602" spans="1:42" s="61" customFormat="1" ht="21" customHeight="1" x14ac:dyDescent="0.3">
      <c r="A602" s="707"/>
      <c r="B602" s="181" t="s">
        <v>403</v>
      </c>
      <c r="C602" s="144">
        <v>668.73994000000005</v>
      </c>
      <c r="D602" s="112"/>
      <c r="E602" s="112"/>
      <c r="F602" s="268"/>
      <c r="G602" s="112"/>
      <c r="H602" s="112"/>
      <c r="I602" s="126"/>
      <c r="J602" s="112"/>
      <c r="K602" s="112"/>
      <c r="L602" s="268"/>
      <c r="M602" s="112"/>
      <c r="N602" s="126"/>
      <c r="O602" s="112"/>
      <c r="P602" s="112"/>
      <c r="Q602" s="112"/>
      <c r="R602" s="112"/>
      <c r="S602" s="112"/>
      <c r="T602" s="145"/>
      <c r="U602" s="144"/>
      <c r="V602" s="112"/>
      <c r="W602" s="112"/>
      <c r="X602" s="112"/>
      <c r="Y602" s="112"/>
      <c r="Z602" s="112"/>
      <c r="AA602" s="112"/>
      <c r="AB602" s="112"/>
      <c r="AC602" s="112"/>
      <c r="AD602" s="112"/>
      <c r="AE602" s="112"/>
      <c r="AF602" s="112"/>
      <c r="AG602" s="112"/>
      <c r="AH602" s="112" t="s">
        <v>482</v>
      </c>
      <c r="AI602" s="112" t="s">
        <v>482</v>
      </c>
      <c r="AJ602" s="112"/>
      <c r="AK602" s="112"/>
      <c r="AL602" s="112"/>
      <c r="AM602" s="646">
        <f t="shared" si="12"/>
        <v>668.73994000000005</v>
      </c>
      <c r="AO602" s="289"/>
    </row>
    <row r="603" spans="1:42" s="61" customFormat="1" ht="21" customHeight="1" x14ac:dyDescent="0.3">
      <c r="A603" s="705" t="s">
        <v>168</v>
      </c>
      <c r="B603" s="179" t="s">
        <v>293</v>
      </c>
      <c r="C603" s="135">
        <v>850</v>
      </c>
      <c r="D603" s="136">
        <v>6500</v>
      </c>
      <c r="E603" s="136"/>
      <c r="F603" s="262"/>
      <c r="G603" s="136">
        <v>338</v>
      </c>
      <c r="H603" s="136">
        <v>811</v>
      </c>
      <c r="I603" s="326"/>
      <c r="J603" s="136">
        <v>10</v>
      </c>
      <c r="K603" s="136"/>
      <c r="L603" s="262"/>
      <c r="M603" s="136"/>
      <c r="N603" s="326">
        <v>118.705</v>
      </c>
      <c r="O603" s="136"/>
      <c r="P603" s="136"/>
      <c r="Q603" s="136"/>
      <c r="R603" s="136"/>
      <c r="S603" s="136"/>
      <c r="T603" s="137">
        <v>25</v>
      </c>
      <c r="U603" s="632">
        <v>233.36500000000001</v>
      </c>
      <c r="V603" s="122">
        <v>10</v>
      </c>
      <c r="W603" s="122"/>
      <c r="X603" s="122">
        <v>20</v>
      </c>
      <c r="Y603" s="122">
        <v>798</v>
      </c>
      <c r="Z603" s="122">
        <v>4039</v>
      </c>
      <c r="AA603" s="122">
        <v>293.09169000000003</v>
      </c>
      <c r="AB603" s="122">
        <v>7</v>
      </c>
      <c r="AC603" s="122">
        <v>42.061</v>
      </c>
      <c r="AD603" s="122">
        <v>400</v>
      </c>
      <c r="AE603" s="122">
        <v>47</v>
      </c>
      <c r="AF603" s="122"/>
      <c r="AG603" s="122"/>
      <c r="AH603" s="122"/>
      <c r="AI603" s="122">
        <v>250</v>
      </c>
      <c r="AJ603" s="122"/>
      <c r="AK603" s="122">
        <v>2.2000000000000002</v>
      </c>
      <c r="AL603" s="122"/>
      <c r="AM603" s="639">
        <f t="shared" si="12"/>
        <v>14794.422689999999</v>
      </c>
      <c r="AO603" s="289"/>
    </row>
    <row r="604" spans="1:42" s="61" customFormat="1" ht="19.5" customHeight="1" x14ac:dyDescent="0.3">
      <c r="A604" s="706"/>
      <c r="B604" s="116" t="s">
        <v>294</v>
      </c>
      <c r="C604" s="138">
        <v>1287</v>
      </c>
      <c r="D604" s="109">
        <v>2979</v>
      </c>
      <c r="E604" s="109"/>
      <c r="F604" s="263"/>
      <c r="G604" s="109">
        <v>385</v>
      </c>
      <c r="H604" s="109">
        <v>725</v>
      </c>
      <c r="I604" s="123"/>
      <c r="J604" s="109"/>
      <c r="K604" s="109"/>
      <c r="L604" s="263"/>
      <c r="M604" s="109"/>
      <c r="N604" s="123">
        <v>373.79</v>
      </c>
      <c r="O604" s="109"/>
      <c r="P604" s="109"/>
      <c r="Q604" s="109"/>
      <c r="R604" s="109"/>
      <c r="S604" s="109">
        <v>654.87599999999998</v>
      </c>
      <c r="T604" s="139">
        <v>175.00700000000001</v>
      </c>
      <c r="U604" s="138">
        <v>76.713999999999999</v>
      </c>
      <c r="V604" s="109">
        <f>20007/1000-V603</f>
        <v>10.007000000000001</v>
      </c>
      <c r="W604" s="109"/>
      <c r="X604" s="109">
        <v>30</v>
      </c>
      <c r="Y604" s="109">
        <v>1588</v>
      </c>
      <c r="Z604" s="109">
        <v>12513</v>
      </c>
      <c r="AA604" s="109">
        <v>564.03395999999998</v>
      </c>
      <c r="AB604" s="109">
        <v>7</v>
      </c>
      <c r="AC604" s="109">
        <v>65</v>
      </c>
      <c r="AD604" s="109">
        <v>400</v>
      </c>
      <c r="AE604" s="109">
        <v>47</v>
      </c>
      <c r="AF604" s="109"/>
      <c r="AG604" s="109"/>
      <c r="AH604" s="109">
        <v>200</v>
      </c>
      <c r="AI604" s="109">
        <v>250</v>
      </c>
      <c r="AJ604" s="109"/>
      <c r="AK604" s="109">
        <v>2.3199999999999998</v>
      </c>
      <c r="AL604" s="109"/>
      <c r="AM604" s="640">
        <f t="shared" si="12"/>
        <v>22332.747960000001</v>
      </c>
      <c r="AO604" s="289"/>
    </row>
    <row r="605" spans="1:42" s="61" customFormat="1" ht="22.5" customHeight="1" x14ac:dyDescent="0.3">
      <c r="A605" s="706"/>
      <c r="B605" s="117" t="s">
        <v>326</v>
      </c>
      <c r="C605" s="140">
        <v>418.59699999999998</v>
      </c>
      <c r="D605" s="110">
        <v>3520.8339999999998</v>
      </c>
      <c r="E605" s="110"/>
      <c r="F605" s="264"/>
      <c r="G605" s="110">
        <v>383</v>
      </c>
      <c r="H605" s="110"/>
      <c r="I605" s="124"/>
      <c r="J605" s="110"/>
      <c r="K605" s="110"/>
      <c r="L605" s="264"/>
      <c r="M605" s="110"/>
      <c r="N605" s="124">
        <v>644.56200000000001</v>
      </c>
      <c r="O605" s="110"/>
      <c r="P605" s="110"/>
      <c r="Q605" s="110"/>
      <c r="R605" s="110"/>
      <c r="S605" s="110">
        <v>15</v>
      </c>
      <c r="T605" s="141"/>
      <c r="U605" s="140">
        <v>62.738</v>
      </c>
      <c r="V605" s="110"/>
      <c r="W605" s="110"/>
      <c r="X605" s="110">
        <v>30</v>
      </c>
      <c r="Y605" s="110">
        <v>1412</v>
      </c>
      <c r="Z605" s="110">
        <v>7056</v>
      </c>
      <c r="AA605" s="110">
        <f>-119.66973+1253.8113</f>
        <v>1134.14157</v>
      </c>
      <c r="AB605" s="110">
        <v>7</v>
      </c>
      <c r="AC605" s="110">
        <v>15</v>
      </c>
      <c r="AD605" s="110">
        <v>400</v>
      </c>
      <c r="AE605" s="110"/>
      <c r="AF605" s="110"/>
      <c r="AG605" s="110">
        <f>4.3/1.3</f>
        <v>3.3076923076923075</v>
      </c>
      <c r="AH605" s="110"/>
      <c r="AI605" s="110" t="s">
        <v>482</v>
      </c>
      <c r="AJ605" s="110"/>
      <c r="AK605" s="110">
        <v>2</v>
      </c>
      <c r="AL605" s="110"/>
      <c r="AM605" s="641">
        <f t="shared" si="12"/>
        <v>15104.180262307691</v>
      </c>
      <c r="AO605" s="289"/>
      <c r="AP605" s="97"/>
    </row>
    <row r="606" spans="1:42" s="61" customFormat="1" ht="25.5" customHeight="1" x14ac:dyDescent="0.3">
      <c r="A606" s="706"/>
      <c r="B606" s="175" t="s">
        <v>327</v>
      </c>
      <c r="C606" s="176">
        <v>14081.276</v>
      </c>
      <c r="D606" s="127">
        <v>6500</v>
      </c>
      <c r="E606" s="127"/>
      <c r="F606" s="265">
        <v>126</v>
      </c>
      <c r="G606" s="127">
        <v>396</v>
      </c>
      <c r="H606" s="127">
        <v>401</v>
      </c>
      <c r="I606" s="178"/>
      <c r="J606" s="127"/>
      <c r="K606" s="127"/>
      <c r="L606" s="265"/>
      <c r="M606" s="127"/>
      <c r="N606" s="178">
        <v>185.714</v>
      </c>
      <c r="O606" s="127"/>
      <c r="P606" s="127"/>
      <c r="Q606" s="127"/>
      <c r="R606" s="127"/>
      <c r="S606" s="127">
        <v>15</v>
      </c>
      <c r="T606" s="177"/>
      <c r="U606" s="176">
        <v>105.848</v>
      </c>
      <c r="V606" s="127">
        <v>10</v>
      </c>
      <c r="W606" s="127"/>
      <c r="X606" s="127">
        <v>30</v>
      </c>
      <c r="Y606" s="127">
        <v>4961</v>
      </c>
      <c r="Z606" s="127">
        <v>5651</v>
      </c>
      <c r="AA606" s="127">
        <f>-0.92766+16.08737</f>
        <v>15.15971</v>
      </c>
      <c r="AB606" s="127"/>
      <c r="AC606" s="127">
        <v>155</v>
      </c>
      <c r="AD606" s="127">
        <v>400</v>
      </c>
      <c r="AE606" s="127"/>
      <c r="AF606" s="127"/>
      <c r="AG606" s="127">
        <f>4.3/1.3</f>
        <v>3.3076923076923075</v>
      </c>
      <c r="AH606" s="127">
        <v>4207.75</v>
      </c>
      <c r="AI606" s="127">
        <v>85</v>
      </c>
      <c r="AJ606" s="127"/>
      <c r="AK606" s="127"/>
      <c r="AL606" s="127"/>
      <c r="AM606" s="642">
        <f t="shared" si="12"/>
        <v>37329.055402307691</v>
      </c>
      <c r="AO606" s="289"/>
    </row>
    <row r="607" spans="1:42" s="61" customFormat="1" ht="25.5" customHeight="1" x14ac:dyDescent="0.3">
      <c r="A607" s="706"/>
      <c r="B607" s="180" t="s">
        <v>361</v>
      </c>
      <c r="C607" s="300">
        <v>673.38799999999992</v>
      </c>
      <c r="D607" s="173">
        <v>6299</v>
      </c>
      <c r="E607" s="173"/>
      <c r="F607" s="266">
        <v>77</v>
      </c>
      <c r="G607" s="173">
        <f>396+26</f>
        <v>422</v>
      </c>
      <c r="H607" s="173">
        <f>508+23</f>
        <v>531</v>
      </c>
      <c r="I607" s="174"/>
      <c r="J607" s="173"/>
      <c r="K607" s="173"/>
      <c r="L607" s="266">
        <v>119</v>
      </c>
      <c r="M607" s="173"/>
      <c r="N607" s="174">
        <v>1149.116</v>
      </c>
      <c r="O607" s="173"/>
      <c r="P607" s="173"/>
      <c r="Q607" s="173"/>
      <c r="R607" s="173">
        <v>19</v>
      </c>
      <c r="S607" s="173">
        <v>15</v>
      </c>
      <c r="T607" s="327"/>
      <c r="U607" s="300">
        <v>537.78200000000004</v>
      </c>
      <c r="V607" s="173"/>
      <c r="W607" s="173">
        <v>48</v>
      </c>
      <c r="X607" s="173">
        <v>30</v>
      </c>
      <c r="Y607" s="173">
        <v>1191</v>
      </c>
      <c r="Z607" s="173">
        <v>5676.4746000000005</v>
      </c>
      <c r="AA607" s="173">
        <v>476.73671000000002</v>
      </c>
      <c r="AB607" s="173"/>
      <c r="AC607" s="173">
        <v>20</v>
      </c>
      <c r="AD607" s="173">
        <v>400</v>
      </c>
      <c r="AE607" s="173"/>
      <c r="AF607" s="173"/>
      <c r="AG607" s="173">
        <v>5</v>
      </c>
      <c r="AH607" s="173">
        <v>3599</v>
      </c>
      <c r="AI607" s="173">
        <v>791</v>
      </c>
      <c r="AJ607" s="173"/>
      <c r="AK607" s="173"/>
      <c r="AL607" s="173"/>
      <c r="AM607" s="643">
        <f t="shared" si="12"/>
        <v>22079.497310000002</v>
      </c>
      <c r="AO607" s="289"/>
      <c r="AP607" s="97"/>
    </row>
    <row r="608" spans="1:42" s="61" customFormat="1" ht="25.5" customHeight="1" x14ac:dyDescent="0.3">
      <c r="A608" s="706"/>
      <c r="B608" s="180" t="s">
        <v>362</v>
      </c>
      <c r="C608" s="300">
        <v>512.33332999999993</v>
      </c>
      <c r="D608" s="173">
        <v>6368.97</v>
      </c>
      <c r="E608" s="173"/>
      <c r="F608" s="266">
        <v>1470</v>
      </c>
      <c r="G608" s="173">
        <v>409</v>
      </c>
      <c r="H608" s="173">
        <f>469+23</f>
        <v>492</v>
      </c>
      <c r="I608" s="174"/>
      <c r="J608" s="173"/>
      <c r="K608" s="173">
        <v>96</v>
      </c>
      <c r="L608" s="266">
        <v>193</v>
      </c>
      <c r="M608" s="173">
        <v>18.350000000000001</v>
      </c>
      <c r="N608" s="174">
        <v>1378.837</v>
      </c>
      <c r="O608" s="173"/>
      <c r="P608" s="173"/>
      <c r="Q608" s="173"/>
      <c r="R608" s="173">
        <f>19-R607</f>
        <v>0</v>
      </c>
      <c r="S608" s="173">
        <v>457</v>
      </c>
      <c r="T608" s="327"/>
      <c r="U608" s="300">
        <v>328.88499999999999</v>
      </c>
      <c r="V608" s="173">
        <f>23461/1000</f>
        <v>23.460999999999999</v>
      </c>
      <c r="W608" s="173"/>
      <c r="X608" s="173">
        <v>30</v>
      </c>
      <c r="Y608" s="173">
        <v>1750</v>
      </c>
      <c r="Z608" s="173">
        <v>6445.6247099999991</v>
      </c>
      <c r="AA608" s="173">
        <v>671.07902999999999</v>
      </c>
      <c r="AB608" s="173">
        <v>7</v>
      </c>
      <c r="AC608" s="173">
        <f>110-20+200</f>
        <v>290</v>
      </c>
      <c r="AD608" s="173">
        <v>1519</v>
      </c>
      <c r="AE608" s="173"/>
      <c r="AF608" s="173"/>
      <c r="AG608" s="173">
        <v>5</v>
      </c>
      <c r="AH608" s="173">
        <v>8012</v>
      </c>
      <c r="AI608" s="173">
        <v>99</v>
      </c>
      <c r="AJ608" s="173"/>
      <c r="AK608" s="173"/>
      <c r="AL608" s="173"/>
      <c r="AM608" s="644">
        <f t="shared" si="12"/>
        <v>30576.540069999999</v>
      </c>
      <c r="AO608" s="289"/>
      <c r="AP608" s="97"/>
    </row>
    <row r="609" spans="1:42" s="61" customFormat="1" ht="22.5" customHeight="1" x14ac:dyDescent="0.3">
      <c r="A609" s="706"/>
      <c r="B609" s="115" t="s">
        <v>402</v>
      </c>
      <c r="C609" s="142">
        <v>869.05862000000002</v>
      </c>
      <c r="D609" s="111">
        <v>2941</v>
      </c>
      <c r="E609" s="111"/>
      <c r="F609" s="267">
        <v>2974.4</v>
      </c>
      <c r="G609" s="111"/>
      <c r="H609" s="111">
        <v>620</v>
      </c>
      <c r="I609" s="125"/>
      <c r="J609" s="111"/>
      <c r="K609" s="111"/>
      <c r="L609" s="267">
        <v>50</v>
      </c>
      <c r="M609" s="111">
        <v>1000</v>
      </c>
      <c r="N609" s="125"/>
      <c r="O609" s="111"/>
      <c r="P609" s="111">
        <v>42</v>
      </c>
      <c r="Q609" s="111"/>
      <c r="R609" s="111">
        <v>157</v>
      </c>
      <c r="S609" s="111">
        <v>4935.8406549999991</v>
      </c>
      <c r="T609" s="143">
        <v>1640</v>
      </c>
      <c r="U609" s="142">
        <v>464.99799999999999</v>
      </c>
      <c r="V609" s="111"/>
      <c r="W609" s="111"/>
      <c r="X609" s="111">
        <v>30</v>
      </c>
      <c r="Y609" s="111">
        <v>2442.0390000000002</v>
      </c>
      <c r="Z609" s="111">
        <v>1431</v>
      </c>
      <c r="AA609" s="111">
        <v>828</v>
      </c>
      <c r="AB609" s="111"/>
      <c r="AC609" s="111">
        <v>963</v>
      </c>
      <c r="AD609" s="111">
        <v>100</v>
      </c>
      <c r="AE609" s="111"/>
      <c r="AF609" s="111"/>
      <c r="AG609" s="111"/>
      <c r="AH609" s="111">
        <v>8539.9680000000008</v>
      </c>
      <c r="AI609" s="111">
        <v>266</v>
      </c>
      <c r="AJ609" s="111"/>
      <c r="AK609" s="111"/>
      <c r="AL609" s="111"/>
      <c r="AM609" s="645">
        <f t="shared" si="12"/>
        <v>30294.304274999999</v>
      </c>
      <c r="AO609" s="289"/>
    </row>
    <row r="610" spans="1:42" s="61" customFormat="1" ht="21" customHeight="1" x14ac:dyDescent="0.3">
      <c r="A610" s="707"/>
      <c r="B610" s="181" t="s">
        <v>403</v>
      </c>
      <c r="C610" s="144">
        <v>1023.73778</v>
      </c>
      <c r="D610" s="112">
        <v>6341</v>
      </c>
      <c r="E610" s="112"/>
      <c r="F610" s="268">
        <v>-86.3</v>
      </c>
      <c r="G610" s="112">
        <v>1</v>
      </c>
      <c r="H610" s="112">
        <v>1095.576</v>
      </c>
      <c r="I610" s="126"/>
      <c r="J610" s="112"/>
      <c r="K610" s="112"/>
      <c r="L610" s="268"/>
      <c r="M610" s="112"/>
      <c r="N610" s="126"/>
      <c r="O610" s="112"/>
      <c r="P610" s="112">
        <v>0</v>
      </c>
      <c r="Q610" s="112"/>
      <c r="R610" s="112">
        <v>0</v>
      </c>
      <c r="S610" s="112">
        <v>3118.3148900000001</v>
      </c>
      <c r="T610" s="145">
        <v>0</v>
      </c>
      <c r="U610" s="144">
        <v>450.65100000000001</v>
      </c>
      <c r="V610" s="112"/>
      <c r="W610" s="112"/>
      <c r="X610" s="112">
        <v>30</v>
      </c>
      <c r="Y610" s="112">
        <v>1751.4349999999999</v>
      </c>
      <c r="Z610" s="112">
        <v>2009</v>
      </c>
      <c r="AA610" s="112">
        <v>694</v>
      </c>
      <c r="AB610" s="112"/>
      <c r="AC610" s="112">
        <v>214</v>
      </c>
      <c r="AD610" s="112">
        <v>2030</v>
      </c>
      <c r="AE610" s="112"/>
      <c r="AF610" s="112"/>
      <c r="AG610" s="112"/>
      <c r="AH610" s="112">
        <v>5516.3720000000003</v>
      </c>
      <c r="AI610" s="112">
        <v>267</v>
      </c>
      <c r="AJ610" s="112"/>
      <c r="AK610" s="112"/>
      <c r="AL610" s="112"/>
      <c r="AM610" s="646">
        <f t="shared" si="12"/>
        <v>24455.786669999998</v>
      </c>
      <c r="AO610" s="289"/>
    </row>
    <row r="611" spans="1:42" s="61" customFormat="1" ht="21" customHeight="1" x14ac:dyDescent="0.3">
      <c r="A611" s="705" t="s">
        <v>169</v>
      </c>
      <c r="B611" s="179" t="s">
        <v>293</v>
      </c>
      <c r="C611" s="135"/>
      <c r="D611" s="136"/>
      <c r="E611" s="136"/>
      <c r="F611" s="262"/>
      <c r="G611" s="136"/>
      <c r="H611" s="136"/>
      <c r="I611" s="326"/>
      <c r="J611" s="136"/>
      <c r="K611" s="136"/>
      <c r="L611" s="262"/>
      <c r="M611" s="136"/>
      <c r="N611" s="326"/>
      <c r="O611" s="136"/>
      <c r="P611" s="136"/>
      <c r="Q611" s="136"/>
      <c r="R611" s="136"/>
      <c r="S611" s="136"/>
      <c r="T611" s="137"/>
      <c r="U611" s="632"/>
      <c r="V611" s="122"/>
      <c r="W611" s="122"/>
      <c r="X611" s="122"/>
      <c r="Y611" s="122"/>
      <c r="Z611" s="122"/>
      <c r="AA611" s="122"/>
      <c r="AB611" s="122"/>
      <c r="AC611" s="122"/>
      <c r="AD611" s="122"/>
      <c r="AE611" s="122"/>
      <c r="AF611" s="122"/>
      <c r="AG611" s="122"/>
      <c r="AH611" s="122"/>
      <c r="AI611" s="122" t="s">
        <v>482</v>
      </c>
      <c r="AJ611" s="122"/>
      <c r="AK611" s="122"/>
      <c r="AL611" s="122"/>
      <c r="AM611" s="639">
        <f t="shared" si="12"/>
        <v>0</v>
      </c>
      <c r="AO611" s="289"/>
    </row>
    <row r="612" spans="1:42" s="61" customFormat="1" ht="19.5" customHeight="1" x14ac:dyDescent="0.3">
      <c r="A612" s="706"/>
      <c r="B612" s="116" t="s">
        <v>294</v>
      </c>
      <c r="C612" s="138"/>
      <c r="D612" s="109"/>
      <c r="E612" s="109"/>
      <c r="F612" s="263"/>
      <c r="G612" s="109"/>
      <c r="H612" s="109"/>
      <c r="I612" s="123"/>
      <c r="J612" s="109"/>
      <c r="K612" s="109"/>
      <c r="L612" s="263"/>
      <c r="M612" s="109"/>
      <c r="N612" s="123"/>
      <c r="O612" s="109"/>
      <c r="P612" s="109"/>
      <c r="Q612" s="109"/>
      <c r="R612" s="109"/>
      <c r="S612" s="109"/>
      <c r="T612" s="139"/>
      <c r="U612" s="138"/>
      <c r="V612" s="109"/>
      <c r="W612" s="109"/>
      <c r="X612" s="109"/>
      <c r="Y612" s="109"/>
      <c r="Z612" s="109"/>
      <c r="AA612" s="109"/>
      <c r="AB612" s="109"/>
      <c r="AC612" s="109"/>
      <c r="AD612" s="109"/>
      <c r="AE612" s="109"/>
      <c r="AF612" s="109"/>
      <c r="AG612" s="109"/>
      <c r="AH612" s="109"/>
      <c r="AI612" s="109" t="s">
        <v>482</v>
      </c>
      <c r="AJ612" s="109"/>
      <c r="AK612" s="109"/>
      <c r="AL612" s="109"/>
      <c r="AM612" s="640">
        <f t="shared" si="12"/>
        <v>0</v>
      </c>
      <c r="AO612" s="289"/>
    </row>
    <row r="613" spans="1:42" s="61" customFormat="1" ht="22.5" customHeight="1" x14ac:dyDescent="0.3">
      <c r="A613" s="706"/>
      <c r="B613" s="117" t="s">
        <v>326</v>
      </c>
      <c r="C613" s="140"/>
      <c r="D613" s="110"/>
      <c r="E613" s="110"/>
      <c r="F613" s="264"/>
      <c r="G613" s="110"/>
      <c r="H613" s="110"/>
      <c r="I613" s="124"/>
      <c r="J613" s="110"/>
      <c r="K613" s="110"/>
      <c r="L613" s="264"/>
      <c r="M613" s="110"/>
      <c r="N613" s="124"/>
      <c r="O613" s="110"/>
      <c r="P613" s="110"/>
      <c r="Q613" s="110"/>
      <c r="R613" s="110"/>
      <c r="S613" s="110"/>
      <c r="T613" s="141"/>
      <c r="U613" s="140">
        <v>3.1E-2</v>
      </c>
      <c r="V613" s="110"/>
      <c r="W613" s="110"/>
      <c r="X613" s="110"/>
      <c r="Y613" s="110"/>
      <c r="Z613" s="110">
        <v>1</v>
      </c>
      <c r="AA613" s="110"/>
      <c r="AB613" s="110"/>
      <c r="AC613" s="110"/>
      <c r="AD613" s="110"/>
      <c r="AE613" s="110"/>
      <c r="AF613" s="110"/>
      <c r="AG613" s="110"/>
      <c r="AH613" s="110"/>
      <c r="AI613" s="110" t="s">
        <v>482</v>
      </c>
      <c r="AJ613" s="110"/>
      <c r="AK613" s="110"/>
      <c r="AL613" s="110"/>
      <c r="AM613" s="641">
        <f t="shared" si="12"/>
        <v>1.0309999999999999</v>
      </c>
      <c r="AO613" s="289"/>
      <c r="AP613" s="97"/>
    </row>
    <row r="614" spans="1:42" s="61" customFormat="1" ht="25.5" customHeight="1" x14ac:dyDescent="0.3">
      <c r="A614" s="706"/>
      <c r="B614" s="175" t="s">
        <v>327</v>
      </c>
      <c r="C614" s="176"/>
      <c r="D614" s="127"/>
      <c r="E614" s="127"/>
      <c r="F614" s="265"/>
      <c r="G614" s="127"/>
      <c r="H614" s="127"/>
      <c r="I614" s="178"/>
      <c r="J614" s="127"/>
      <c r="K614" s="127"/>
      <c r="L614" s="265"/>
      <c r="M614" s="127"/>
      <c r="N614" s="178"/>
      <c r="O614" s="127"/>
      <c r="P614" s="127"/>
      <c r="Q614" s="127"/>
      <c r="R614" s="127"/>
      <c r="S614" s="127">
        <v>3</v>
      </c>
      <c r="T614" s="177"/>
      <c r="U614" s="176"/>
      <c r="V614" s="127"/>
      <c r="W614" s="127"/>
      <c r="X614" s="127"/>
      <c r="Y614" s="127"/>
      <c r="Z614" s="127"/>
      <c r="AA614" s="127"/>
      <c r="AB614" s="127"/>
      <c r="AC614" s="127"/>
      <c r="AD614" s="127"/>
      <c r="AE614" s="127"/>
      <c r="AF614" s="127"/>
      <c r="AG614" s="127"/>
      <c r="AH614" s="127"/>
      <c r="AI614" s="127" t="s">
        <v>482</v>
      </c>
      <c r="AJ614" s="127"/>
      <c r="AK614" s="127"/>
      <c r="AL614" s="127"/>
      <c r="AM614" s="642">
        <f t="shared" si="12"/>
        <v>3</v>
      </c>
      <c r="AO614" s="289"/>
    </row>
    <row r="615" spans="1:42" s="61" customFormat="1" ht="25.5" customHeight="1" x14ac:dyDescent="0.3">
      <c r="A615" s="706"/>
      <c r="B615" s="180" t="s">
        <v>361</v>
      </c>
      <c r="C615" s="300">
        <v>10</v>
      </c>
      <c r="D615" s="173"/>
      <c r="E615" s="173"/>
      <c r="F615" s="266"/>
      <c r="G615" s="173"/>
      <c r="H615" s="173"/>
      <c r="I615" s="174"/>
      <c r="J615" s="173"/>
      <c r="K615" s="173"/>
      <c r="L615" s="266"/>
      <c r="M615" s="173"/>
      <c r="N615" s="174"/>
      <c r="O615" s="173"/>
      <c r="P615" s="173"/>
      <c r="Q615" s="173"/>
      <c r="R615" s="173"/>
      <c r="S615" s="173">
        <v>4</v>
      </c>
      <c r="T615" s="327"/>
      <c r="U615" s="300">
        <v>6.2E-2</v>
      </c>
      <c r="V615" s="173"/>
      <c r="W615" s="173"/>
      <c r="X615" s="173"/>
      <c r="Y615" s="173"/>
      <c r="Z615" s="173"/>
      <c r="AA615" s="173"/>
      <c r="AB615" s="173"/>
      <c r="AC615" s="173"/>
      <c r="AD615" s="173"/>
      <c r="AE615" s="173"/>
      <c r="AF615" s="173"/>
      <c r="AG615" s="173"/>
      <c r="AH615" s="173"/>
      <c r="AI615" s="173" t="s">
        <v>482</v>
      </c>
      <c r="AJ615" s="173"/>
      <c r="AK615" s="173"/>
      <c r="AL615" s="173"/>
      <c r="AM615" s="643">
        <f t="shared" si="12"/>
        <v>14.061999999999999</v>
      </c>
      <c r="AO615" s="289"/>
      <c r="AP615" s="97"/>
    </row>
    <row r="616" spans="1:42" s="61" customFormat="1" ht="25.5" customHeight="1" x14ac:dyDescent="0.3">
      <c r="A616" s="706"/>
      <c r="B616" s="180" t="s">
        <v>362</v>
      </c>
      <c r="C616" s="300"/>
      <c r="D616" s="173"/>
      <c r="E616" s="173"/>
      <c r="F616" s="266"/>
      <c r="G616" s="173"/>
      <c r="H616" s="173"/>
      <c r="I616" s="174"/>
      <c r="J616" s="173"/>
      <c r="K616" s="173"/>
      <c r="L616" s="266"/>
      <c r="M616" s="173"/>
      <c r="N616" s="174"/>
      <c r="O616" s="173"/>
      <c r="P616" s="173"/>
      <c r="Q616" s="173"/>
      <c r="R616" s="173"/>
      <c r="S616" s="173">
        <v>2</v>
      </c>
      <c r="T616" s="327"/>
      <c r="U616" s="300"/>
      <c r="V616" s="173"/>
      <c r="W616" s="173"/>
      <c r="X616" s="173"/>
      <c r="Y616" s="173"/>
      <c r="Z616" s="173">
        <v>2</v>
      </c>
      <c r="AA616" s="173"/>
      <c r="AB616" s="173"/>
      <c r="AC616" s="173"/>
      <c r="AD616" s="173"/>
      <c r="AE616" s="173"/>
      <c r="AF616" s="173"/>
      <c r="AG616" s="173"/>
      <c r="AH616" s="173"/>
      <c r="AI616" s="173" t="s">
        <v>482</v>
      </c>
      <c r="AJ616" s="173"/>
      <c r="AK616" s="173"/>
      <c r="AL616" s="173"/>
      <c r="AM616" s="644">
        <f t="shared" si="12"/>
        <v>4</v>
      </c>
      <c r="AO616" s="289"/>
      <c r="AP616" s="97"/>
    </row>
    <row r="617" spans="1:42" s="61" customFormat="1" ht="22.5" customHeight="1" x14ac:dyDescent="0.3">
      <c r="A617" s="706"/>
      <c r="B617" s="115" t="s">
        <v>402</v>
      </c>
      <c r="C617" s="142"/>
      <c r="D617" s="111"/>
      <c r="E617" s="111"/>
      <c r="F617" s="267"/>
      <c r="G617" s="111"/>
      <c r="H617" s="111"/>
      <c r="I617" s="125"/>
      <c r="J617" s="111"/>
      <c r="K617" s="111"/>
      <c r="L617" s="267"/>
      <c r="M617" s="111">
        <v>0.5891900000000001</v>
      </c>
      <c r="N617" s="125"/>
      <c r="O617" s="111"/>
      <c r="P617" s="111"/>
      <c r="Q617" s="111"/>
      <c r="R617" s="111"/>
      <c r="S617" s="111">
        <v>-4.6334999999999994E-2</v>
      </c>
      <c r="T617" s="143">
        <v>0</v>
      </c>
      <c r="U617" s="142">
        <v>6.3E-2</v>
      </c>
      <c r="V617" s="111"/>
      <c r="W617" s="111"/>
      <c r="X617" s="111"/>
      <c r="Y617" s="111"/>
      <c r="Z617" s="111"/>
      <c r="AA617" s="111"/>
      <c r="AB617" s="111"/>
      <c r="AC617" s="111"/>
      <c r="AD617" s="111"/>
      <c r="AE617" s="111"/>
      <c r="AF617" s="111"/>
      <c r="AG617" s="111"/>
      <c r="AH617" s="111" t="s">
        <v>482</v>
      </c>
      <c r="AI617" s="111" t="s">
        <v>482</v>
      </c>
      <c r="AJ617" s="111"/>
      <c r="AK617" s="111"/>
      <c r="AL617" s="111"/>
      <c r="AM617" s="645">
        <f t="shared" si="12"/>
        <v>0.60585500000000003</v>
      </c>
      <c r="AO617" s="289"/>
    </row>
    <row r="618" spans="1:42" s="61" customFormat="1" ht="21" customHeight="1" x14ac:dyDescent="0.3">
      <c r="A618" s="707"/>
      <c r="B618" s="181" t="s">
        <v>403</v>
      </c>
      <c r="C618" s="144"/>
      <c r="D618" s="112"/>
      <c r="E618" s="112"/>
      <c r="F618" s="268"/>
      <c r="G618" s="112"/>
      <c r="H618" s="112"/>
      <c r="I618" s="126"/>
      <c r="J618" s="112"/>
      <c r="K618" s="112"/>
      <c r="L618" s="268"/>
      <c r="M618" s="112"/>
      <c r="N618" s="126"/>
      <c r="O618" s="112"/>
      <c r="P618" s="112"/>
      <c r="Q618" s="112"/>
      <c r="R618" s="112"/>
      <c r="S618" s="112">
        <v>4.4111999999999991E-2</v>
      </c>
      <c r="T618" s="145">
        <v>0</v>
      </c>
      <c r="U618" s="144">
        <v>3.2000000000000001E-2</v>
      </c>
      <c r="V618" s="112"/>
      <c r="W618" s="112"/>
      <c r="X618" s="112"/>
      <c r="Y618" s="112"/>
      <c r="Z618" s="112"/>
      <c r="AA618" s="112"/>
      <c r="AB618" s="112"/>
      <c r="AC618" s="112"/>
      <c r="AD618" s="112"/>
      <c r="AE618" s="112"/>
      <c r="AF618" s="112"/>
      <c r="AG618" s="112"/>
      <c r="AH618" s="112" t="s">
        <v>482</v>
      </c>
      <c r="AI618" s="112" t="s">
        <v>482</v>
      </c>
      <c r="AJ618" s="112"/>
      <c r="AK618" s="112"/>
      <c r="AL618" s="112"/>
      <c r="AM618" s="646">
        <f t="shared" si="12"/>
        <v>7.6111999999999985E-2</v>
      </c>
      <c r="AO618" s="289"/>
    </row>
    <row r="619" spans="1:42" s="61" customFormat="1" ht="21" customHeight="1" x14ac:dyDescent="0.3">
      <c r="A619" s="705" t="s">
        <v>170</v>
      </c>
      <c r="B619" s="179" t="s">
        <v>293</v>
      </c>
      <c r="C619" s="135">
        <v>-4</v>
      </c>
      <c r="D619" s="136"/>
      <c r="E619" s="136"/>
      <c r="F619" s="262"/>
      <c r="G619" s="136">
        <v>30</v>
      </c>
      <c r="H619" s="136">
        <v>164</v>
      </c>
      <c r="I619" s="326"/>
      <c r="J619" s="136"/>
      <c r="K619" s="136"/>
      <c r="L619" s="262"/>
      <c r="M619" s="136"/>
      <c r="N619" s="326">
        <v>1508.3920000000001</v>
      </c>
      <c r="O619" s="136"/>
      <c r="P619" s="136"/>
      <c r="Q619" s="136">
        <v>477</v>
      </c>
      <c r="R619" s="254"/>
      <c r="S619" s="254"/>
      <c r="T619" s="137"/>
      <c r="U619" s="632">
        <v>282.12799999999999</v>
      </c>
      <c r="V619" s="122"/>
      <c r="W619" s="122"/>
      <c r="X619" s="122"/>
      <c r="Y619" s="122"/>
      <c r="Z619" s="122"/>
      <c r="AA619" s="122">
        <v>284.45</v>
      </c>
      <c r="AB619" s="122"/>
      <c r="AC619" s="122"/>
      <c r="AD619" s="122"/>
      <c r="AE619" s="122"/>
      <c r="AF619" s="122"/>
      <c r="AG619" s="122"/>
      <c r="AH619" s="122"/>
      <c r="AI619" s="122" t="s">
        <v>482</v>
      </c>
      <c r="AJ619" s="122"/>
      <c r="AK619" s="122"/>
      <c r="AL619" s="122"/>
      <c r="AM619" s="639">
        <f t="shared" si="12"/>
        <v>2741.97</v>
      </c>
      <c r="AO619" s="289"/>
    </row>
    <row r="620" spans="1:42" s="61" customFormat="1" ht="19.5" customHeight="1" x14ac:dyDescent="0.3">
      <c r="A620" s="706"/>
      <c r="B620" s="116" t="s">
        <v>294</v>
      </c>
      <c r="C620" s="138">
        <v>16</v>
      </c>
      <c r="D620" s="109"/>
      <c r="E620" s="109"/>
      <c r="F620" s="263"/>
      <c r="G620" s="109">
        <v>136</v>
      </c>
      <c r="H620" s="109"/>
      <c r="I620" s="123"/>
      <c r="J620" s="109"/>
      <c r="K620" s="109"/>
      <c r="L620" s="263"/>
      <c r="M620" s="109"/>
      <c r="N620" s="123">
        <v>1764.866</v>
      </c>
      <c r="O620" s="109"/>
      <c r="P620" s="109"/>
      <c r="Q620" s="109">
        <v>1012</v>
      </c>
      <c r="R620" s="109"/>
      <c r="S620" s="109"/>
      <c r="T620" s="139"/>
      <c r="U620" s="138">
        <v>1.946</v>
      </c>
      <c r="V620" s="109"/>
      <c r="W620" s="109"/>
      <c r="X620" s="109"/>
      <c r="Y620" s="109"/>
      <c r="Z620" s="109"/>
      <c r="AA620" s="109">
        <v>894.19395999999995</v>
      </c>
      <c r="AB620" s="109"/>
      <c r="AC620" s="109"/>
      <c r="AD620" s="109"/>
      <c r="AE620" s="109"/>
      <c r="AF620" s="109"/>
      <c r="AG620" s="109"/>
      <c r="AH620" s="109">
        <v>161.47999999999999</v>
      </c>
      <c r="AI620" s="109" t="s">
        <v>482</v>
      </c>
      <c r="AJ620" s="109"/>
      <c r="AK620" s="109"/>
      <c r="AL620" s="109"/>
      <c r="AM620" s="640">
        <f t="shared" si="12"/>
        <v>3986.48596</v>
      </c>
      <c r="AO620" s="289"/>
    </row>
    <row r="621" spans="1:42" s="61" customFormat="1" ht="22.5" customHeight="1" x14ac:dyDescent="0.3">
      <c r="A621" s="706"/>
      <c r="B621" s="117" t="s">
        <v>326</v>
      </c>
      <c r="C621" s="140">
        <v>57.6</v>
      </c>
      <c r="D621" s="110"/>
      <c r="E621" s="110"/>
      <c r="F621" s="264"/>
      <c r="G621" s="110"/>
      <c r="H621" s="110">
        <v>5</v>
      </c>
      <c r="I621" s="124"/>
      <c r="J621" s="110"/>
      <c r="K621" s="110"/>
      <c r="L621" s="264"/>
      <c r="M621" s="110"/>
      <c r="N621" s="124">
        <v>4132.4120000000003</v>
      </c>
      <c r="O621" s="110"/>
      <c r="P621" s="110"/>
      <c r="Q621" s="110">
        <v>1118</v>
      </c>
      <c r="R621" s="110"/>
      <c r="S621" s="110">
        <v>73573</v>
      </c>
      <c r="T621" s="141"/>
      <c r="U621" s="140"/>
      <c r="V621" s="110"/>
      <c r="W621" s="110">
        <v>425</v>
      </c>
      <c r="X621" s="110"/>
      <c r="Y621" s="110"/>
      <c r="Z621" s="110">
        <v>1</v>
      </c>
      <c r="AA621" s="110">
        <v>545.55613000000005</v>
      </c>
      <c r="AB621" s="110"/>
      <c r="AC621" s="110"/>
      <c r="AD621" s="110"/>
      <c r="AE621" s="110"/>
      <c r="AF621" s="110"/>
      <c r="AG621" s="110"/>
      <c r="AH621" s="110"/>
      <c r="AI621" s="110" t="s">
        <v>482</v>
      </c>
      <c r="AJ621" s="110"/>
      <c r="AK621" s="110"/>
      <c r="AL621" s="110"/>
      <c r="AM621" s="641">
        <f t="shared" si="12"/>
        <v>79857.56813</v>
      </c>
      <c r="AO621" s="289"/>
      <c r="AP621" s="97"/>
    </row>
    <row r="622" spans="1:42" s="61" customFormat="1" ht="25.5" customHeight="1" x14ac:dyDescent="0.3">
      <c r="A622" s="706"/>
      <c r="B622" s="175" t="s">
        <v>327</v>
      </c>
      <c r="C622" s="176"/>
      <c r="D622" s="127"/>
      <c r="E622" s="127"/>
      <c r="F622" s="265"/>
      <c r="G622" s="127"/>
      <c r="H622" s="127">
        <v>18345</v>
      </c>
      <c r="I622" s="178"/>
      <c r="J622" s="127"/>
      <c r="K622" s="127"/>
      <c r="L622" s="265"/>
      <c r="M622" s="127"/>
      <c r="N622" s="178">
        <v>11113.58</v>
      </c>
      <c r="O622" s="127"/>
      <c r="P622" s="127"/>
      <c r="Q622" s="127">
        <v>-242</v>
      </c>
      <c r="R622" s="127"/>
      <c r="S622" s="127">
        <v>57095</v>
      </c>
      <c r="T622" s="177"/>
      <c r="U622" s="176">
        <v>0.91500000000000004</v>
      </c>
      <c r="V622" s="127"/>
      <c r="W622" s="127">
        <f>395+737-425</f>
        <v>707</v>
      </c>
      <c r="X622" s="127"/>
      <c r="Y622" s="127"/>
      <c r="Z622" s="127">
        <v>11.503620000000002</v>
      </c>
      <c r="AA622" s="127">
        <v>196.89699999999999</v>
      </c>
      <c r="AB622" s="127"/>
      <c r="AC622" s="127"/>
      <c r="AD622" s="127"/>
      <c r="AE622" s="127"/>
      <c r="AF622" s="127"/>
      <c r="AG622" s="127"/>
      <c r="AH622" s="127"/>
      <c r="AI622" s="127" t="s">
        <v>482</v>
      </c>
      <c r="AJ622" s="127"/>
      <c r="AK622" s="127">
        <v>1</v>
      </c>
      <c r="AL622" s="127"/>
      <c r="AM622" s="642">
        <f t="shared" si="12"/>
        <v>87228.895619999996</v>
      </c>
      <c r="AO622" s="289"/>
    </row>
    <row r="623" spans="1:42" s="61" customFormat="1" ht="25.5" customHeight="1" x14ac:dyDescent="0.3">
      <c r="A623" s="706"/>
      <c r="B623" s="180" t="s">
        <v>361</v>
      </c>
      <c r="C623" s="300"/>
      <c r="D623" s="173"/>
      <c r="E623" s="173"/>
      <c r="F623" s="266"/>
      <c r="G623" s="173">
        <v>1</v>
      </c>
      <c r="H623" s="173">
        <v>67590</v>
      </c>
      <c r="I623" s="174"/>
      <c r="J623" s="173"/>
      <c r="K623" s="173"/>
      <c r="L623" s="266"/>
      <c r="M623" s="173"/>
      <c r="N623" s="174">
        <v>5324.5889999999999</v>
      </c>
      <c r="O623" s="173"/>
      <c r="P623" s="173"/>
      <c r="Q623" s="173">
        <v>1180</v>
      </c>
      <c r="R623" s="173"/>
      <c r="S623" s="173">
        <v>125497</v>
      </c>
      <c r="T623" s="327"/>
      <c r="U623" s="300">
        <v>669.70399999999995</v>
      </c>
      <c r="V623" s="173"/>
      <c r="W623" s="173">
        <v>441</v>
      </c>
      <c r="X623" s="173"/>
      <c r="Y623" s="173"/>
      <c r="Z623" s="173"/>
      <c r="AA623" s="173"/>
      <c r="AB623" s="173"/>
      <c r="AC623" s="173"/>
      <c r="AD623" s="173"/>
      <c r="AE623" s="173"/>
      <c r="AF623" s="173"/>
      <c r="AG623" s="173"/>
      <c r="AH623" s="173"/>
      <c r="AI623" s="173">
        <v>4</v>
      </c>
      <c r="AJ623" s="173"/>
      <c r="AK623" s="173"/>
      <c r="AL623" s="173"/>
      <c r="AM623" s="643">
        <f t="shared" si="12"/>
        <v>200707.29300000001</v>
      </c>
      <c r="AO623" s="289"/>
      <c r="AP623" s="97"/>
    </row>
    <row r="624" spans="1:42" s="61" customFormat="1" ht="25.5" customHeight="1" x14ac:dyDescent="0.3">
      <c r="A624" s="706"/>
      <c r="B624" s="180" t="s">
        <v>362</v>
      </c>
      <c r="C624" s="300">
        <v>20</v>
      </c>
      <c r="D624" s="173"/>
      <c r="E624" s="173"/>
      <c r="F624" s="266">
        <v>100</v>
      </c>
      <c r="G624" s="173"/>
      <c r="H624" s="173">
        <v>38345</v>
      </c>
      <c r="I624" s="174"/>
      <c r="J624" s="173"/>
      <c r="K624" s="173"/>
      <c r="L624" s="266"/>
      <c r="M624" s="173"/>
      <c r="N624" s="174">
        <v>11619.049000000001</v>
      </c>
      <c r="O624" s="173"/>
      <c r="P624" s="173"/>
      <c r="Q624" s="173">
        <v>267</v>
      </c>
      <c r="R624" s="173"/>
      <c r="S624" s="173">
        <v>92352</v>
      </c>
      <c r="T624" s="327"/>
      <c r="U624" s="300">
        <v>24.143999999999998</v>
      </c>
      <c r="V624" s="173"/>
      <c r="W624" s="173">
        <v>421</v>
      </c>
      <c r="X624" s="173"/>
      <c r="Y624" s="173"/>
      <c r="Z624" s="173"/>
      <c r="AA624" s="173">
        <v>33.416629999999998</v>
      </c>
      <c r="AB624" s="173"/>
      <c r="AC624" s="173"/>
      <c r="AD624" s="173"/>
      <c r="AE624" s="173"/>
      <c r="AF624" s="173"/>
      <c r="AG624" s="173"/>
      <c r="AH624" s="173"/>
      <c r="AI624" s="173" t="s">
        <v>482</v>
      </c>
      <c r="AJ624" s="173"/>
      <c r="AK624" s="173"/>
      <c r="AL624" s="173"/>
      <c r="AM624" s="644">
        <f t="shared" si="12"/>
        <v>143181.60962999999</v>
      </c>
      <c r="AO624" s="289"/>
      <c r="AP624" s="97"/>
    </row>
    <row r="625" spans="1:42" s="61" customFormat="1" ht="22.5" customHeight="1" x14ac:dyDescent="0.3">
      <c r="A625" s="706"/>
      <c r="B625" s="115" t="s">
        <v>402</v>
      </c>
      <c r="C625" s="142">
        <v>257.86970000000002</v>
      </c>
      <c r="D625" s="111"/>
      <c r="E625" s="111"/>
      <c r="F625" s="267"/>
      <c r="G625" s="111"/>
      <c r="H625" s="111"/>
      <c r="I625" s="125"/>
      <c r="J625" s="111"/>
      <c r="K625" s="111"/>
      <c r="L625" s="267"/>
      <c r="M625" s="111"/>
      <c r="N625" s="125"/>
      <c r="O625" s="111"/>
      <c r="P625" s="111"/>
      <c r="Q625" s="111">
        <v>-3</v>
      </c>
      <c r="R625" s="111"/>
      <c r="S625" s="111">
        <v>14982.744804</v>
      </c>
      <c r="T625" s="143">
        <v>0</v>
      </c>
      <c r="U625" s="142">
        <v>9.98</v>
      </c>
      <c r="V625" s="111"/>
      <c r="W625" s="111"/>
      <c r="X625" s="111"/>
      <c r="Y625" s="111"/>
      <c r="Z625" s="111"/>
      <c r="AA625" s="111">
        <v>11</v>
      </c>
      <c r="AB625" s="111"/>
      <c r="AC625" s="111"/>
      <c r="AD625" s="111"/>
      <c r="AE625" s="111"/>
      <c r="AF625" s="111"/>
      <c r="AG625" s="111"/>
      <c r="AH625" s="111" t="s">
        <v>482</v>
      </c>
      <c r="AI625" s="111">
        <v>50</v>
      </c>
      <c r="AJ625" s="111"/>
      <c r="AK625" s="111"/>
      <c r="AL625" s="111"/>
      <c r="AM625" s="645">
        <f t="shared" si="12"/>
        <v>15308.594503999999</v>
      </c>
      <c r="AO625" s="289"/>
    </row>
    <row r="626" spans="1:42" s="61" customFormat="1" ht="21" customHeight="1" x14ac:dyDescent="0.3">
      <c r="A626" s="707"/>
      <c r="B626" s="181" t="s">
        <v>403</v>
      </c>
      <c r="C626" s="144">
        <v>100.15431</v>
      </c>
      <c r="D626" s="112"/>
      <c r="E626" s="112"/>
      <c r="F626" s="268"/>
      <c r="G626" s="112"/>
      <c r="H626" s="112"/>
      <c r="I626" s="126"/>
      <c r="J626" s="112"/>
      <c r="K626" s="112"/>
      <c r="L626" s="268"/>
      <c r="M626" s="112"/>
      <c r="N626" s="126"/>
      <c r="O626" s="112"/>
      <c r="P626" s="112"/>
      <c r="Q626" s="112">
        <v>-5</v>
      </c>
      <c r="R626" s="112"/>
      <c r="S626" s="112">
        <v>12447.262146999999</v>
      </c>
      <c r="T626" s="145">
        <v>0</v>
      </c>
      <c r="U626" s="144">
        <v>9.98</v>
      </c>
      <c r="V626" s="112"/>
      <c r="W626" s="112"/>
      <c r="X626" s="112"/>
      <c r="Y626" s="112"/>
      <c r="Z626" s="112"/>
      <c r="AA626" s="112"/>
      <c r="AB626" s="112"/>
      <c r="AC626" s="112"/>
      <c r="AD626" s="112"/>
      <c r="AE626" s="112"/>
      <c r="AF626" s="112"/>
      <c r="AG626" s="112"/>
      <c r="AH626" s="112">
        <v>171.60300000000001</v>
      </c>
      <c r="AI626" s="112">
        <v>50</v>
      </c>
      <c r="AJ626" s="112"/>
      <c r="AK626" s="112"/>
      <c r="AL626" s="112"/>
      <c r="AM626" s="646">
        <f t="shared" si="12"/>
        <v>12773.999456999998</v>
      </c>
      <c r="AO626" s="289"/>
    </row>
    <row r="627" spans="1:42" s="61" customFormat="1" ht="21" customHeight="1" x14ac:dyDescent="0.3">
      <c r="A627" s="705" t="s">
        <v>171</v>
      </c>
      <c r="B627" s="179" t="s">
        <v>293</v>
      </c>
      <c r="C627" s="135"/>
      <c r="D627" s="136"/>
      <c r="E627" s="136"/>
      <c r="F627" s="262"/>
      <c r="G627" s="136"/>
      <c r="H627" s="136"/>
      <c r="I627" s="326"/>
      <c r="J627" s="136"/>
      <c r="K627" s="136"/>
      <c r="L627" s="262"/>
      <c r="M627" s="136"/>
      <c r="N627" s="326"/>
      <c r="O627" s="136"/>
      <c r="P627" s="136"/>
      <c r="Q627" s="136"/>
      <c r="R627" s="136"/>
      <c r="S627" s="136"/>
      <c r="T627" s="137">
        <v>1.8</v>
      </c>
      <c r="U627" s="632">
        <v>22.974</v>
      </c>
      <c r="V627" s="122"/>
      <c r="W627" s="122"/>
      <c r="X627" s="122"/>
      <c r="Y627" s="122"/>
      <c r="Z627" s="122"/>
      <c r="AA627" s="122"/>
      <c r="AB627" s="122"/>
      <c r="AC627" s="122"/>
      <c r="AD627" s="122"/>
      <c r="AE627" s="122"/>
      <c r="AF627" s="122"/>
      <c r="AG627" s="122"/>
      <c r="AH627" s="122"/>
      <c r="AI627" s="122" t="s">
        <v>482</v>
      </c>
      <c r="AJ627" s="122"/>
      <c r="AK627" s="122"/>
      <c r="AL627" s="122"/>
      <c r="AM627" s="639">
        <f t="shared" si="12"/>
        <v>24.774000000000001</v>
      </c>
      <c r="AO627" s="289"/>
    </row>
    <row r="628" spans="1:42" s="61" customFormat="1" ht="19.5" customHeight="1" x14ac:dyDescent="0.3">
      <c r="A628" s="706"/>
      <c r="B628" s="116" t="s">
        <v>294</v>
      </c>
      <c r="C628" s="138"/>
      <c r="D628" s="109"/>
      <c r="E628" s="109"/>
      <c r="F628" s="263">
        <v>73.867999999999995</v>
      </c>
      <c r="G628" s="109"/>
      <c r="H628" s="109"/>
      <c r="I628" s="123"/>
      <c r="J628" s="109"/>
      <c r="K628" s="109"/>
      <c r="L628" s="263"/>
      <c r="M628" s="109"/>
      <c r="N628" s="123"/>
      <c r="O628" s="109"/>
      <c r="P628" s="109"/>
      <c r="Q628" s="109"/>
      <c r="R628" s="109"/>
      <c r="S628" s="109"/>
      <c r="T628" s="139"/>
      <c r="U628" s="138"/>
      <c r="V628" s="109"/>
      <c r="W628" s="109"/>
      <c r="X628" s="109"/>
      <c r="Y628" s="109"/>
      <c r="Z628" s="109"/>
      <c r="AA628" s="109"/>
      <c r="AB628" s="109"/>
      <c r="AC628" s="109"/>
      <c r="AD628" s="109"/>
      <c r="AE628" s="109"/>
      <c r="AF628" s="109"/>
      <c r="AG628" s="109"/>
      <c r="AH628" s="109"/>
      <c r="AI628" s="109" t="s">
        <v>482</v>
      </c>
      <c r="AJ628" s="109"/>
      <c r="AK628" s="109"/>
      <c r="AL628" s="109"/>
      <c r="AM628" s="640">
        <f t="shared" si="12"/>
        <v>73.867999999999995</v>
      </c>
      <c r="AO628" s="289"/>
    </row>
    <row r="629" spans="1:42" s="61" customFormat="1" ht="22.5" customHeight="1" x14ac:dyDescent="0.3">
      <c r="A629" s="706"/>
      <c r="B629" s="117" t="s">
        <v>326</v>
      </c>
      <c r="C629" s="140">
        <v>18.475000000000001</v>
      </c>
      <c r="D629" s="110"/>
      <c r="E629" s="110"/>
      <c r="F629" s="264"/>
      <c r="G629" s="110"/>
      <c r="H629" s="110"/>
      <c r="I629" s="124"/>
      <c r="J629" s="110"/>
      <c r="K629" s="110"/>
      <c r="L629" s="264"/>
      <c r="M629" s="110"/>
      <c r="N629" s="124"/>
      <c r="O629" s="110"/>
      <c r="P629" s="110"/>
      <c r="Q629" s="110"/>
      <c r="R629" s="110"/>
      <c r="S629" s="110"/>
      <c r="T629" s="141"/>
      <c r="U629" s="140">
        <v>0.307</v>
      </c>
      <c r="V629" s="110"/>
      <c r="W629" s="110"/>
      <c r="X629" s="110"/>
      <c r="Y629" s="110"/>
      <c r="Z629" s="110">
        <v>12.75</v>
      </c>
      <c r="AA629" s="110"/>
      <c r="AB629" s="110"/>
      <c r="AC629" s="110"/>
      <c r="AD629" s="110"/>
      <c r="AE629" s="110"/>
      <c r="AF629" s="110"/>
      <c r="AG629" s="110"/>
      <c r="AH629" s="110"/>
      <c r="AI629" s="110" t="s">
        <v>482</v>
      </c>
      <c r="AJ629" s="110"/>
      <c r="AK629" s="110"/>
      <c r="AL629" s="110"/>
      <c r="AM629" s="641">
        <f t="shared" si="12"/>
        <v>31.532</v>
      </c>
      <c r="AO629" s="289"/>
      <c r="AP629" s="97"/>
    </row>
    <row r="630" spans="1:42" s="61" customFormat="1" ht="25.5" customHeight="1" x14ac:dyDescent="0.3">
      <c r="A630" s="706"/>
      <c r="B630" s="175" t="s">
        <v>327</v>
      </c>
      <c r="C630" s="176">
        <v>262.47500000000002</v>
      </c>
      <c r="D630" s="127"/>
      <c r="E630" s="127"/>
      <c r="F630" s="265"/>
      <c r="G630" s="127"/>
      <c r="H630" s="127"/>
      <c r="I630" s="178"/>
      <c r="J630" s="127"/>
      <c r="K630" s="127"/>
      <c r="L630" s="265"/>
      <c r="M630" s="127"/>
      <c r="N630" s="178"/>
      <c r="O630" s="127"/>
      <c r="P630" s="127"/>
      <c r="Q630" s="127"/>
      <c r="R630" s="127"/>
      <c r="S630" s="127">
        <v>29</v>
      </c>
      <c r="T630" s="177"/>
      <c r="U630" s="176"/>
      <c r="V630" s="127"/>
      <c r="W630" s="127"/>
      <c r="X630" s="127"/>
      <c r="Y630" s="127"/>
      <c r="Z630" s="127"/>
      <c r="AA630" s="127"/>
      <c r="AB630" s="127"/>
      <c r="AC630" s="127"/>
      <c r="AD630" s="127"/>
      <c r="AE630" s="127"/>
      <c r="AF630" s="127"/>
      <c r="AG630" s="127"/>
      <c r="AH630" s="127"/>
      <c r="AI630" s="127" t="s">
        <v>482</v>
      </c>
      <c r="AJ630" s="127"/>
      <c r="AK630" s="127"/>
      <c r="AL630" s="127"/>
      <c r="AM630" s="642">
        <f t="shared" si="12"/>
        <v>291.47500000000002</v>
      </c>
      <c r="AO630" s="289"/>
    </row>
    <row r="631" spans="1:42" s="61" customFormat="1" ht="25.5" customHeight="1" x14ac:dyDescent="0.3">
      <c r="A631" s="706"/>
      <c r="B631" s="180" t="s">
        <v>361</v>
      </c>
      <c r="C631" s="300">
        <v>232.47499999999999</v>
      </c>
      <c r="D631" s="173"/>
      <c r="E631" s="173"/>
      <c r="F631" s="266"/>
      <c r="G631" s="173"/>
      <c r="H631" s="173"/>
      <c r="I631" s="174"/>
      <c r="J631" s="173"/>
      <c r="K631" s="173"/>
      <c r="L631" s="266"/>
      <c r="M631" s="173"/>
      <c r="N631" s="174"/>
      <c r="O631" s="173"/>
      <c r="P631" s="173"/>
      <c r="Q631" s="173"/>
      <c r="R631" s="173"/>
      <c r="S631" s="173">
        <v>24</v>
      </c>
      <c r="T631" s="327"/>
      <c r="U631" s="300">
        <v>0.20599999999999999</v>
      </c>
      <c r="V631" s="173"/>
      <c r="W631" s="173"/>
      <c r="X631" s="173"/>
      <c r="Y631" s="173"/>
      <c r="Z631" s="173">
        <v>550</v>
      </c>
      <c r="AA631" s="173"/>
      <c r="AB631" s="173"/>
      <c r="AC631" s="173"/>
      <c r="AD631" s="173"/>
      <c r="AE631" s="173"/>
      <c r="AF631" s="173"/>
      <c r="AG631" s="173"/>
      <c r="AH631" s="173"/>
      <c r="AI631" s="173" t="s">
        <v>482</v>
      </c>
      <c r="AJ631" s="173"/>
      <c r="AK631" s="173"/>
      <c r="AL631" s="173"/>
      <c r="AM631" s="643">
        <f t="shared" si="12"/>
        <v>806.68100000000004</v>
      </c>
      <c r="AO631" s="289"/>
      <c r="AP631" s="97"/>
    </row>
    <row r="632" spans="1:42" s="61" customFormat="1" ht="25.5" customHeight="1" x14ac:dyDescent="0.3">
      <c r="A632" s="706"/>
      <c r="B632" s="180" t="s">
        <v>362</v>
      </c>
      <c r="C632" s="300">
        <v>24.94</v>
      </c>
      <c r="D632" s="173"/>
      <c r="E632" s="173"/>
      <c r="F632" s="266"/>
      <c r="G632" s="173"/>
      <c r="H632" s="173"/>
      <c r="I632" s="174"/>
      <c r="J632" s="173"/>
      <c r="K632" s="173"/>
      <c r="L632" s="266"/>
      <c r="M632" s="173"/>
      <c r="N632" s="174"/>
      <c r="O632" s="173"/>
      <c r="P632" s="173"/>
      <c r="Q632" s="173"/>
      <c r="R632" s="173"/>
      <c r="S632" s="173">
        <v>35</v>
      </c>
      <c r="T632" s="327"/>
      <c r="U632" s="300"/>
      <c r="V632" s="173"/>
      <c r="W632" s="173"/>
      <c r="X632" s="173"/>
      <c r="Y632" s="173"/>
      <c r="Z632" s="173"/>
      <c r="AA632" s="173"/>
      <c r="AB632" s="173"/>
      <c r="AC632" s="173"/>
      <c r="AD632" s="173"/>
      <c r="AE632" s="173"/>
      <c r="AF632" s="173"/>
      <c r="AG632" s="173"/>
      <c r="AH632" s="173"/>
      <c r="AI632" s="173" t="s">
        <v>482</v>
      </c>
      <c r="AJ632" s="173"/>
      <c r="AK632" s="173"/>
      <c r="AL632" s="173"/>
      <c r="AM632" s="644">
        <f t="shared" si="12"/>
        <v>59.94</v>
      </c>
      <c r="AO632" s="289"/>
      <c r="AP632" s="97"/>
    </row>
    <row r="633" spans="1:42" s="61" customFormat="1" ht="22.5" customHeight="1" x14ac:dyDescent="0.3">
      <c r="A633" s="706"/>
      <c r="B633" s="115" t="s">
        <v>402</v>
      </c>
      <c r="C633" s="142">
        <v>14.255000000000001</v>
      </c>
      <c r="D633" s="111"/>
      <c r="E633" s="111"/>
      <c r="F633" s="267"/>
      <c r="G633" s="111"/>
      <c r="H633" s="111">
        <v>48</v>
      </c>
      <c r="I633" s="125"/>
      <c r="J633" s="111"/>
      <c r="K633" s="111"/>
      <c r="L633" s="267"/>
      <c r="M633" s="111"/>
      <c r="N633" s="125"/>
      <c r="O633" s="111"/>
      <c r="P633" s="111"/>
      <c r="Q633" s="111"/>
      <c r="R633" s="111"/>
      <c r="S633" s="111"/>
      <c r="T633" s="143"/>
      <c r="U633" s="142"/>
      <c r="V633" s="111"/>
      <c r="W633" s="111"/>
      <c r="X633" s="111"/>
      <c r="Y633" s="111"/>
      <c r="Z633" s="111"/>
      <c r="AA633" s="111"/>
      <c r="AB633" s="111"/>
      <c r="AC633" s="111"/>
      <c r="AD633" s="111"/>
      <c r="AE633" s="111"/>
      <c r="AF633" s="111"/>
      <c r="AG633" s="111"/>
      <c r="AH633" s="111">
        <v>59.148000000000003</v>
      </c>
      <c r="AI633" s="111" t="s">
        <v>482</v>
      </c>
      <c r="AJ633" s="111"/>
      <c r="AK633" s="111"/>
      <c r="AL633" s="111"/>
      <c r="AM633" s="645">
        <f t="shared" si="12"/>
        <v>121.40300000000001</v>
      </c>
      <c r="AO633" s="289"/>
    </row>
    <row r="634" spans="1:42" s="61" customFormat="1" ht="21" customHeight="1" x14ac:dyDescent="0.3">
      <c r="A634" s="707"/>
      <c r="B634" s="181" t="s">
        <v>403</v>
      </c>
      <c r="C634" s="144"/>
      <c r="D634" s="112"/>
      <c r="E634" s="112"/>
      <c r="F634" s="268"/>
      <c r="G634" s="112"/>
      <c r="H634" s="112"/>
      <c r="I634" s="126"/>
      <c r="J634" s="112"/>
      <c r="K634" s="112"/>
      <c r="L634" s="268"/>
      <c r="M634" s="112"/>
      <c r="N634" s="126"/>
      <c r="O634" s="112"/>
      <c r="P634" s="112"/>
      <c r="Q634" s="112"/>
      <c r="R634" s="112"/>
      <c r="S634" s="112"/>
      <c r="T634" s="145"/>
      <c r="U634" s="144"/>
      <c r="V634" s="112"/>
      <c r="W634" s="112"/>
      <c r="X634" s="112"/>
      <c r="Y634" s="112"/>
      <c r="Z634" s="112">
        <v>10</v>
      </c>
      <c r="AA634" s="112"/>
      <c r="AB634" s="112"/>
      <c r="AC634" s="112"/>
      <c r="AD634" s="112"/>
      <c r="AE634" s="112"/>
      <c r="AF634" s="112"/>
      <c r="AG634" s="112"/>
      <c r="AH634" s="112">
        <v>118.29600000000001</v>
      </c>
      <c r="AI634" s="112" t="s">
        <v>482</v>
      </c>
      <c r="AJ634" s="112"/>
      <c r="AK634" s="112"/>
      <c r="AL634" s="112"/>
      <c r="AM634" s="646">
        <f t="shared" si="12"/>
        <v>128.29599999999999</v>
      </c>
      <c r="AO634" s="289"/>
    </row>
    <row r="635" spans="1:42" s="61" customFormat="1" ht="21" customHeight="1" x14ac:dyDescent="0.3">
      <c r="A635" s="705" t="s">
        <v>172</v>
      </c>
      <c r="B635" s="179" t="s">
        <v>293</v>
      </c>
      <c r="C635" s="135"/>
      <c r="D635" s="136"/>
      <c r="E635" s="136"/>
      <c r="F635" s="262"/>
      <c r="G635" s="136"/>
      <c r="H635" s="136"/>
      <c r="I635" s="326"/>
      <c r="J635" s="136"/>
      <c r="K635" s="136"/>
      <c r="L635" s="262"/>
      <c r="M635" s="136"/>
      <c r="N635" s="326">
        <v>1036.42</v>
      </c>
      <c r="O635" s="136"/>
      <c r="P635" s="136"/>
      <c r="Q635" s="136"/>
      <c r="R635" s="136"/>
      <c r="S635" s="136"/>
      <c r="T635" s="137"/>
      <c r="U635" s="632"/>
      <c r="V635" s="122"/>
      <c r="W635" s="122"/>
      <c r="X635" s="122"/>
      <c r="Y635" s="122"/>
      <c r="Z635" s="122"/>
      <c r="AA635" s="122"/>
      <c r="AB635" s="122"/>
      <c r="AC635" s="122"/>
      <c r="AD635" s="122"/>
      <c r="AE635" s="122"/>
      <c r="AF635" s="122"/>
      <c r="AG635" s="122"/>
      <c r="AH635" s="122"/>
      <c r="AI635" s="122" t="s">
        <v>482</v>
      </c>
      <c r="AJ635" s="122"/>
      <c r="AK635" s="122"/>
      <c r="AL635" s="122"/>
      <c r="AM635" s="639">
        <f t="shared" si="12"/>
        <v>1036.42</v>
      </c>
      <c r="AO635" s="289"/>
    </row>
    <row r="636" spans="1:42" s="61" customFormat="1" ht="19.5" customHeight="1" x14ac:dyDescent="0.3">
      <c r="A636" s="706"/>
      <c r="B636" s="116" t="s">
        <v>294</v>
      </c>
      <c r="C636" s="138"/>
      <c r="D636" s="109"/>
      <c r="E636" s="109"/>
      <c r="F636" s="263"/>
      <c r="G636" s="109"/>
      <c r="H636" s="109"/>
      <c r="I636" s="123"/>
      <c r="J636" s="109"/>
      <c r="K636" s="109"/>
      <c r="L636" s="263"/>
      <c r="M636" s="109"/>
      <c r="N636" s="123">
        <v>799.86300000000006</v>
      </c>
      <c r="O636" s="109"/>
      <c r="P636" s="109"/>
      <c r="Q636" s="109"/>
      <c r="R636" s="109"/>
      <c r="S636" s="109"/>
      <c r="T636" s="139"/>
      <c r="U636" s="138"/>
      <c r="V636" s="109"/>
      <c r="W636" s="109"/>
      <c r="X636" s="109"/>
      <c r="Y636" s="109"/>
      <c r="Z636" s="109"/>
      <c r="AA636" s="109"/>
      <c r="AB636" s="109"/>
      <c r="AC636" s="109"/>
      <c r="AD636" s="109"/>
      <c r="AE636" s="109"/>
      <c r="AF636" s="109"/>
      <c r="AG636" s="109"/>
      <c r="AH636" s="109"/>
      <c r="AI636" s="109" t="s">
        <v>482</v>
      </c>
      <c r="AJ636" s="109"/>
      <c r="AK636" s="109"/>
      <c r="AL636" s="109"/>
      <c r="AM636" s="640">
        <f t="shared" si="12"/>
        <v>799.86300000000006</v>
      </c>
      <c r="AO636" s="289"/>
    </row>
    <row r="637" spans="1:42" s="61" customFormat="1" ht="22.5" customHeight="1" x14ac:dyDescent="0.3">
      <c r="A637" s="706"/>
      <c r="B637" s="117" t="s">
        <v>326</v>
      </c>
      <c r="C637" s="140"/>
      <c r="D637" s="110"/>
      <c r="E637" s="110"/>
      <c r="F637" s="264"/>
      <c r="G637" s="110"/>
      <c r="H637" s="110"/>
      <c r="I637" s="124"/>
      <c r="J637" s="110"/>
      <c r="K637" s="110"/>
      <c r="L637" s="264"/>
      <c r="M637" s="110"/>
      <c r="N637" s="124">
        <v>469.92599999999999</v>
      </c>
      <c r="O637" s="110"/>
      <c r="P637" s="110"/>
      <c r="Q637" s="110"/>
      <c r="R637" s="110"/>
      <c r="S637" s="110"/>
      <c r="T637" s="141"/>
      <c r="U637" s="140"/>
      <c r="V637" s="110"/>
      <c r="W637" s="110"/>
      <c r="X637" s="110"/>
      <c r="Y637" s="110"/>
      <c r="Z637" s="110"/>
      <c r="AA637" s="110"/>
      <c r="AB637" s="110"/>
      <c r="AC637" s="110"/>
      <c r="AD637" s="110"/>
      <c r="AE637" s="110"/>
      <c r="AF637" s="110"/>
      <c r="AG637" s="110"/>
      <c r="AH637" s="110"/>
      <c r="AI637" s="110" t="s">
        <v>482</v>
      </c>
      <c r="AJ637" s="110"/>
      <c r="AK637" s="110"/>
      <c r="AL637" s="110"/>
      <c r="AM637" s="641">
        <f t="shared" si="12"/>
        <v>469.92599999999999</v>
      </c>
      <c r="AO637" s="289"/>
      <c r="AP637" s="97"/>
    </row>
    <row r="638" spans="1:42" s="61" customFormat="1" ht="25.5" customHeight="1" x14ac:dyDescent="0.3">
      <c r="A638" s="706"/>
      <c r="B638" s="175" t="s">
        <v>327</v>
      </c>
      <c r="C638" s="176"/>
      <c r="D638" s="127"/>
      <c r="E638" s="127"/>
      <c r="F638" s="265"/>
      <c r="G638" s="127"/>
      <c r="H638" s="127"/>
      <c r="I638" s="178"/>
      <c r="J638" s="127"/>
      <c r="K638" s="127"/>
      <c r="L638" s="265"/>
      <c r="M638" s="127"/>
      <c r="N638" s="178">
        <v>499.63400000000001</v>
      </c>
      <c r="O638" s="127"/>
      <c r="P638" s="127"/>
      <c r="Q638" s="127"/>
      <c r="R638" s="127"/>
      <c r="S638" s="127">
        <v>3</v>
      </c>
      <c r="T638" s="177"/>
      <c r="U638" s="176"/>
      <c r="V638" s="127"/>
      <c r="W638" s="127"/>
      <c r="X638" s="127"/>
      <c r="Y638" s="127"/>
      <c r="Z638" s="127"/>
      <c r="AA638" s="127"/>
      <c r="AB638" s="127"/>
      <c r="AC638" s="127"/>
      <c r="AD638" s="127"/>
      <c r="AE638" s="127"/>
      <c r="AF638" s="127"/>
      <c r="AG638" s="127"/>
      <c r="AH638" s="127"/>
      <c r="AI638" s="127" t="s">
        <v>482</v>
      </c>
      <c r="AJ638" s="127"/>
      <c r="AK638" s="127"/>
      <c r="AL638" s="127"/>
      <c r="AM638" s="642">
        <f t="shared" si="12"/>
        <v>502.63400000000001</v>
      </c>
      <c r="AO638" s="289"/>
    </row>
    <row r="639" spans="1:42" s="61" customFormat="1" ht="25.5" customHeight="1" x14ac:dyDescent="0.3">
      <c r="A639" s="706"/>
      <c r="B639" s="180" t="s">
        <v>361</v>
      </c>
      <c r="C639" s="300"/>
      <c r="D639" s="173"/>
      <c r="E639" s="173"/>
      <c r="F639" s="266"/>
      <c r="G639" s="173"/>
      <c r="H639" s="173"/>
      <c r="I639" s="174"/>
      <c r="J639" s="173"/>
      <c r="K639" s="173"/>
      <c r="L639" s="266"/>
      <c r="M639" s="173"/>
      <c r="N639" s="174">
        <v>108.64700000000001</v>
      </c>
      <c r="O639" s="173"/>
      <c r="P639" s="173"/>
      <c r="Q639" s="173"/>
      <c r="R639" s="173"/>
      <c r="S639" s="173">
        <v>31</v>
      </c>
      <c r="T639" s="327"/>
      <c r="U639" s="300"/>
      <c r="V639" s="173"/>
      <c r="W639" s="173"/>
      <c r="X639" s="173"/>
      <c r="Y639" s="173"/>
      <c r="Z639" s="173">
        <v>50.092800000000004</v>
      </c>
      <c r="AA639" s="173"/>
      <c r="AB639" s="173"/>
      <c r="AC639" s="173"/>
      <c r="AD639" s="173"/>
      <c r="AE639" s="173"/>
      <c r="AF639" s="173"/>
      <c r="AG639" s="173"/>
      <c r="AH639" s="173"/>
      <c r="AI639" s="173" t="s">
        <v>482</v>
      </c>
      <c r="AJ639" s="173"/>
      <c r="AK639" s="173"/>
      <c r="AL639" s="173"/>
      <c r="AM639" s="643">
        <f t="shared" si="12"/>
        <v>189.7398</v>
      </c>
      <c r="AO639" s="289"/>
      <c r="AP639" s="97"/>
    </row>
    <row r="640" spans="1:42" s="61" customFormat="1" ht="25.5" customHeight="1" x14ac:dyDescent="0.3">
      <c r="A640" s="706"/>
      <c r="B640" s="180" t="s">
        <v>362</v>
      </c>
      <c r="C640" s="300"/>
      <c r="D640" s="173"/>
      <c r="E640" s="173"/>
      <c r="F640" s="266"/>
      <c r="G640" s="173"/>
      <c r="H640" s="173"/>
      <c r="I640" s="174"/>
      <c r="J640" s="173"/>
      <c r="K640" s="173"/>
      <c r="L640" s="266"/>
      <c r="M640" s="173"/>
      <c r="N640" s="174"/>
      <c r="O640" s="173"/>
      <c r="P640" s="173"/>
      <c r="Q640" s="173"/>
      <c r="R640" s="173"/>
      <c r="S640" s="173">
        <v>26</v>
      </c>
      <c r="T640" s="327"/>
      <c r="U640" s="300">
        <v>6.2E-2</v>
      </c>
      <c r="V640" s="173"/>
      <c r="W640" s="173"/>
      <c r="X640" s="173"/>
      <c r="Y640" s="173"/>
      <c r="Z640" s="173"/>
      <c r="AA640" s="173"/>
      <c r="AB640" s="173"/>
      <c r="AC640" s="173"/>
      <c r="AD640" s="173"/>
      <c r="AE640" s="173"/>
      <c r="AF640" s="173"/>
      <c r="AG640" s="173"/>
      <c r="AH640" s="173"/>
      <c r="AI640" s="173" t="s">
        <v>482</v>
      </c>
      <c r="AJ640" s="173"/>
      <c r="AK640" s="173"/>
      <c r="AL640" s="173"/>
      <c r="AM640" s="644">
        <f t="shared" si="12"/>
        <v>26.062000000000001</v>
      </c>
      <c r="AO640" s="289"/>
      <c r="AP640" s="97"/>
    </row>
    <row r="641" spans="1:42" s="61" customFormat="1" ht="22.5" customHeight="1" x14ac:dyDescent="0.3">
      <c r="A641" s="706"/>
      <c r="B641" s="115" t="s">
        <v>402</v>
      </c>
      <c r="C641" s="142"/>
      <c r="D641" s="111"/>
      <c r="E641" s="111"/>
      <c r="F641" s="267"/>
      <c r="G641" s="111"/>
      <c r="H641" s="111"/>
      <c r="I641" s="125"/>
      <c r="J641" s="111"/>
      <c r="K641" s="111"/>
      <c r="L641" s="267"/>
      <c r="M641" s="111"/>
      <c r="N641" s="125"/>
      <c r="O641" s="111"/>
      <c r="P641" s="111"/>
      <c r="Q641" s="111"/>
      <c r="R641" s="111"/>
      <c r="S641" s="111"/>
      <c r="T641" s="143">
        <v>0</v>
      </c>
      <c r="U641" s="142"/>
      <c r="V641" s="111"/>
      <c r="W641" s="111"/>
      <c r="X641" s="111"/>
      <c r="Y641" s="111"/>
      <c r="Z641" s="111"/>
      <c r="AA641" s="111"/>
      <c r="AB641" s="111"/>
      <c r="AC641" s="111"/>
      <c r="AD641" s="111"/>
      <c r="AE641" s="111"/>
      <c r="AF641" s="111"/>
      <c r="AG641" s="111"/>
      <c r="AH641" s="111" t="s">
        <v>482</v>
      </c>
      <c r="AI641" s="111" t="s">
        <v>482</v>
      </c>
      <c r="AJ641" s="111"/>
      <c r="AK641" s="111"/>
      <c r="AL641" s="111"/>
      <c r="AM641" s="645">
        <f t="shared" si="12"/>
        <v>0</v>
      </c>
      <c r="AO641" s="289"/>
    </row>
    <row r="642" spans="1:42" s="61" customFormat="1" ht="21" customHeight="1" x14ac:dyDescent="0.3">
      <c r="A642" s="707"/>
      <c r="B642" s="181" t="s">
        <v>403</v>
      </c>
      <c r="C642" s="144"/>
      <c r="D642" s="112"/>
      <c r="E642" s="112"/>
      <c r="F642" s="268"/>
      <c r="G642" s="112"/>
      <c r="H642" s="112"/>
      <c r="I642" s="126"/>
      <c r="J642" s="112"/>
      <c r="K642" s="112"/>
      <c r="L642" s="268"/>
      <c r="M642" s="112"/>
      <c r="N642" s="126"/>
      <c r="O642" s="112"/>
      <c r="P642" s="112"/>
      <c r="Q642" s="112"/>
      <c r="R642" s="112"/>
      <c r="S642" s="112">
        <v>8.4644099999999991</v>
      </c>
      <c r="T642" s="145">
        <v>0</v>
      </c>
      <c r="U642" s="144"/>
      <c r="V642" s="112"/>
      <c r="W642" s="112"/>
      <c r="X642" s="112"/>
      <c r="Y642" s="112"/>
      <c r="Z642" s="112"/>
      <c r="AA642" s="112"/>
      <c r="AB642" s="112"/>
      <c r="AC642" s="112"/>
      <c r="AD642" s="112"/>
      <c r="AE642" s="112"/>
      <c r="AF642" s="112"/>
      <c r="AG642" s="112"/>
      <c r="AH642" s="112" t="s">
        <v>482</v>
      </c>
      <c r="AI642" s="112" t="s">
        <v>482</v>
      </c>
      <c r="AJ642" s="112"/>
      <c r="AK642" s="112"/>
      <c r="AL642" s="112"/>
      <c r="AM642" s="646">
        <f t="shared" si="12"/>
        <v>8.4644099999999991</v>
      </c>
      <c r="AO642" s="289"/>
    </row>
    <row r="643" spans="1:42" s="61" customFormat="1" ht="21" customHeight="1" x14ac:dyDescent="0.3">
      <c r="A643" s="705" t="s">
        <v>173</v>
      </c>
      <c r="B643" s="179" t="s">
        <v>293</v>
      </c>
      <c r="C643" s="135"/>
      <c r="D643" s="136"/>
      <c r="E643" s="136"/>
      <c r="F643" s="262"/>
      <c r="G643" s="136"/>
      <c r="H643" s="136">
        <v>167</v>
      </c>
      <c r="I643" s="326"/>
      <c r="J643" s="136"/>
      <c r="K643" s="136"/>
      <c r="L643" s="262"/>
      <c r="M643" s="136"/>
      <c r="N643" s="326"/>
      <c r="O643" s="136"/>
      <c r="P643" s="136"/>
      <c r="Q643" s="136">
        <v>5</v>
      </c>
      <c r="R643" s="136"/>
      <c r="S643" s="136">
        <v>24</v>
      </c>
      <c r="T643" s="137"/>
      <c r="U643" s="632"/>
      <c r="V643" s="122"/>
      <c r="W643" s="122"/>
      <c r="X643" s="122"/>
      <c r="Y643" s="122"/>
      <c r="Z643" s="122">
        <v>3.0400300000000002</v>
      </c>
      <c r="AA643" s="122"/>
      <c r="AB643" s="122"/>
      <c r="AC643" s="122"/>
      <c r="AD643" s="122"/>
      <c r="AE643" s="122"/>
      <c r="AF643" s="122"/>
      <c r="AG643" s="122"/>
      <c r="AH643" s="122"/>
      <c r="AI643" s="122" t="s">
        <v>482</v>
      </c>
      <c r="AJ643" s="122"/>
      <c r="AK643" s="122"/>
      <c r="AL643" s="122"/>
      <c r="AM643" s="639">
        <f t="shared" si="12"/>
        <v>199.04003</v>
      </c>
      <c r="AO643" s="289"/>
    </row>
    <row r="644" spans="1:42" s="61" customFormat="1" ht="19.5" customHeight="1" x14ac:dyDescent="0.3">
      <c r="A644" s="706"/>
      <c r="B644" s="116" t="s">
        <v>294</v>
      </c>
      <c r="C644" s="138"/>
      <c r="D644" s="109"/>
      <c r="E644" s="109"/>
      <c r="F644" s="263"/>
      <c r="G644" s="109"/>
      <c r="H644" s="109">
        <v>112</v>
      </c>
      <c r="I644" s="123"/>
      <c r="J644" s="109"/>
      <c r="K644" s="109"/>
      <c r="L644" s="263"/>
      <c r="M644" s="109"/>
      <c r="N644" s="123"/>
      <c r="O644" s="109"/>
      <c r="P644" s="109"/>
      <c r="Q644" s="109">
        <v>107</v>
      </c>
      <c r="R644" s="109"/>
      <c r="S644" s="109"/>
      <c r="T644" s="139"/>
      <c r="U644" s="138"/>
      <c r="V644" s="109"/>
      <c r="W644" s="109"/>
      <c r="X644" s="109"/>
      <c r="Y644" s="109"/>
      <c r="Z644" s="109">
        <v>3.07362</v>
      </c>
      <c r="AA644" s="109"/>
      <c r="AB644" s="109"/>
      <c r="AC644" s="109"/>
      <c r="AD644" s="109"/>
      <c r="AE644" s="109"/>
      <c r="AF644" s="109"/>
      <c r="AG644" s="109"/>
      <c r="AH644" s="109"/>
      <c r="AI644" s="109" t="s">
        <v>482</v>
      </c>
      <c r="AJ644" s="109"/>
      <c r="AK644" s="109"/>
      <c r="AL644" s="109"/>
      <c r="AM644" s="640">
        <f t="shared" si="12"/>
        <v>222.07362000000001</v>
      </c>
      <c r="AO644" s="289"/>
    </row>
    <row r="645" spans="1:42" s="61" customFormat="1" ht="22.5" customHeight="1" x14ac:dyDescent="0.3">
      <c r="A645" s="706"/>
      <c r="B645" s="117" t="s">
        <v>326</v>
      </c>
      <c r="C645" s="140">
        <v>2.948</v>
      </c>
      <c r="D645" s="110"/>
      <c r="E645" s="110"/>
      <c r="F645" s="264"/>
      <c r="G645" s="110"/>
      <c r="H645" s="110">
        <v>44</v>
      </c>
      <c r="I645" s="124"/>
      <c r="J645" s="110"/>
      <c r="K645" s="110"/>
      <c r="L645" s="264"/>
      <c r="M645" s="110"/>
      <c r="N645" s="124"/>
      <c r="O645" s="110"/>
      <c r="P645" s="110"/>
      <c r="Q645" s="110">
        <v>5</v>
      </c>
      <c r="R645" s="110"/>
      <c r="S645" s="110">
        <v>-5</v>
      </c>
      <c r="T645" s="141"/>
      <c r="U645" s="140"/>
      <c r="V645" s="110"/>
      <c r="W645" s="110"/>
      <c r="X645" s="110"/>
      <c r="Y645" s="110"/>
      <c r="Z645" s="110">
        <v>3</v>
      </c>
      <c r="AA645" s="110"/>
      <c r="AB645" s="110"/>
      <c r="AC645" s="110"/>
      <c r="AD645" s="110"/>
      <c r="AE645" s="110"/>
      <c r="AF645" s="110"/>
      <c r="AG645" s="110"/>
      <c r="AH645" s="110"/>
      <c r="AI645" s="110" t="s">
        <v>482</v>
      </c>
      <c r="AJ645" s="110"/>
      <c r="AK645" s="110"/>
      <c r="AL645" s="110"/>
      <c r="AM645" s="641">
        <f t="shared" si="12"/>
        <v>49.948</v>
      </c>
      <c r="AO645" s="289"/>
      <c r="AP645" s="97"/>
    </row>
    <row r="646" spans="1:42" s="61" customFormat="1" ht="25.5" customHeight="1" x14ac:dyDescent="0.3">
      <c r="A646" s="706"/>
      <c r="B646" s="175" t="s">
        <v>327</v>
      </c>
      <c r="C646" s="176">
        <v>0.98699999999999999</v>
      </c>
      <c r="D646" s="127"/>
      <c r="E646" s="127"/>
      <c r="F646" s="265"/>
      <c r="G646" s="127"/>
      <c r="H646" s="127">
        <v>10</v>
      </c>
      <c r="I646" s="178"/>
      <c r="J646" s="127"/>
      <c r="K646" s="127"/>
      <c r="L646" s="265"/>
      <c r="M646" s="127"/>
      <c r="N646" s="178"/>
      <c r="O646" s="127"/>
      <c r="P646" s="127"/>
      <c r="Q646" s="127">
        <v>190</v>
      </c>
      <c r="R646" s="127"/>
      <c r="S646" s="127">
        <v>38</v>
      </c>
      <c r="T646" s="177"/>
      <c r="U646" s="176"/>
      <c r="V646" s="127"/>
      <c r="W646" s="127"/>
      <c r="X646" s="127"/>
      <c r="Y646" s="127"/>
      <c r="Z646" s="127">
        <v>141</v>
      </c>
      <c r="AA646" s="127"/>
      <c r="AB646" s="127"/>
      <c r="AC646" s="127"/>
      <c r="AD646" s="127"/>
      <c r="AE646" s="127"/>
      <c r="AF646" s="127"/>
      <c r="AG646" s="127"/>
      <c r="AH646" s="127"/>
      <c r="AI646" s="127" t="s">
        <v>482</v>
      </c>
      <c r="AJ646" s="127"/>
      <c r="AK646" s="127"/>
      <c r="AL646" s="127"/>
      <c r="AM646" s="642">
        <f t="shared" si="12"/>
        <v>379.98699999999997</v>
      </c>
      <c r="AO646" s="289"/>
    </row>
    <row r="647" spans="1:42" s="61" customFormat="1" ht="25.5" customHeight="1" x14ac:dyDescent="0.3">
      <c r="A647" s="706"/>
      <c r="B647" s="180" t="s">
        <v>361</v>
      </c>
      <c r="C647" s="300">
        <v>1</v>
      </c>
      <c r="D647" s="173"/>
      <c r="E647" s="173"/>
      <c r="F647" s="266"/>
      <c r="G647" s="173"/>
      <c r="H647" s="173"/>
      <c r="I647" s="174"/>
      <c r="J647" s="173"/>
      <c r="K647" s="173"/>
      <c r="L647" s="266"/>
      <c r="M647" s="173"/>
      <c r="N647" s="174"/>
      <c r="O647" s="173"/>
      <c r="P647" s="173"/>
      <c r="Q647" s="173">
        <v>5</v>
      </c>
      <c r="R647" s="173"/>
      <c r="S647" s="173">
        <v>235</v>
      </c>
      <c r="T647" s="327"/>
      <c r="U647" s="300"/>
      <c r="V647" s="173"/>
      <c r="W647" s="173"/>
      <c r="X647" s="173"/>
      <c r="Y647" s="173"/>
      <c r="Z647" s="173">
        <v>21.127770000000002</v>
      </c>
      <c r="AA647" s="173"/>
      <c r="AB647" s="173"/>
      <c r="AC647" s="173"/>
      <c r="AD647" s="173"/>
      <c r="AE647" s="173"/>
      <c r="AF647" s="173"/>
      <c r="AG647" s="173"/>
      <c r="AH647" s="173"/>
      <c r="AI647" s="173" t="s">
        <v>482</v>
      </c>
      <c r="AJ647" s="173"/>
      <c r="AK647" s="173"/>
      <c r="AL647" s="173"/>
      <c r="AM647" s="643">
        <f t="shared" si="12"/>
        <v>262.12777</v>
      </c>
      <c r="AO647" s="289"/>
      <c r="AP647" s="97"/>
    </row>
    <row r="648" spans="1:42" s="61" customFormat="1" ht="25.5" customHeight="1" x14ac:dyDescent="0.3">
      <c r="A648" s="706"/>
      <c r="B648" s="180" t="s">
        <v>362</v>
      </c>
      <c r="C648" s="300"/>
      <c r="D648" s="173"/>
      <c r="E648" s="173"/>
      <c r="F648" s="266"/>
      <c r="G648" s="173"/>
      <c r="H648" s="173"/>
      <c r="I648" s="174"/>
      <c r="J648" s="173"/>
      <c r="K648" s="173"/>
      <c r="L648" s="266"/>
      <c r="M648" s="173"/>
      <c r="N648" s="174"/>
      <c r="O648" s="173"/>
      <c r="P648" s="173"/>
      <c r="Q648" s="173"/>
      <c r="R648" s="173"/>
      <c r="S648" s="173">
        <v>13</v>
      </c>
      <c r="T648" s="327"/>
      <c r="U648" s="300"/>
      <c r="V648" s="173"/>
      <c r="W648" s="173"/>
      <c r="X648" s="173"/>
      <c r="Y648" s="173"/>
      <c r="Z648" s="173">
        <v>10.811999999999999</v>
      </c>
      <c r="AA648" s="173"/>
      <c r="AB648" s="173"/>
      <c r="AC648" s="173"/>
      <c r="AD648" s="173"/>
      <c r="AE648" s="173"/>
      <c r="AF648" s="173"/>
      <c r="AG648" s="173"/>
      <c r="AH648" s="173"/>
      <c r="AI648" s="173" t="s">
        <v>482</v>
      </c>
      <c r="AJ648" s="173"/>
      <c r="AK648" s="173"/>
      <c r="AL648" s="173"/>
      <c r="AM648" s="644">
        <f t="shared" si="12"/>
        <v>23.811999999999998</v>
      </c>
      <c r="AO648" s="289"/>
      <c r="AP648" s="97"/>
    </row>
    <row r="649" spans="1:42" s="61" customFormat="1" ht="22.5" customHeight="1" x14ac:dyDescent="0.3">
      <c r="A649" s="706"/>
      <c r="B649" s="115" t="s">
        <v>402</v>
      </c>
      <c r="C649" s="142">
        <v>1.0147699999999999</v>
      </c>
      <c r="D649" s="111"/>
      <c r="E649" s="111"/>
      <c r="F649" s="267"/>
      <c r="G649" s="111"/>
      <c r="H649" s="111"/>
      <c r="I649" s="125"/>
      <c r="J649" s="111"/>
      <c r="K649" s="111"/>
      <c r="L649" s="267"/>
      <c r="M649" s="111"/>
      <c r="N649" s="125"/>
      <c r="O649" s="111"/>
      <c r="P649" s="111"/>
      <c r="Q649" s="111"/>
      <c r="R649" s="111"/>
      <c r="S649" s="111">
        <v>2.0510450000000002</v>
      </c>
      <c r="T649" s="143">
        <v>0</v>
      </c>
      <c r="U649" s="142">
        <v>4.25</v>
      </c>
      <c r="V649" s="111"/>
      <c r="W649" s="111"/>
      <c r="X649" s="111"/>
      <c r="Y649" s="111"/>
      <c r="Z649" s="111"/>
      <c r="AA649" s="111"/>
      <c r="AB649" s="111"/>
      <c r="AC649" s="111"/>
      <c r="AD649" s="111"/>
      <c r="AE649" s="111"/>
      <c r="AF649" s="111"/>
      <c r="AG649" s="111"/>
      <c r="AH649" s="111" t="s">
        <v>482</v>
      </c>
      <c r="AI649" s="111" t="s">
        <v>482</v>
      </c>
      <c r="AJ649" s="111"/>
      <c r="AK649" s="111"/>
      <c r="AL649" s="111"/>
      <c r="AM649" s="645">
        <f t="shared" si="12"/>
        <v>7.3158150000000006</v>
      </c>
      <c r="AO649" s="289"/>
    </row>
    <row r="650" spans="1:42" s="61" customFormat="1" ht="21" customHeight="1" x14ac:dyDescent="0.3">
      <c r="A650" s="707"/>
      <c r="B650" s="181" t="s">
        <v>403</v>
      </c>
      <c r="C650" s="144">
        <v>6.1103899999999998</v>
      </c>
      <c r="D650" s="112"/>
      <c r="E650" s="112"/>
      <c r="F650" s="268"/>
      <c r="G650" s="112"/>
      <c r="H650" s="112"/>
      <c r="I650" s="126"/>
      <c r="J650" s="112"/>
      <c r="K650" s="112"/>
      <c r="L650" s="268"/>
      <c r="M650" s="112"/>
      <c r="N650" s="126"/>
      <c r="O650" s="112"/>
      <c r="P650" s="112"/>
      <c r="Q650" s="112">
        <v>-0.01</v>
      </c>
      <c r="R650" s="112"/>
      <c r="S650" s="112">
        <v>26.208025000000003</v>
      </c>
      <c r="T650" s="145">
        <v>0</v>
      </c>
      <c r="U650" s="144">
        <v>6.1909999999999998</v>
      </c>
      <c r="V650" s="112"/>
      <c r="W650" s="112"/>
      <c r="X650" s="112"/>
      <c r="Y650" s="112"/>
      <c r="Z650" s="112"/>
      <c r="AA650" s="112"/>
      <c r="AB650" s="112"/>
      <c r="AC650" s="112"/>
      <c r="AD650" s="112"/>
      <c r="AE650" s="112"/>
      <c r="AF650" s="112"/>
      <c r="AG650" s="112"/>
      <c r="AH650" s="112" t="s">
        <v>482</v>
      </c>
      <c r="AI650" s="112" t="s">
        <v>482</v>
      </c>
      <c r="AJ650" s="112"/>
      <c r="AK650" s="112"/>
      <c r="AL650" s="112"/>
      <c r="AM650" s="646">
        <f t="shared" si="12"/>
        <v>38.499415000000006</v>
      </c>
      <c r="AO650" s="289"/>
    </row>
    <row r="651" spans="1:42" s="61" customFormat="1" ht="21" customHeight="1" x14ac:dyDescent="0.3">
      <c r="A651" s="705" t="s">
        <v>174</v>
      </c>
      <c r="B651" s="179" t="s">
        <v>293</v>
      </c>
      <c r="C651" s="135"/>
      <c r="D651" s="136"/>
      <c r="E651" s="136"/>
      <c r="F651" s="262"/>
      <c r="G651" s="136"/>
      <c r="H651" s="136">
        <v>77</v>
      </c>
      <c r="I651" s="326"/>
      <c r="J651" s="136"/>
      <c r="K651" s="136"/>
      <c r="L651" s="262"/>
      <c r="M651" s="136"/>
      <c r="N651" s="326"/>
      <c r="O651" s="136"/>
      <c r="P651" s="136"/>
      <c r="Q651" s="136">
        <v>362</v>
      </c>
      <c r="R651" s="136"/>
      <c r="S651" s="136"/>
      <c r="T651" s="137"/>
      <c r="U651" s="632"/>
      <c r="V651" s="122"/>
      <c r="W651" s="122"/>
      <c r="X651" s="122"/>
      <c r="Y651" s="122"/>
      <c r="Z651" s="122"/>
      <c r="AA651" s="122"/>
      <c r="AB651" s="122"/>
      <c r="AC651" s="122"/>
      <c r="AD651" s="122"/>
      <c r="AE651" s="122"/>
      <c r="AF651" s="122"/>
      <c r="AG651" s="122"/>
      <c r="AH651" s="122"/>
      <c r="AI651" s="122" t="s">
        <v>482</v>
      </c>
      <c r="AJ651" s="122"/>
      <c r="AK651" s="122"/>
      <c r="AL651" s="122"/>
      <c r="AM651" s="639">
        <f t="shared" si="12"/>
        <v>439</v>
      </c>
      <c r="AO651" s="289"/>
    </row>
    <row r="652" spans="1:42" s="61" customFormat="1" ht="19.5" customHeight="1" x14ac:dyDescent="0.3">
      <c r="A652" s="706"/>
      <c r="B652" s="116" t="s">
        <v>294</v>
      </c>
      <c r="C652" s="138"/>
      <c r="D652" s="109"/>
      <c r="E652" s="109"/>
      <c r="F652" s="263"/>
      <c r="G652" s="109"/>
      <c r="H652" s="109">
        <v>68</v>
      </c>
      <c r="I652" s="123"/>
      <c r="J652" s="109"/>
      <c r="K652" s="109"/>
      <c r="L652" s="263"/>
      <c r="M652" s="109"/>
      <c r="N652" s="123"/>
      <c r="O652" s="109"/>
      <c r="P652" s="109"/>
      <c r="Q652" s="109"/>
      <c r="R652" s="109"/>
      <c r="S652" s="109"/>
      <c r="T652" s="139">
        <v>1.857</v>
      </c>
      <c r="U652" s="138"/>
      <c r="V652" s="109"/>
      <c r="W652" s="109"/>
      <c r="X652" s="109"/>
      <c r="Y652" s="109"/>
      <c r="Z652" s="109"/>
      <c r="AA652" s="109"/>
      <c r="AB652" s="109"/>
      <c r="AC652" s="109"/>
      <c r="AD652" s="109"/>
      <c r="AE652" s="109"/>
      <c r="AF652" s="109"/>
      <c r="AG652" s="109"/>
      <c r="AH652" s="109"/>
      <c r="AI652" s="109" t="s">
        <v>482</v>
      </c>
      <c r="AJ652" s="109"/>
      <c r="AK652" s="109"/>
      <c r="AL652" s="109"/>
      <c r="AM652" s="640">
        <f t="shared" si="12"/>
        <v>69.856999999999999</v>
      </c>
      <c r="AO652" s="289"/>
    </row>
    <row r="653" spans="1:42" s="61" customFormat="1" ht="22.5" customHeight="1" x14ac:dyDescent="0.3">
      <c r="A653" s="706"/>
      <c r="B653" s="117" t="s">
        <v>326</v>
      </c>
      <c r="C653" s="140"/>
      <c r="D653" s="110"/>
      <c r="E653" s="110"/>
      <c r="F653" s="264"/>
      <c r="G653" s="110">
        <v>3</v>
      </c>
      <c r="H653" s="110"/>
      <c r="I653" s="124"/>
      <c r="J653" s="110"/>
      <c r="K653" s="110"/>
      <c r="L653" s="264"/>
      <c r="M653" s="110"/>
      <c r="N653" s="124"/>
      <c r="O653" s="110"/>
      <c r="P653" s="110"/>
      <c r="Q653" s="110"/>
      <c r="R653" s="110"/>
      <c r="S653" s="110"/>
      <c r="T653" s="141"/>
      <c r="U653" s="140"/>
      <c r="V653" s="110"/>
      <c r="W653" s="110"/>
      <c r="X653" s="110"/>
      <c r="Y653" s="110"/>
      <c r="Z653" s="110">
        <v>10</v>
      </c>
      <c r="AA653" s="110"/>
      <c r="AB653" s="110"/>
      <c r="AC653" s="110"/>
      <c r="AD653" s="110"/>
      <c r="AE653" s="110"/>
      <c r="AF653" s="110"/>
      <c r="AG653" s="110"/>
      <c r="AH653" s="110"/>
      <c r="AI653" s="110" t="s">
        <v>482</v>
      </c>
      <c r="AJ653" s="110"/>
      <c r="AK653" s="110"/>
      <c r="AL653" s="110"/>
      <c r="AM653" s="641">
        <f t="shared" si="12"/>
        <v>13</v>
      </c>
      <c r="AO653" s="289"/>
      <c r="AP653" s="97"/>
    </row>
    <row r="654" spans="1:42" s="61" customFormat="1" ht="25.5" customHeight="1" x14ac:dyDescent="0.3">
      <c r="A654" s="706"/>
      <c r="B654" s="175" t="s">
        <v>327</v>
      </c>
      <c r="C654" s="176">
        <v>85</v>
      </c>
      <c r="D654" s="127"/>
      <c r="E654" s="127"/>
      <c r="F654" s="265"/>
      <c r="G654" s="127"/>
      <c r="H654" s="127">
        <v>136</v>
      </c>
      <c r="I654" s="178"/>
      <c r="J654" s="127"/>
      <c r="K654" s="127"/>
      <c r="L654" s="265"/>
      <c r="M654" s="127"/>
      <c r="N654" s="178"/>
      <c r="O654" s="127"/>
      <c r="P654" s="127"/>
      <c r="Q654" s="127">
        <v>322</v>
      </c>
      <c r="R654" s="127"/>
      <c r="S654" s="127">
        <v>4091</v>
      </c>
      <c r="T654" s="177"/>
      <c r="U654" s="176">
        <v>200.184</v>
      </c>
      <c r="V654" s="127"/>
      <c r="W654" s="127"/>
      <c r="X654" s="127"/>
      <c r="Y654" s="127"/>
      <c r="Z654" s="127"/>
      <c r="AA654" s="127"/>
      <c r="AB654" s="127"/>
      <c r="AC654" s="127"/>
      <c r="AD654" s="127"/>
      <c r="AE654" s="127"/>
      <c r="AF654" s="127"/>
      <c r="AG654" s="127"/>
      <c r="AH654" s="127">
        <v>307.2</v>
      </c>
      <c r="AI654" s="127" t="s">
        <v>482</v>
      </c>
      <c r="AJ654" s="127"/>
      <c r="AK654" s="127"/>
      <c r="AL654" s="127"/>
      <c r="AM654" s="642">
        <f t="shared" si="12"/>
        <v>5141.384</v>
      </c>
      <c r="AO654" s="289"/>
    </row>
    <row r="655" spans="1:42" s="61" customFormat="1" ht="25.5" customHeight="1" x14ac:dyDescent="0.3">
      <c r="A655" s="706"/>
      <c r="B655" s="180" t="s">
        <v>361</v>
      </c>
      <c r="C655" s="300">
        <v>10</v>
      </c>
      <c r="D655" s="173"/>
      <c r="E655" s="173"/>
      <c r="F655" s="266"/>
      <c r="G655" s="173"/>
      <c r="H655" s="173">
        <v>68</v>
      </c>
      <c r="I655" s="174"/>
      <c r="J655" s="173"/>
      <c r="K655" s="173"/>
      <c r="L655" s="266"/>
      <c r="M655" s="173"/>
      <c r="N655" s="174"/>
      <c r="O655" s="173"/>
      <c r="P655" s="173"/>
      <c r="Q655" s="173"/>
      <c r="R655" s="173"/>
      <c r="S655" s="173">
        <v>1355</v>
      </c>
      <c r="T655" s="327"/>
      <c r="U655" s="300">
        <v>200</v>
      </c>
      <c r="V655" s="173"/>
      <c r="W655" s="173"/>
      <c r="X655" s="173"/>
      <c r="Y655" s="173"/>
      <c r="Z655" s="173"/>
      <c r="AA655" s="173"/>
      <c r="AB655" s="173"/>
      <c r="AC655" s="173"/>
      <c r="AD655" s="173"/>
      <c r="AE655" s="173"/>
      <c r="AF655" s="173"/>
      <c r="AG655" s="173"/>
      <c r="AH655" s="173">
        <v>307</v>
      </c>
      <c r="AI655" s="173" t="s">
        <v>482</v>
      </c>
      <c r="AJ655" s="173"/>
      <c r="AK655" s="173"/>
      <c r="AL655" s="173"/>
      <c r="AM655" s="643">
        <f t="shared" si="12"/>
        <v>1940</v>
      </c>
      <c r="AO655" s="289"/>
      <c r="AP655" s="97"/>
    </row>
    <row r="656" spans="1:42" s="61" customFormat="1" ht="25.5" customHeight="1" x14ac:dyDescent="0.3">
      <c r="A656" s="706"/>
      <c r="B656" s="180" t="s">
        <v>362</v>
      </c>
      <c r="C656" s="300">
        <v>1890</v>
      </c>
      <c r="D656" s="173"/>
      <c r="E656" s="173"/>
      <c r="F656" s="266"/>
      <c r="G656" s="173">
        <v>2</v>
      </c>
      <c r="H656" s="173"/>
      <c r="I656" s="174"/>
      <c r="J656" s="173"/>
      <c r="K656" s="173"/>
      <c r="L656" s="266"/>
      <c r="M656" s="173"/>
      <c r="N656" s="174"/>
      <c r="O656" s="173"/>
      <c r="P656" s="173"/>
      <c r="Q656" s="173"/>
      <c r="R656" s="173"/>
      <c r="S656" s="173">
        <v>2307</v>
      </c>
      <c r="T656" s="327"/>
      <c r="U656" s="300">
        <v>100.15600000000001</v>
      </c>
      <c r="V656" s="173"/>
      <c r="W656" s="173"/>
      <c r="X656" s="173"/>
      <c r="Y656" s="173"/>
      <c r="Z656" s="173"/>
      <c r="AA656" s="173"/>
      <c r="AB656" s="173"/>
      <c r="AC656" s="173"/>
      <c r="AD656" s="173"/>
      <c r="AE656" s="173"/>
      <c r="AF656" s="173"/>
      <c r="AG656" s="173"/>
      <c r="AH656" s="173"/>
      <c r="AI656" s="173" t="s">
        <v>482</v>
      </c>
      <c r="AJ656" s="173"/>
      <c r="AK656" s="173"/>
      <c r="AL656" s="173"/>
      <c r="AM656" s="644">
        <f t="shared" si="12"/>
        <v>4299.1559999999999</v>
      </c>
      <c r="AO656" s="289"/>
      <c r="AP656" s="97"/>
    </row>
    <row r="657" spans="1:42" s="61" customFormat="1" ht="22.5" customHeight="1" x14ac:dyDescent="0.3">
      <c r="A657" s="706"/>
      <c r="B657" s="115" t="s">
        <v>402</v>
      </c>
      <c r="C657" s="142">
        <v>14.901960000000001</v>
      </c>
      <c r="D657" s="111"/>
      <c r="E657" s="111"/>
      <c r="F657" s="267">
        <v>4300</v>
      </c>
      <c r="G657" s="111"/>
      <c r="H657" s="111">
        <v>103</v>
      </c>
      <c r="I657" s="125"/>
      <c r="J657" s="111"/>
      <c r="K657" s="111"/>
      <c r="L657" s="267"/>
      <c r="M657" s="111"/>
      <c r="N657" s="125"/>
      <c r="O657" s="111"/>
      <c r="P657" s="111"/>
      <c r="Q657" s="111"/>
      <c r="R657" s="111"/>
      <c r="S657" s="111">
        <v>181.68576099999999</v>
      </c>
      <c r="T657" s="143"/>
      <c r="U657" s="142"/>
      <c r="V657" s="111"/>
      <c r="W657" s="111"/>
      <c r="X657" s="111"/>
      <c r="Y657" s="111"/>
      <c r="Z657" s="111">
        <v>1</v>
      </c>
      <c r="AA657" s="111"/>
      <c r="AB657" s="111"/>
      <c r="AC657" s="111"/>
      <c r="AD657" s="111"/>
      <c r="AE657" s="111"/>
      <c r="AF657" s="111"/>
      <c r="AG657" s="111"/>
      <c r="AH657" s="111">
        <v>975</v>
      </c>
      <c r="AI657" s="111" t="s">
        <v>482</v>
      </c>
      <c r="AJ657" s="111"/>
      <c r="AK657" s="111"/>
      <c r="AL657" s="111"/>
      <c r="AM657" s="645">
        <f t="shared" si="12"/>
        <v>5575.5877209999999</v>
      </c>
      <c r="AO657" s="289"/>
    </row>
    <row r="658" spans="1:42" s="61" customFormat="1" ht="21" customHeight="1" x14ac:dyDescent="0.3">
      <c r="A658" s="707"/>
      <c r="B658" s="181" t="s">
        <v>403</v>
      </c>
      <c r="C658" s="144">
        <v>490.36799999999999</v>
      </c>
      <c r="D658" s="112"/>
      <c r="E658" s="112"/>
      <c r="F658" s="268">
        <v>3350</v>
      </c>
      <c r="G658" s="112"/>
      <c r="H658" s="112"/>
      <c r="I658" s="126"/>
      <c r="J658" s="112"/>
      <c r="K658" s="112"/>
      <c r="L658" s="268"/>
      <c r="M658" s="112"/>
      <c r="N658" s="126"/>
      <c r="O658" s="112"/>
      <c r="P658" s="112"/>
      <c r="Q658" s="112"/>
      <c r="R658" s="112"/>
      <c r="S658" s="112">
        <v>200.68110999999999</v>
      </c>
      <c r="T658" s="145"/>
      <c r="U658" s="144"/>
      <c r="V658" s="112"/>
      <c r="W658" s="112"/>
      <c r="X658" s="112"/>
      <c r="Y658" s="112"/>
      <c r="Z658" s="112"/>
      <c r="AA658" s="112"/>
      <c r="AB658" s="112"/>
      <c r="AC658" s="112"/>
      <c r="AD658" s="112"/>
      <c r="AE658" s="112"/>
      <c r="AF658" s="112"/>
      <c r="AG658" s="112"/>
      <c r="AH658" s="112" t="s">
        <v>482</v>
      </c>
      <c r="AI658" s="112" t="s">
        <v>482</v>
      </c>
      <c r="AJ658" s="112"/>
      <c r="AK658" s="112"/>
      <c r="AL658" s="112"/>
      <c r="AM658" s="646">
        <f t="shared" si="12"/>
        <v>4041.0491099999999</v>
      </c>
      <c r="AO658" s="289"/>
    </row>
    <row r="659" spans="1:42" s="61" customFormat="1" ht="21" customHeight="1" x14ac:dyDescent="0.3">
      <c r="A659" s="705" t="s">
        <v>301</v>
      </c>
      <c r="B659" s="179" t="s">
        <v>293</v>
      </c>
      <c r="C659" s="135">
        <v>9</v>
      </c>
      <c r="D659" s="136"/>
      <c r="E659" s="136"/>
      <c r="F659" s="262"/>
      <c r="G659" s="136">
        <v>1</v>
      </c>
      <c r="H659" s="136"/>
      <c r="I659" s="326"/>
      <c r="J659" s="136"/>
      <c r="K659" s="136"/>
      <c r="L659" s="262"/>
      <c r="M659" s="136"/>
      <c r="N659" s="326"/>
      <c r="O659" s="136"/>
      <c r="P659" s="136"/>
      <c r="Q659" s="136"/>
      <c r="R659" s="136"/>
      <c r="S659" s="136"/>
      <c r="T659" s="137"/>
      <c r="U659" s="632"/>
      <c r="V659" s="122"/>
      <c r="W659" s="122"/>
      <c r="X659" s="122"/>
      <c r="Y659" s="122">
        <v>45</v>
      </c>
      <c r="Z659" s="122"/>
      <c r="AA659" s="122"/>
      <c r="AB659" s="122"/>
      <c r="AC659" s="122"/>
      <c r="AD659" s="122">
        <v>73</v>
      </c>
      <c r="AE659" s="122"/>
      <c r="AF659" s="122"/>
      <c r="AG659" s="122"/>
      <c r="AH659" s="122"/>
      <c r="AI659" s="122" t="s">
        <v>482</v>
      </c>
      <c r="AJ659" s="122"/>
      <c r="AK659" s="122"/>
      <c r="AL659" s="122"/>
      <c r="AM659" s="639">
        <f t="shared" si="12"/>
        <v>128</v>
      </c>
      <c r="AO659" s="289"/>
    </row>
    <row r="660" spans="1:42" s="61" customFormat="1" ht="19.5" customHeight="1" x14ac:dyDescent="0.3">
      <c r="A660" s="706"/>
      <c r="B660" s="116" t="s">
        <v>294</v>
      </c>
      <c r="C660" s="138">
        <v>2</v>
      </c>
      <c r="D660" s="109"/>
      <c r="E660" s="109"/>
      <c r="F660" s="263"/>
      <c r="G660" s="109">
        <v>1</v>
      </c>
      <c r="H660" s="109"/>
      <c r="I660" s="123"/>
      <c r="J660" s="109"/>
      <c r="K660" s="109"/>
      <c r="L660" s="263"/>
      <c r="M660" s="109"/>
      <c r="N660" s="123"/>
      <c r="O660" s="109"/>
      <c r="P660" s="109"/>
      <c r="Q660" s="109"/>
      <c r="R660" s="109"/>
      <c r="S660" s="109"/>
      <c r="T660" s="139"/>
      <c r="U660" s="138"/>
      <c r="V660" s="109"/>
      <c r="W660" s="109"/>
      <c r="X660" s="109"/>
      <c r="Y660" s="109">
        <v>20</v>
      </c>
      <c r="Z660" s="109"/>
      <c r="AA660" s="109"/>
      <c r="AB660" s="109">
        <v>2</v>
      </c>
      <c r="AC660" s="109"/>
      <c r="AD660" s="109"/>
      <c r="AE660" s="109"/>
      <c r="AF660" s="109"/>
      <c r="AG660" s="109"/>
      <c r="AH660" s="109"/>
      <c r="AI660" s="109" t="s">
        <v>482</v>
      </c>
      <c r="AJ660" s="109"/>
      <c r="AK660" s="109"/>
      <c r="AL660" s="109"/>
      <c r="AM660" s="640">
        <f t="shared" si="12"/>
        <v>25</v>
      </c>
      <c r="AO660" s="289"/>
    </row>
    <row r="661" spans="1:42" s="61" customFormat="1" ht="22.5" customHeight="1" x14ac:dyDescent="0.3">
      <c r="A661" s="706"/>
      <c r="B661" s="117" t="s">
        <v>326</v>
      </c>
      <c r="C661" s="140">
        <v>5.5</v>
      </c>
      <c r="D661" s="110"/>
      <c r="E661" s="110"/>
      <c r="F661" s="264"/>
      <c r="G661" s="110">
        <v>1</v>
      </c>
      <c r="H661" s="110"/>
      <c r="I661" s="124"/>
      <c r="J661" s="110"/>
      <c r="K661" s="110"/>
      <c r="L661" s="264"/>
      <c r="M661" s="110"/>
      <c r="N661" s="124"/>
      <c r="O661" s="110"/>
      <c r="P661" s="110">
        <v>4</v>
      </c>
      <c r="Q661" s="110"/>
      <c r="R661" s="110"/>
      <c r="S661" s="110"/>
      <c r="T661" s="141"/>
      <c r="U661" s="140"/>
      <c r="V661" s="110"/>
      <c r="W661" s="110"/>
      <c r="X661" s="110"/>
      <c r="Y661" s="110">
        <v>20</v>
      </c>
      <c r="Z661" s="110"/>
      <c r="AA661" s="110"/>
      <c r="AB661" s="110">
        <v>1</v>
      </c>
      <c r="AC661" s="110"/>
      <c r="AD661" s="110">
        <v>20</v>
      </c>
      <c r="AE661" s="110"/>
      <c r="AF661" s="110"/>
      <c r="AG661" s="110"/>
      <c r="AH661" s="110">
        <v>20</v>
      </c>
      <c r="AI661" s="110" t="s">
        <v>482</v>
      </c>
      <c r="AJ661" s="110"/>
      <c r="AK661" s="110"/>
      <c r="AL661" s="110"/>
      <c r="AM661" s="641">
        <f t="shared" ref="AM661:AM724" si="13">SUM(C661:AL661)</f>
        <v>71.5</v>
      </c>
      <c r="AO661" s="289"/>
      <c r="AP661" s="97"/>
    </row>
    <row r="662" spans="1:42" s="61" customFormat="1" ht="25.5" customHeight="1" x14ac:dyDescent="0.3">
      <c r="A662" s="706"/>
      <c r="B662" s="175" t="s">
        <v>327</v>
      </c>
      <c r="C662" s="176">
        <v>11</v>
      </c>
      <c r="D662" s="127"/>
      <c r="E662" s="127"/>
      <c r="F662" s="265"/>
      <c r="G662" s="127">
        <v>1</v>
      </c>
      <c r="H662" s="127"/>
      <c r="I662" s="178"/>
      <c r="J662" s="127"/>
      <c r="K662" s="127"/>
      <c r="L662" s="265"/>
      <c r="M662" s="127"/>
      <c r="N662" s="178"/>
      <c r="O662" s="127"/>
      <c r="P662" s="127"/>
      <c r="Q662" s="127"/>
      <c r="R662" s="127"/>
      <c r="S662" s="127"/>
      <c r="T662" s="177"/>
      <c r="U662" s="176"/>
      <c r="V662" s="127"/>
      <c r="W662" s="127"/>
      <c r="X662" s="127"/>
      <c r="Y662" s="127">
        <v>20</v>
      </c>
      <c r="Z662" s="127"/>
      <c r="AA662" s="127"/>
      <c r="AB662" s="127">
        <v>1</v>
      </c>
      <c r="AC662" s="127"/>
      <c r="AD662" s="127">
        <v>20</v>
      </c>
      <c r="AE662" s="127"/>
      <c r="AF662" s="127"/>
      <c r="AG662" s="127"/>
      <c r="AH662" s="127"/>
      <c r="AI662" s="127" t="s">
        <v>482</v>
      </c>
      <c r="AJ662" s="127"/>
      <c r="AK662" s="127"/>
      <c r="AL662" s="127"/>
      <c r="AM662" s="642">
        <f t="shared" si="13"/>
        <v>53</v>
      </c>
      <c r="AO662" s="289"/>
    </row>
    <row r="663" spans="1:42" s="61" customFormat="1" ht="25.5" customHeight="1" x14ac:dyDescent="0.3">
      <c r="A663" s="706"/>
      <c r="B663" s="180" t="s">
        <v>361</v>
      </c>
      <c r="C663" s="300">
        <v>8</v>
      </c>
      <c r="D663" s="173"/>
      <c r="E663" s="173"/>
      <c r="F663" s="266"/>
      <c r="G663" s="173">
        <f>1+0</f>
        <v>1</v>
      </c>
      <c r="H663" s="173"/>
      <c r="I663" s="174"/>
      <c r="J663" s="173"/>
      <c r="K663" s="173"/>
      <c r="L663" s="266"/>
      <c r="M663" s="173"/>
      <c r="N663" s="174"/>
      <c r="O663" s="173"/>
      <c r="P663" s="173"/>
      <c r="Q663" s="173"/>
      <c r="R663" s="173"/>
      <c r="S663" s="173"/>
      <c r="T663" s="327"/>
      <c r="U663" s="300"/>
      <c r="V663" s="173"/>
      <c r="W663" s="173"/>
      <c r="X663" s="173"/>
      <c r="Y663" s="173">
        <v>20</v>
      </c>
      <c r="Z663" s="173"/>
      <c r="AA663" s="173"/>
      <c r="AB663" s="173">
        <v>1</v>
      </c>
      <c r="AC663" s="173"/>
      <c r="AD663" s="173">
        <v>20</v>
      </c>
      <c r="AE663" s="173"/>
      <c r="AF663" s="173"/>
      <c r="AG663" s="173"/>
      <c r="AH663" s="173">
        <v>10</v>
      </c>
      <c r="AI663" s="173" t="s">
        <v>482</v>
      </c>
      <c r="AJ663" s="173"/>
      <c r="AK663" s="173"/>
      <c r="AL663" s="173"/>
      <c r="AM663" s="643">
        <f t="shared" si="13"/>
        <v>60</v>
      </c>
      <c r="AO663" s="289"/>
      <c r="AP663" s="97"/>
    </row>
    <row r="664" spans="1:42" s="61" customFormat="1" ht="25.5" customHeight="1" x14ac:dyDescent="0.3">
      <c r="A664" s="706"/>
      <c r="B664" s="180" t="s">
        <v>362</v>
      </c>
      <c r="C664" s="300">
        <v>2</v>
      </c>
      <c r="D664" s="173"/>
      <c r="E664" s="173"/>
      <c r="F664" s="266"/>
      <c r="G664" s="173">
        <v>3</v>
      </c>
      <c r="H664" s="173"/>
      <c r="I664" s="174"/>
      <c r="J664" s="173"/>
      <c r="K664" s="173"/>
      <c r="L664" s="266"/>
      <c r="M664" s="173"/>
      <c r="N664" s="174"/>
      <c r="O664" s="173"/>
      <c r="P664" s="173"/>
      <c r="Q664" s="173"/>
      <c r="R664" s="173"/>
      <c r="S664" s="173"/>
      <c r="T664" s="327"/>
      <c r="U664" s="300">
        <v>3.2000000000000001E-2</v>
      </c>
      <c r="V664" s="173"/>
      <c r="W664" s="173"/>
      <c r="X664" s="173"/>
      <c r="Y664" s="173">
        <v>200</v>
      </c>
      <c r="Z664" s="173"/>
      <c r="AA664" s="173"/>
      <c r="AB664" s="173"/>
      <c r="AC664" s="173"/>
      <c r="AD664" s="173">
        <v>20</v>
      </c>
      <c r="AE664" s="173"/>
      <c r="AF664" s="173"/>
      <c r="AG664" s="173"/>
      <c r="AH664" s="173"/>
      <c r="AI664" s="173" t="s">
        <v>482</v>
      </c>
      <c r="AJ664" s="173"/>
      <c r="AK664" s="173"/>
      <c r="AL664" s="173"/>
      <c r="AM664" s="644">
        <f t="shared" si="13"/>
        <v>225.03200000000001</v>
      </c>
      <c r="AO664" s="289"/>
      <c r="AP664" s="97"/>
    </row>
    <row r="665" spans="1:42" s="61" customFormat="1" ht="22.5" customHeight="1" x14ac:dyDescent="0.3">
      <c r="A665" s="706"/>
      <c r="B665" s="115" t="s">
        <v>402</v>
      </c>
      <c r="C665" s="142">
        <v>20</v>
      </c>
      <c r="D665" s="111"/>
      <c r="E665" s="111"/>
      <c r="F665" s="267"/>
      <c r="G665" s="111"/>
      <c r="H665" s="111"/>
      <c r="I665" s="125"/>
      <c r="J665" s="111"/>
      <c r="K665" s="111"/>
      <c r="L665" s="267"/>
      <c r="M665" s="111"/>
      <c r="N665" s="125"/>
      <c r="O665" s="111"/>
      <c r="P665" s="111"/>
      <c r="Q665" s="111"/>
      <c r="R665" s="111"/>
      <c r="S665" s="111"/>
      <c r="T665" s="143"/>
      <c r="U665" s="142"/>
      <c r="V665" s="111"/>
      <c r="W665" s="111"/>
      <c r="X665" s="111"/>
      <c r="Y665" s="111">
        <v>20</v>
      </c>
      <c r="Z665" s="111"/>
      <c r="AA665" s="111"/>
      <c r="AB665" s="111">
        <v>1</v>
      </c>
      <c r="AC665" s="111"/>
      <c r="AD665" s="111">
        <v>20</v>
      </c>
      <c r="AE665" s="111"/>
      <c r="AF665" s="111"/>
      <c r="AG665" s="111"/>
      <c r="AH665" s="111">
        <v>10</v>
      </c>
      <c r="AI665" s="111" t="s">
        <v>482</v>
      </c>
      <c r="AJ665" s="111"/>
      <c r="AK665" s="111"/>
      <c r="AL665" s="111"/>
      <c r="AM665" s="645">
        <f t="shared" si="13"/>
        <v>71</v>
      </c>
      <c r="AO665" s="289"/>
    </row>
    <row r="666" spans="1:42" s="61" customFormat="1" ht="21" customHeight="1" x14ac:dyDescent="0.3">
      <c r="A666" s="707"/>
      <c r="B666" s="181" t="s">
        <v>403</v>
      </c>
      <c r="C666" s="144">
        <v>16</v>
      </c>
      <c r="D666" s="112"/>
      <c r="E666" s="112"/>
      <c r="F666" s="268"/>
      <c r="G666" s="112"/>
      <c r="H666" s="112"/>
      <c r="I666" s="126"/>
      <c r="J666" s="112"/>
      <c r="K666" s="112"/>
      <c r="L666" s="268"/>
      <c r="M666" s="112"/>
      <c r="N666" s="126"/>
      <c r="O666" s="112"/>
      <c r="P666" s="112"/>
      <c r="Q666" s="112"/>
      <c r="R666" s="112"/>
      <c r="S666" s="112"/>
      <c r="T666" s="145"/>
      <c r="U666" s="144"/>
      <c r="V666" s="112"/>
      <c r="W666" s="112"/>
      <c r="X666" s="112"/>
      <c r="Y666" s="112">
        <v>20</v>
      </c>
      <c r="Z666" s="112"/>
      <c r="AA666" s="112"/>
      <c r="AB666" s="112"/>
      <c r="AC666" s="112"/>
      <c r="AD666" s="112">
        <v>20</v>
      </c>
      <c r="AE666" s="112"/>
      <c r="AF666" s="112"/>
      <c r="AG666" s="112"/>
      <c r="AH666" s="112" t="s">
        <v>482</v>
      </c>
      <c r="AI666" s="112" t="s">
        <v>482</v>
      </c>
      <c r="AJ666" s="112"/>
      <c r="AK666" s="112"/>
      <c r="AL666" s="112"/>
      <c r="AM666" s="646">
        <f t="shared" si="13"/>
        <v>56</v>
      </c>
      <c r="AO666" s="289"/>
    </row>
    <row r="667" spans="1:42" s="61" customFormat="1" ht="21" customHeight="1" x14ac:dyDescent="0.3">
      <c r="A667" s="705" t="s">
        <v>175</v>
      </c>
      <c r="B667" s="179" t="s">
        <v>293</v>
      </c>
      <c r="C667" s="135"/>
      <c r="D667" s="136"/>
      <c r="E667" s="136"/>
      <c r="F667" s="262">
        <v>604.47900000000004</v>
      </c>
      <c r="G667" s="136"/>
      <c r="H667" s="136"/>
      <c r="I667" s="326"/>
      <c r="J667" s="136"/>
      <c r="K667" s="136"/>
      <c r="L667" s="262"/>
      <c r="M667" s="136"/>
      <c r="N667" s="326"/>
      <c r="O667" s="136"/>
      <c r="P667" s="136"/>
      <c r="Q667" s="136"/>
      <c r="R667" s="136"/>
      <c r="S667" s="136"/>
      <c r="T667" s="137"/>
      <c r="U667" s="632">
        <v>10.349</v>
      </c>
      <c r="V667" s="122"/>
      <c r="W667" s="122"/>
      <c r="X667" s="122"/>
      <c r="Y667" s="122"/>
      <c r="Z667" s="122">
        <v>25.62144</v>
      </c>
      <c r="AA667" s="122"/>
      <c r="AB667" s="122"/>
      <c r="AC667" s="122"/>
      <c r="AD667" s="122"/>
      <c r="AE667" s="122"/>
      <c r="AF667" s="122"/>
      <c r="AG667" s="122"/>
      <c r="AH667" s="122">
        <v>982.21</v>
      </c>
      <c r="AI667" s="122" t="s">
        <v>482</v>
      </c>
      <c r="AJ667" s="122"/>
      <c r="AK667" s="122"/>
      <c r="AL667" s="122"/>
      <c r="AM667" s="639">
        <f t="shared" si="13"/>
        <v>1622.6594400000001</v>
      </c>
      <c r="AO667" s="289"/>
    </row>
    <row r="668" spans="1:42" s="61" customFormat="1" ht="19.5" customHeight="1" x14ac:dyDescent="0.3">
      <c r="A668" s="706"/>
      <c r="B668" s="116" t="s">
        <v>294</v>
      </c>
      <c r="C668" s="138">
        <v>5</v>
      </c>
      <c r="D668" s="109"/>
      <c r="E668" s="109"/>
      <c r="F668" s="263">
        <v>938.57799999999997</v>
      </c>
      <c r="G668" s="109"/>
      <c r="H668" s="109"/>
      <c r="I668" s="123"/>
      <c r="J668" s="109"/>
      <c r="K668" s="109"/>
      <c r="L668" s="263"/>
      <c r="M668" s="109"/>
      <c r="N668" s="123"/>
      <c r="O668" s="109"/>
      <c r="P668" s="109">
        <v>60</v>
      </c>
      <c r="Q668" s="109"/>
      <c r="R668" s="109"/>
      <c r="S668" s="109"/>
      <c r="T668" s="139"/>
      <c r="U668" s="138">
        <v>10.91</v>
      </c>
      <c r="V668" s="109"/>
      <c r="W668" s="109"/>
      <c r="X668" s="109"/>
      <c r="Y668" s="109"/>
      <c r="Z668" s="109">
        <v>209.19679000000002</v>
      </c>
      <c r="AA668" s="109"/>
      <c r="AB668" s="109"/>
      <c r="AC668" s="109"/>
      <c r="AD668" s="109"/>
      <c r="AE668" s="109"/>
      <c r="AF668" s="109"/>
      <c r="AG668" s="109"/>
      <c r="AH668" s="109">
        <v>4012.81</v>
      </c>
      <c r="AI668" s="109" t="s">
        <v>482</v>
      </c>
      <c r="AJ668" s="109"/>
      <c r="AK668" s="109"/>
      <c r="AL668" s="109"/>
      <c r="AM668" s="640">
        <f t="shared" si="13"/>
        <v>5236.4947899999997</v>
      </c>
      <c r="AO668" s="289"/>
    </row>
    <row r="669" spans="1:42" s="61" customFormat="1" ht="22.5" customHeight="1" x14ac:dyDescent="0.3">
      <c r="A669" s="706"/>
      <c r="B669" s="117" t="s">
        <v>326</v>
      </c>
      <c r="C669" s="140"/>
      <c r="D669" s="110"/>
      <c r="E669" s="110"/>
      <c r="F669" s="264">
        <v>2008</v>
      </c>
      <c r="G669" s="110"/>
      <c r="H669" s="110"/>
      <c r="I669" s="124"/>
      <c r="J669" s="110"/>
      <c r="K669" s="110"/>
      <c r="L669" s="264"/>
      <c r="M669" s="110"/>
      <c r="N669" s="124">
        <v>1025.1220000000001</v>
      </c>
      <c r="O669" s="110"/>
      <c r="P669" s="110"/>
      <c r="Q669" s="110">
        <v>24</v>
      </c>
      <c r="R669" s="110"/>
      <c r="S669" s="110">
        <v>124093</v>
      </c>
      <c r="T669" s="141"/>
      <c r="U669" s="140">
        <v>9.8279999999999994</v>
      </c>
      <c r="V669" s="110"/>
      <c r="W669" s="110"/>
      <c r="X669" s="110"/>
      <c r="Y669" s="110"/>
      <c r="Z669" s="110">
        <v>417</v>
      </c>
      <c r="AA669" s="110">
        <v>-0.19342000000000001</v>
      </c>
      <c r="AB669" s="110"/>
      <c r="AC669" s="110"/>
      <c r="AD669" s="110"/>
      <c r="AE669" s="110"/>
      <c r="AF669" s="110"/>
      <c r="AG669" s="110"/>
      <c r="AH669" s="110">
        <v>2987.8806099999997</v>
      </c>
      <c r="AI669" s="110" t="s">
        <v>482</v>
      </c>
      <c r="AJ669" s="110"/>
      <c r="AK669" s="110"/>
      <c r="AL669" s="110"/>
      <c r="AM669" s="641">
        <f t="shared" si="13"/>
        <v>130564.63718999999</v>
      </c>
      <c r="AO669" s="289"/>
      <c r="AP669" s="97"/>
    </row>
    <row r="670" spans="1:42" s="61" customFormat="1" ht="25.5" customHeight="1" x14ac:dyDescent="0.3">
      <c r="A670" s="706"/>
      <c r="B670" s="175" t="s">
        <v>327</v>
      </c>
      <c r="C670" s="176">
        <v>5.3540000000000001</v>
      </c>
      <c r="D670" s="127"/>
      <c r="E670" s="127"/>
      <c r="F670" s="265">
        <v>2176</v>
      </c>
      <c r="G670" s="127"/>
      <c r="H670" s="127"/>
      <c r="I670" s="178"/>
      <c r="J670" s="127"/>
      <c r="K670" s="127"/>
      <c r="L670" s="265"/>
      <c r="M670" s="127"/>
      <c r="N670" s="178">
        <v>1647.9939999999999</v>
      </c>
      <c r="O670" s="127"/>
      <c r="P670" s="127"/>
      <c r="Q670" s="127"/>
      <c r="R670" s="127"/>
      <c r="S670" s="127">
        <v>102441</v>
      </c>
      <c r="T670" s="177"/>
      <c r="U670" s="176"/>
      <c r="V670" s="127"/>
      <c r="W670" s="127"/>
      <c r="X670" s="127"/>
      <c r="Y670" s="127"/>
      <c r="Z670" s="127">
        <v>266</v>
      </c>
      <c r="AA670" s="127"/>
      <c r="AB670" s="127"/>
      <c r="AC670" s="127"/>
      <c r="AD670" s="127"/>
      <c r="AE670" s="127"/>
      <c r="AF670" s="127"/>
      <c r="AG670" s="127"/>
      <c r="AH670" s="127">
        <v>11251.92</v>
      </c>
      <c r="AI670" s="127" t="s">
        <v>482</v>
      </c>
      <c r="AJ670" s="127"/>
      <c r="AK670" s="127"/>
      <c r="AL670" s="127"/>
      <c r="AM670" s="642">
        <f t="shared" si="13"/>
        <v>117788.268</v>
      </c>
      <c r="AO670" s="289"/>
    </row>
    <row r="671" spans="1:42" s="61" customFormat="1" ht="25.5" customHeight="1" x14ac:dyDescent="0.3">
      <c r="A671" s="706"/>
      <c r="B671" s="180" t="s">
        <v>361</v>
      </c>
      <c r="C671" s="300">
        <v>45.971779999999995</v>
      </c>
      <c r="D671" s="173"/>
      <c r="E671" s="173"/>
      <c r="F671" s="266">
        <v>2481</v>
      </c>
      <c r="G671" s="173"/>
      <c r="H671" s="173"/>
      <c r="I671" s="174"/>
      <c r="J671" s="173"/>
      <c r="K671" s="173"/>
      <c r="L671" s="266"/>
      <c r="M671" s="173"/>
      <c r="N671" s="174">
        <v>2642.7280000000001</v>
      </c>
      <c r="O671" s="173"/>
      <c r="P671" s="173"/>
      <c r="Q671" s="173"/>
      <c r="R671" s="173"/>
      <c r="S671" s="173">
        <v>48717</v>
      </c>
      <c r="T671" s="327"/>
      <c r="U671" s="300">
        <v>10.882999999999999</v>
      </c>
      <c r="V671" s="173"/>
      <c r="W671" s="173"/>
      <c r="X671" s="173"/>
      <c r="Y671" s="173"/>
      <c r="Z671" s="173">
        <v>200</v>
      </c>
      <c r="AA671" s="173"/>
      <c r="AB671" s="173"/>
      <c r="AC671" s="173"/>
      <c r="AD671" s="173"/>
      <c r="AE671" s="173"/>
      <c r="AF671" s="173"/>
      <c r="AG671" s="173"/>
      <c r="AH671" s="173">
        <v>14068</v>
      </c>
      <c r="AI671" s="173" t="s">
        <v>482</v>
      </c>
      <c r="AJ671" s="173"/>
      <c r="AK671" s="173"/>
      <c r="AL671" s="173"/>
      <c r="AM671" s="643">
        <f t="shared" si="13"/>
        <v>68165.582779999997</v>
      </c>
      <c r="AO671" s="289"/>
      <c r="AP671" s="97"/>
    </row>
    <row r="672" spans="1:42" s="61" customFormat="1" ht="25.5" customHeight="1" x14ac:dyDescent="0.3">
      <c r="A672" s="706"/>
      <c r="B672" s="180" t="s">
        <v>362</v>
      </c>
      <c r="C672" s="300">
        <v>4.9758900000000006</v>
      </c>
      <c r="D672" s="173"/>
      <c r="E672" s="173"/>
      <c r="F672" s="266">
        <v>601</v>
      </c>
      <c r="G672" s="173"/>
      <c r="H672" s="173"/>
      <c r="I672" s="174"/>
      <c r="J672" s="173"/>
      <c r="K672" s="173"/>
      <c r="L672" s="266"/>
      <c r="M672" s="173"/>
      <c r="N672" s="174">
        <v>4052.3780000000002</v>
      </c>
      <c r="O672" s="173"/>
      <c r="P672" s="173"/>
      <c r="Q672" s="173"/>
      <c r="R672" s="173"/>
      <c r="S672" s="173">
        <v>44738</v>
      </c>
      <c r="T672" s="327"/>
      <c r="U672" s="300">
        <v>6.0579999999999998</v>
      </c>
      <c r="V672" s="173"/>
      <c r="W672" s="173"/>
      <c r="X672" s="173"/>
      <c r="Y672" s="173"/>
      <c r="Z672" s="173">
        <v>62.605899999999998</v>
      </c>
      <c r="AA672" s="173"/>
      <c r="AB672" s="173"/>
      <c r="AC672" s="173"/>
      <c r="AD672" s="173"/>
      <c r="AE672" s="173"/>
      <c r="AF672" s="173"/>
      <c r="AG672" s="173"/>
      <c r="AH672" s="173">
        <v>15746</v>
      </c>
      <c r="AI672" s="173" t="s">
        <v>482</v>
      </c>
      <c r="AJ672" s="173"/>
      <c r="AK672" s="173"/>
      <c r="AL672" s="173"/>
      <c r="AM672" s="644">
        <f t="shared" si="13"/>
        <v>65211.017789999998</v>
      </c>
      <c r="AO672" s="289"/>
      <c r="AP672" s="97"/>
    </row>
    <row r="673" spans="1:42" s="61" customFormat="1" ht="22.5" customHeight="1" x14ac:dyDescent="0.3">
      <c r="A673" s="706"/>
      <c r="B673" s="115" t="s">
        <v>402</v>
      </c>
      <c r="C673" s="142">
        <v>12.06831</v>
      </c>
      <c r="D673" s="111"/>
      <c r="E673" s="111"/>
      <c r="F673" s="267">
        <v>1436.6</v>
      </c>
      <c r="G673" s="111"/>
      <c r="H673" s="111"/>
      <c r="I673" s="125"/>
      <c r="J673" s="111"/>
      <c r="K673" s="111"/>
      <c r="L673" s="267"/>
      <c r="M673" s="111"/>
      <c r="N673" s="125"/>
      <c r="O673" s="111"/>
      <c r="P673" s="111"/>
      <c r="Q673" s="111"/>
      <c r="R673" s="111"/>
      <c r="S673" s="111">
        <v>37767.229910000002</v>
      </c>
      <c r="T673" s="143"/>
      <c r="U673" s="142">
        <v>10.89</v>
      </c>
      <c r="V673" s="111"/>
      <c r="W673" s="111"/>
      <c r="X673" s="111"/>
      <c r="Y673" s="111"/>
      <c r="Z673" s="111"/>
      <c r="AA673" s="111"/>
      <c r="AB673" s="111"/>
      <c r="AC673" s="111"/>
      <c r="AD673" s="111"/>
      <c r="AE673" s="111"/>
      <c r="AF673" s="111"/>
      <c r="AG673" s="111"/>
      <c r="AH673" s="111">
        <v>44715.864000000001</v>
      </c>
      <c r="AI673" s="111" t="s">
        <v>482</v>
      </c>
      <c r="AJ673" s="111"/>
      <c r="AK673" s="111"/>
      <c r="AL673" s="111"/>
      <c r="AM673" s="645">
        <f t="shared" si="13"/>
        <v>83942.652220000004</v>
      </c>
      <c r="AO673" s="289"/>
    </row>
    <row r="674" spans="1:42" s="61" customFormat="1" ht="21" customHeight="1" x14ac:dyDescent="0.3">
      <c r="A674" s="707"/>
      <c r="B674" s="181" t="s">
        <v>403</v>
      </c>
      <c r="C674" s="144">
        <v>115.56262</v>
      </c>
      <c r="D674" s="112"/>
      <c r="E674" s="112"/>
      <c r="F674" s="268">
        <v>1834.3</v>
      </c>
      <c r="G674" s="112"/>
      <c r="H674" s="112"/>
      <c r="I674" s="126"/>
      <c r="J674" s="112"/>
      <c r="K674" s="112"/>
      <c r="L674" s="268"/>
      <c r="M674" s="112"/>
      <c r="N674" s="126"/>
      <c r="O674" s="112"/>
      <c r="P674" s="112"/>
      <c r="Q674" s="112"/>
      <c r="R674" s="112"/>
      <c r="S674" s="112">
        <v>12208.456308000003</v>
      </c>
      <c r="T674" s="145"/>
      <c r="U674" s="144">
        <v>10.699</v>
      </c>
      <c r="V674" s="112"/>
      <c r="W674" s="112"/>
      <c r="X674" s="112"/>
      <c r="Y674" s="112"/>
      <c r="Z674" s="112"/>
      <c r="AA674" s="112"/>
      <c r="AB674" s="112"/>
      <c r="AC674" s="112"/>
      <c r="AD674" s="112"/>
      <c r="AE674" s="112"/>
      <c r="AF674" s="112"/>
      <c r="AG674" s="112"/>
      <c r="AH674" s="112" t="s">
        <v>482</v>
      </c>
      <c r="AI674" s="112" t="s">
        <v>482</v>
      </c>
      <c r="AJ674" s="112"/>
      <c r="AK674" s="112"/>
      <c r="AL674" s="112"/>
      <c r="AM674" s="646">
        <f t="shared" si="13"/>
        <v>14169.017928000003</v>
      </c>
      <c r="AO674" s="289"/>
    </row>
    <row r="675" spans="1:42" s="61" customFormat="1" ht="21" customHeight="1" x14ac:dyDescent="0.3">
      <c r="A675" s="705" t="s">
        <v>176</v>
      </c>
      <c r="B675" s="179" t="s">
        <v>293</v>
      </c>
      <c r="C675" s="135">
        <v>30</v>
      </c>
      <c r="D675" s="136"/>
      <c r="E675" s="136"/>
      <c r="F675" s="262"/>
      <c r="G675" s="136"/>
      <c r="H675" s="136"/>
      <c r="I675" s="326"/>
      <c r="J675" s="136"/>
      <c r="K675" s="136"/>
      <c r="L675" s="262"/>
      <c r="M675" s="136"/>
      <c r="N675" s="326"/>
      <c r="O675" s="136"/>
      <c r="P675" s="136"/>
      <c r="Q675" s="136"/>
      <c r="R675" s="136"/>
      <c r="S675" s="136"/>
      <c r="T675" s="137"/>
      <c r="U675" s="632"/>
      <c r="V675" s="122"/>
      <c r="W675" s="122"/>
      <c r="X675" s="122"/>
      <c r="Y675" s="122"/>
      <c r="Z675" s="122">
        <v>6752</v>
      </c>
      <c r="AA675" s="122"/>
      <c r="AB675" s="122"/>
      <c r="AC675" s="122"/>
      <c r="AD675" s="122"/>
      <c r="AE675" s="122"/>
      <c r="AF675" s="122"/>
      <c r="AG675" s="122">
        <v>7.84</v>
      </c>
      <c r="AH675" s="122"/>
      <c r="AI675" s="122" t="s">
        <v>482</v>
      </c>
      <c r="AJ675" s="122"/>
      <c r="AK675" s="122">
        <v>12.56</v>
      </c>
      <c r="AL675" s="122">
        <v>484.91584563758386</v>
      </c>
      <c r="AM675" s="639">
        <f t="shared" si="13"/>
        <v>7287.3158456375841</v>
      </c>
      <c r="AO675" s="289"/>
    </row>
    <row r="676" spans="1:42" s="61" customFormat="1" ht="19.5" customHeight="1" x14ac:dyDescent="0.3">
      <c r="A676" s="706"/>
      <c r="B676" s="116" t="s">
        <v>294</v>
      </c>
      <c r="C676" s="138">
        <v>30</v>
      </c>
      <c r="D676" s="109"/>
      <c r="E676" s="109"/>
      <c r="F676" s="263"/>
      <c r="G676" s="109"/>
      <c r="H676" s="109"/>
      <c r="I676" s="123"/>
      <c r="J676" s="109"/>
      <c r="K676" s="109"/>
      <c r="L676" s="263"/>
      <c r="M676" s="109"/>
      <c r="N676" s="123"/>
      <c r="O676" s="109"/>
      <c r="P676" s="109"/>
      <c r="Q676" s="109"/>
      <c r="R676" s="109"/>
      <c r="S676" s="109"/>
      <c r="T676" s="139"/>
      <c r="U676" s="138"/>
      <c r="V676" s="109"/>
      <c r="W676" s="109"/>
      <c r="X676" s="109"/>
      <c r="Y676" s="109"/>
      <c r="Z676" s="109">
        <v>6949</v>
      </c>
      <c r="AA676" s="109"/>
      <c r="AB676" s="109"/>
      <c r="AC676" s="109"/>
      <c r="AD676" s="109"/>
      <c r="AE676" s="109"/>
      <c r="AF676" s="109"/>
      <c r="AG676" s="109">
        <v>5.48</v>
      </c>
      <c r="AH676" s="109"/>
      <c r="AI676" s="109" t="s">
        <v>482</v>
      </c>
      <c r="AJ676" s="109"/>
      <c r="AK676" s="109">
        <v>22.46</v>
      </c>
      <c r="AL676" s="109">
        <v>100.95941538461538</v>
      </c>
      <c r="AM676" s="640">
        <f t="shared" si="13"/>
        <v>7107.8994153846152</v>
      </c>
      <c r="AO676" s="289"/>
    </row>
    <row r="677" spans="1:42" s="61" customFormat="1" ht="22.5" customHeight="1" x14ac:dyDescent="0.3">
      <c r="A677" s="706"/>
      <c r="B677" s="117" t="s">
        <v>326</v>
      </c>
      <c r="C677" s="140">
        <v>30</v>
      </c>
      <c r="D677" s="110"/>
      <c r="E677" s="110"/>
      <c r="F677" s="264"/>
      <c r="G677" s="110"/>
      <c r="H677" s="110">
        <v>50</v>
      </c>
      <c r="I677" s="124"/>
      <c r="J677" s="110"/>
      <c r="K677" s="110"/>
      <c r="L677" s="264"/>
      <c r="M677" s="110"/>
      <c r="N677" s="124"/>
      <c r="O677" s="110"/>
      <c r="P677" s="110"/>
      <c r="Q677" s="110"/>
      <c r="R677" s="110"/>
      <c r="S677" s="110"/>
      <c r="T677" s="141"/>
      <c r="U677" s="140"/>
      <c r="V677" s="110"/>
      <c r="W677" s="110"/>
      <c r="X677" s="110"/>
      <c r="Y677" s="110"/>
      <c r="Z677" s="110">
        <v>6897</v>
      </c>
      <c r="AA677" s="110"/>
      <c r="AB677" s="110"/>
      <c r="AC677" s="110"/>
      <c r="AD677" s="110"/>
      <c r="AE677" s="110"/>
      <c r="AF677" s="110"/>
      <c r="AG677" s="110"/>
      <c r="AH677" s="110"/>
      <c r="AI677" s="110" t="s">
        <v>482</v>
      </c>
      <c r="AJ677" s="110"/>
      <c r="AK677" s="110">
        <v>10</v>
      </c>
      <c r="AL677" s="110"/>
      <c r="AM677" s="641">
        <f t="shared" si="13"/>
        <v>6987</v>
      </c>
      <c r="AO677" s="289"/>
      <c r="AP677" s="97"/>
    </row>
    <row r="678" spans="1:42" s="61" customFormat="1" ht="25.5" customHeight="1" x14ac:dyDescent="0.3">
      <c r="A678" s="706"/>
      <c r="B678" s="175" t="s">
        <v>327</v>
      </c>
      <c r="C678" s="176">
        <v>30</v>
      </c>
      <c r="D678" s="127"/>
      <c r="E678" s="127"/>
      <c r="F678" s="265"/>
      <c r="G678" s="127"/>
      <c r="H678" s="127">
        <v>35</v>
      </c>
      <c r="I678" s="178"/>
      <c r="J678" s="127"/>
      <c r="K678" s="127"/>
      <c r="L678" s="265"/>
      <c r="M678" s="127"/>
      <c r="N678" s="178"/>
      <c r="O678" s="127"/>
      <c r="P678" s="127"/>
      <c r="Q678" s="127"/>
      <c r="R678" s="127"/>
      <c r="S678" s="127"/>
      <c r="T678" s="177"/>
      <c r="U678" s="176"/>
      <c r="V678" s="127"/>
      <c r="W678" s="127"/>
      <c r="X678" s="127"/>
      <c r="Y678" s="127"/>
      <c r="Z678" s="127">
        <v>34129</v>
      </c>
      <c r="AA678" s="127"/>
      <c r="AB678" s="127"/>
      <c r="AC678" s="127"/>
      <c r="AD678" s="127"/>
      <c r="AE678" s="127"/>
      <c r="AF678" s="127"/>
      <c r="AG678" s="127"/>
      <c r="AH678" s="127"/>
      <c r="AI678" s="127" t="s">
        <v>482</v>
      </c>
      <c r="AJ678" s="127"/>
      <c r="AK678" s="127">
        <f>13+96-1</f>
        <v>108</v>
      </c>
      <c r="AL678" s="127"/>
      <c r="AM678" s="642">
        <f t="shared" si="13"/>
        <v>34302</v>
      </c>
      <c r="AO678" s="289"/>
    </row>
    <row r="679" spans="1:42" s="61" customFormat="1" ht="25.5" customHeight="1" x14ac:dyDescent="0.3">
      <c r="A679" s="706"/>
      <c r="B679" s="180" t="s">
        <v>361</v>
      </c>
      <c r="C679" s="300">
        <v>30</v>
      </c>
      <c r="D679" s="173"/>
      <c r="E679" s="173"/>
      <c r="F679" s="266"/>
      <c r="G679" s="173"/>
      <c r="H679" s="173"/>
      <c r="I679" s="174"/>
      <c r="J679" s="173"/>
      <c r="K679" s="173"/>
      <c r="L679" s="266"/>
      <c r="M679" s="173"/>
      <c r="N679" s="174"/>
      <c r="O679" s="173"/>
      <c r="P679" s="173"/>
      <c r="Q679" s="173"/>
      <c r="R679" s="173"/>
      <c r="S679" s="173"/>
      <c r="T679" s="327"/>
      <c r="U679" s="300"/>
      <c r="V679" s="173"/>
      <c r="W679" s="173"/>
      <c r="X679" s="173"/>
      <c r="Y679" s="173"/>
      <c r="Z679" s="173">
        <v>10327.767189999999</v>
      </c>
      <c r="AA679" s="173"/>
      <c r="AB679" s="173"/>
      <c r="AC679" s="173"/>
      <c r="AD679" s="173"/>
      <c r="AE679" s="173"/>
      <c r="AF679" s="173"/>
      <c r="AG679" s="173"/>
      <c r="AH679" s="173"/>
      <c r="AI679" s="173" t="s">
        <v>482</v>
      </c>
      <c r="AJ679" s="173"/>
      <c r="AK679" s="173"/>
      <c r="AL679" s="173"/>
      <c r="AM679" s="643">
        <f t="shared" si="13"/>
        <v>10357.767189999999</v>
      </c>
      <c r="AO679" s="289"/>
      <c r="AP679" s="97"/>
    </row>
    <row r="680" spans="1:42" s="61" customFormat="1" ht="25.5" customHeight="1" x14ac:dyDescent="0.3">
      <c r="A680" s="706"/>
      <c r="B680" s="180" t="s">
        <v>362</v>
      </c>
      <c r="C680" s="300">
        <v>30</v>
      </c>
      <c r="D680" s="173"/>
      <c r="E680" s="173"/>
      <c r="F680" s="266"/>
      <c r="G680" s="173"/>
      <c r="H680" s="173"/>
      <c r="I680" s="174"/>
      <c r="J680" s="173"/>
      <c r="K680" s="173"/>
      <c r="L680" s="266"/>
      <c r="M680" s="173"/>
      <c r="N680" s="174"/>
      <c r="O680" s="173"/>
      <c r="P680" s="173"/>
      <c r="Q680" s="173"/>
      <c r="R680" s="173"/>
      <c r="S680" s="173"/>
      <c r="T680" s="327"/>
      <c r="U680" s="300"/>
      <c r="V680" s="173"/>
      <c r="W680" s="173"/>
      <c r="X680" s="173"/>
      <c r="Y680" s="173"/>
      <c r="Z680" s="173">
        <v>12022.119849999999</v>
      </c>
      <c r="AA680" s="173"/>
      <c r="AB680" s="173"/>
      <c r="AC680" s="173"/>
      <c r="AD680" s="173"/>
      <c r="AE680" s="173"/>
      <c r="AF680" s="173"/>
      <c r="AG680" s="173"/>
      <c r="AH680" s="173"/>
      <c r="AI680" s="173" t="s">
        <v>482</v>
      </c>
      <c r="AJ680" s="173"/>
      <c r="AK680" s="173"/>
      <c r="AL680" s="173">
        <v>267.85714285714283</v>
      </c>
      <c r="AM680" s="644">
        <f t="shared" si="13"/>
        <v>12319.976992857142</v>
      </c>
      <c r="AO680" s="289"/>
      <c r="AP680" s="97"/>
    </row>
    <row r="681" spans="1:42" s="61" customFormat="1" ht="22.5" customHeight="1" x14ac:dyDescent="0.3">
      <c r="A681" s="706"/>
      <c r="B681" s="115" t="s">
        <v>402</v>
      </c>
      <c r="C681" s="142"/>
      <c r="D681" s="111"/>
      <c r="E681" s="111"/>
      <c r="F681" s="267"/>
      <c r="G681" s="111"/>
      <c r="H681" s="111"/>
      <c r="I681" s="125"/>
      <c r="J681" s="111"/>
      <c r="K681" s="111"/>
      <c r="L681" s="267"/>
      <c r="M681" s="111"/>
      <c r="N681" s="125"/>
      <c r="O681" s="111"/>
      <c r="P681" s="111"/>
      <c r="Q681" s="111"/>
      <c r="R681" s="111"/>
      <c r="S681" s="111"/>
      <c r="T681" s="143"/>
      <c r="U681" s="142"/>
      <c r="V681" s="111"/>
      <c r="W681" s="111"/>
      <c r="X681" s="111"/>
      <c r="Y681" s="111"/>
      <c r="Z681" s="111">
        <v>22880</v>
      </c>
      <c r="AA681" s="111"/>
      <c r="AB681" s="111"/>
      <c r="AC681" s="111"/>
      <c r="AD681" s="111"/>
      <c r="AE681" s="111"/>
      <c r="AF681" s="111"/>
      <c r="AG681" s="111"/>
      <c r="AH681" s="111" t="s">
        <v>482</v>
      </c>
      <c r="AI681" s="111" t="s">
        <v>482</v>
      </c>
      <c r="AJ681" s="111"/>
      <c r="AK681" s="111"/>
      <c r="AL681" s="111"/>
      <c r="AM681" s="645">
        <f t="shared" si="13"/>
        <v>22880</v>
      </c>
      <c r="AO681" s="289"/>
    </row>
    <row r="682" spans="1:42" s="61" customFormat="1" ht="21" customHeight="1" x14ac:dyDescent="0.3">
      <c r="A682" s="707"/>
      <c r="B682" s="181" t="s">
        <v>403</v>
      </c>
      <c r="C682" s="144"/>
      <c r="D682" s="112"/>
      <c r="E682" s="112"/>
      <c r="F682" s="268"/>
      <c r="G682" s="112"/>
      <c r="H682" s="112"/>
      <c r="I682" s="126"/>
      <c r="J682" s="112"/>
      <c r="K682" s="112"/>
      <c r="L682" s="268"/>
      <c r="M682" s="112"/>
      <c r="N682" s="126"/>
      <c r="O682" s="112"/>
      <c r="P682" s="112"/>
      <c r="Q682" s="112"/>
      <c r="R682" s="112"/>
      <c r="S682" s="112"/>
      <c r="T682" s="145"/>
      <c r="U682" s="144"/>
      <c r="V682" s="112"/>
      <c r="W682" s="112"/>
      <c r="X682" s="112"/>
      <c r="Y682" s="112"/>
      <c r="Z682" s="112">
        <v>6973</v>
      </c>
      <c r="AA682" s="112"/>
      <c r="AB682" s="112"/>
      <c r="AC682" s="112"/>
      <c r="AD682" s="112"/>
      <c r="AE682" s="112"/>
      <c r="AF682" s="112"/>
      <c r="AG682" s="112"/>
      <c r="AH682" s="112" t="s">
        <v>482</v>
      </c>
      <c r="AI682" s="112" t="s">
        <v>482</v>
      </c>
      <c r="AJ682" s="112"/>
      <c r="AK682" s="112"/>
      <c r="AL682" s="112"/>
      <c r="AM682" s="646">
        <f t="shared" si="13"/>
        <v>6973</v>
      </c>
      <c r="AO682" s="289"/>
    </row>
    <row r="683" spans="1:42" s="61" customFormat="1" ht="21" customHeight="1" x14ac:dyDescent="0.3">
      <c r="A683" s="705" t="s">
        <v>177</v>
      </c>
      <c r="B683" s="179" t="s">
        <v>293</v>
      </c>
      <c r="C683" s="135">
        <v>88.5</v>
      </c>
      <c r="D683" s="136"/>
      <c r="E683" s="136"/>
      <c r="F683" s="262"/>
      <c r="G683" s="136">
        <v>124</v>
      </c>
      <c r="H683" s="136">
        <v>7</v>
      </c>
      <c r="I683" s="326"/>
      <c r="J683" s="136">
        <v>10</v>
      </c>
      <c r="K683" s="136"/>
      <c r="L683" s="262"/>
      <c r="M683" s="136"/>
      <c r="N683" s="326">
        <v>69.91</v>
      </c>
      <c r="O683" s="136"/>
      <c r="P683" s="136"/>
      <c r="Q683" s="136"/>
      <c r="R683" s="136"/>
      <c r="S683" s="136"/>
      <c r="T683" s="137">
        <v>70</v>
      </c>
      <c r="U683" s="632">
        <v>7.83</v>
      </c>
      <c r="V683" s="122"/>
      <c r="W683" s="122"/>
      <c r="X683" s="122"/>
      <c r="Y683" s="122">
        <v>40</v>
      </c>
      <c r="Z683" s="122">
        <v>263</v>
      </c>
      <c r="AA683" s="122">
        <v>242.93178</v>
      </c>
      <c r="AB683" s="122"/>
      <c r="AC683" s="122"/>
      <c r="AD683" s="122"/>
      <c r="AE683" s="122"/>
      <c r="AF683" s="122"/>
      <c r="AG683" s="122">
        <v>3</v>
      </c>
      <c r="AH683" s="122">
        <v>60.3</v>
      </c>
      <c r="AI683" s="122" t="s">
        <v>482</v>
      </c>
      <c r="AJ683" s="122"/>
      <c r="AK683" s="122"/>
      <c r="AL683" s="122"/>
      <c r="AM683" s="639">
        <f t="shared" si="13"/>
        <v>986.47177999999997</v>
      </c>
      <c r="AO683" s="289"/>
    </row>
    <row r="684" spans="1:42" s="61" customFormat="1" ht="19.5" customHeight="1" x14ac:dyDescent="0.3">
      <c r="A684" s="706"/>
      <c r="B684" s="116" t="s">
        <v>294</v>
      </c>
      <c r="C684" s="138">
        <v>32.96</v>
      </c>
      <c r="D684" s="109"/>
      <c r="E684" s="109"/>
      <c r="F684" s="263"/>
      <c r="G684" s="109">
        <v>321</v>
      </c>
      <c r="H684" s="109"/>
      <c r="I684" s="123"/>
      <c r="J684" s="109"/>
      <c r="K684" s="109"/>
      <c r="L684" s="263"/>
      <c r="M684" s="109"/>
      <c r="N684" s="123">
        <v>75.414000000000001</v>
      </c>
      <c r="O684" s="109"/>
      <c r="P684" s="109"/>
      <c r="Q684" s="109"/>
      <c r="R684" s="109"/>
      <c r="S684" s="109"/>
      <c r="T684" s="139">
        <v>70.2</v>
      </c>
      <c r="U684" s="138">
        <v>8.7100000000000009</v>
      </c>
      <c r="V684" s="109"/>
      <c r="W684" s="109"/>
      <c r="X684" s="109"/>
      <c r="Y684" s="109">
        <v>40</v>
      </c>
      <c r="Z684" s="109">
        <v>558</v>
      </c>
      <c r="AA684" s="109">
        <v>111.21389000000001</v>
      </c>
      <c r="AB684" s="109"/>
      <c r="AC684" s="109">
        <v>69.477000000000004</v>
      </c>
      <c r="AD684" s="109"/>
      <c r="AE684" s="109"/>
      <c r="AF684" s="109"/>
      <c r="AG684" s="109">
        <v>2.1</v>
      </c>
      <c r="AH684" s="109"/>
      <c r="AI684" s="109">
        <v>10</v>
      </c>
      <c r="AJ684" s="109"/>
      <c r="AK684" s="109"/>
      <c r="AL684" s="109"/>
      <c r="AM684" s="640">
        <f t="shared" si="13"/>
        <v>1299.0748899999999</v>
      </c>
      <c r="AO684" s="289"/>
    </row>
    <row r="685" spans="1:42" s="61" customFormat="1" ht="22.5" customHeight="1" x14ac:dyDescent="0.3">
      <c r="A685" s="706"/>
      <c r="B685" s="117" t="s">
        <v>326</v>
      </c>
      <c r="C685" s="140">
        <v>186.67400000000001</v>
      </c>
      <c r="D685" s="110"/>
      <c r="E685" s="110"/>
      <c r="F685" s="264"/>
      <c r="G685" s="110">
        <v>278</v>
      </c>
      <c r="H685" s="110">
        <v>7</v>
      </c>
      <c r="I685" s="124"/>
      <c r="J685" s="110"/>
      <c r="K685" s="110"/>
      <c r="L685" s="264"/>
      <c r="M685" s="110"/>
      <c r="N685" s="124">
        <v>190.02500000000001</v>
      </c>
      <c r="O685" s="110"/>
      <c r="P685" s="110"/>
      <c r="Q685" s="110"/>
      <c r="R685" s="110"/>
      <c r="S685" s="110">
        <v>221</v>
      </c>
      <c r="T685" s="141"/>
      <c r="U685" s="140">
        <v>3.8140000000000001</v>
      </c>
      <c r="V685" s="110"/>
      <c r="W685" s="110"/>
      <c r="X685" s="110"/>
      <c r="Y685" s="110">
        <v>235</v>
      </c>
      <c r="Z685" s="110">
        <v>363</v>
      </c>
      <c r="AA685" s="110">
        <f>7.82897</f>
        <v>7.82897</v>
      </c>
      <c r="AB685" s="110"/>
      <c r="AC685" s="110">
        <v>131.899</v>
      </c>
      <c r="AD685" s="110"/>
      <c r="AE685" s="110"/>
      <c r="AF685" s="110"/>
      <c r="AG685" s="110"/>
      <c r="AH685" s="110">
        <v>65</v>
      </c>
      <c r="AI685" s="110" t="s">
        <v>482</v>
      </c>
      <c r="AJ685" s="110"/>
      <c r="AK685" s="110">
        <v>11</v>
      </c>
      <c r="AL685" s="110"/>
      <c r="AM685" s="641">
        <f t="shared" si="13"/>
        <v>1700.2409699999998</v>
      </c>
      <c r="AO685" s="289"/>
      <c r="AP685" s="97"/>
    </row>
    <row r="686" spans="1:42" s="61" customFormat="1" ht="25.5" customHeight="1" x14ac:dyDescent="0.3">
      <c r="A686" s="706"/>
      <c r="B686" s="175" t="s">
        <v>327</v>
      </c>
      <c r="C686" s="176">
        <v>85.629000000000005</v>
      </c>
      <c r="D686" s="127"/>
      <c r="E686" s="127"/>
      <c r="F686" s="265"/>
      <c r="G686" s="127">
        <v>132</v>
      </c>
      <c r="H686" s="127"/>
      <c r="I686" s="178"/>
      <c r="J686" s="127"/>
      <c r="K686" s="127"/>
      <c r="L686" s="265"/>
      <c r="M686" s="127"/>
      <c r="N686" s="178">
        <v>179.541</v>
      </c>
      <c r="O686" s="127"/>
      <c r="P686" s="127"/>
      <c r="Q686" s="127"/>
      <c r="R686" s="127"/>
      <c r="S686" s="127">
        <v>133</v>
      </c>
      <c r="T686" s="177"/>
      <c r="U686" s="176">
        <v>4</v>
      </c>
      <c r="V686" s="127"/>
      <c r="W686" s="127"/>
      <c r="X686" s="127"/>
      <c r="Y686" s="127">
        <v>40</v>
      </c>
      <c r="Z686" s="127">
        <v>880</v>
      </c>
      <c r="AA686" s="127">
        <f>54.50532+40.70556</f>
        <v>95.210880000000003</v>
      </c>
      <c r="AB686" s="127"/>
      <c r="AC686" s="127">
        <v>-62.421999999999997</v>
      </c>
      <c r="AD686" s="127"/>
      <c r="AE686" s="127"/>
      <c r="AF686" s="127"/>
      <c r="AG686" s="127"/>
      <c r="AH686" s="127">
        <v>185.37</v>
      </c>
      <c r="AI686" s="127" t="s">
        <v>482</v>
      </c>
      <c r="AJ686" s="127"/>
      <c r="AK686" s="127">
        <v>14</v>
      </c>
      <c r="AL686" s="127"/>
      <c r="AM686" s="642">
        <f t="shared" si="13"/>
        <v>1686.32888</v>
      </c>
      <c r="AO686" s="289"/>
    </row>
    <row r="687" spans="1:42" s="61" customFormat="1" ht="25.5" customHeight="1" x14ac:dyDescent="0.3">
      <c r="A687" s="706"/>
      <c r="B687" s="180" t="s">
        <v>361</v>
      </c>
      <c r="C687" s="300">
        <v>116.68558999999999</v>
      </c>
      <c r="D687" s="173"/>
      <c r="E687" s="173">
        <v>48</v>
      </c>
      <c r="F687" s="266"/>
      <c r="G687" s="173">
        <f>94-3</f>
        <v>91</v>
      </c>
      <c r="H687" s="173"/>
      <c r="I687" s="174"/>
      <c r="J687" s="173"/>
      <c r="K687" s="173"/>
      <c r="L687" s="266"/>
      <c r="M687" s="173"/>
      <c r="N687" s="174">
        <v>126.593</v>
      </c>
      <c r="O687" s="173"/>
      <c r="P687" s="173"/>
      <c r="Q687" s="173"/>
      <c r="R687" s="173"/>
      <c r="S687" s="173"/>
      <c r="T687" s="327">
        <v>40</v>
      </c>
      <c r="U687" s="300">
        <v>3.7480000000000002</v>
      </c>
      <c r="V687" s="173">
        <f>7000/1000</f>
        <v>7</v>
      </c>
      <c r="W687" s="173"/>
      <c r="X687" s="173"/>
      <c r="Y687" s="173">
        <v>155</v>
      </c>
      <c r="Z687" s="173">
        <v>994.48721</v>
      </c>
      <c r="AA687" s="173">
        <v>118.18796</v>
      </c>
      <c r="AB687" s="173"/>
      <c r="AC687" s="173">
        <v>48</v>
      </c>
      <c r="AD687" s="173"/>
      <c r="AE687" s="173"/>
      <c r="AF687" s="173"/>
      <c r="AG687" s="173"/>
      <c r="AH687" s="173">
        <v>65</v>
      </c>
      <c r="AI687" s="173">
        <v>36</v>
      </c>
      <c r="AJ687" s="173"/>
      <c r="AK687" s="173">
        <v>13</v>
      </c>
      <c r="AL687" s="173"/>
      <c r="AM687" s="643">
        <f t="shared" si="13"/>
        <v>1862.7017599999999</v>
      </c>
      <c r="AO687" s="289"/>
      <c r="AP687" s="97"/>
    </row>
    <row r="688" spans="1:42" s="61" customFormat="1" ht="25.5" customHeight="1" x14ac:dyDescent="0.3">
      <c r="A688" s="706"/>
      <c r="B688" s="180" t="s">
        <v>362</v>
      </c>
      <c r="C688" s="300">
        <v>107.80203</v>
      </c>
      <c r="D688" s="173"/>
      <c r="E688" s="173"/>
      <c r="F688" s="266"/>
      <c r="G688" s="173">
        <f>97+3</f>
        <v>100</v>
      </c>
      <c r="H688" s="173"/>
      <c r="I688" s="174"/>
      <c r="J688" s="173"/>
      <c r="K688" s="173"/>
      <c r="L688" s="266"/>
      <c r="M688" s="173"/>
      <c r="N688" s="174">
        <v>104.494</v>
      </c>
      <c r="O688" s="173"/>
      <c r="P688" s="173"/>
      <c r="Q688" s="173"/>
      <c r="R688" s="173"/>
      <c r="S688" s="173"/>
      <c r="T688" s="327">
        <v>67.3</v>
      </c>
      <c r="U688" s="300">
        <v>9.5749999999999993</v>
      </c>
      <c r="V688" s="173">
        <f>(19078/1000)-V687</f>
        <v>12.077999999999999</v>
      </c>
      <c r="W688" s="173"/>
      <c r="X688" s="173"/>
      <c r="Y688" s="173">
        <v>815</v>
      </c>
      <c r="Z688" s="173">
        <v>828.87212</v>
      </c>
      <c r="AA688" s="173">
        <v>115.32554</v>
      </c>
      <c r="AB688" s="173"/>
      <c r="AC688" s="173">
        <f>93+27</f>
        <v>120</v>
      </c>
      <c r="AD688" s="173">
        <v>36</v>
      </c>
      <c r="AE688" s="173"/>
      <c r="AF688" s="173"/>
      <c r="AG688" s="173"/>
      <c r="AH688" s="173"/>
      <c r="AI688" s="173">
        <v>10</v>
      </c>
      <c r="AJ688" s="173"/>
      <c r="AK688" s="173">
        <v>93</v>
      </c>
      <c r="AL688" s="173"/>
      <c r="AM688" s="644">
        <f t="shared" si="13"/>
        <v>2419.4466899999998</v>
      </c>
      <c r="AO688" s="289"/>
      <c r="AP688" s="97"/>
    </row>
    <row r="689" spans="1:42" s="61" customFormat="1" ht="22.5" customHeight="1" x14ac:dyDescent="0.3">
      <c r="A689" s="706"/>
      <c r="B689" s="115" t="s">
        <v>402</v>
      </c>
      <c r="C689" s="142">
        <v>213.67409000000001</v>
      </c>
      <c r="D689" s="111"/>
      <c r="E689" s="111">
        <v>16</v>
      </c>
      <c r="F689" s="267"/>
      <c r="G689" s="111">
        <v>49</v>
      </c>
      <c r="H689" s="111"/>
      <c r="I689" s="125"/>
      <c r="J689" s="111"/>
      <c r="K689" s="111"/>
      <c r="L689" s="267"/>
      <c r="M689" s="111"/>
      <c r="N689" s="125"/>
      <c r="O689" s="111"/>
      <c r="P689" s="111"/>
      <c r="Q689" s="111"/>
      <c r="R689" s="111"/>
      <c r="S689" s="111">
        <v>1039.28115</v>
      </c>
      <c r="T689" s="143">
        <f>33.81+12.94</f>
        <v>46.75</v>
      </c>
      <c r="U689" s="142">
        <v>17.721</v>
      </c>
      <c r="V689" s="111">
        <f>6500/1000</f>
        <v>6.5</v>
      </c>
      <c r="W689" s="111"/>
      <c r="X689" s="111"/>
      <c r="Y689" s="111">
        <v>2078.0749999999998</v>
      </c>
      <c r="Z689" s="111">
        <v>404</v>
      </c>
      <c r="AA689" s="111">
        <v>17</v>
      </c>
      <c r="AB689" s="111"/>
      <c r="AC689" s="111">
        <v>60</v>
      </c>
      <c r="AD689" s="111">
        <v>0</v>
      </c>
      <c r="AE689" s="111"/>
      <c r="AF689" s="111"/>
      <c r="AG689" s="111"/>
      <c r="AH689" s="111">
        <v>65</v>
      </c>
      <c r="AI689" s="111">
        <v>8</v>
      </c>
      <c r="AJ689" s="111"/>
      <c r="AK689" s="111"/>
      <c r="AL689" s="111"/>
      <c r="AM689" s="645">
        <f t="shared" si="13"/>
        <v>4021.0012399999996</v>
      </c>
      <c r="AO689" s="289"/>
    </row>
    <row r="690" spans="1:42" s="61" customFormat="1" ht="21" customHeight="1" x14ac:dyDescent="0.3">
      <c r="A690" s="707"/>
      <c r="B690" s="181" t="s">
        <v>403</v>
      </c>
      <c r="C690" s="144">
        <v>142.48582999999999</v>
      </c>
      <c r="D690" s="112"/>
      <c r="E690" s="112"/>
      <c r="F690" s="268">
        <v>164.4</v>
      </c>
      <c r="G690" s="112">
        <v>82</v>
      </c>
      <c r="H690" s="112"/>
      <c r="I690" s="126"/>
      <c r="J690" s="112"/>
      <c r="K690" s="112"/>
      <c r="L690" s="268"/>
      <c r="M690" s="112"/>
      <c r="N690" s="126"/>
      <c r="O690" s="112"/>
      <c r="P690" s="112"/>
      <c r="Q690" s="112"/>
      <c r="R690" s="112"/>
      <c r="S690" s="112">
        <v>59.904369999999979</v>
      </c>
      <c r="T690" s="145">
        <v>0</v>
      </c>
      <c r="U690" s="144">
        <v>30.544</v>
      </c>
      <c r="V690" s="112">
        <f>6500/1000-V689</f>
        <v>0</v>
      </c>
      <c r="W690" s="112"/>
      <c r="X690" s="112"/>
      <c r="Y690" s="112">
        <v>2042.6679999999999</v>
      </c>
      <c r="Z690" s="112">
        <v>239</v>
      </c>
      <c r="AA690" s="112">
        <v>12</v>
      </c>
      <c r="AB690" s="112"/>
      <c r="AC690" s="112">
        <v>39</v>
      </c>
      <c r="AD690" s="112">
        <v>246</v>
      </c>
      <c r="AE690" s="112"/>
      <c r="AF690" s="112"/>
      <c r="AG690" s="112"/>
      <c r="AH690" s="112">
        <v>65</v>
      </c>
      <c r="AI690" s="112">
        <v>8</v>
      </c>
      <c r="AJ690" s="112"/>
      <c r="AK690" s="112">
        <f>19.412/1.001</f>
        <v>19.392607392607395</v>
      </c>
      <c r="AL690" s="112"/>
      <c r="AM690" s="646">
        <f t="shared" si="13"/>
        <v>3150.3948073926072</v>
      </c>
      <c r="AO690" s="289"/>
    </row>
    <row r="691" spans="1:42" s="61" customFormat="1" ht="21" customHeight="1" x14ac:dyDescent="0.3">
      <c r="A691" s="705" t="s">
        <v>178</v>
      </c>
      <c r="B691" s="179" t="s">
        <v>293</v>
      </c>
      <c r="C691" s="135">
        <v>14</v>
      </c>
      <c r="D691" s="136"/>
      <c r="E691" s="136"/>
      <c r="F691" s="262"/>
      <c r="G691" s="136"/>
      <c r="H691" s="136"/>
      <c r="I691" s="326"/>
      <c r="J691" s="136"/>
      <c r="K691" s="136"/>
      <c r="L691" s="262"/>
      <c r="M691" s="136"/>
      <c r="N691" s="326"/>
      <c r="O691" s="136"/>
      <c r="P691" s="136"/>
      <c r="Q691" s="136"/>
      <c r="R691" s="136"/>
      <c r="S691" s="136">
        <v>437.62400000000002</v>
      </c>
      <c r="T691" s="137">
        <v>20</v>
      </c>
      <c r="U691" s="632"/>
      <c r="V691" s="122">
        <f>(1973+2975)/1000</f>
        <v>4.9480000000000004</v>
      </c>
      <c r="W691" s="122"/>
      <c r="X691" s="122"/>
      <c r="Y691" s="122">
        <v>60</v>
      </c>
      <c r="Z691" s="122">
        <v>132</v>
      </c>
      <c r="AA691" s="122"/>
      <c r="AB691" s="122"/>
      <c r="AC691" s="122"/>
      <c r="AD691" s="122">
        <v>65</v>
      </c>
      <c r="AE691" s="122"/>
      <c r="AF691" s="122"/>
      <c r="AG691" s="122">
        <v>1.4</v>
      </c>
      <c r="AH691" s="122">
        <v>41.36</v>
      </c>
      <c r="AI691" s="122">
        <v>12</v>
      </c>
      <c r="AJ691" s="122"/>
      <c r="AK691" s="122">
        <v>9.5</v>
      </c>
      <c r="AL691" s="122">
        <v>10.067114093959733</v>
      </c>
      <c r="AM691" s="639">
        <f t="shared" si="13"/>
        <v>807.89911409395972</v>
      </c>
      <c r="AO691" s="289"/>
    </row>
    <row r="692" spans="1:42" s="61" customFormat="1" ht="19.5" customHeight="1" x14ac:dyDescent="0.3">
      <c r="A692" s="706"/>
      <c r="B692" s="116" t="s">
        <v>294</v>
      </c>
      <c r="C692" s="138">
        <v>5</v>
      </c>
      <c r="D692" s="109"/>
      <c r="E692" s="109"/>
      <c r="F692" s="263"/>
      <c r="G692" s="109"/>
      <c r="H692" s="109"/>
      <c r="I692" s="123"/>
      <c r="J692" s="109"/>
      <c r="K692" s="109"/>
      <c r="L692" s="263"/>
      <c r="M692" s="109"/>
      <c r="N692" s="123"/>
      <c r="O692" s="109"/>
      <c r="P692" s="109"/>
      <c r="Q692" s="109"/>
      <c r="R692" s="109"/>
      <c r="S692" s="109"/>
      <c r="T692" s="139">
        <v>20</v>
      </c>
      <c r="U692" s="138">
        <v>5.8019999999999996</v>
      </c>
      <c r="V692" s="109"/>
      <c r="W692" s="109"/>
      <c r="X692" s="109"/>
      <c r="Y692" s="109">
        <v>60</v>
      </c>
      <c r="Z692" s="109">
        <v>166</v>
      </c>
      <c r="AA692" s="109"/>
      <c r="AB692" s="109"/>
      <c r="AC692" s="109"/>
      <c r="AD692" s="109">
        <v>40</v>
      </c>
      <c r="AE692" s="109"/>
      <c r="AF692" s="109"/>
      <c r="AG692" s="109">
        <v>1.2</v>
      </c>
      <c r="AH692" s="109">
        <v>237.47</v>
      </c>
      <c r="AI692" s="109" t="s">
        <v>482</v>
      </c>
      <c r="AJ692" s="109"/>
      <c r="AK692" s="109">
        <v>2.38</v>
      </c>
      <c r="AL692" s="109">
        <v>11.538461538461537</v>
      </c>
      <c r="AM692" s="640">
        <f t="shared" si="13"/>
        <v>549.39046153846152</v>
      </c>
      <c r="AO692" s="289"/>
    </row>
    <row r="693" spans="1:42" s="61" customFormat="1" ht="22.5" customHeight="1" x14ac:dyDescent="0.3">
      <c r="A693" s="706"/>
      <c r="B693" s="117" t="s">
        <v>326</v>
      </c>
      <c r="C693" s="140">
        <v>4.6479999999999997</v>
      </c>
      <c r="D693" s="110"/>
      <c r="E693" s="110"/>
      <c r="F693" s="264"/>
      <c r="G693" s="110"/>
      <c r="H693" s="110">
        <v>9</v>
      </c>
      <c r="I693" s="124"/>
      <c r="J693" s="110"/>
      <c r="K693" s="110">
        <v>250</v>
      </c>
      <c r="L693" s="264"/>
      <c r="M693" s="110"/>
      <c r="N693" s="124"/>
      <c r="O693" s="110"/>
      <c r="P693" s="110"/>
      <c r="Q693" s="110"/>
      <c r="R693" s="110"/>
      <c r="S693" s="110">
        <v>14</v>
      </c>
      <c r="T693" s="141"/>
      <c r="U693" s="140">
        <v>4.0220000000000002</v>
      </c>
      <c r="V693" s="110"/>
      <c r="W693" s="110"/>
      <c r="X693" s="110"/>
      <c r="Y693" s="110">
        <v>60</v>
      </c>
      <c r="Z693" s="110">
        <v>285</v>
      </c>
      <c r="AA693" s="110"/>
      <c r="AB693" s="110"/>
      <c r="AC693" s="110"/>
      <c r="AD693" s="110">
        <v>45</v>
      </c>
      <c r="AE693" s="110"/>
      <c r="AF693" s="110"/>
      <c r="AG693" s="110"/>
      <c r="AH693" s="110">
        <v>56.795730000000006</v>
      </c>
      <c r="AI693" s="110">
        <v>36</v>
      </c>
      <c r="AJ693" s="110"/>
      <c r="AK693" s="110">
        <v>21</v>
      </c>
      <c r="AL693" s="110">
        <v>13.157894736842106</v>
      </c>
      <c r="AM693" s="641">
        <f t="shared" si="13"/>
        <v>798.6236247368422</v>
      </c>
      <c r="AO693" s="289"/>
      <c r="AP693" s="97"/>
    </row>
    <row r="694" spans="1:42" s="61" customFormat="1" ht="25.5" customHeight="1" x14ac:dyDescent="0.3">
      <c r="A694" s="706"/>
      <c r="B694" s="175" t="s">
        <v>327</v>
      </c>
      <c r="C694" s="176">
        <v>318.51799999999997</v>
      </c>
      <c r="D694" s="127"/>
      <c r="E694" s="127"/>
      <c r="F694" s="265"/>
      <c r="G694" s="127">
        <v>31</v>
      </c>
      <c r="H694" s="127">
        <v>3</v>
      </c>
      <c r="I694" s="178"/>
      <c r="J694" s="127"/>
      <c r="K694" s="127"/>
      <c r="L694" s="265"/>
      <c r="M694" s="127"/>
      <c r="N694" s="178"/>
      <c r="O694" s="127"/>
      <c r="P694" s="127"/>
      <c r="Q694" s="127"/>
      <c r="R694" s="127"/>
      <c r="S694" s="127"/>
      <c r="T694" s="177"/>
      <c r="U694" s="176">
        <v>6.8019999999999996</v>
      </c>
      <c r="V694" s="127"/>
      <c r="W694" s="127"/>
      <c r="X694" s="127"/>
      <c r="Y694" s="127">
        <v>99</v>
      </c>
      <c r="Z694" s="127">
        <v>1000</v>
      </c>
      <c r="AA694" s="127"/>
      <c r="AB694" s="127"/>
      <c r="AC694" s="127"/>
      <c r="AD694" s="127">
        <v>53</v>
      </c>
      <c r="AE694" s="127"/>
      <c r="AF694" s="127"/>
      <c r="AG694" s="127"/>
      <c r="AH694" s="127">
        <v>478.4</v>
      </c>
      <c r="AI694" s="127">
        <v>439</v>
      </c>
      <c r="AJ694" s="127"/>
      <c r="AK694" s="127"/>
      <c r="AL694" s="127">
        <v>61.068702290076331</v>
      </c>
      <c r="AM694" s="642">
        <f t="shared" si="13"/>
        <v>2489.7887022900763</v>
      </c>
      <c r="AO694" s="289"/>
    </row>
    <row r="695" spans="1:42" s="61" customFormat="1" ht="25.5" customHeight="1" x14ac:dyDescent="0.3">
      <c r="A695" s="706"/>
      <c r="B695" s="180" t="s">
        <v>361</v>
      </c>
      <c r="C695" s="300">
        <v>282</v>
      </c>
      <c r="D695" s="173"/>
      <c r="E695" s="173"/>
      <c r="F695" s="266"/>
      <c r="G695" s="173">
        <v>31</v>
      </c>
      <c r="H695" s="173">
        <v>3</v>
      </c>
      <c r="I695" s="174"/>
      <c r="J695" s="173"/>
      <c r="K695" s="173"/>
      <c r="L695" s="266"/>
      <c r="M695" s="173"/>
      <c r="N695" s="174"/>
      <c r="O695" s="173"/>
      <c r="P695" s="173"/>
      <c r="Q695" s="173"/>
      <c r="R695" s="173"/>
      <c r="S695" s="173">
        <v>690</v>
      </c>
      <c r="T695" s="327"/>
      <c r="U695" s="300">
        <v>8.0860000000000003</v>
      </c>
      <c r="V695" s="173">
        <f>5133/1000</f>
        <v>5.133</v>
      </c>
      <c r="W695" s="173"/>
      <c r="X695" s="173"/>
      <c r="Y695" s="173">
        <v>100</v>
      </c>
      <c r="Z695" s="173">
        <v>4868.9879600000004</v>
      </c>
      <c r="AA695" s="173"/>
      <c r="AB695" s="173"/>
      <c r="AC695" s="173"/>
      <c r="AD695" s="173">
        <v>100</v>
      </c>
      <c r="AE695" s="173"/>
      <c r="AF695" s="173"/>
      <c r="AG695" s="173">
        <v>3</v>
      </c>
      <c r="AH695" s="173">
        <v>3743</v>
      </c>
      <c r="AI695" s="173">
        <v>188</v>
      </c>
      <c r="AJ695" s="173"/>
      <c r="AK695" s="173"/>
      <c r="AL695" s="173">
        <v>99.173553719008268</v>
      </c>
      <c r="AM695" s="643">
        <f t="shared" si="13"/>
        <v>10121.380513719008</v>
      </c>
      <c r="AO695" s="289"/>
      <c r="AP695" s="97"/>
    </row>
    <row r="696" spans="1:42" s="61" customFormat="1" ht="25.5" customHeight="1" x14ac:dyDescent="0.3">
      <c r="A696" s="706"/>
      <c r="B696" s="180" t="s">
        <v>362</v>
      </c>
      <c r="C696" s="300">
        <v>988</v>
      </c>
      <c r="D696" s="173"/>
      <c r="E696" s="173"/>
      <c r="F696" s="266"/>
      <c r="G696" s="173">
        <v>34</v>
      </c>
      <c r="H696" s="173">
        <v>3</v>
      </c>
      <c r="I696" s="174"/>
      <c r="J696" s="173"/>
      <c r="K696" s="173"/>
      <c r="L696" s="266"/>
      <c r="M696" s="173"/>
      <c r="N696" s="174"/>
      <c r="O696" s="173"/>
      <c r="P696" s="173"/>
      <c r="Q696" s="173"/>
      <c r="R696" s="173"/>
      <c r="S696" s="173">
        <v>897</v>
      </c>
      <c r="T696" s="327">
        <v>100</v>
      </c>
      <c r="U696" s="300">
        <v>11.381</v>
      </c>
      <c r="V696" s="173">
        <f>(16133+10974)/1000-V695</f>
        <v>21.974</v>
      </c>
      <c r="W696" s="173"/>
      <c r="X696" s="173"/>
      <c r="Y696" s="173">
        <v>379</v>
      </c>
      <c r="Z696" s="173">
        <v>5222.2160599999997</v>
      </c>
      <c r="AA696" s="173"/>
      <c r="AB696" s="173">
        <v>50</v>
      </c>
      <c r="AC696" s="173"/>
      <c r="AD696" s="173">
        <v>253</v>
      </c>
      <c r="AE696" s="173"/>
      <c r="AF696" s="173"/>
      <c r="AG696" s="173"/>
      <c r="AH696" s="173"/>
      <c r="AI696" s="173">
        <v>230</v>
      </c>
      <c r="AJ696" s="173"/>
      <c r="AK696" s="173">
        <v>2</v>
      </c>
      <c r="AL696" s="173">
        <v>53.571428571428562</v>
      </c>
      <c r="AM696" s="644">
        <f t="shared" si="13"/>
        <v>8245.1424885714296</v>
      </c>
      <c r="AO696" s="289"/>
      <c r="AP696" s="97"/>
    </row>
    <row r="697" spans="1:42" s="61" customFormat="1" ht="22.5" customHeight="1" x14ac:dyDescent="0.3">
      <c r="A697" s="706"/>
      <c r="B697" s="115" t="s">
        <v>402</v>
      </c>
      <c r="C697" s="142">
        <v>929.02440999999999</v>
      </c>
      <c r="D697" s="111"/>
      <c r="E697" s="111"/>
      <c r="F697" s="267"/>
      <c r="G697" s="111"/>
      <c r="H697" s="111">
        <v>104</v>
      </c>
      <c r="I697" s="125"/>
      <c r="J697" s="111"/>
      <c r="K697" s="111"/>
      <c r="L697" s="267"/>
      <c r="M697" s="111"/>
      <c r="N697" s="125"/>
      <c r="O697" s="111"/>
      <c r="P697" s="111"/>
      <c r="Q697" s="111"/>
      <c r="R697" s="111"/>
      <c r="S697" s="111">
        <v>1156.5896030000001</v>
      </c>
      <c r="T697" s="143"/>
      <c r="U697" s="142">
        <v>4.5</v>
      </c>
      <c r="V697" s="111">
        <f>10000/1000</f>
        <v>10</v>
      </c>
      <c r="W697" s="111"/>
      <c r="X697" s="111"/>
      <c r="Y697" s="111">
        <v>100</v>
      </c>
      <c r="Z697" s="111">
        <v>1160</v>
      </c>
      <c r="AA697" s="111"/>
      <c r="AB697" s="111">
        <v>50</v>
      </c>
      <c r="AC697" s="111"/>
      <c r="AD697" s="111">
        <v>937</v>
      </c>
      <c r="AE697" s="111"/>
      <c r="AF697" s="111"/>
      <c r="AG697" s="111"/>
      <c r="AH697" s="111">
        <v>2104.1660000000002</v>
      </c>
      <c r="AI697" s="111">
        <v>85</v>
      </c>
      <c r="AJ697" s="111"/>
      <c r="AK697" s="111">
        <f>2.85/1.097</f>
        <v>2.5979945305378305</v>
      </c>
      <c r="AL697" s="111"/>
      <c r="AM697" s="645">
        <f t="shared" si="13"/>
        <v>6642.8780075305385</v>
      </c>
      <c r="AO697" s="289"/>
    </row>
    <row r="698" spans="1:42" s="61" customFormat="1" ht="21" customHeight="1" x14ac:dyDescent="0.3">
      <c r="A698" s="707"/>
      <c r="B698" s="181" t="s">
        <v>403</v>
      </c>
      <c r="C698" s="144">
        <v>172.804</v>
      </c>
      <c r="D698" s="112"/>
      <c r="E698" s="112"/>
      <c r="F698" s="268"/>
      <c r="G698" s="112"/>
      <c r="H698" s="112"/>
      <c r="I698" s="126"/>
      <c r="J698" s="112"/>
      <c r="K698" s="112"/>
      <c r="L698" s="268"/>
      <c r="M698" s="112"/>
      <c r="N698" s="126"/>
      <c r="O698" s="112"/>
      <c r="P698" s="112"/>
      <c r="Q698" s="112"/>
      <c r="R698" s="112"/>
      <c r="S698" s="112">
        <v>565.34473000000003</v>
      </c>
      <c r="T698" s="145"/>
      <c r="U698" s="144">
        <v>1.167</v>
      </c>
      <c r="V698" s="112">
        <f>(7000+3000+505)/1000-V697</f>
        <v>0.50500000000000078</v>
      </c>
      <c r="W698" s="112">
        <v>87</v>
      </c>
      <c r="X698" s="112"/>
      <c r="Y698" s="112"/>
      <c r="Z698" s="112">
        <v>1835</v>
      </c>
      <c r="AA698" s="112"/>
      <c r="AB698" s="112"/>
      <c r="AC698" s="112"/>
      <c r="AD698" s="112">
        <v>450</v>
      </c>
      <c r="AE698" s="112"/>
      <c r="AF698" s="112"/>
      <c r="AG698" s="112"/>
      <c r="AH698" s="112">
        <v>150</v>
      </c>
      <c r="AI698" s="112">
        <v>85</v>
      </c>
      <c r="AJ698" s="112"/>
      <c r="AK698" s="112"/>
      <c r="AL698" s="112"/>
      <c r="AM698" s="646">
        <f t="shared" si="13"/>
        <v>3346.8207299999999</v>
      </c>
      <c r="AO698" s="289"/>
    </row>
    <row r="699" spans="1:42" s="61" customFormat="1" ht="21" customHeight="1" x14ac:dyDescent="0.3">
      <c r="A699" s="705" t="s">
        <v>179</v>
      </c>
      <c r="B699" s="179" t="s">
        <v>293</v>
      </c>
      <c r="C699" s="135">
        <v>259.95</v>
      </c>
      <c r="D699" s="136"/>
      <c r="E699" s="136"/>
      <c r="F699" s="262">
        <v>-247.36199999999999</v>
      </c>
      <c r="G699" s="136">
        <v>238</v>
      </c>
      <c r="H699" s="136">
        <v>95</v>
      </c>
      <c r="I699" s="326">
        <v>2051</v>
      </c>
      <c r="J699" s="136"/>
      <c r="K699" s="136"/>
      <c r="L699" s="262"/>
      <c r="M699" s="136"/>
      <c r="N699" s="326"/>
      <c r="O699" s="136"/>
      <c r="P699" s="136">
        <v>400</v>
      </c>
      <c r="Q699" s="136"/>
      <c r="R699" s="136"/>
      <c r="S699" s="136">
        <v>4547.32</v>
      </c>
      <c r="T699" s="137">
        <v>100</v>
      </c>
      <c r="U699" s="632">
        <v>60.665999999999997</v>
      </c>
      <c r="V699" s="122"/>
      <c r="W699" s="122"/>
      <c r="X699" s="122">
        <v>80</v>
      </c>
      <c r="Y699" s="122">
        <v>8</v>
      </c>
      <c r="Z699" s="122">
        <v>1610</v>
      </c>
      <c r="AA699" s="122">
        <v>2207.7539999999999</v>
      </c>
      <c r="AB699" s="122"/>
      <c r="AC699" s="122">
        <v>62.975999999999999</v>
      </c>
      <c r="AD699" s="122">
        <v>5</v>
      </c>
      <c r="AE699" s="122"/>
      <c r="AF699" s="122"/>
      <c r="AG699" s="122"/>
      <c r="AH699" s="122">
        <v>7226.47</v>
      </c>
      <c r="AI699" s="122">
        <v>64</v>
      </c>
      <c r="AJ699" s="122"/>
      <c r="AK699" s="122"/>
      <c r="AL699" s="122"/>
      <c r="AM699" s="639">
        <f t="shared" si="13"/>
        <v>18768.774000000001</v>
      </c>
      <c r="AO699" s="289"/>
    </row>
    <row r="700" spans="1:42" s="61" customFormat="1" ht="19.5" customHeight="1" x14ac:dyDescent="0.3">
      <c r="A700" s="706"/>
      <c r="B700" s="116" t="s">
        <v>294</v>
      </c>
      <c r="C700" s="138">
        <v>272.39</v>
      </c>
      <c r="D700" s="109"/>
      <c r="E700" s="109"/>
      <c r="F700" s="263">
        <v>328.45699999999999</v>
      </c>
      <c r="G700" s="109">
        <v>244</v>
      </c>
      <c r="H700" s="109">
        <v>193</v>
      </c>
      <c r="I700" s="123">
        <v>1603</v>
      </c>
      <c r="J700" s="109"/>
      <c r="K700" s="109"/>
      <c r="L700" s="263"/>
      <c r="M700" s="109"/>
      <c r="N700" s="123"/>
      <c r="O700" s="109">
        <v>100</v>
      </c>
      <c r="P700" s="109"/>
      <c r="Q700" s="109"/>
      <c r="R700" s="109"/>
      <c r="S700" s="109">
        <v>4532.8609999999999</v>
      </c>
      <c r="T700" s="139">
        <v>775</v>
      </c>
      <c r="U700" s="138">
        <v>22.443000000000001</v>
      </c>
      <c r="V700" s="109"/>
      <c r="W700" s="109"/>
      <c r="X700" s="109">
        <v>83</v>
      </c>
      <c r="Y700" s="109">
        <v>8</v>
      </c>
      <c r="Z700" s="109"/>
      <c r="AA700" s="109">
        <v>5182.4538599999996</v>
      </c>
      <c r="AB700" s="109"/>
      <c r="AC700" s="109">
        <v>62.975999999999999</v>
      </c>
      <c r="AD700" s="109"/>
      <c r="AE700" s="109"/>
      <c r="AF700" s="109"/>
      <c r="AG700" s="109">
        <v>2.7</v>
      </c>
      <c r="AH700" s="109">
        <v>4214.9799999999996</v>
      </c>
      <c r="AI700" s="109">
        <v>57</v>
      </c>
      <c r="AJ700" s="109"/>
      <c r="AK700" s="109">
        <v>4.26</v>
      </c>
      <c r="AL700" s="109"/>
      <c r="AM700" s="640">
        <f t="shared" si="13"/>
        <v>17686.520860000001</v>
      </c>
      <c r="AO700" s="289"/>
    </row>
    <row r="701" spans="1:42" s="61" customFormat="1" ht="22.5" customHeight="1" x14ac:dyDescent="0.3">
      <c r="A701" s="706"/>
      <c r="B701" s="117" t="s">
        <v>326</v>
      </c>
      <c r="C701" s="140">
        <v>363.86500000000001</v>
      </c>
      <c r="D701" s="110"/>
      <c r="E701" s="110"/>
      <c r="F701" s="264">
        <v>-508</v>
      </c>
      <c r="G701" s="110">
        <v>242</v>
      </c>
      <c r="H701" s="110">
        <v>582</v>
      </c>
      <c r="I701" s="124">
        <v>1622</v>
      </c>
      <c r="J701" s="110"/>
      <c r="K701" s="110"/>
      <c r="L701" s="264"/>
      <c r="M701" s="110"/>
      <c r="N701" s="124"/>
      <c r="O701" s="110"/>
      <c r="P701" s="110">
        <v>4</v>
      </c>
      <c r="Q701" s="110"/>
      <c r="R701" s="110"/>
      <c r="S701" s="110">
        <v>219</v>
      </c>
      <c r="T701" s="141"/>
      <c r="U701" s="140">
        <v>22.669</v>
      </c>
      <c r="V701" s="110"/>
      <c r="W701" s="110"/>
      <c r="X701" s="110">
        <v>85</v>
      </c>
      <c r="Y701" s="110">
        <v>9</v>
      </c>
      <c r="Z701" s="110">
        <v>2063</v>
      </c>
      <c r="AA701" s="110">
        <f>2805.20969-0.388+1030</f>
        <v>3834.8216900000002</v>
      </c>
      <c r="AB701" s="110"/>
      <c r="AC701" s="110">
        <v>65.974999999999994</v>
      </c>
      <c r="AD701" s="110">
        <v>12</v>
      </c>
      <c r="AE701" s="110"/>
      <c r="AF701" s="110"/>
      <c r="AG701" s="110">
        <f>5/1.3</f>
        <v>3.8461538461538458</v>
      </c>
      <c r="AH701" s="110">
        <v>25145.51988</v>
      </c>
      <c r="AI701" s="110" t="s">
        <v>482</v>
      </c>
      <c r="AJ701" s="110"/>
      <c r="AK701" s="110">
        <v>2</v>
      </c>
      <c r="AL701" s="110"/>
      <c r="AM701" s="641">
        <f t="shared" si="13"/>
        <v>33768.696723846151</v>
      </c>
      <c r="AO701" s="289"/>
      <c r="AP701" s="97"/>
    </row>
    <row r="702" spans="1:42" s="61" customFormat="1" ht="25.5" customHeight="1" x14ac:dyDescent="0.3">
      <c r="A702" s="706"/>
      <c r="B702" s="175" t="s">
        <v>327</v>
      </c>
      <c r="C702" s="176">
        <v>10312.031000000001</v>
      </c>
      <c r="D702" s="127"/>
      <c r="E702" s="127"/>
      <c r="F702" s="265">
        <v>68</v>
      </c>
      <c r="G702" s="127">
        <v>315</v>
      </c>
      <c r="H702" s="127">
        <v>865</v>
      </c>
      <c r="I702" s="178">
        <v>1715</v>
      </c>
      <c r="J702" s="127"/>
      <c r="K702" s="127"/>
      <c r="L702" s="265"/>
      <c r="M702" s="127"/>
      <c r="N702" s="178"/>
      <c r="O702" s="127">
        <v>50</v>
      </c>
      <c r="P702" s="127"/>
      <c r="Q702" s="127"/>
      <c r="R702" s="127"/>
      <c r="S702" s="127">
        <v>319</v>
      </c>
      <c r="T702" s="177"/>
      <c r="U702" s="176">
        <v>23.082000000000001</v>
      </c>
      <c r="V702" s="127"/>
      <c r="W702" s="127"/>
      <c r="X702" s="127">
        <v>75</v>
      </c>
      <c r="Y702" s="127"/>
      <c r="Z702" s="127">
        <v>3161</v>
      </c>
      <c r="AA702" s="127">
        <v>2903.0544300000001</v>
      </c>
      <c r="AB702" s="127"/>
      <c r="AC702" s="127">
        <v>59.975000000000001</v>
      </c>
      <c r="AD702" s="127">
        <v>20</v>
      </c>
      <c r="AE702" s="127"/>
      <c r="AF702" s="127"/>
      <c r="AG702" s="127">
        <f>5/1.3</f>
        <v>3.8461538461538458</v>
      </c>
      <c r="AH702" s="127">
        <v>35434.089999999997</v>
      </c>
      <c r="AI702" s="127">
        <v>60</v>
      </c>
      <c r="AJ702" s="127"/>
      <c r="AK702" s="127">
        <v>5</v>
      </c>
      <c r="AL702" s="127"/>
      <c r="AM702" s="642">
        <f t="shared" si="13"/>
        <v>55389.078583846145</v>
      </c>
      <c r="AO702" s="289"/>
    </row>
    <row r="703" spans="1:42" s="61" customFormat="1" ht="25.5" customHeight="1" x14ac:dyDescent="0.3">
      <c r="A703" s="706"/>
      <c r="B703" s="180" t="s">
        <v>361</v>
      </c>
      <c r="C703" s="300">
        <v>1461.00746</v>
      </c>
      <c r="D703" s="173"/>
      <c r="E703" s="173"/>
      <c r="F703" s="266">
        <v>37</v>
      </c>
      <c r="G703" s="173">
        <f>315+16</f>
        <v>331</v>
      </c>
      <c r="H703" s="173">
        <f>243+85+174+34</f>
        <v>536</v>
      </c>
      <c r="I703" s="174">
        <v>1652</v>
      </c>
      <c r="J703" s="173"/>
      <c r="K703" s="173"/>
      <c r="L703" s="266"/>
      <c r="M703" s="173"/>
      <c r="N703" s="174"/>
      <c r="O703" s="173">
        <v>50</v>
      </c>
      <c r="P703" s="173"/>
      <c r="Q703" s="173"/>
      <c r="R703" s="173"/>
      <c r="S703" s="173">
        <v>1557</v>
      </c>
      <c r="T703" s="327"/>
      <c r="U703" s="300">
        <v>581.62</v>
      </c>
      <c r="V703" s="173"/>
      <c r="W703" s="173"/>
      <c r="X703" s="173">
        <v>80</v>
      </c>
      <c r="Y703" s="173">
        <v>9</v>
      </c>
      <c r="Z703" s="173">
        <v>3501.5115799999999</v>
      </c>
      <c r="AA703" s="173">
        <f>1430.95116-86</f>
        <v>1344.9511600000001</v>
      </c>
      <c r="AB703" s="173">
        <v>18</v>
      </c>
      <c r="AC703" s="173">
        <f>300+100</f>
        <v>400</v>
      </c>
      <c r="AD703" s="173">
        <v>20</v>
      </c>
      <c r="AE703" s="173"/>
      <c r="AF703" s="173"/>
      <c r="AG703" s="173">
        <v>5</v>
      </c>
      <c r="AH703" s="173">
        <v>14192</v>
      </c>
      <c r="AI703" s="173">
        <v>120</v>
      </c>
      <c r="AJ703" s="173"/>
      <c r="AK703" s="173">
        <v>5</v>
      </c>
      <c r="AL703" s="173"/>
      <c r="AM703" s="643">
        <f t="shared" si="13"/>
        <v>25901.090199999999</v>
      </c>
      <c r="AO703" s="289"/>
      <c r="AP703" s="97"/>
    </row>
    <row r="704" spans="1:42" s="61" customFormat="1" ht="25.5" customHeight="1" x14ac:dyDescent="0.3">
      <c r="A704" s="706"/>
      <c r="B704" s="180" t="s">
        <v>362</v>
      </c>
      <c r="C704" s="300">
        <v>1613.6551300000001</v>
      </c>
      <c r="D704" s="173"/>
      <c r="E704" s="173"/>
      <c r="F704" s="266">
        <v>-1</v>
      </c>
      <c r="G704" s="173">
        <f>325+50</f>
        <v>375</v>
      </c>
      <c r="H704" s="173">
        <f>445+24+16</f>
        <v>485</v>
      </c>
      <c r="I704" s="174">
        <v>2386</v>
      </c>
      <c r="J704" s="173"/>
      <c r="K704" s="173">
        <v>1000</v>
      </c>
      <c r="L704" s="266"/>
      <c r="M704" s="173"/>
      <c r="N704" s="174"/>
      <c r="O704" s="173">
        <v>50</v>
      </c>
      <c r="P704" s="173"/>
      <c r="Q704" s="173"/>
      <c r="R704" s="173"/>
      <c r="S704" s="173">
        <v>1513</v>
      </c>
      <c r="T704" s="327">
        <v>100</v>
      </c>
      <c r="U704" s="300">
        <v>95.808999999999997</v>
      </c>
      <c r="V704" s="173"/>
      <c r="W704" s="173"/>
      <c r="X704" s="173">
        <v>80</v>
      </c>
      <c r="Y704" s="173">
        <v>10</v>
      </c>
      <c r="Z704" s="173">
        <v>5293.2245700000003</v>
      </c>
      <c r="AA704" s="173">
        <f>1694.3429+204</f>
        <v>1898.3429000000001</v>
      </c>
      <c r="AB704" s="173"/>
      <c r="AC704" s="173">
        <f>600-300+3</f>
        <v>303</v>
      </c>
      <c r="AD704" s="173">
        <v>20</v>
      </c>
      <c r="AE704" s="173"/>
      <c r="AF704" s="173">
        <v>327</v>
      </c>
      <c r="AG704" s="173"/>
      <c r="AH704" s="173">
        <v>18542</v>
      </c>
      <c r="AI704" s="173">
        <v>112</v>
      </c>
      <c r="AJ704" s="173"/>
      <c r="AK704" s="173">
        <v>113</v>
      </c>
      <c r="AL704" s="173"/>
      <c r="AM704" s="644">
        <f t="shared" si="13"/>
        <v>34316.031600000002</v>
      </c>
      <c r="AO704" s="289"/>
      <c r="AP704" s="97"/>
    </row>
    <row r="705" spans="1:42" s="61" customFormat="1" ht="22.5" customHeight="1" x14ac:dyDescent="0.3">
      <c r="A705" s="706"/>
      <c r="B705" s="115" t="s">
        <v>402</v>
      </c>
      <c r="C705" s="142">
        <v>5608.1779999999999</v>
      </c>
      <c r="D705" s="111"/>
      <c r="E705" s="111"/>
      <c r="F705" s="267"/>
      <c r="G705" s="111"/>
      <c r="H705" s="111">
        <v>443</v>
      </c>
      <c r="I705" s="125"/>
      <c r="J705" s="111"/>
      <c r="K705" s="111"/>
      <c r="L705" s="267"/>
      <c r="M705" s="111"/>
      <c r="N705" s="125"/>
      <c r="O705" s="111">
        <v>50</v>
      </c>
      <c r="P705" s="111"/>
      <c r="Q705" s="111"/>
      <c r="R705" s="111"/>
      <c r="S705" s="111">
        <v>1862.62195</v>
      </c>
      <c r="T705" s="143"/>
      <c r="U705" s="142">
        <v>123.645</v>
      </c>
      <c r="V705" s="111"/>
      <c r="W705" s="111"/>
      <c r="X705" s="111">
        <v>80</v>
      </c>
      <c r="Y705" s="111">
        <v>9.9580000000000002</v>
      </c>
      <c r="Z705" s="111">
        <v>3448</v>
      </c>
      <c r="AA705" s="111">
        <v>1849</v>
      </c>
      <c r="AB705" s="111"/>
      <c r="AC705" s="111">
        <v>479</v>
      </c>
      <c r="AD705" s="111">
        <v>20</v>
      </c>
      <c r="AE705" s="111"/>
      <c r="AF705" s="111">
        <v>798.84</v>
      </c>
      <c r="AG705" s="111"/>
      <c r="AH705" s="111">
        <v>20428.491000000002</v>
      </c>
      <c r="AI705" s="111">
        <v>585</v>
      </c>
      <c r="AJ705" s="111"/>
      <c r="AK705" s="111">
        <f>3.42/1.097</f>
        <v>3.1175934366453966</v>
      </c>
      <c r="AL705" s="111"/>
      <c r="AM705" s="645">
        <f t="shared" si="13"/>
        <v>35788.851543436649</v>
      </c>
      <c r="AO705" s="289"/>
    </row>
    <row r="706" spans="1:42" s="61" customFormat="1" ht="21" customHeight="1" x14ac:dyDescent="0.3">
      <c r="A706" s="707"/>
      <c r="B706" s="181" t="s">
        <v>403</v>
      </c>
      <c r="C706" s="144">
        <v>5755.3582399999996</v>
      </c>
      <c r="D706" s="112"/>
      <c r="E706" s="112"/>
      <c r="F706" s="268"/>
      <c r="G706" s="112">
        <v>55</v>
      </c>
      <c r="H706" s="112">
        <v>2805.386</v>
      </c>
      <c r="I706" s="126"/>
      <c r="J706" s="112"/>
      <c r="K706" s="112"/>
      <c r="L706" s="268"/>
      <c r="M706" s="112"/>
      <c r="N706" s="126"/>
      <c r="O706" s="112">
        <v>70</v>
      </c>
      <c r="P706" s="112"/>
      <c r="Q706" s="112"/>
      <c r="R706" s="112"/>
      <c r="S706" s="112">
        <v>1641.3530000000001</v>
      </c>
      <c r="T706" s="145"/>
      <c r="U706" s="144">
        <v>139.27099999999999</v>
      </c>
      <c r="V706" s="112"/>
      <c r="W706" s="112"/>
      <c r="X706" s="112">
        <v>80</v>
      </c>
      <c r="Y706" s="112">
        <v>2499.721</v>
      </c>
      <c r="Z706" s="112">
        <v>3947</v>
      </c>
      <c r="AA706" s="112">
        <v>1700</v>
      </c>
      <c r="AB706" s="112"/>
      <c r="AC706" s="112">
        <v>535</v>
      </c>
      <c r="AD706" s="112">
        <v>2020</v>
      </c>
      <c r="AE706" s="112"/>
      <c r="AF706" s="112">
        <v>524.95000000000005</v>
      </c>
      <c r="AG706" s="112"/>
      <c r="AH706" s="112">
        <v>17636.167000000001</v>
      </c>
      <c r="AI706" s="112">
        <v>585</v>
      </c>
      <c r="AJ706" s="112"/>
      <c r="AK706" s="112">
        <f>24.7925/1.001</f>
        <v>24.767732267732271</v>
      </c>
      <c r="AL706" s="112"/>
      <c r="AM706" s="646">
        <f t="shared" si="13"/>
        <v>40018.973972267733</v>
      </c>
      <c r="AO706" s="289"/>
    </row>
    <row r="707" spans="1:42" s="61" customFormat="1" ht="21" customHeight="1" x14ac:dyDescent="0.3">
      <c r="A707" s="705" t="s">
        <v>180</v>
      </c>
      <c r="B707" s="179" t="s">
        <v>293</v>
      </c>
      <c r="C707" s="135">
        <v>71.12</v>
      </c>
      <c r="D707" s="136"/>
      <c r="E707" s="136"/>
      <c r="F707" s="262"/>
      <c r="G707" s="136">
        <v>63</v>
      </c>
      <c r="H707" s="136"/>
      <c r="I707" s="326"/>
      <c r="J707" s="136"/>
      <c r="K707" s="136"/>
      <c r="L707" s="262"/>
      <c r="M707" s="136"/>
      <c r="N707" s="326"/>
      <c r="O707" s="136"/>
      <c r="P707" s="136"/>
      <c r="Q707" s="136"/>
      <c r="R707" s="136"/>
      <c r="S707" s="136"/>
      <c r="T707" s="137">
        <v>15</v>
      </c>
      <c r="U707" s="632">
        <v>7.2130000000000001</v>
      </c>
      <c r="V707" s="122"/>
      <c r="W707" s="122"/>
      <c r="X707" s="122"/>
      <c r="Y707" s="122"/>
      <c r="Z707" s="122">
        <v>353</v>
      </c>
      <c r="AA707" s="122"/>
      <c r="AB707" s="122"/>
      <c r="AC707" s="122"/>
      <c r="AD707" s="122"/>
      <c r="AE707" s="122"/>
      <c r="AF707" s="122"/>
      <c r="AG707" s="122"/>
      <c r="AH707" s="122"/>
      <c r="AI707" s="122" t="s">
        <v>482</v>
      </c>
      <c r="AJ707" s="122"/>
      <c r="AK707" s="122"/>
      <c r="AL707" s="122"/>
      <c r="AM707" s="639">
        <f t="shared" si="13"/>
        <v>509.33299999999997</v>
      </c>
      <c r="AO707" s="289"/>
    </row>
    <row r="708" spans="1:42" s="61" customFormat="1" ht="19.5" customHeight="1" x14ac:dyDescent="0.3">
      <c r="A708" s="706"/>
      <c r="B708" s="116" t="s">
        <v>294</v>
      </c>
      <c r="C708" s="138">
        <v>20</v>
      </c>
      <c r="D708" s="109"/>
      <c r="E708" s="109"/>
      <c r="F708" s="263"/>
      <c r="G708" s="109">
        <v>88</v>
      </c>
      <c r="H708" s="109"/>
      <c r="I708" s="123"/>
      <c r="J708" s="109"/>
      <c r="K708" s="109"/>
      <c r="L708" s="263"/>
      <c r="M708" s="109"/>
      <c r="N708" s="123"/>
      <c r="O708" s="109"/>
      <c r="P708" s="109"/>
      <c r="Q708" s="109"/>
      <c r="R708" s="109"/>
      <c r="S708" s="109">
        <v>-243.22800000000001</v>
      </c>
      <c r="T708" s="139">
        <v>14.951000000000001</v>
      </c>
      <c r="U708" s="138">
        <v>7.1580000000000004</v>
      </c>
      <c r="V708" s="109"/>
      <c r="W708" s="109"/>
      <c r="X708" s="109"/>
      <c r="Y708" s="109"/>
      <c r="Z708" s="109">
        <v>567</v>
      </c>
      <c r="AA708" s="109">
        <v>14.98629</v>
      </c>
      <c r="AB708" s="109"/>
      <c r="AC708" s="109"/>
      <c r="AD708" s="109"/>
      <c r="AE708" s="109"/>
      <c r="AF708" s="109"/>
      <c r="AG708" s="109"/>
      <c r="AH708" s="109">
        <v>20</v>
      </c>
      <c r="AI708" s="109" t="s">
        <v>482</v>
      </c>
      <c r="AJ708" s="109"/>
      <c r="AK708" s="109"/>
      <c r="AL708" s="109"/>
      <c r="AM708" s="640">
        <f t="shared" si="13"/>
        <v>488.86728999999997</v>
      </c>
      <c r="AO708" s="289"/>
    </row>
    <row r="709" spans="1:42" s="61" customFormat="1" ht="22.5" customHeight="1" x14ac:dyDescent="0.3">
      <c r="A709" s="706"/>
      <c r="B709" s="117" t="s">
        <v>326</v>
      </c>
      <c r="C709" s="140">
        <v>257.87099999999998</v>
      </c>
      <c r="D709" s="110"/>
      <c r="E709" s="110"/>
      <c r="F709" s="264"/>
      <c r="G709" s="110">
        <v>80</v>
      </c>
      <c r="H709" s="110"/>
      <c r="I709" s="124"/>
      <c r="J709" s="110"/>
      <c r="K709" s="110"/>
      <c r="L709" s="264">
        <v>2965</v>
      </c>
      <c r="M709" s="110"/>
      <c r="N709" s="124"/>
      <c r="O709" s="110"/>
      <c r="P709" s="110"/>
      <c r="Q709" s="110"/>
      <c r="R709" s="110"/>
      <c r="S709" s="110">
        <v>287</v>
      </c>
      <c r="T709" s="141"/>
      <c r="U709" s="140">
        <v>4.3620000000000001</v>
      </c>
      <c r="V709" s="110"/>
      <c r="W709" s="110"/>
      <c r="X709" s="110">
        <v>10</v>
      </c>
      <c r="Y709" s="110"/>
      <c r="Z709" s="110">
        <v>770</v>
      </c>
      <c r="AA709" s="110">
        <v>14.78402</v>
      </c>
      <c r="AB709" s="110">
        <v>5</v>
      </c>
      <c r="AC709" s="110"/>
      <c r="AD709" s="110">
        <v>10</v>
      </c>
      <c r="AE709" s="110"/>
      <c r="AF709" s="110"/>
      <c r="AG709" s="110">
        <f>5.7/1.3</f>
        <v>4.384615384615385</v>
      </c>
      <c r="AH709" s="110"/>
      <c r="AI709" s="110" t="s">
        <v>482</v>
      </c>
      <c r="AJ709" s="110"/>
      <c r="AK709" s="110"/>
      <c r="AL709" s="110"/>
      <c r="AM709" s="641">
        <f t="shared" si="13"/>
        <v>4408.4016353846155</v>
      </c>
      <c r="AO709" s="289"/>
      <c r="AP709" s="97"/>
    </row>
    <row r="710" spans="1:42" s="61" customFormat="1" ht="25.5" customHeight="1" x14ac:dyDescent="0.3">
      <c r="A710" s="706"/>
      <c r="B710" s="175" t="s">
        <v>327</v>
      </c>
      <c r="C710" s="176">
        <v>128.352</v>
      </c>
      <c r="D710" s="127"/>
      <c r="E710" s="127"/>
      <c r="F710" s="265"/>
      <c r="G710" s="127">
        <v>80</v>
      </c>
      <c r="H710" s="127"/>
      <c r="I710" s="178"/>
      <c r="J710" s="127"/>
      <c r="K710" s="127"/>
      <c r="L710" s="265"/>
      <c r="M710" s="127"/>
      <c r="N710" s="178"/>
      <c r="O710" s="127"/>
      <c r="P710" s="127"/>
      <c r="Q710" s="127"/>
      <c r="R710" s="127"/>
      <c r="S710" s="127">
        <v>902</v>
      </c>
      <c r="T710" s="177"/>
      <c r="U710" s="176">
        <v>4.3620000000000001</v>
      </c>
      <c r="V710" s="127"/>
      <c r="W710" s="127"/>
      <c r="X710" s="127"/>
      <c r="Y710" s="127"/>
      <c r="Z710" s="127">
        <v>1927</v>
      </c>
      <c r="AA710" s="127"/>
      <c r="AB710" s="127"/>
      <c r="AC710" s="127"/>
      <c r="AD710" s="127"/>
      <c r="AE710" s="127"/>
      <c r="AF710" s="127"/>
      <c r="AG710" s="127"/>
      <c r="AH710" s="127"/>
      <c r="AI710" s="127">
        <v>935</v>
      </c>
      <c r="AJ710" s="127"/>
      <c r="AK710" s="127"/>
      <c r="AL710" s="127"/>
      <c r="AM710" s="642">
        <f t="shared" si="13"/>
        <v>3976.7139999999999</v>
      </c>
      <c r="AO710" s="289"/>
    </row>
    <row r="711" spans="1:42" s="61" customFormat="1" ht="25.5" customHeight="1" x14ac:dyDescent="0.3">
      <c r="A711" s="706"/>
      <c r="B711" s="180" t="s">
        <v>361</v>
      </c>
      <c r="C711" s="300">
        <v>245.72769</v>
      </c>
      <c r="D711" s="173"/>
      <c r="E711" s="173"/>
      <c r="F711" s="266"/>
      <c r="G711" s="173">
        <f>60+10</f>
        <v>70</v>
      </c>
      <c r="H711" s="173"/>
      <c r="I711" s="174"/>
      <c r="J711" s="173"/>
      <c r="K711" s="173"/>
      <c r="L711" s="266"/>
      <c r="M711" s="173"/>
      <c r="N711" s="174"/>
      <c r="O711" s="173"/>
      <c r="P711" s="173"/>
      <c r="Q711" s="173"/>
      <c r="R711" s="173"/>
      <c r="S711" s="173">
        <v>5889</v>
      </c>
      <c r="T711" s="327"/>
      <c r="U711" s="300">
        <v>4.3620000000000001</v>
      </c>
      <c r="V711" s="173"/>
      <c r="W711" s="173"/>
      <c r="X711" s="173">
        <v>20</v>
      </c>
      <c r="Y711" s="173"/>
      <c r="Z711" s="173">
        <v>3012.55305</v>
      </c>
      <c r="AA711" s="173">
        <f>10.49235+31</f>
        <v>41.492350000000002</v>
      </c>
      <c r="AB711" s="173">
        <v>10</v>
      </c>
      <c r="AC711" s="173"/>
      <c r="AD711" s="173"/>
      <c r="AE711" s="173"/>
      <c r="AF711" s="173"/>
      <c r="AG711" s="173"/>
      <c r="AH711" s="173">
        <v>15695</v>
      </c>
      <c r="AI711" s="173" t="s">
        <v>482</v>
      </c>
      <c r="AJ711" s="173"/>
      <c r="AK711" s="173"/>
      <c r="AL711" s="173"/>
      <c r="AM711" s="643">
        <f t="shared" si="13"/>
        <v>24988.13509</v>
      </c>
      <c r="AO711" s="289"/>
      <c r="AP711" s="97"/>
    </row>
    <row r="712" spans="1:42" s="61" customFormat="1" ht="25.5" customHeight="1" x14ac:dyDescent="0.3">
      <c r="A712" s="706"/>
      <c r="B712" s="180" t="s">
        <v>362</v>
      </c>
      <c r="C712" s="300">
        <v>313.73268999999999</v>
      </c>
      <c r="D712" s="173"/>
      <c r="E712" s="173">
        <v>2</v>
      </c>
      <c r="F712" s="266"/>
      <c r="G712" s="173">
        <v>104</v>
      </c>
      <c r="H712" s="173"/>
      <c r="I712" s="174"/>
      <c r="J712" s="173"/>
      <c r="K712" s="173"/>
      <c r="L712" s="266"/>
      <c r="M712" s="173"/>
      <c r="N712" s="174"/>
      <c r="O712" s="173"/>
      <c r="P712" s="173"/>
      <c r="Q712" s="173"/>
      <c r="R712" s="173"/>
      <c r="S712" s="173">
        <v>2668</v>
      </c>
      <c r="T712" s="327"/>
      <c r="U712" s="300"/>
      <c r="V712" s="173"/>
      <c r="W712" s="173"/>
      <c r="X712" s="173">
        <v>16</v>
      </c>
      <c r="Y712" s="173"/>
      <c r="Z712" s="173">
        <v>1457.7358700000002</v>
      </c>
      <c r="AA712" s="173">
        <v>120</v>
      </c>
      <c r="AB712" s="173"/>
      <c r="AC712" s="173">
        <v>622</v>
      </c>
      <c r="AD712" s="173"/>
      <c r="AE712" s="173">
        <v>5</v>
      </c>
      <c r="AF712" s="173"/>
      <c r="AG712" s="173"/>
      <c r="AH712" s="173">
        <v>3</v>
      </c>
      <c r="AI712" s="173" t="s">
        <v>482</v>
      </c>
      <c r="AJ712" s="173"/>
      <c r="AK712" s="173"/>
      <c r="AL712" s="173"/>
      <c r="AM712" s="644">
        <f t="shared" si="13"/>
        <v>5311.4685600000003</v>
      </c>
      <c r="AO712" s="289"/>
      <c r="AP712" s="97"/>
    </row>
    <row r="713" spans="1:42" s="61" customFormat="1" ht="22.5" customHeight="1" x14ac:dyDescent="0.3">
      <c r="A713" s="706"/>
      <c r="B713" s="115" t="s">
        <v>402</v>
      </c>
      <c r="C713" s="142">
        <v>184.982</v>
      </c>
      <c r="D713" s="111"/>
      <c r="E713" s="111"/>
      <c r="F713" s="267"/>
      <c r="G713" s="111">
        <v>9</v>
      </c>
      <c r="H713" s="111">
        <v>1355</v>
      </c>
      <c r="I713" s="125"/>
      <c r="J713" s="111"/>
      <c r="K713" s="111"/>
      <c r="L713" s="267">
        <v>0</v>
      </c>
      <c r="M713" s="111"/>
      <c r="N713" s="125"/>
      <c r="O713" s="111"/>
      <c r="P713" s="111"/>
      <c r="Q713" s="111"/>
      <c r="R713" s="111"/>
      <c r="S713" s="111">
        <v>626.16131000000007</v>
      </c>
      <c r="T713" s="143">
        <v>369.65</v>
      </c>
      <c r="U713" s="142"/>
      <c r="V713" s="111"/>
      <c r="W713" s="111"/>
      <c r="X713" s="111"/>
      <c r="Y713" s="111"/>
      <c r="Z713" s="111">
        <v>2218</v>
      </c>
      <c r="AA713" s="111">
        <v>98</v>
      </c>
      <c r="AB713" s="111">
        <v>10</v>
      </c>
      <c r="AC713" s="111"/>
      <c r="AD713" s="111">
        <v>10</v>
      </c>
      <c r="AE713" s="111"/>
      <c r="AF713" s="111"/>
      <c r="AG713" s="111"/>
      <c r="AH713" s="111">
        <v>2000</v>
      </c>
      <c r="AI713" s="111">
        <v>365</v>
      </c>
      <c r="AJ713" s="111"/>
      <c r="AK713" s="111"/>
      <c r="AL713" s="111"/>
      <c r="AM713" s="645">
        <f t="shared" si="13"/>
        <v>7245.79331</v>
      </c>
      <c r="AO713" s="289"/>
    </row>
    <row r="714" spans="1:42" s="61" customFormat="1" ht="21" customHeight="1" x14ac:dyDescent="0.3">
      <c r="A714" s="707"/>
      <c r="B714" s="181" t="s">
        <v>403</v>
      </c>
      <c r="C714" s="144">
        <v>243.40027000000001</v>
      </c>
      <c r="D714" s="112"/>
      <c r="E714" s="112"/>
      <c r="F714" s="268">
        <v>15.8</v>
      </c>
      <c r="G714" s="112"/>
      <c r="H714" s="112">
        <v>2710.04</v>
      </c>
      <c r="I714" s="126"/>
      <c r="J714" s="112"/>
      <c r="K714" s="112"/>
      <c r="L714" s="268"/>
      <c r="M714" s="112"/>
      <c r="N714" s="126"/>
      <c r="O714" s="112"/>
      <c r="P714" s="112"/>
      <c r="Q714" s="112"/>
      <c r="R714" s="112"/>
      <c r="S714" s="112">
        <v>415.27146799999997</v>
      </c>
      <c r="T714" s="145">
        <v>0</v>
      </c>
      <c r="U714" s="144">
        <v>25.001000000000001</v>
      </c>
      <c r="V714" s="112"/>
      <c r="W714" s="112"/>
      <c r="X714" s="112"/>
      <c r="Y714" s="112"/>
      <c r="Z714" s="112">
        <v>2283</v>
      </c>
      <c r="AA714" s="112"/>
      <c r="AB714" s="112">
        <v>10</v>
      </c>
      <c r="AC714" s="112"/>
      <c r="AD714" s="112">
        <v>20</v>
      </c>
      <c r="AE714" s="112"/>
      <c r="AF714" s="112">
        <v>16</v>
      </c>
      <c r="AG714" s="112"/>
      <c r="AH714" s="112">
        <v>1000</v>
      </c>
      <c r="AI714" s="112">
        <v>365</v>
      </c>
      <c r="AJ714" s="112"/>
      <c r="AK714" s="112"/>
      <c r="AL714" s="112"/>
      <c r="AM714" s="646">
        <f t="shared" si="13"/>
        <v>7103.5127379999994</v>
      </c>
      <c r="AO714" s="289"/>
    </row>
    <row r="715" spans="1:42" s="61" customFormat="1" ht="21" customHeight="1" x14ac:dyDescent="0.3">
      <c r="A715" s="705" t="s">
        <v>302</v>
      </c>
      <c r="B715" s="179" t="s">
        <v>293</v>
      </c>
      <c r="C715" s="135">
        <v>47</v>
      </c>
      <c r="D715" s="136"/>
      <c r="E715" s="136"/>
      <c r="F715" s="262">
        <v>97.948999999999998</v>
      </c>
      <c r="G715" s="136">
        <v>915</v>
      </c>
      <c r="H715" s="136"/>
      <c r="I715" s="326"/>
      <c r="J715" s="136"/>
      <c r="K715" s="136"/>
      <c r="L715" s="262"/>
      <c r="M715" s="136"/>
      <c r="N715" s="326"/>
      <c r="O715" s="136"/>
      <c r="P715" s="136"/>
      <c r="Q715" s="136"/>
      <c r="R715" s="136"/>
      <c r="S715" s="136">
        <v>25</v>
      </c>
      <c r="T715" s="137">
        <v>30</v>
      </c>
      <c r="U715" s="632"/>
      <c r="V715" s="122"/>
      <c r="W715" s="122"/>
      <c r="X715" s="122"/>
      <c r="Y715" s="122"/>
      <c r="Z715" s="122">
        <v>358</v>
      </c>
      <c r="AA715" s="122">
        <v>-10.64589</v>
      </c>
      <c r="AB715" s="122"/>
      <c r="AC715" s="122"/>
      <c r="AD715" s="122"/>
      <c r="AE715" s="122"/>
      <c r="AF715" s="122"/>
      <c r="AG715" s="122">
        <v>0.755</v>
      </c>
      <c r="AH715" s="122"/>
      <c r="AI715" s="122" t="s">
        <v>482</v>
      </c>
      <c r="AJ715" s="122"/>
      <c r="AK715" s="122"/>
      <c r="AL715" s="122"/>
      <c r="AM715" s="639">
        <f t="shared" si="13"/>
        <v>1463.0581100000002</v>
      </c>
      <c r="AO715" s="289"/>
    </row>
    <row r="716" spans="1:42" s="61" customFormat="1" ht="19.5" customHeight="1" x14ac:dyDescent="0.3">
      <c r="A716" s="706"/>
      <c r="B716" s="116" t="s">
        <v>294</v>
      </c>
      <c r="C716" s="138">
        <v>85</v>
      </c>
      <c r="D716" s="109"/>
      <c r="E716" s="109"/>
      <c r="F716" s="263">
        <v>102.426</v>
      </c>
      <c r="G716" s="109">
        <v>1172</v>
      </c>
      <c r="H716" s="109"/>
      <c r="I716" s="123"/>
      <c r="J716" s="109"/>
      <c r="K716" s="109"/>
      <c r="L716" s="263"/>
      <c r="M716" s="109"/>
      <c r="N716" s="123"/>
      <c r="O716" s="109"/>
      <c r="P716" s="109">
        <v>200</v>
      </c>
      <c r="Q716" s="109"/>
      <c r="R716" s="109"/>
      <c r="S716" s="109"/>
      <c r="T716" s="139">
        <v>30</v>
      </c>
      <c r="U716" s="138">
        <v>394.90699999999998</v>
      </c>
      <c r="V716" s="109"/>
      <c r="W716" s="109"/>
      <c r="X716" s="109"/>
      <c r="Y716" s="109"/>
      <c r="Z716" s="109">
        <v>233</v>
      </c>
      <c r="AA716" s="109">
        <v>367.20375000000001</v>
      </c>
      <c r="AB716" s="109"/>
      <c r="AC716" s="109"/>
      <c r="AD716" s="109"/>
      <c r="AE716" s="109"/>
      <c r="AF716" s="109"/>
      <c r="AG716" s="109">
        <v>22.16</v>
      </c>
      <c r="AH716" s="109"/>
      <c r="AI716" s="109">
        <v>20</v>
      </c>
      <c r="AJ716" s="109"/>
      <c r="AK716" s="109">
        <v>3074.12</v>
      </c>
      <c r="AL716" s="109"/>
      <c r="AM716" s="640">
        <f t="shared" si="13"/>
        <v>5700.81675</v>
      </c>
      <c r="AO716" s="289"/>
    </row>
    <row r="717" spans="1:42" s="61" customFormat="1" ht="22.5" customHeight="1" x14ac:dyDescent="0.3">
      <c r="A717" s="706"/>
      <c r="B717" s="117" t="s">
        <v>326</v>
      </c>
      <c r="C717" s="140">
        <v>67.5</v>
      </c>
      <c r="D717" s="110"/>
      <c r="E717" s="110"/>
      <c r="F717" s="264">
        <v>118</v>
      </c>
      <c r="G717" s="110">
        <v>411</v>
      </c>
      <c r="H717" s="110"/>
      <c r="I717" s="124"/>
      <c r="J717" s="110"/>
      <c r="K717" s="110"/>
      <c r="L717" s="264"/>
      <c r="M717" s="110"/>
      <c r="N717" s="124"/>
      <c r="O717" s="110"/>
      <c r="P717" s="110"/>
      <c r="Q717" s="110"/>
      <c r="R717" s="110"/>
      <c r="S717" s="110">
        <v>-162</v>
      </c>
      <c r="T717" s="141"/>
      <c r="U717" s="140">
        <v>54.53</v>
      </c>
      <c r="V717" s="110"/>
      <c r="W717" s="110"/>
      <c r="X717" s="110"/>
      <c r="Y717" s="110"/>
      <c r="Z717" s="110">
        <v>160</v>
      </c>
      <c r="AA717" s="110">
        <v>136.88702000000001</v>
      </c>
      <c r="AB717" s="110"/>
      <c r="AC717" s="110"/>
      <c r="AD717" s="110"/>
      <c r="AE717" s="110"/>
      <c r="AF717" s="110"/>
      <c r="AG717" s="110"/>
      <c r="AH717" s="110">
        <v>40</v>
      </c>
      <c r="AI717" s="110" t="s">
        <v>482</v>
      </c>
      <c r="AJ717" s="110"/>
      <c r="AK717" s="110">
        <v>332</v>
      </c>
      <c r="AL717" s="110"/>
      <c r="AM717" s="641">
        <f t="shared" si="13"/>
        <v>1157.9170199999999</v>
      </c>
      <c r="AO717" s="289"/>
      <c r="AP717" s="97"/>
    </row>
    <row r="718" spans="1:42" s="61" customFormat="1" ht="25.5" customHeight="1" x14ac:dyDescent="0.3">
      <c r="A718" s="706"/>
      <c r="B718" s="175" t="s">
        <v>327</v>
      </c>
      <c r="C718" s="176">
        <v>69.938000000000002</v>
      </c>
      <c r="D718" s="127"/>
      <c r="E718" s="127"/>
      <c r="F718" s="265">
        <v>37</v>
      </c>
      <c r="G718" s="127">
        <v>240</v>
      </c>
      <c r="H718" s="127"/>
      <c r="I718" s="178"/>
      <c r="J718" s="127"/>
      <c r="K718" s="127"/>
      <c r="L718" s="265"/>
      <c r="M718" s="127"/>
      <c r="N718" s="178"/>
      <c r="O718" s="127"/>
      <c r="P718" s="127">
        <v>2962</v>
      </c>
      <c r="Q718" s="127"/>
      <c r="R718" s="127"/>
      <c r="S718" s="127">
        <v>200</v>
      </c>
      <c r="T718" s="177"/>
      <c r="U718" s="176">
        <v>43.985999999999997</v>
      </c>
      <c r="V718" s="127"/>
      <c r="W718" s="127"/>
      <c r="X718" s="127"/>
      <c r="Y718" s="127"/>
      <c r="Z718" s="127">
        <v>197</v>
      </c>
      <c r="AA718" s="127">
        <v>842.41033000000004</v>
      </c>
      <c r="AB718" s="127"/>
      <c r="AC718" s="127"/>
      <c r="AD718" s="127"/>
      <c r="AE718" s="127"/>
      <c r="AF718" s="127"/>
      <c r="AG718" s="127"/>
      <c r="AH718" s="127"/>
      <c r="AI718" s="127">
        <v>10</v>
      </c>
      <c r="AJ718" s="127"/>
      <c r="AK718" s="127"/>
      <c r="AL718" s="127"/>
      <c r="AM718" s="642">
        <f t="shared" si="13"/>
        <v>4602.3343299999997</v>
      </c>
      <c r="AO718" s="289"/>
    </row>
    <row r="719" spans="1:42" s="61" customFormat="1" ht="25.5" customHeight="1" x14ac:dyDescent="0.3">
      <c r="A719" s="706"/>
      <c r="B719" s="180" t="s">
        <v>361</v>
      </c>
      <c r="C719" s="300"/>
      <c r="D719" s="173"/>
      <c r="E719" s="173"/>
      <c r="F719" s="266">
        <v>2</v>
      </c>
      <c r="G719" s="173">
        <f>117+213</f>
        <v>330</v>
      </c>
      <c r="H719" s="173"/>
      <c r="I719" s="174"/>
      <c r="J719" s="173"/>
      <c r="K719" s="173"/>
      <c r="L719" s="266"/>
      <c r="M719" s="173"/>
      <c r="N719" s="174"/>
      <c r="O719" s="173"/>
      <c r="P719" s="173">
        <v>1271</v>
      </c>
      <c r="Q719" s="173"/>
      <c r="R719" s="173"/>
      <c r="S719" s="173">
        <v>238</v>
      </c>
      <c r="T719" s="327"/>
      <c r="U719" s="300"/>
      <c r="V719" s="173"/>
      <c r="W719" s="173"/>
      <c r="X719" s="173"/>
      <c r="Y719" s="173"/>
      <c r="Z719" s="173">
        <v>401</v>
      </c>
      <c r="AA719" s="173">
        <v>59</v>
      </c>
      <c r="AB719" s="173"/>
      <c r="AC719" s="173"/>
      <c r="AD719" s="173"/>
      <c r="AE719" s="173"/>
      <c r="AF719" s="173"/>
      <c r="AG719" s="173"/>
      <c r="AH719" s="173"/>
      <c r="AI719" s="173">
        <v>20</v>
      </c>
      <c r="AJ719" s="173"/>
      <c r="AK719" s="173"/>
      <c r="AL719" s="173"/>
      <c r="AM719" s="643">
        <f t="shared" si="13"/>
        <v>2321</v>
      </c>
      <c r="AO719" s="289"/>
      <c r="AP719" s="97"/>
    </row>
    <row r="720" spans="1:42" s="61" customFormat="1" ht="25.5" customHeight="1" x14ac:dyDescent="0.3">
      <c r="A720" s="706"/>
      <c r="B720" s="180" t="s">
        <v>362</v>
      </c>
      <c r="C720" s="300">
        <v>32.373719999999999</v>
      </c>
      <c r="D720" s="173"/>
      <c r="E720" s="173"/>
      <c r="F720" s="266">
        <v>11</v>
      </c>
      <c r="G720" s="173">
        <f>1007</f>
        <v>1007</v>
      </c>
      <c r="H720" s="173"/>
      <c r="I720" s="174"/>
      <c r="J720" s="173"/>
      <c r="K720" s="173"/>
      <c r="L720" s="266"/>
      <c r="M720" s="173"/>
      <c r="N720" s="174"/>
      <c r="O720" s="173"/>
      <c r="P720" s="173">
        <v>89</v>
      </c>
      <c r="Q720" s="173"/>
      <c r="R720" s="173"/>
      <c r="S720" s="173">
        <v>147</v>
      </c>
      <c r="T720" s="327"/>
      <c r="U720" s="300">
        <v>50.893999999999998</v>
      </c>
      <c r="V720" s="173"/>
      <c r="W720" s="173"/>
      <c r="X720" s="173"/>
      <c r="Y720" s="173"/>
      <c r="Z720" s="173">
        <v>473.71689000000003</v>
      </c>
      <c r="AA720" s="173">
        <v>179</v>
      </c>
      <c r="AB720" s="173"/>
      <c r="AC720" s="173"/>
      <c r="AD720" s="173"/>
      <c r="AE720" s="173"/>
      <c r="AF720" s="173"/>
      <c r="AG720" s="173"/>
      <c r="AH720" s="173"/>
      <c r="AI720" s="173">
        <v>19</v>
      </c>
      <c r="AJ720" s="173"/>
      <c r="AK720" s="173"/>
      <c r="AL720" s="173"/>
      <c r="AM720" s="644">
        <f t="shared" si="13"/>
        <v>2008.98461</v>
      </c>
      <c r="AO720" s="289"/>
      <c r="AP720" s="97"/>
    </row>
    <row r="721" spans="1:42" s="61" customFormat="1" ht="22.5" customHeight="1" x14ac:dyDescent="0.3">
      <c r="A721" s="706"/>
      <c r="B721" s="115" t="s">
        <v>402</v>
      </c>
      <c r="C721" s="142">
        <v>69.5</v>
      </c>
      <c r="D721" s="111"/>
      <c r="E721" s="111"/>
      <c r="F721" s="267"/>
      <c r="G721" s="111"/>
      <c r="H721" s="111"/>
      <c r="I721" s="125"/>
      <c r="J721" s="111"/>
      <c r="K721" s="111"/>
      <c r="L721" s="267"/>
      <c r="M721" s="111"/>
      <c r="N721" s="125"/>
      <c r="O721" s="111"/>
      <c r="P721" s="111">
        <v>369</v>
      </c>
      <c r="Q721" s="111"/>
      <c r="R721" s="111"/>
      <c r="S721" s="111"/>
      <c r="T721" s="143"/>
      <c r="U721" s="142">
        <v>71.013999999999996</v>
      </c>
      <c r="V721" s="111"/>
      <c r="W721" s="111"/>
      <c r="X721" s="111">
        <v>500</v>
      </c>
      <c r="Y721" s="111"/>
      <c r="Z721" s="111">
        <v>170</v>
      </c>
      <c r="AA721" s="111">
        <v>257</v>
      </c>
      <c r="AB721" s="111"/>
      <c r="AC721" s="111"/>
      <c r="AD721" s="111"/>
      <c r="AE721" s="111"/>
      <c r="AF721" s="111"/>
      <c r="AG721" s="111"/>
      <c r="AH721" s="111" t="s">
        <v>482</v>
      </c>
      <c r="AI721" s="111">
        <v>5</v>
      </c>
      <c r="AJ721" s="111"/>
      <c r="AK721" s="111"/>
      <c r="AL721" s="111"/>
      <c r="AM721" s="645">
        <f t="shared" si="13"/>
        <v>1441.5140000000001</v>
      </c>
      <c r="AO721" s="289"/>
    </row>
    <row r="722" spans="1:42" s="61" customFormat="1" ht="21" customHeight="1" x14ac:dyDescent="0.3">
      <c r="A722" s="707"/>
      <c r="B722" s="181" t="s">
        <v>403</v>
      </c>
      <c r="C722" s="144">
        <v>112.34251999999999</v>
      </c>
      <c r="D722" s="112"/>
      <c r="E722" s="112"/>
      <c r="F722" s="268">
        <v>1030</v>
      </c>
      <c r="G722" s="112">
        <v>91</v>
      </c>
      <c r="H722" s="112"/>
      <c r="I722" s="126"/>
      <c r="J722" s="112"/>
      <c r="K722" s="112"/>
      <c r="L722" s="268"/>
      <c r="M722" s="112"/>
      <c r="N722" s="126"/>
      <c r="O722" s="112"/>
      <c r="P722" s="112">
        <v>0</v>
      </c>
      <c r="Q722" s="112"/>
      <c r="R722" s="112"/>
      <c r="S722" s="112">
        <v>1.75648</v>
      </c>
      <c r="T722" s="145"/>
      <c r="U722" s="144">
        <v>164.52</v>
      </c>
      <c r="V722" s="112"/>
      <c r="W722" s="112"/>
      <c r="X722" s="112"/>
      <c r="Y722" s="112"/>
      <c r="Z722" s="112">
        <v>165</v>
      </c>
      <c r="AA722" s="112"/>
      <c r="AB722" s="112"/>
      <c r="AC722" s="112"/>
      <c r="AD722" s="112"/>
      <c r="AE722" s="112"/>
      <c r="AF722" s="112"/>
      <c r="AG722" s="112"/>
      <c r="AH722" s="112" t="s">
        <v>482</v>
      </c>
      <c r="AI722" s="112">
        <v>6</v>
      </c>
      <c r="AJ722" s="112"/>
      <c r="AK722" s="112"/>
      <c r="AL722" s="112"/>
      <c r="AM722" s="646">
        <f t="shared" si="13"/>
        <v>1570.6189999999999</v>
      </c>
      <c r="AO722" s="289"/>
    </row>
    <row r="723" spans="1:42" s="61" customFormat="1" ht="21" customHeight="1" x14ac:dyDescent="0.3">
      <c r="A723" s="705" t="s">
        <v>181</v>
      </c>
      <c r="B723" s="179" t="s">
        <v>293</v>
      </c>
      <c r="C723" s="135"/>
      <c r="D723" s="136"/>
      <c r="E723" s="136"/>
      <c r="F723" s="262"/>
      <c r="G723" s="136"/>
      <c r="H723" s="136"/>
      <c r="I723" s="326"/>
      <c r="J723" s="136"/>
      <c r="K723" s="136"/>
      <c r="L723" s="262"/>
      <c r="M723" s="136"/>
      <c r="N723" s="326"/>
      <c r="O723" s="136"/>
      <c r="P723" s="136"/>
      <c r="Q723" s="136"/>
      <c r="R723" s="136"/>
      <c r="S723" s="136"/>
      <c r="T723" s="137"/>
      <c r="U723" s="632"/>
      <c r="V723" s="122"/>
      <c r="W723" s="122"/>
      <c r="X723" s="122"/>
      <c r="Y723" s="122"/>
      <c r="Z723" s="122"/>
      <c r="AA723" s="122"/>
      <c r="AB723" s="122"/>
      <c r="AC723" s="122"/>
      <c r="AD723" s="122"/>
      <c r="AE723" s="122"/>
      <c r="AF723" s="122"/>
      <c r="AG723" s="122"/>
      <c r="AH723" s="122"/>
      <c r="AI723" s="122" t="s">
        <v>482</v>
      </c>
      <c r="AJ723" s="122"/>
      <c r="AK723" s="122"/>
      <c r="AL723" s="122"/>
      <c r="AM723" s="639">
        <f t="shared" si="13"/>
        <v>0</v>
      </c>
      <c r="AO723" s="289"/>
    </row>
    <row r="724" spans="1:42" s="61" customFormat="1" ht="19.5" customHeight="1" x14ac:dyDescent="0.3">
      <c r="A724" s="706"/>
      <c r="B724" s="116" t="s">
        <v>294</v>
      </c>
      <c r="C724" s="138"/>
      <c r="D724" s="109"/>
      <c r="E724" s="109"/>
      <c r="F724" s="263">
        <v>26704.511999999999</v>
      </c>
      <c r="G724" s="109"/>
      <c r="H724" s="109"/>
      <c r="I724" s="123"/>
      <c r="J724" s="109"/>
      <c r="K724" s="109"/>
      <c r="L724" s="263"/>
      <c r="M724" s="109"/>
      <c r="N724" s="123"/>
      <c r="O724" s="109"/>
      <c r="P724" s="109"/>
      <c r="Q724" s="109"/>
      <c r="R724" s="109"/>
      <c r="S724" s="109"/>
      <c r="T724" s="139"/>
      <c r="U724" s="138"/>
      <c r="V724" s="109"/>
      <c r="W724" s="109"/>
      <c r="X724" s="109"/>
      <c r="Y724" s="109"/>
      <c r="Z724" s="109"/>
      <c r="AA724" s="109"/>
      <c r="AB724" s="109">
        <v>2</v>
      </c>
      <c r="AC724" s="109"/>
      <c r="AD724" s="109"/>
      <c r="AE724" s="109"/>
      <c r="AF724" s="109"/>
      <c r="AG724" s="109"/>
      <c r="AH724" s="109"/>
      <c r="AI724" s="109" t="s">
        <v>482</v>
      </c>
      <c r="AJ724" s="109"/>
      <c r="AK724" s="109"/>
      <c r="AL724" s="109"/>
      <c r="AM724" s="640">
        <f t="shared" si="13"/>
        <v>26706.511999999999</v>
      </c>
      <c r="AO724" s="289"/>
    </row>
    <row r="725" spans="1:42" s="61" customFormat="1" ht="22.5" customHeight="1" x14ac:dyDescent="0.3">
      <c r="A725" s="706"/>
      <c r="B725" s="117" t="s">
        <v>326</v>
      </c>
      <c r="C725" s="140"/>
      <c r="D725" s="110"/>
      <c r="E725" s="110"/>
      <c r="F725" s="264">
        <v>-11209</v>
      </c>
      <c r="G725" s="110"/>
      <c r="H725" s="110"/>
      <c r="I725" s="124"/>
      <c r="J725" s="110"/>
      <c r="K725" s="110"/>
      <c r="L725" s="264"/>
      <c r="M725" s="110"/>
      <c r="N725" s="124"/>
      <c r="O725" s="110"/>
      <c r="P725" s="110"/>
      <c r="Q725" s="110"/>
      <c r="R725" s="110"/>
      <c r="S725" s="110"/>
      <c r="T725" s="141"/>
      <c r="U725" s="140">
        <v>58.438000000000002</v>
      </c>
      <c r="V725" s="110"/>
      <c r="W725" s="110"/>
      <c r="X725" s="110"/>
      <c r="Y725" s="110"/>
      <c r="Z725" s="110">
        <v>127.30919</v>
      </c>
      <c r="AA725" s="110">
        <v>13.837289999999999</v>
      </c>
      <c r="AB725" s="110"/>
      <c r="AC725" s="110"/>
      <c r="AD725" s="110"/>
      <c r="AE725" s="110"/>
      <c r="AF725" s="110"/>
      <c r="AG725" s="110"/>
      <c r="AH725" s="110"/>
      <c r="AI725" s="110" t="s">
        <v>482</v>
      </c>
      <c r="AJ725" s="110"/>
      <c r="AK725" s="110"/>
      <c r="AL725" s="110"/>
      <c r="AM725" s="641">
        <f t="shared" ref="AM725:AM788" si="14">SUM(C725:AL725)</f>
        <v>-11009.41552</v>
      </c>
      <c r="AO725" s="289"/>
      <c r="AP725" s="97"/>
    </row>
    <row r="726" spans="1:42" s="61" customFormat="1" ht="25.5" customHeight="1" x14ac:dyDescent="0.3">
      <c r="A726" s="706"/>
      <c r="B726" s="175" t="s">
        <v>327</v>
      </c>
      <c r="C726" s="176"/>
      <c r="D726" s="127"/>
      <c r="E726" s="127"/>
      <c r="F726" s="265"/>
      <c r="G726" s="127"/>
      <c r="H726" s="127"/>
      <c r="I726" s="178"/>
      <c r="J726" s="127"/>
      <c r="K726" s="127"/>
      <c r="L726" s="265"/>
      <c r="M726" s="127"/>
      <c r="N726" s="178"/>
      <c r="O726" s="127"/>
      <c r="P726" s="127"/>
      <c r="Q726" s="127"/>
      <c r="R726" s="127"/>
      <c r="S726" s="127">
        <v>534</v>
      </c>
      <c r="T726" s="177"/>
      <c r="U726" s="176">
        <v>0.48799999999999999</v>
      </c>
      <c r="V726" s="127"/>
      <c r="W726" s="127"/>
      <c r="X726" s="127"/>
      <c r="Y726" s="127"/>
      <c r="Z726" s="127"/>
      <c r="AA726" s="127"/>
      <c r="AB726" s="127">
        <v>2</v>
      </c>
      <c r="AC726" s="127"/>
      <c r="AD726" s="127"/>
      <c r="AE726" s="127"/>
      <c r="AF726" s="127"/>
      <c r="AG726" s="127"/>
      <c r="AH726" s="127"/>
      <c r="AI726" s="127" t="s">
        <v>482</v>
      </c>
      <c r="AJ726" s="127"/>
      <c r="AK726" s="127"/>
      <c r="AL726" s="127"/>
      <c r="AM726" s="642">
        <f t="shared" si="14"/>
        <v>536.48800000000006</v>
      </c>
      <c r="AO726" s="289"/>
    </row>
    <row r="727" spans="1:42" s="61" customFormat="1" ht="25.5" customHeight="1" x14ac:dyDescent="0.3">
      <c r="A727" s="706"/>
      <c r="B727" s="180" t="s">
        <v>361</v>
      </c>
      <c r="C727" s="300">
        <v>1417</v>
      </c>
      <c r="D727" s="173"/>
      <c r="E727" s="173"/>
      <c r="F727" s="266"/>
      <c r="G727" s="173"/>
      <c r="H727" s="173"/>
      <c r="I727" s="174"/>
      <c r="J727" s="173"/>
      <c r="K727" s="173"/>
      <c r="L727" s="266"/>
      <c r="M727" s="173"/>
      <c r="N727" s="174"/>
      <c r="O727" s="173"/>
      <c r="P727" s="173"/>
      <c r="Q727" s="173"/>
      <c r="R727" s="173"/>
      <c r="S727" s="173">
        <v>866</v>
      </c>
      <c r="T727" s="327"/>
      <c r="U727" s="300">
        <v>0.48799999999999999</v>
      </c>
      <c r="V727" s="173"/>
      <c r="W727" s="173"/>
      <c r="X727" s="173">
        <v>385</v>
      </c>
      <c r="Y727" s="173"/>
      <c r="Z727" s="173"/>
      <c r="AA727" s="173"/>
      <c r="AB727" s="173">
        <v>2</v>
      </c>
      <c r="AC727" s="173"/>
      <c r="AD727" s="173"/>
      <c r="AE727" s="173"/>
      <c r="AF727" s="173"/>
      <c r="AG727" s="173"/>
      <c r="AH727" s="173"/>
      <c r="AI727" s="173" t="s">
        <v>482</v>
      </c>
      <c r="AJ727" s="173"/>
      <c r="AK727" s="173"/>
      <c r="AL727" s="173"/>
      <c r="AM727" s="643">
        <f t="shared" si="14"/>
        <v>2670.4879999999998</v>
      </c>
      <c r="AO727" s="289"/>
      <c r="AP727" s="97"/>
    </row>
    <row r="728" spans="1:42" s="61" customFormat="1" ht="25.5" customHeight="1" x14ac:dyDescent="0.3">
      <c r="A728" s="706"/>
      <c r="B728" s="180" t="s">
        <v>362</v>
      </c>
      <c r="C728" s="300">
        <v>415</v>
      </c>
      <c r="D728" s="173"/>
      <c r="E728" s="173"/>
      <c r="F728" s="266"/>
      <c r="G728" s="173"/>
      <c r="H728" s="173"/>
      <c r="I728" s="174"/>
      <c r="J728" s="173"/>
      <c r="K728" s="173"/>
      <c r="L728" s="266"/>
      <c r="M728" s="173"/>
      <c r="N728" s="174"/>
      <c r="O728" s="173"/>
      <c r="P728" s="173"/>
      <c r="Q728" s="173"/>
      <c r="R728" s="173"/>
      <c r="S728" s="173">
        <v>2972</v>
      </c>
      <c r="T728" s="327"/>
      <c r="U728" s="300">
        <v>3650.4580000000001</v>
      </c>
      <c r="V728" s="173"/>
      <c r="W728" s="173"/>
      <c r="X728" s="173"/>
      <c r="Y728" s="173"/>
      <c r="Z728" s="173"/>
      <c r="AA728" s="173"/>
      <c r="AB728" s="173"/>
      <c r="AC728" s="173"/>
      <c r="AD728" s="173"/>
      <c r="AE728" s="173"/>
      <c r="AF728" s="173"/>
      <c r="AG728" s="173"/>
      <c r="AH728" s="173"/>
      <c r="AI728" s="173" t="s">
        <v>482</v>
      </c>
      <c r="AJ728" s="173"/>
      <c r="AK728" s="173"/>
      <c r="AL728" s="173"/>
      <c r="AM728" s="644">
        <f t="shared" si="14"/>
        <v>7037.4580000000005</v>
      </c>
      <c r="AO728" s="289"/>
      <c r="AP728" s="97"/>
    </row>
    <row r="729" spans="1:42" s="61" customFormat="1" ht="22.5" customHeight="1" x14ac:dyDescent="0.3">
      <c r="A729" s="706"/>
      <c r="B729" s="115" t="s">
        <v>402</v>
      </c>
      <c r="C729" s="142"/>
      <c r="D729" s="111"/>
      <c r="E729" s="111"/>
      <c r="F729" s="267"/>
      <c r="G729" s="111"/>
      <c r="H729" s="111"/>
      <c r="I729" s="125"/>
      <c r="J729" s="111"/>
      <c r="K729" s="111"/>
      <c r="L729" s="267">
        <v>0</v>
      </c>
      <c r="M729" s="111"/>
      <c r="N729" s="125"/>
      <c r="O729" s="111"/>
      <c r="P729" s="111"/>
      <c r="Q729" s="111"/>
      <c r="R729" s="111"/>
      <c r="S729" s="111">
        <v>100.258</v>
      </c>
      <c r="T729" s="143"/>
      <c r="U729" s="142">
        <v>825.52200000000005</v>
      </c>
      <c r="V729" s="111"/>
      <c r="W729" s="111"/>
      <c r="X729" s="111"/>
      <c r="Y729" s="111">
        <v>8000</v>
      </c>
      <c r="Z729" s="111"/>
      <c r="AA729" s="111"/>
      <c r="AB729" s="111"/>
      <c r="AC729" s="111"/>
      <c r="AD729" s="111"/>
      <c r="AE729" s="111"/>
      <c r="AF729" s="111"/>
      <c r="AG729" s="111"/>
      <c r="AH729" s="111">
        <v>40000</v>
      </c>
      <c r="AI729" s="111" t="s">
        <v>482</v>
      </c>
      <c r="AJ729" s="111"/>
      <c r="AK729" s="111"/>
      <c r="AL729" s="111"/>
      <c r="AM729" s="645">
        <f t="shared" si="14"/>
        <v>48925.78</v>
      </c>
      <c r="AO729" s="289"/>
    </row>
    <row r="730" spans="1:42" s="61" customFormat="1" ht="21" customHeight="1" x14ac:dyDescent="0.3">
      <c r="A730" s="707"/>
      <c r="B730" s="181" t="s">
        <v>403</v>
      </c>
      <c r="C730" s="144">
        <v>10</v>
      </c>
      <c r="D730" s="112"/>
      <c r="E730" s="112"/>
      <c r="F730" s="268"/>
      <c r="G730" s="112"/>
      <c r="H730" s="112"/>
      <c r="I730" s="126"/>
      <c r="J730" s="112"/>
      <c r="K730" s="112"/>
      <c r="L730" s="268"/>
      <c r="M730" s="112"/>
      <c r="N730" s="126"/>
      <c r="O730" s="112"/>
      <c r="P730" s="112"/>
      <c r="Q730" s="112"/>
      <c r="R730" s="112"/>
      <c r="S730" s="112">
        <v>1480.8260090000001</v>
      </c>
      <c r="T730" s="145"/>
      <c r="U730" s="144">
        <v>0.42399999999999999</v>
      </c>
      <c r="V730" s="112"/>
      <c r="W730" s="112"/>
      <c r="X730" s="112"/>
      <c r="Y730" s="112"/>
      <c r="Z730" s="112"/>
      <c r="AA730" s="112"/>
      <c r="AB730" s="112"/>
      <c r="AC730" s="112"/>
      <c r="AD730" s="112"/>
      <c r="AE730" s="112"/>
      <c r="AF730" s="112"/>
      <c r="AG730" s="112"/>
      <c r="AH730" s="112" t="s">
        <v>482</v>
      </c>
      <c r="AI730" s="112" t="s">
        <v>482</v>
      </c>
      <c r="AJ730" s="112"/>
      <c r="AK730" s="112"/>
      <c r="AL730" s="112"/>
      <c r="AM730" s="646">
        <f t="shared" si="14"/>
        <v>1491.2500090000001</v>
      </c>
      <c r="AO730" s="289"/>
    </row>
    <row r="731" spans="1:42" s="61" customFormat="1" ht="21" customHeight="1" x14ac:dyDescent="0.3">
      <c r="A731" s="705" t="s">
        <v>182</v>
      </c>
      <c r="B731" s="179" t="s">
        <v>293</v>
      </c>
      <c r="C731" s="135">
        <v>3794</v>
      </c>
      <c r="D731" s="136"/>
      <c r="E731" s="136"/>
      <c r="F731" s="262">
        <v>332.339</v>
      </c>
      <c r="G731" s="136">
        <v>205</v>
      </c>
      <c r="H731" s="136"/>
      <c r="I731" s="326"/>
      <c r="J731" s="136"/>
      <c r="K731" s="136">
        <v>87</v>
      </c>
      <c r="L731" s="262">
        <v>1891.6569999999999</v>
      </c>
      <c r="M731" s="136"/>
      <c r="N731" s="326">
        <v>998.62099999999998</v>
      </c>
      <c r="O731" s="136">
        <v>97.2</v>
      </c>
      <c r="P731" s="136"/>
      <c r="Q731" s="136"/>
      <c r="R731" s="136">
        <f>(1049+223)/2</f>
        <v>636</v>
      </c>
      <c r="S731" s="136">
        <v>7675.3890000000001</v>
      </c>
      <c r="T731" s="137">
        <v>271.98599999999999</v>
      </c>
      <c r="U731" s="632"/>
      <c r="V731" s="122">
        <f>57818/1000</f>
        <v>57.817999999999998</v>
      </c>
      <c r="W731" s="122"/>
      <c r="X731" s="122"/>
      <c r="Y731" s="122">
        <v>6246</v>
      </c>
      <c r="Z731" s="122">
        <v>10813</v>
      </c>
      <c r="AA731" s="122">
        <v>7.6740000000000004</v>
      </c>
      <c r="AB731" s="122"/>
      <c r="AC731" s="122">
        <v>492.61099999999999</v>
      </c>
      <c r="AD731" s="122">
        <v>2483</v>
      </c>
      <c r="AE731" s="122"/>
      <c r="AF731" s="122"/>
      <c r="AG731" s="122">
        <v>26.314</v>
      </c>
      <c r="AH731" s="122">
        <v>9828.86</v>
      </c>
      <c r="AI731" s="122">
        <v>2683</v>
      </c>
      <c r="AJ731" s="122"/>
      <c r="AK731" s="122">
        <v>8.83</v>
      </c>
      <c r="AL731" s="122">
        <v>333.3825503355705</v>
      </c>
      <c r="AM731" s="639">
        <f t="shared" si="14"/>
        <v>48969.681550335568</v>
      </c>
      <c r="AO731" s="289"/>
    </row>
    <row r="732" spans="1:42" s="61" customFormat="1" ht="19.5" customHeight="1" x14ac:dyDescent="0.3">
      <c r="A732" s="706"/>
      <c r="B732" s="116" t="s">
        <v>294</v>
      </c>
      <c r="C732" s="138">
        <v>6138.6</v>
      </c>
      <c r="D732" s="109"/>
      <c r="E732" s="109"/>
      <c r="F732" s="263">
        <v>1308.5060000000001</v>
      </c>
      <c r="G732" s="109">
        <v>253</v>
      </c>
      <c r="H732" s="109">
        <v>11</v>
      </c>
      <c r="I732" s="123"/>
      <c r="J732" s="109"/>
      <c r="K732" s="109">
        <f>1139-1075</f>
        <v>64</v>
      </c>
      <c r="L732" s="263">
        <v>2399.2710000000002</v>
      </c>
      <c r="M732" s="109"/>
      <c r="N732" s="123">
        <v>2281.6889999999999</v>
      </c>
      <c r="O732" s="109">
        <v>214.8</v>
      </c>
      <c r="P732" s="109"/>
      <c r="Q732" s="109"/>
      <c r="R732" s="109">
        <f>(1049+223)/2</f>
        <v>636</v>
      </c>
      <c r="S732" s="109">
        <v>13967.351000000001</v>
      </c>
      <c r="T732" s="139">
        <v>359.00299999999999</v>
      </c>
      <c r="U732" s="138">
        <v>1487.6569999999999</v>
      </c>
      <c r="V732" s="109">
        <v>28</v>
      </c>
      <c r="W732" s="109"/>
      <c r="X732" s="109"/>
      <c r="Y732" s="109">
        <v>9353</v>
      </c>
      <c r="Z732" s="109">
        <v>20321</v>
      </c>
      <c r="AA732" s="109">
        <v>1.2735799999999999</v>
      </c>
      <c r="AB732" s="109"/>
      <c r="AC732" s="109">
        <v>576.03699999999992</v>
      </c>
      <c r="AD732" s="109">
        <v>3511</v>
      </c>
      <c r="AE732" s="109"/>
      <c r="AF732" s="109"/>
      <c r="AG732" s="109">
        <v>2.04</v>
      </c>
      <c r="AH732" s="109">
        <v>10127.959999999999</v>
      </c>
      <c r="AI732" s="109">
        <v>5000</v>
      </c>
      <c r="AJ732" s="109"/>
      <c r="AK732" s="109">
        <v>10.210000000000001</v>
      </c>
      <c r="AL732" s="109">
        <v>78.670769230769238</v>
      </c>
      <c r="AM732" s="640">
        <f t="shared" si="14"/>
        <v>78130.068349230773</v>
      </c>
      <c r="AO732" s="289"/>
    </row>
    <row r="733" spans="1:42" s="61" customFormat="1" ht="22.5" customHeight="1" x14ac:dyDescent="0.3">
      <c r="A733" s="706"/>
      <c r="B733" s="117" t="s">
        <v>326</v>
      </c>
      <c r="C733" s="140">
        <v>6344.7179999999998</v>
      </c>
      <c r="D733" s="110"/>
      <c r="E733" s="110"/>
      <c r="F733" s="264">
        <v>293</v>
      </c>
      <c r="G733" s="110">
        <v>209</v>
      </c>
      <c r="H733" s="110"/>
      <c r="I733" s="124"/>
      <c r="J733" s="110"/>
      <c r="K733" s="110">
        <f>386-303</f>
        <v>83</v>
      </c>
      <c r="L733" s="264"/>
      <c r="M733" s="110"/>
      <c r="N733" s="124">
        <v>865.71600000000001</v>
      </c>
      <c r="O733" s="110">
        <v>107</v>
      </c>
      <c r="P733" s="110"/>
      <c r="Q733" s="110"/>
      <c r="R733" s="110">
        <v>225</v>
      </c>
      <c r="S733" s="110">
        <v>10096</v>
      </c>
      <c r="T733" s="141"/>
      <c r="U733" s="140">
        <v>1063.376</v>
      </c>
      <c r="V733" s="110">
        <f>122065/1000</f>
        <v>122.065</v>
      </c>
      <c r="W733" s="110">
        <f>290+139</f>
        <v>429</v>
      </c>
      <c r="X733" s="110"/>
      <c r="Y733" s="110">
        <v>10170</v>
      </c>
      <c r="Z733" s="110">
        <v>16679</v>
      </c>
      <c r="AA733" s="110">
        <v>0.80649999999999999</v>
      </c>
      <c r="AB733" s="110"/>
      <c r="AC733" s="110">
        <v>609.75599999999997</v>
      </c>
      <c r="AD733" s="110">
        <v>2552</v>
      </c>
      <c r="AE733" s="110"/>
      <c r="AF733" s="110"/>
      <c r="AG733" s="110"/>
      <c r="AH733" s="110">
        <v>12700.07582</v>
      </c>
      <c r="AI733" s="110">
        <v>4701</v>
      </c>
      <c r="AJ733" s="110"/>
      <c r="AK733" s="110">
        <v>12</v>
      </c>
      <c r="AL733" s="110">
        <v>28.339728070175443</v>
      </c>
      <c r="AM733" s="641">
        <f t="shared" si="14"/>
        <v>67290.853048070174</v>
      </c>
      <c r="AO733" s="289"/>
      <c r="AP733" s="97"/>
    </row>
    <row r="734" spans="1:42" s="61" customFormat="1" ht="25.5" customHeight="1" x14ac:dyDescent="0.3">
      <c r="A734" s="706"/>
      <c r="B734" s="175" t="s">
        <v>327</v>
      </c>
      <c r="C734" s="176">
        <v>10126.334999999999</v>
      </c>
      <c r="D734" s="127"/>
      <c r="E734" s="127"/>
      <c r="F734" s="265">
        <v>1904</v>
      </c>
      <c r="G734" s="127">
        <v>385</v>
      </c>
      <c r="H734" s="127"/>
      <c r="I734" s="178"/>
      <c r="J734" s="127"/>
      <c r="K734" s="127">
        <f>1000-857</f>
        <v>143</v>
      </c>
      <c r="L734" s="265">
        <v>3072</v>
      </c>
      <c r="M734" s="127"/>
      <c r="N734" s="178">
        <v>2106.5729999999999</v>
      </c>
      <c r="O734" s="127">
        <v>775</v>
      </c>
      <c r="P734" s="127"/>
      <c r="Q734" s="127"/>
      <c r="R734" s="127">
        <v>225</v>
      </c>
      <c r="S734" s="127">
        <v>11715</v>
      </c>
      <c r="T734" s="177"/>
      <c r="U734" s="176">
        <v>1205.374</v>
      </c>
      <c r="V734" s="127">
        <f>(100000+228857)/1000-V733</f>
        <v>206.79200000000003</v>
      </c>
      <c r="W734" s="127">
        <f>290+139-429</f>
        <v>0</v>
      </c>
      <c r="X734" s="127"/>
      <c r="Y734" s="127">
        <v>14341</v>
      </c>
      <c r="Z734" s="127">
        <v>28048</v>
      </c>
      <c r="AA734" s="127">
        <v>0.63185999999999998</v>
      </c>
      <c r="AB734" s="127"/>
      <c r="AC734" s="127">
        <v>1206.2729999999999</v>
      </c>
      <c r="AD734" s="127">
        <v>2406</v>
      </c>
      <c r="AE734" s="127"/>
      <c r="AF734" s="127"/>
      <c r="AG734" s="127"/>
      <c r="AH734" s="127">
        <v>17981.18</v>
      </c>
      <c r="AI734" s="127">
        <v>6892</v>
      </c>
      <c r="AJ734" s="127"/>
      <c r="AK734" s="127">
        <v>8</v>
      </c>
      <c r="AL734" s="127">
        <v>553.08779389312974</v>
      </c>
      <c r="AM734" s="642">
        <f t="shared" si="14"/>
        <v>103300.24665389312</v>
      </c>
      <c r="AO734" s="289"/>
    </row>
    <row r="735" spans="1:42" s="61" customFormat="1" ht="25.5" customHeight="1" x14ac:dyDescent="0.3">
      <c r="A735" s="706"/>
      <c r="B735" s="180" t="s">
        <v>361</v>
      </c>
      <c r="C735" s="300">
        <v>23387.632870000001</v>
      </c>
      <c r="D735" s="173"/>
      <c r="E735" s="173"/>
      <c r="F735" s="266">
        <v>1464</v>
      </c>
      <c r="G735" s="173">
        <f>262+112</f>
        <v>374</v>
      </c>
      <c r="H735" s="173"/>
      <c r="I735" s="174"/>
      <c r="J735" s="173"/>
      <c r="K735" s="173"/>
      <c r="L735" s="266">
        <v>3103</v>
      </c>
      <c r="M735" s="173"/>
      <c r="N735" s="174">
        <v>2516.3429999999998</v>
      </c>
      <c r="O735" s="173">
        <v>638</v>
      </c>
      <c r="P735" s="173"/>
      <c r="Q735" s="173"/>
      <c r="R735" s="173">
        <f>150+373</f>
        <v>523</v>
      </c>
      <c r="S735" s="173">
        <v>14289</v>
      </c>
      <c r="T735" s="327">
        <v>1614</v>
      </c>
      <c r="U735" s="300">
        <v>1365.1210000000001</v>
      </c>
      <c r="V735" s="173">
        <f>(100000+62532)/1000</f>
        <v>162.53200000000001</v>
      </c>
      <c r="W735" s="173">
        <v>1473</v>
      </c>
      <c r="X735" s="173"/>
      <c r="Y735" s="173">
        <v>17837</v>
      </c>
      <c r="Z735" s="173">
        <v>33040.23287</v>
      </c>
      <c r="AA735" s="173">
        <v>0.75880999999999998</v>
      </c>
      <c r="AB735" s="173">
        <v>197</v>
      </c>
      <c r="AC735" s="173">
        <f>900+566</f>
        <v>1466</v>
      </c>
      <c r="AD735" s="173">
        <v>3767</v>
      </c>
      <c r="AE735" s="173"/>
      <c r="AF735" s="173"/>
      <c r="AG735" s="173"/>
      <c r="AH735" s="173">
        <v>29395</v>
      </c>
      <c r="AI735" s="173">
        <v>15082</v>
      </c>
      <c r="AJ735" s="173"/>
      <c r="AK735" s="173">
        <v>9</v>
      </c>
      <c r="AL735" s="173">
        <v>806.08264462809916</v>
      </c>
      <c r="AM735" s="643">
        <f t="shared" si="14"/>
        <v>152509.70319462809</v>
      </c>
      <c r="AO735" s="289"/>
      <c r="AP735" s="97"/>
    </row>
    <row r="736" spans="1:42" s="61" customFormat="1" ht="25.5" customHeight="1" x14ac:dyDescent="0.3">
      <c r="A736" s="706"/>
      <c r="B736" s="180" t="s">
        <v>362</v>
      </c>
      <c r="C736" s="300">
        <v>46396.320780000002</v>
      </c>
      <c r="D736" s="173"/>
      <c r="E736" s="173"/>
      <c r="F736" s="266">
        <v>861</v>
      </c>
      <c r="G736" s="173">
        <f>270+74</f>
        <v>344</v>
      </c>
      <c r="H736" s="173"/>
      <c r="I736" s="174"/>
      <c r="J736" s="173"/>
      <c r="K736" s="173"/>
      <c r="L736" s="266">
        <v>3729</v>
      </c>
      <c r="M736" s="173"/>
      <c r="N736" s="174">
        <v>1813.7729999999999</v>
      </c>
      <c r="O736" s="173">
        <v>1917</v>
      </c>
      <c r="P736" s="173"/>
      <c r="Q736" s="173"/>
      <c r="R736" s="173">
        <f>3128-R735</f>
        <v>2605</v>
      </c>
      <c r="S736" s="173">
        <v>35872</v>
      </c>
      <c r="T736" s="327">
        <v>1</v>
      </c>
      <c r="U736" s="300">
        <v>1611.223</v>
      </c>
      <c r="V736" s="173">
        <f>(250000+267359)/1000-V735</f>
        <v>354.827</v>
      </c>
      <c r="W736" s="173"/>
      <c r="X736" s="173"/>
      <c r="Y736" s="173">
        <v>27564</v>
      </c>
      <c r="Z736" s="173">
        <v>39676.260259999995</v>
      </c>
      <c r="AA736" s="173">
        <f>1.69718+15</f>
        <v>16.697179999999999</v>
      </c>
      <c r="AB736" s="173">
        <v>202</v>
      </c>
      <c r="AC736" s="173">
        <f>2427-900+489</f>
        <v>2016</v>
      </c>
      <c r="AD736" s="173">
        <v>5666</v>
      </c>
      <c r="AE736" s="173"/>
      <c r="AF736" s="173"/>
      <c r="AG736" s="173"/>
      <c r="AH736" s="173">
        <v>32029</v>
      </c>
      <c r="AI736" s="173">
        <v>15001</v>
      </c>
      <c r="AJ736" s="173"/>
      <c r="AK736" s="173">
        <v>24</v>
      </c>
      <c r="AL736" s="173">
        <v>1592.160714285714</v>
      </c>
      <c r="AM736" s="644">
        <f t="shared" si="14"/>
        <v>219292.26193428569</v>
      </c>
      <c r="AO736" s="289"/>
      <c r="AP736" s="97"/>
    </row>
    <row r="737" spans="1:42" s="61" customFormat="1" ht="22.5" customHeight="1" x14ac:dyDescent="0.3">
      <c r="A737" s="706"/>
      <c r="B737" s="115" t="s">
        <v>402</v>
      </c>
      <c r="C737" s="142">
        <v>54784.831539999999</v>
      </c>
      <c r="D737" s="111"/>
      <c r="E737" s="111"/>
      <c r="F737" s="267">
        <v>1648.5</v>
      </c>
      <c r="G737" s="111">
        <v>79</v>
      </c>
      <c r="H737" s="111"/>
      <c r="I737" s="125"/>
      <c r="J737" s="111"/>
      <c r="K737" s="111"/>
      <c r="L737" s="267">
        <v>5067</v>
      </c>
      <c r="M737" s="111"/>
      <c r="N737" s="125"/>
      <c r="O737" s="111">
        <v>1554</v>
      </c>
      <c r="P737" s="111"/>
      <c r="Q737" s="111"/>
      <c r="R737" s="111">
        <v>2690</v>
      </c>
      <c r="S737" s="111">
        <v>16303.525073000003</v>
      </c>
      <c r="T737" s="143">
        <v>1499.97</v>
      </c>
      <c r="U737" s="142">
        <v>1207.2149999999999</v>
      </c>
      <c r="V737" s="111">
        <f>244339.62/1000</f>
        <v>244.33962</v>
      </c>
      <c r="W737" s="111">
        <v>3991</v>
      </c>
      <c r="X737" s="111"/>
      <c r="Y737" s="111">
        <v>27261.269</v>
      </c>
      <c r="Z737" s="111">
        <v>10311</v>
      </c>
      <c r="AA737" s="111">
        <v>1</v>
      </c>
      <c r="AB737" s="111">
        <v>235.8</v>
      </c>
      <c r="AC737" s="111">
        <v>1348</v>
      </c>
      <c r="AD737" s="111">
        <v>5919</v>
      </c>
      <c r="AE737" s="111"/>
      <c r="AF737" s="111"/>
      <c r="AG737" s="111"/>
      <c r="AH737" s="111">
        <v>39819.74</v>
      </c>
      <c r="AI737" s="111">
        <v>9177</v>
      </c>
      <c r="AJ737" s="111"/>
      <c r="AK737" s="111">
        <f>41.496/1.097</f>
        <v>37.826800364630813</v>
      </c>
      <c r="AL737" s="111">
        <v>1933.75</v>
      </c>
      <c r="AM737" s="645">
        <f t="shared" si="14"/>
        <v>185113.76703336459</v>
      </c>
      <c r="AO737" s="289"/>
    </row>
    <row r="738" spans="1:42" s="61" customFormat="1" ht="21" customHeight="1" x14ac:dyDescent="0.3">
      <c r="A738" s="707"/>
      <c r="B738" s="181" t="s">
        <v>403</v>
      </c>
      <c r="C738" s="144">
        <v>38185.189339999997</v>
      </c>
      <c r="D738" s="112"/>
      <c r="E738" s="112"/>
      <c r="F738" s="268">
        <v>457.9</v>
      </c>
      <c r="G738" s="112">
        <v>79</v>
      </c>
      <c r="H738" s="112"/>
      <c r="I738" s="126"/>
      <c r="J738" s="112"/>
      <c r="K738" s="112"/>
      <c r="L738" s="268">
        <v>5314.3</v>
      </c>
      <c r="M738" s="112"/>
      <c r="N738" s="126"/>
      <c r="O738" s="112">
        <v>1506</v>
      </c>
      <c r="P738" s="112"/>
      <c r="Q738" s="112"/>
      <c r="R738" s="112">
        <f>2884-R737</f>
        <v>194</v>
      </c>
      <c r="S738" s="112">
        <v>4544.8913390000007</v>
      </c>
      <c r="T738" s="145">
        <v>1095.3800000000001</v>
      </c>
      <c r="U738" s="144">
        <v>328.76600000000002</v>
      </c>
      <c r="V738" s="112">
        <f>(150000+169641)/1000-V737</f>
        <v>75.301380000000023</v>
      </c>
      <c r="W738" s="112">
        <f>4198-3991</f>
        <v>207</v>
      </c>
      <c r="X738" s="112"/>
      <c r="Y738" s="112">
        <v>11849.886</v>
      </c>
      <c r="Z738" s="112">
        <v>6899</v>
      </c>
      <c r="AA738" s="112">
        <v>-39</v>
      </c>
      <c r="AB738" s="112"/>
      <c r="AC738" s="112">
        <v>332</v>
      </c>
      <c r="AD738" s="112">
        <v>6776</v>
      </c>
      <c r="AE738" s="112"/>
      <c r="AF738" s="112"/>
      <c r="AG738" s="112"/>
      <c r="AH738" s="112">
        <v>22549.124</v>
      </c>
      <c r="AI738" s="112">
        <v>9178</v>
      </c>
      <c r="AJ738" s="112"/>
      <c r="AK738" s="112">
        <f>9.8115/1.001</f>
        <v>9.8016983016983037</v>
      </c>
      <c r="AL738" s="112">
        <v>1750</v>
      </c>
      <c r="AM738" s="646">
        <f t="shared" si="14"/>
        <v>111292.5397573017</v>
      </c>
      <c r="AO738" s="289"/>
    </row>
    <row r="739" spans="1:42" s="61" customFormat="1" ht="21" customHeight="1" x14ac:dyDescent="0.3">
      <c r="A739" s="705" t="s">
        <v>183</v>
      </c>
      <c r="B739" s="179" t="s">
        <v>293</v>
      </c>
      <c r="C739" s="135">
        <v>26</v>
      </c>
      <c r="D739" s="136"/>
      <c r="E739" s="136"/>
      <c r="F739" s="262"/>
      <c r="G739" s="136">
        <v>120</v>
      </c>
      <c r="H739" s="136"/>
      <c r="I739" s="326"/>
      <c r="J739" s="136"/>
      <c r="K739" s="136"/>
      <c r="L739" s="262"/>
      <c r="M739" s="136"/>
      <c r="N739" s="326"/>
      <c r="O739" s="136"/>
      <c r="P739" s="136"/>
      <c r="Q739" s="136"/>
      <c r="R739" s="136"/>
      <c r="S739" s="136"/>
      <c r="T739" s="137">
        <v>22</v>
      </c>
      <c r="U739" s="632">
        <v>14.997</v>
      </c>
      <c r="V739" s="122"/>
      <c r="W739" s="122"/>
      <c r="X739" s="122"/>
      <c r="Y739" s="122">
        <v>50</v>
      </c>
      <c r="Z739" s="122">
        <v>78</v>
      </c>
      <c r="AA739" s="122"/>
      <c r="AB739" s="122">
        <v>5</v>
      </c>
      <c r="AC739" s="122"/>
      <c r="AD739" s="122"/>
      <c r="AE739" s="122"/>
      <c r="AF739" s="122"/>
      <c r="AG739" s="122">
        <v>3.45</v>
      </c>
      <c r="AH739" s="122"/>
      <c r="AI739" s="122">
        <v>21</v>
      </c>
      <c r="AJ739" s="122"/>
      <c r="AK739" s="122"/>
      <c r="AL739" s="122"/>
      <c r="AM739" s="639">
        <f t="shared" si="14"/>
        <v>340.447</v>
      </c>
      <c r="AO739" s="289"/>
    </row>
    <row r="740" spans="1:42" s="61" customFormat="1" ht="19.5" customHeight="1" x14ac:dyDescent="0.3">
      <c r="A740" s="706"/>
      <c r="B740" s="116" t="s">
        <v>294</v>
      </c>
      <c r="C740" s="138">
        <v>20</v>
      </c>
      <c r="D740" s="109"/>
      <c r="E740" s="109"/>
      <c r="F740" s="263"/>
      <c r="G740" s="109">
        <v>110</v>
      </c>
      <c r="H740" s="109"/>
      <c r="I740" s="123"/>
      <c r="J740" s="109"/>
      <c r="K740" s="109"/>
      <c r="L740" s="263"/>
      <c r="M740" s="109"/>
      <c r="N740" s="123"/>
      <c r="O740" s="109"/>
      <c r="P740" s="109"/>
      <c r="Q740" s="109"/>
      <c r="R740" s="109"/>
      <c r="S740" s="109"/>
      <c r="T740" s="139">
        <v>10</v>
      </c>
      <c r="U740" s="138">
        <v>34.853000000000002</v>
      </c>
      <c r="V740" s="109"/>
      <c r="W740" s="109"/>
      <c r="X740" s="109">
        <v>8</v>
      </c>
      <c r="Y740" s="109">
        <v>50</v>
      </c>
      <c r="Z740" s="109">
        <v>139</v>
      </c>
      <c r="AA740" s="109"/>
      <c r="AB740" s="109">
        <v>5</v>
      </c>
      <c r="AC740" s="109">
        <v>10</v>
      </c>
      <c r="AD740" s="109"/>
      <c r="AE740" s="109"/>
      <c r="AF740" s="109"/>
      <c r="AG740" s="109">
        <v>1.75</v>
      </c>
      <c r="AH740" s="109">
        <v>6</v>
      </c>
      <c r="AI740" s="109">
        <v>21</v>
      </c>
      <c r="AJ740" s="109"/>
      <c r="AK740" s="109"/>
      <c r="AL740" s="109"/>
      <c r="AM740" s="640">
        <f t="shared" si="14"/>
        <v>415.60300000000001</v>
      </c>
      <c r="AO740" s="289"/>
    </row>
    <row r="741" spans="1:42" s="61" customFormat="1" ht="22.5" customHeight="1" x14ac:dyDescent="0.3">
      <c r="A741" s="706"/>
      <c r="B741" s="117" t="s">
        <v>326</v>
      </c>
      <c r="C741" s="140">
        <v>15</v>
      </c>
      <c r="D741" s="110"/>
      <c r="E741" s="110"/>
      <c r="F741" s="264"/>
      <c r="G741" s="110">
        <v>100</v>
      </c>
      <c r="H741" s="110"/>
      <c r="I741" s="124"/>
      <c r="J741" s="110"/>
      <c r="K741" s="110"/>
      <c r="L741" s="264"/>
      <c r="M741" s="110"/>
      <c r="N741" s="124"/>
      <c r="O741" s="110"/>
      <c r="P741" s="110"/>
      <c r="Q741" s="110"/>
      <c r="R741" s="110"/>
      <c r="S741" s="110">
        <v>95</v>
      </c>
      <c r="T741" s="141"/>
      <c r="U741" s="140">
        <v>234.33500000000001</v>
      </c>
      <c r="V741" s="110"/>
      <c r="W741" s="110"/>
      <c r="X741" s="110">
        <v>10</v>
      </c>
      <c r="Y741" s="110">
        <v>50</v>
      </c>
      <c r="Z741" s="110">
        <v>47</v>
      </c>
      <c r="AA741" s="110"/>
      <c r="AB741" s="110">
        <v>5</v>
      </c>
      <c r="AC741" s="110">
        <v>10</v>
      </c>
      <c r="AD741" s="110"/>
      <c r="AE741" s="110"/>
      <c r="AF741" s="110"/>
      <c r="AG741" s="110"/>
      <c r="AH741" s="110"/>
      <c r="AI741" s="110">
        <v>18</v>
      </c>
      <c r="AJ741" s="110"/>
      <c r="AK741" s="110"/>
      <c r="AL741" s="110"/>
      <c r="AM741" s="641">
        <f t="shared" si="14"/>
        <v>584.33500000000004</v>
      </c>
      <c r="AO741" s="289"/>
      <c r="AP741" s="97"/>
    </row>
    <row r="742" spans="1:42" s="61" customFormat="1" ht="25.5" customHeight="1" x14ac:dyDescent="0.3">
      <c r="A742" s="706"/>
      <c r="B742" s="175" t="s">
        <v>327</v>
      </c>
      <c r="C742" s="176">
        <v>126.91800000000001</v>
      </c>
      <c r="D742" s="127"/>
      <c r="E742" s="127"/>
      <c r="F742" s="265"/>
      <c r="G742" s="127">
        <v>100</v>
      </c>
      <c r="H742" s="127"/>
      <c r="I742" s="178"/>
      <c r="J742" s="127"/>
      <c r="K742" s="127"/>
      <c r="L742" s="265"/>
      <c r="M742" s="127"/>
      <c r="N742" s="178"/>
      <c r="O742" s="127"/>
      <c r="P742" s="127"/>
      <c r="Q742" s="127"/>
      <c r="R742" s="127"/>
      <c r="S742" s="127">
        <v>5500</v>
      </c>
      <c r="T742" s="177"/>
      <c r="U742" s="176">
        <v>113.36799999999999</v>
      </c>
      <c r="V742" s="127"/>
      <c r="W742" s="127"/>
      <c r="X742" s="127">
        <v>10</v>
      </c>
      <c r="Y742" s="127">
        <v>50</v>
      </c>
      <c r="Z742" s="127">
        <v>98</v>
      </c>
      <c r="AA742" s="127"/>
      <c r="AB742" s="127">
        <v>10</v>
      </c>
      <c r="AC742" s="127">
        <v>10</v>
      </c>
      <c r="AD742" s="127"/>
      <c r="AE742" s="127"/>
      <c r="AF742" s="127"/>
      <c r="AG742" s="127"/>
      <c r="AH742" s="127">
        <v>50</v>
      </c>
      <c r="AI742" s="127" t="s">
        <v>482</v>
      </c>
      <c r="AJ742" s="127"/>
      <c r="AK742" s="127"/>
      <c r="AL742" s="127"/>
      <c r="AM742" s="642">
        <f t="shared" si="14"/>
        <v>6068.2860000000001</v>
      </c>
      <c r="AO742" s="289"/>
    </row>
    <row r="743" spans="1:42" s="61" customFormat="1" ht="25.5" customHeight="1" x14ac:dyDescent="0.3">
      <c r="A743" s="706"/>
      <c r="B743" s="180" t="s">
        <v>361</v>
      </c>
      <c r="C743" s="300">
        <v>74</v>
      </c>
      <c r="D743" s="173"/>
      <c r="E743" s="173"/>
      <c r="F743" s="266"/>
      <c r="G743" s="173">
        <v>110</v>
      </c>
      <c r="H743" s="173"/>
      <c r="I743" s="174"/>
      <c r="J743" s="173"/>
      <c r="K743" s="173"/>
      <c r="L743" s="266"/>
      <c r="M743" s="173"/>
      <c r="N743" s="174"/>
      <c r="O743" s="173"/>
      <c r="P743" s="173"/>
      <c r="Q743" s="173"/>
      <c r="R743" s="173"/>
      <c r="S743" s="173">
        <v>20</v>
      </c>
      <c r="T743" s="327"/>
      <c r="U743" s="300">
        <v>150</v>
      </c>
      <c r="V743" s="173"/>
      <c r="W743" s="173"/>
      <c r="X743" s="173">
        <v>10</v>
      </c>
      <c r="Y743" s="173">
        <v>100</v>
      </c>
      <c r="Z743" s="173">
        <v>76.54974</v>
      </c>
      <c r="AA743" s="173"/>
      <c r="AB743" s="173">
        <v>7</v>
      </c>
      <c r="AC743" s="173">
        <v>12</v>
      </c>
      <c r="AD743" s="173"/>
      <c r="AE743" s="173"/>
      <c r="AF743" s="173"/>
      <c r="AG743" s="173"/>
      <c r="AH743" s="173"/>
      <c r="AI743" s="173" t="s">
        <v>482</v>
      </c>
      <c r="AJ743" s="173"/>
      <c r="AK743" s="173"/>
      <c r="AL743" s="173"/>
      <c r="AM743" s="643">
        <f t="shared" si="14"/>
        <v>559.54974000000004</v>
      </c>
      <c r="AO743" s="289"/>
      <c r="AP743" s="97"/>
    </row>
    <row r="744" spans="1:42" s="61" customFormat="1" ht="25.5" customHeight="1" x14ac:dyDescent="0.3">
      <c r="A744" s="706"/>
      <c r="B744" s="180" t="s">
        <v>362</v>
      </c>
      <c r="C744" s="300">
        <v>193</v>
      </c>
      <c r="D744" s="173"/>
      <c r="E744" s="173"/>
      <c r="F744" s="266"/>
      <c r="G744" s="173">
        <f>140+3</f>
        <v>143</v>
      </c>
      <c r="H744" s="173"/>
      <c r="I744" s="174"/>
      <c r="J744" s="173"/>
      <c r="K744" s="173"/>
      <c r="L744" s="266"/>
      <c r="M744" s="173"/>
      <c r="N744" s="174">
        <v>12.117000000000001</v>
      </c>
      <c r="O744" s="173"/>
      <c r="P744" s="173"/>
      <c r="Q744" s="173"/>
      <c r="R744" s="173"/>
      <c r="S744" s="173">
        <v>43</v>
      </c>
      <c r="T744" s="327"/>
      <c r="U744" s="300">
        <v>42.176000000000002</v>
      </c>
      <c r="V744" s="173"/>
      <c r="W744" s="173"/>
      <c r="X744" s="173">
        <v>10</v>
      </c>
      <c r="Y744" s="173"/>
      <c r="Z744" s="173">
        <v>60</v>
      </c>
      <c r="AA744" s="173"/>
      <c r="AB744" s="173">
        <v>5</v>
      </c>
      <c r="AC744" s="173">
        <v>12</v>
      </c>
      <c r="AD744" s="173"/>
      <c r="AE744" s="173"/>
      <c r="AF744" s="173"/>
      <c r="AG744" s="173"/>
      <c r="AH744" s="173">
        <v>30</v>
      </c>
      <c r="AI744" s="173">
        <v>16</v>
      </c>
      <c r="AJ744" s="173"/>
      <c r="AK744" s="173"/>
      <c r="AL744" s="173"/>
      <c r="AM744" s="644">
        <f t="shared" si="14"/>
        <v>566.29300000000001</v>
      </c>
      <c r="AO744" s="289"/>
      <c r="AP744" s="97"/>
    </row>
    <row r="745" spans="1:42" s="61" customFormat="1" ht="22.5" customHeight="1" x14ac:dyDescent="0.3">
      <c r="A745" s="706"/>
      <c r="B745" s="115" t="s">
        <v>402</v>
      </c>
      <c r="C745" s="142">
        <v>81.694299999999998</v>
      </c>
      <c r="D745" s="111"/>
      <c r="E745" s="111"/>
      <c r="F745" s="267"/>
      <c r="G745" s="111"/>
      <c r="H745" s="111"/>
      <c r="I745" s="125"/>
      <c r="J745" s="111"/>
      <c r="K745" s="111"/>
      <c r="L745" s="267">
        <v>0</v>
      </c>
      <c r="M745" s="111"/>
      <c r="N745" s="125"/>
      <c r="O745" s="111"/>
      <c r="P745" s="111"/>
      <c r="Q745" s="111"/>
      <c r="R745" s="111"/>
      <c r="S745" s="111">
        <v>4092.8992469999998</v>
      </c>
      <c r="T745" s="143"/>
      <c r="U745" s="142">
        <v>43.31</v>
      </c>
      <c r="V745" s="111"/>
      <c r="W745" s="111"/>
      <c r="X745" s="111">
        <v>10</v>
      </c>
      <c r="Y745" s="111">
        <v>50</v>
      </c>
      <c r="Z745" s="111"/>
      <c r="AA745" s="111"/>
      <c r="AB745" s="111">
        <v>10</v>
      </c>
      <c r="AC745" s="111">
        <v>25</v>
      </c>
      <c r="AD745" s="111"/>
      <c r="AE745" s="111"/>
      <c r="AF745" s="111"/>
      <c r="AG745" s="111"/>
      <c r="AH745" s="111">
        <v>30</v>
      </c>
      <c r="AI745" s="111">
        <v>22</v>
      </c>
      <c r="AJ745" s="111"/>
      <c r="AK745" s="111"/>
      <c r="AL745" s="111"/>
      <c r="AM745" s="645">
        <f t="shared" si="14"/>
        <v>4364.9035469999999</v>
      </c>
      <c r="AO745" s="289"/>
    </row>
    <row r="746" spans="1:42" s="61" customFormat="1" ht="21" customHeight="1" x14ac:dyDescent="0.3">
      <c r="A746" s="707"/>
      <c r="B746" s="181" t="s">
        <v>403</v>
      </c>
      <c r="C746" s="144">
        <v>103.70578</v>
      </c>
      <c r="D746" s="112"/>
      <c r="E746" s="112"/>
      <c r="F746" s="268"/>
      <c r="G746" s="112"/>
      <c r="H746" s="112"/>
      <c r="I746" s="126"/>
      <c r="J746" s="112"/>
      <c r="K746" s="112"/>
      <c r="L746" s="268"/>
      <c r="M746" s="112"/>
      <c r="N746" s="126"/>
      <c r="O746" s="112"/>
      <c r="P746" s="112"/>
      <c r="Q746" s="112"/>
      <c r="R746" s="112"/>
      <c r="S746" s="112">
        <v>151.32340200000002</v>
      </c>
      <c r="T746" s="145"/>
      <c r="U746" s="144">
        <v>147.79499999999999</v>
      </c>
      <c r="V746" s="112"/>
      <c r="W746" s="112"/>
      <c r="X746" s="112">
        <v>10</v>
      </c>
      <c r="Y746" s="112">
        <v>50</v>
      </c>
      <c r="Z746" s="112">
        <v>65</v>
      </c>
      <c r="AA746" s="112"/>
      <c r="AB746" s="112">
        <v>5</v>
      </c>
      <c r="AC746" s="112">
        <v>35</v>
      </c>
      <c r="AD746" s="112"/>
      <c r="AE746" s="112"/>
      <c r="AF746" s="112"/>
      <c r="AG746" s="112"/>
      <c r="AH746" s="112">
        <v>30</v>
      </c>
      <c r="AI746" s="112">
        <v>23</v>
      </c>
      <c r="AJ746" s="112"/>
      <c r="AK746" s="112">
        <f>1.5825/1.001</f>
        <v>1.5809190809190812</v>
      </c>
      <c r="AL746" s="112"/>
      <c r="AM746" s="646">
        <f t="shared" si="14"/>
        <v>622.40510108091917</v>
      </c>
      <c r="AO746" s="289"/>
    </row>
    <row r="747" spans="1:42" s="61" customFormat="1" ht="21" customHeight="1" x14ac:dyDescent="0.3">
      <c r="A747" s="705" t="s">
        <v>184</v>
      </c>
      <c r="B747" s="179" t="s">
        <v>293</v>
      </c>
      <c r="C747" s="135">
        <v>33721.040000000001</v>
      </c>
      <c r="D747" s="136"/>
      <c r="E747" s="136"/>
      <c r="F747" s="262">
        <v>24343.228999999999</v>
      </c>
      <c r="G747" s="136">
        <v>96</v>
      </c>
      <c r="H747" s="136">
        <v>281</v>
      </c>
      <c r="I747" s="326">
        <v>8801</v>
      </c>
      <c r="J747" s="136">
        <v>30</v>
      </c>
      <c r="K747" s="136">
        <f>4701+4134</f>
        <v>8835</v>
      </c>
      <c r="L747" s="262">
        <v>6576.1319999999996</v>
      </c>
      <c r="M747" s="136"/>
      <c r="N747" s="326">
        <v>4465.0829999999996</v>
      </c>
      <c r="O747" s="136">
        <v>1137.0999999999999</v>
      </c>
      <c r="P747" s="136">
        <v>272</v>
      </c>
      <c r="Q747" s="136"/>
      <c r="R747" s="136">
        <f>(260+520)/2</f>
        <v>390</v>
      </c>
      <c r="S747" s="136">
        <v>16879.293000000001</v>
      </c>
      <c r="T747" s="137">
        <v>2074.6</v>
      </c>
      <c r="U747" s="632">
        <v>27807.967000000001</v>
      </c>
      <c r="V747" s="122">
        <f>86987/1000</f>
        <v>86.986999999999995</v>
      </c>
      <c r="W747" s="122"/>
      <c r="X747" s="122">
        <v>1072</v>
      </c>
      <c r="Y747" s="122">
        <v>13896</v>
      </c>
      <c r="Z747" s="122">
        <v>69108</v>
      </c>
      <c r="AA747" s="122">
        <v>12471.94613</v>
      </c>
      <c r="AB747" s="122"/>
      <c r="AC747" s="122">
        <v>12401.163999999999</v>
      </c>
      <c r="AD747" s="122">
        <v>10841</v>
      </c>
      <c r="AE747" s="122"/>
      <c r="AF747" s="122">
        <v>2.1386430062630484</v>
      </c>
      <c r="AG747" s="122">
        <v>3.24</v>
      </c>
      <c r="AH747" s="122">
        <v>30782.54</v>
      </c>
      <c r="AI747" s="122">
        <v>10581</v>
      </c>
      <c r="AJ747" s="122">
        <v>91</v>
      </c>
      <c r="AK747" s="122"/>
      <c r="AL747" s="122">
        <v>985.234899328859</v>
      </c>
      <c r="AM747" s="639">
        <f t="shared" si="14"/>
        <v>298031.69467233511</v>
      </c>
      <c r="AO747" s="289"/>
    </row>
    <row r="748" spans="1:42" s="61" customFormat="1" ht="19.5" customHeight="1" x14ac:dyDescent="0.3">
      <c r="A748" s="706"/>
      <c r="B748" s="116" t="s">
        <v>294</v>
      </c>
      <c r="C748" s="138">
        <v>34839.07</v>
      </c>
      <c r="D748" s="109"/>
      <c r="E748" s="109"/>
      <c r="F748" s="263">
        <v>16927.891</v>
      </c>
      <c r="G748" s="109">
        <v>2308</v>
      </c>
      <c r="H748" s="109">
        <v>190</v>
      </c>
      <c r="I748" s="123">
        <v>13493</v>
      </c>
      <c r="J748" s="109"/>
      <c r="K748" s="109">
        <f>1747+6751+760+5242</f>
        <v>14500</v>
      </c>
      <c r="L748" s="263">
        <v>15018.27</v>
      </c>
      <c r="M748" s="109"/>
      <c r="N748" s="123">
        <v>9136.0290000000005</v>
      </c>
      <c r="O748" s="109">
        <v>523.6</v>
      </c>
      <c r="P748" s="109">
        <v>298</v>
      </c>
      <c r="Q748" s="109">
        <v>515</v>
      </c>
      <c r="R748" s="109">
        <f>(260+520)/2</f>
        <v>390</v>
      </c>
      <c r="S748" s="109">
        <v>16268.98</v>
      </c>
      <c r="T748" s="139">
        <v>2807.24</v>
      </c>
      <c r="U748" s="138">
        <v>37194.481</v>
      </c>
      <c r="V748" s="109">
        <f>1229626/1000-V747</f>
        <v>1142.6389999999999</v>
      </c>
      <c r="W748" s="109">
        <v>348</v>
      </c>
      <c r="X748" s="109">
        <v>1208</v>
      </c>
      <c r="Y748" s="109">
        <v>21501</v>
      </c>
      <c r="Z748" s="109">
        <v>83169</v>
      </c>
      <c r="AA748" s="109">
        <v>8958.9348499999996</v>
      </c>
      <c r="AB748" s="109"/>
      <c r="AC748" s="109">
        <v>17025.308000000001</v>
      </c>
      <c r="AD748" s="109">
        <v>10161</v>
      </c>
      <c r="AE748" s="109"/>
      <c r="AF748" s="109">
        <v>376.5258551810237</v>
      </c>
      <c r="AG748" s="109">
        <v>23.5</v>
      </c>
      <c r="AH748" s="109">
        <v>41672.68</v>
      </c>
      <c r="AI748" s="109">
        <v>15275</v>
      </c>
      <c r="AJ748" s="109">
        <v>139</v>
      </c>
      <c r="AK748" s="109">
        <v>1301.97</v>
      </c>
      <c r="AL748" s="109">
        <v>1191.5384615384614</v>
      </c>
      <c r="AM748" s="640">
        <f t="shared" si="14"/>
        <v>367903.65716671944</v>
      </c>
      <c r="AO748" s="289"/>
    </row>
    <row r="749" spans="1:42" s="61" customFormat="1" ht="22.5" customHeight="1" x14ac:dyDescent="0.3">
      <c r="A749" s="706"/>
      <c r="B749" s="117" t="s">
        <v>326</v>
      </c>
      <c r="C749" s="140">
        <v>36957.747000000003</v>
      </c>
      <c r="D749" s="110"/>
      <c r="E749" s="110"/>
      <c r="F749" s="264">
        <v>22152</v>
      </c>
      <c r="G749" s="110">
        <v>4075</v>
      </c>
      <c r="H749" s="110">
        <v>424</v>
      </c>
      <c r="I749" s="124">
        <v>15264</v>
      </c>
      <c r="J749" s="110"/>
      <c r="K749" s="110">
        <f>3012+38+602+4602+6773</f>
        <v>15027</v>
      </c>
      <c r="L749" s="264">
        <v>6565</v>
      </c>
      <c r="M749" s="110"/>
      <c r="N749" s="124">
        <v>15760.8</v>
      </c>
      <c r="O749" s="110">
        <v>200</v>
      </c>
      <c r="P749" s="110"/>
      <c r="Q749" s="110">
        <v>-5</v>
      </c>
      <c r="R749" s="110">
        <f>+(200+394)/2</f>
        <v>297</v>
      </c>
      <c r="S749" s="110">
        <v>63220</v>
      </c>
      <c r="T749" s="141"/>
      <c r="U749" s="140">
        <v>42358.02</v>
      </c>
      <c r="V749" s="110">
        <f>340000/1000</f>
        <v>340</v>
      </c>
      <c r="W749" s="110"/>
      <c r="X749" s="110">
        <v>1009</v>
      </c>
      <c r="Y749" s="110">
        <v>12175</v>
      </c>
      <c r="Z749" s="110">
        <v>85336</v>
      </c>
      <c r="AA749" s="110">
        <f>-1695.08877+29960.99383</f>
        <v>28265.905060000001</v>
      </c>
      <c r="AB749" s="110"/>
      <c r="AC749" s="110">
        <v>18096.864000000001</v>
      </c>
      <c r="AD749" s="110">
        <v>10813</v>
      </c>
      <c r="AE749" s="110"/>
      <c r="AF749" s="110">
        <v>679.17759837177744</v>
      </c>
      <c r="AG749" s="110"/>
      <c r="AH749" s="110">
        <v>50174.709710000003</v>
      </c>
      <c r="AI749" s="110">
        <v>13479</v>
      </c>
      <c r="AJ749" s="110">
        <v>121</v>
      </c>
      <c r="AK749" s="110">
        <v>327</v>
      </c>
      <c r="AL749" s="110">
        <v>0</v>
      </c>
      <c r="AM749" s="641">
        <f t="shared" si="14"/>
        <v>443112.22336837184</v>
      </c>
      <c r="AO749" s="289"/>
      <c r="AP749" s="97"/>
    </row>
    <row r="750" spans="1:42" s="61" customFormat="1" ht="25.5" customHeight="1" x14ac:dyDescent="0.3">
      <c r="A750" s="706"/>
      <c r="B750" s="175" t="s">
        <v>327</v>
      </c>
      <c r="C750" s="176">
        <v>38926.769999999997</v>
      </c>
      <c r="D750" s="127"/>
      <c r="E750" s="127"/>
      <c r="F750" s="265">
        <v>44589</v>
      </c>
      <c r="G750" s="127">
        <v>3755</v>
      </c>
      <c r="H750" s="127">
        <v>392</v>
      </c>
      <c r="I750" s="178">
        <v>15897</v>
      </c>
      <c r="J750" s="127"/>
      <c r="K750" s="127">
        <f>3045+7809+306+8008</f>
        <v>19168</v>
      </c>
      <c r="L750" s="265">
        <v>9547</v>
      </c>
      <c r="M750" s="127"/>
      <c r="N750" s="178">
        <v>9279.4259999999995</v>
      </c>
      <c r="O750" s="127">
        <v>1814</v>
      </c>
      <c r="P750" s="127">
        <v>176</v>
      </c>
      <c r="Q750" s="127">
        <v>561</v>
      </c>
      <c r="R750" s="127">
        <f>+(200+394)/2</f>
        <v>297</v>
      </c>
      <c r="S750" s="127">
        <v>55832</v>
      </c>
      <c r="T750" s="177"/>
      <c r="U750" s="176">
        <v>35090.012999999999</v>
      </c>
      <c r="V750" s="127">
        <f>216938/1000</f>
        <v>216.93799999999999</v>
      </c>
      <c r="W750" s="127"/>
      <c r="X750" s="127">
        <v>19485</v>
      </c>
      <c r="Y750" s="127">
        <v>15864</v>
      </c>
      <c r="Z750" s="127">
        <v>94077</v>
      </c>
      <c r="AA750" s="127">
        <f>-2039.87489+19436.32048</f>
        <v>17396.445589999999</v>
      </c>
      <c r="AB750" s="127"/>
      <c r="AC750" s="127">
        <v>13073.355</v>
      </c>
      <c r="AD750" s="127">
        <v>3826</v>
      </c>
      <c r="AE750" s="127"/>
      <c r="AF750" s="127">
        <v>863.24566863905329</v>
      </c>
      <c r="AG750" s="127"/>
      <c r="AH750" s="127">
        <v>48525.1</v>
      </c>
      <c r="AI750" s="127">
        <v>34987</v>
      </c>
      <c r="AJ750" s="127">
        <v>79</v>
      </c>
      <c r="AK750" s="127">
        <v>1208</v>
      </c>
      <c r="AL750" s="127">
        <v>1190.8396946564885</v>
      </c>
      <c r="AM750" s="642">
        <f t="shared" si="14"/>
        <v>486116.13295329554</v>
      </c>
      <c r="AO750" s="289"/>
    </row>
    <row r="751" spans="1:42" s="61" customFormat="1" ht="25.5" customHeight="1" x14ac:dyDescent="0.3">
      <c r="A751" s="706"/>
      <c r="B751" s="180" t="s">
        <v>361</v>
      </c>
      <c r="C751" s="300">
        <v>19983.84907</v>
      </c>
      <c r="D751" s="173"/>
      <c r="E751" s="173">
        <v>83</v>
      </c>
      <c r="F751" s="266">
        <v>4174</v>
      </c>
      <c r="G751" s="173">
        <f>3653+1123</f>
        <v>4776</v>
      </c>
      <c r="H751" s="173">
        <v>189</v>
      </c>
      <c r="I751" s="174">
        <v>14509</v>
      </c>
      <c r="J751" s="173"/>
      <c r="K751" s="173">
        <v>8156</v>
      </c>
      <c r="L751" s="266">
        <v>6608</v>
      </c>
      <c r="M751" s="173"/>
      <c r="N751" s="174">
        <v>10579.955</v>
      </c>
      <c r="O751" s="173">
        <v>757</v>
      </c>
      <c r="P751" s="173">
        <v>305</v>
      </c>
      <c r="Q751" s="173">
        <v>-11</v>
      </c>
      <c r="R751" s="173">
        <v>237</v>
      </c>
      <c r="S751" s="173">
        <v>26750</v>
      </c>
      <c r="T751" s="327">
        <v>1720.7</v>
      </c>
      <c r="U751" s="300">
        <v>32091.131000000001</v>
      </c>
      <c r="V751" s="173">
        <f>620000/1000</f>
        <v>620</v>
      </c>
      <c r="W751" s="173">
        <v>1042</v>
      </c>
      <c r="X751" s="173">
        <v>1237</v>
      </c>
      <c r="Y751" s="173">
        <v>10473</v>
      </c>
      <c r="Z751" s="173">
        <v>72169.262560000003</v>
      </c>
      <c r="AA751" s="173">
        <f>344.62324+10073</f>
        <v>10417.623240000001</v>
      </c>
      <c r="AB751" s="173"/>
      <c r="AC751" s="173">
        <f>4803+5746</f>
        <v>10549</v>
      </c>
      <c r="AD751" s="173">
        <v>3036</v>
      </c>
      <c r="AE751" s="173"/>
      <c r="AF751" s="173">
        <v>855</v>
      </c>
      <c r="AG751" s="173">
        <v>86</v>
      </c>
      <c r="AH751" s="173">
        <v>10985</v>
      </c>
      <c r="AI751" s="173">
        <v>7165.76</v>
      </c>
      <c r="AJ751" s="173"/>
      <c r="AK751" s="173">
        <v>969</v>
      </c>
      <c r="AL751" s="173">
        <v>0</v>
      </c>
      <c r="AM751" s="643">
        <f t="shared" si="14"/>
        <v>260513.28087000002</v>
      </c>
      <c r="AO751" s="289"/>
      <c r="AP751" s="97"/>
    </row>
    <row r="752" spans="1:42" s="61" customFormat="1" ht="25.5" customHeight="1" x14ac:dyDescent="0.3">
      <c r="A752" s="706"/>
      <c r="B752" s="180" t="s">
        <v>362</v>
      </c>
      <c r="C752" s="300">
        <v>55881.896139999997</v>
      </c>
      <c r="D752" s="173"/>
      <c r="E752" s="173"/>
      <c r="F752" s="266">
        <v>63339</v>
      </c>
      <c r="G752" s="173">
        <f>3770+913</f>
        <v>4683</v>
      </c>
      <c r="H752" s="173">
        <v>190</v>
      </c>
      <c r="I752" s="174">
        <v>15894</v>
      </c>
      <c r="J752" s="173"/>
      <c r="K752" s="173">
        <v>5292</v>
      </c>
      <c r="L752" s="266">
        <v>23236</v>
      </c>
      <c r="M752" s="173">
        <v>30.36</v>
      </c>
      <c r="N752" s="174">
        <v>18711.422999999999</v>
      </c>
      <c r="O752" s="173">
        <v>562</v>
      </c>
      <c r="P752" s="173">
        <v>232</v>
      </c>
      <c r="Q752" s="173">
        <v>323</v>
      </c>
      <c r="R752" s="173"/>
      <c r="S752" s="173">
        <v>53861</v>
      </c>
      <c r="T752" s="327">
        <v>2780.6</v>
      </c>
      <c r="U752" s="300">
        <v>56581.434000000001</v>
      </c>
      <c r="V752" s="173"/>
      <c r="W752" s="173">
        <v>1405</v>
      </c>
      <c r="X752" s="173">
        <v>6142</v>
      </c>
      <c r="Y752" s="173">
        <v>19075</v>
      </c>
      <c r="Z752" s="173">
        <v>86689.461439999999</v>
      </c>
      <c r="AA752" s="173">
        <f>10436.154+8465</f>
        <v>18901.154000000002</v>
      </c>
      <c r="AB752" s="173"/>
      <c r="AC752" s="173">
        <f>8957-4803+13268</f>
        <v>17422</v>
      </c>
      <c r="AD752" s="173">
        <v>11381</v>
      </c>
      <c r="AE752" s="173"/>
      <c r="AF752" s="173">
        <v>729</v>
      </c>
      <c r="AG752" s="173">
        <v>90</v>
      </c>
      <c r="AH752" s="173">
        <v>28391</v>
      </c>
      <c r="AI752" s="173">
        <v>55135.24</v>
      </c>
      <c r="AJ752" s="173">
        <v>886</v>
      </c>
      <c r="AK752" s="173"/>
      <c r="AL752" s="173">
        <v>836.19642857142856</v>
      </c>
      <c r="AM752" s="644">
        <f t="shared" si="14"/>
        <v>548680.76500857144</v>
      </c>
      <c r="AO752" s="289"/>
      <c r="AP752" s="97"/>
    </row>
    <row r="753" spans="1:42" s="61" customFormat="1" ht="22.5" customHeight="1" x14ac:dyDescent="0.3">
      <c r="A753" s="706"/>
      <c r="B753" s="115" t="s">
        <v>402</v>
      </c>
      <c r="C753" s="142">
        <v>25246.057000000001</v>
      </c>
      <c r="D753" s="111"/>
      <c r="E753" s="111"/>
      <c r="F753" s="267">
        <v>37799.5</v>
      </c>
      <c r="G753" s="111">
        <v>-1</v>
      </c>
      <c r="H753" s="111">
        <v>230</v>
      </c>
      <c r="I753" s="125"/>
      <c r="J753" s="111"/>
      <c r="K753" s="111">
        <v>22638</v>
      </c>
      <c r="L753" s="267">
        <v>1148</v>
      </c>
      <c r="M753" s="111"/>
      <c r="N753" s="125"/>
      <c r="O753" s="111">
        <v>104</v>
      </c>
      <c r="P753" s="111"/>
      <c r="Q753" s="111">
        <v>248</v>
      </c>
      <c r="R753" s="111">
        <v>90</v>
      </c>
      <c r="S753" s="111">
        <v>66346.127912999989</v>
      </c>
      <c r="T753" s="143">
        <v>2512</v>
      </c>
      <c r="U753" s="142">
        <v>37051.879000000001</v>
      </c>
      <c r="V753" s="111">
        <f>100000/1000</f>
        <v>100</v>
      </c>
      <c r="W753" s="111">
        <v>1040</v>
      </c>
      <c r="X753" s="111">
        <v>2248</v>
      </c>
      <c r="Y753" s="111">
        <v>44117.000999999997</v>
      </c>
      <c r="Z753" s="111">
        <v>56434</v>
      </c>
      <c r="AA753" s="111">
        <v>18417</v>
      </c>
      <c r="AB753" s="111">
        <v>929.9</v>
      </c>
      <c r="AC753" s="111">
        <v>14978</v>
      </c>
      <c r="AD753" s="111">
        <v>16984</v>
      </c>
      <c r="AE753" s="111"/>
      <c r="AF753" s="111">
        <v>48.039284692417745</v>
      </c>
      <c r="AG753" s="111"/>
      <c r="AH753" s="111">
        <v>101655.856</v>
      </c>
      <c r="AI753" s="111">
        <v>18579</v>
      </c>
      <c r="AJ753" s="111">
        <v>390</v>
      </c>
      <c r="AK753" s="111">
        <f>307.8/1.097</f>
        <v>280.58340929808571</v>
      </c>
      <c r="AL753" s="111">
        <v>0</v>
      </c>
      <c r="AM753" s="645">
        <f t="shared" si="14"/>
        <v>469613.94360699051</v>
      </c>
      <c r="AO753" s="289"/>
    </row>
    <row r="754" spans="1:42" s="61" customFormat="1" ht="21" customHeight="1" x14ac:dyDescent="0.3">
      <c r="A754" s="707"/>
      <c r="B754" s="181" t="s">
        <v>403</v>
      </c>
      <c r="C754" s="144">
        <v>14106.64849</v>
      </c>
      <c r="D754" s="112"/>
      <c r="E754" s="112"/>
      <c r="F754" s="268">
        <v>24270.9</v>
      </c>
      <c r="G754" s="112">
        <v>432</v>
      </c>
      <c r="H754" s="112">
        <v>260</v>
      </c>
      <c r="I754" s="126"/>
      <c r="J754" s="112"/>
      <c r="K754" s="112">
        <v>9839</v>
      </c>
      <c r="L754" s="268">
        <v>1627.9</v>
      </c>
      <c r="M754" s="112">
        <v>193.88909999999998</v>
      </c>
      <c r="N754" s="126"/>
      <c r="O754" s="112">
        <v>46</v>
      </c>
      <c r="P754" s="112"/>
      <c r="Q754" s="112">
        <v>685</v>
      </c>
      <c r="R754" s="112">
        <v>0</v>
      </c>
      <c r="S754" s="112">
        <v>24109.084474000003</v>
      </c>
      <c r="T754" s="145">
        <v>2030.43</v>
      </c>
      <c r="U754" s="144">
        <v>38063.553999999996</v>
      </c>
      <c r="V754" s="112">
        <f>(100000+216239)/1000-V753</f>
        <v>216.23899999999998</v>
      </c>
      <c r="W754" s="112">
        <f>1085-1040</f>
        <v>45</v>
      </c>
      <c r="X754" s="112">
        <v>2652</v>
      </c>
      <c r="Y754" s="112">
        <v>15449.784</v>
      </c>
      <c r="Z754" s="112">
        <v>46790</v>
      </c>
      <c r="AA754" s="112">
        <v>13335</v>
      </c>
      <c r="AB754" s="112"/>
      <c r="AC754" s="112">
        <v>2616</v>
      </c>
      <c r="AD754" s="112">
        <v>9975</v>
      </c>
      <c r="AE754" s="112"/>
      <c r="AF754" s="112">
        <v>10.865007215007216</v>
      </c>
      <c r="AG754" s="112"/>
      <c r="AH754" s="112">
        <v>29978.597000000002</v>
      </c>
      <c r="AI754" s="112">
        <v>18579</v>
      </c>
      <c r="AJ754" s="112"/>
      <c r="AK754" s="112">
        <f>511.253/1.001</f>
        <v>510.74225774225778</v>
      </c>
      <c r="AL754" s="112">
        <v>0</v>
      </c>
      <c r="AM754" s="646">
        <f t="shared" si="14"/>
        <v>255822.63332895731</v>
      </c>
      <c r="AO754" s="289"/>
    </row>
    <row r="755" spans="1:42" s="61" customFormat="1" ht="21" customHeight="1" x14ac:dyDescent="0.3">
      <c r="A755" s="705" t="s">
        <v>185</v>
      </c>
      <c r="B755" s="179" t="s">
        <v>293</v>
      </c>
      <c r="C755" s="135"/>
      <c r="D755" s="136"/>
      <c r="E755" s="136"/>
      <c r="F755" s="262"/>
      <c r="G755" s="136"/>
      <c r="H755" s="136"/>
      <c r="I755" s="326"/>
      <c r="J755" s="136"/>
      <c r="K755" s="136"/>
      <c r="L755" s="262"/>
      <c r="M755" s="136"/>
      <c r="N755" s="326"/>
      <c r="O755" s="136"/>
      <c r="P755" s="136"/>
      <c r="Q755" s="136">
        <v>107</v>
      </c>
      <c r="R755" s="136"/>
      <c r="S755" s="136"/>
      <c r="T755" s="137">
        <v>4.3140000000000001</v>
      </c>
      <c r="U755" s="632"/>
      <c r="V755" s="122"/>
      <c r="W755" s="122"/>
      <c r="X755" s="122">
        <v>5</v>
      </c>
      <c r="Y755" s="122"/>
      <c r="Z755" s="122">
        <v>0.73850000000000005</v>
      </c>
      <c r="AA755" s="122"/>
      <c r="AB755" s="122"/>
      <c r="AC755" s="122"/>
      <c r="AD755" s="122"/>
      <c r="AE755" s="122"/>
      <c r="AF755" s="122"/>
      <c r="AG755" s="122"/>
      <c r="AH755" s="122"/>
      <c r="AI755" s="122" t="s">
        <v>482</v>
      </c>
      <c r="AJ755" s="122"/>
      <c r="AK755" s="122"/>
      <c r="AL755" s="122"/>
      <c r="AM755" s="639">
        <f t="shared" si="14"/>
        <v>117.05249999999999</v>
      </c>
      <c r="AO755" s="289"/>
    </row>
    <row r="756" spans="1:42" s="61" customFormat="1" ht="19.5" customHeight="1" x14ac:dyDescent="0.3">
      <c r="A756" s="706"/>
      <c r="B756" s="116" t="s">
        <v>294</v>
      </c>
      <c r="C756" s="138"/>
      <c r="D756" s="109"/>
      <c r="E756" s="109"/>
      <c r="F756" s="263"/>
      <c r="G756" s="109"/>
      <c r="H756" s="109"/>
      <c r="I756" s="123"/>
      <c r="J756" s="109"/>
      <c r="K756" s="109"/>
      <c r="L756" s="263"/>
      <c r="M756" s="109"/>
      <c r="N756" s="123"/>
      <c r="O756" s="109"/>
      <c r="P756" s="109"/>
      <c r="Q756" s="109">
        <v>63</v>
      </c>
      <c r="R756" s="109"/>
      <c r="S756" s="109"/>
      <c r="T756" s="139">
        <v>4.0970000000000004</v>
      </c>
      <c r="U756" s="138"/>
      <c r="V756" s="109"/>
      <c r="W756" s="109"/>
      <c r="X756" s="109"/>
      <c r="Y756" s="109"/>
      <c r="Z756" s="109"/>
      <c r="AA756" s="109"/>
      <c r="AB756" s="109"/>
      <c r="AC756" s="109"/>
      <c r="AD756" s="109"/>
      <c r="AE756" s="109"/>
      <c r="AF756" s="109"/>
      <c r="AG756" s="109">
        <v>0.65</v>
      </c>
      <c r="AH756" s="109"/>
      <c r="AI756" s="109" t="s">
        <v>482</v>
      </c>
      <c r="AJ756" s="109"/>
      <c r="AK756" s="109"/>
      <c r="AL756" s="109"/>
      <c r="AM756" s="640">
        <f t="shared" si="14"/>
        <v>67.747</v>
      </c>
      <c r="AO756" s="289"/>
    </row>
    <row r="757" spans="1:42" s="61" customFormat="1" ht="22.5" customHeight="1" x14ac:dyDescent="0.3">
      <c r="A757" s="706"/>
      <c r="B757" s="117" t="s">
        <v>326</v>
      </c>
      <c r="C757" s="140"/>
      <c r="D757" s="110"/>
      <c r="E757" s="110"/>
      <c r="F757" s="264"/>
      <c r="G757" s="110"/>
      <c r="H757" s="110"/>
      <c r="I757" s="124"/>
      <c r="J757" s="110"/>
      <c r="K757" s="110"/>
      <c r="L757" s="264"/>
      <c r="M757" s="110"/>
      <c r="N757" s="124"/>
      <c r="O757" s="110"/>
      <c r="P757" s="110"/>
      <c r="Q757" s="110">
        <v>138</v>
      </c>
      <c r="R757" s="110"/>
      <c r="S757" s="110">
        <v>7</v>
      </c>
      <c r="T757" s="141"/>
      <c r="U757" s="140">
        <v>0.27900000000000003</v>
      </c>
      <c r="V757" s="110"/>
      <c r="W757" s="110"/>
      <c r="X757" s="110"/>
      <c r="Y757" s="110"/>
      <c r="Z757" s="110">
        <v>1</v>
      </c>
      <c r="AA757" s="110"/>
      <c r="AB757" s="110"/>
      <c r="AC757" s="110"/>
      <c r="AD757" s="110"/>
      <c r="AE757" s="110"/>
      <c r="AF757" s="110"/>
      <c r="AG757" s="110"/>
      <c r="AH757" s="110"/>
      <c r="AI757" s="110" t="s">
        <v>482</v>
      </c>
      <c r="AJ757" s="110"/>
      <c r="AK757" s="110"/>
      <c r="AL757" s="110"/>
      <c r="AM757" s="641">
        <f t="shared" si="14"/>
        <v>146.279</v>
      </c>
      <c r="AO757" s="289"/>
      <c r="AP757" s="97"/>
    </row>
    <row r="758" spans="1:42" s="61" customFormat="1" ht="25.5" customHeight="1" x14ac:dyDescent="0.3">
      <c r="A758" s="706"/>
      <c r="B758" s="175" t="s">
        <v>327</v>
      </c>
      <c r="C758" s="176">
        <v>30</v>
      </c>
      <c r="D758" s="127"/>
      <c r="E758" s="127"/>
      <c r="F758" s="265"/>
      <c r="G758" s="127"/>
      <c r="H758" s="127"/>
      <c r="I758" s="178"/>
      <c r="J758" s="127"/>
      <c r="K758" s="127"/>
      <c r="L758" s="265"/>
      <c r="M758" s="127"/>
      <c r="N758" s="178"/>
      <c r="O758" s="127"/>
      <c r="P758" s="127"/>
      <c r="Q758" s="127">
        <v>-2</v>
      </c>
      <c r="R758" s="127"/>
      <c r="S758" s="127">
        <v>42</v>
      </c>
      <c r="T758" s="177"/>
      <c r="U758" s="176">
        <v>3.0529999999999999</v>
      </c>
      <c r="V758" s="127"/>
      <c r="W758" s="127"/>
      <c r="X758" s="127"/>
      <c r="Y758" s="127"/>
      <c r="Z758" s="127">
        <v>79</v>
      </c>
      <c r="AA758" s="127"/>
      <c r="AB758" s="127"/>
      <c r="AC758" s="127"/>
      <c r="AD758" s="127"/>
      <c r="AE758" s="127"/>
      <c r="AF758" s="127"/>
      <c r="AG758" s="127"/>
      <c r="AH758" s="127"/>
      <c r="AI758" s="127" t="s">
        <v>482</v>
      </c>
      <c r="AJ758" s="127"/>
      <c r="AK758" s="127"/>
      <c r="AL758" s="127"/>
      <c r="AM758" s="642">
        <f t="shared" si="14"/>
        <v>152.053</v>
      </c>
      <c r="AO758" s="289"/>
    </row>
    <row r="759" spans="1:42" s="61" customFormat="1" ht="25.5" customHeight="1" x14ac:dyDescent="0.3">
      <c r="A759" s="706"/>
      <c r="B759" s="180" t="s">
        <v>361</v>
      </c>
      <c r="C759" s="300">
        <v>90</v>
      </c>
      <c r="D759" s="173"/>
      <c r="E759" s="173"/>
      <c r="F759" s="266"/>
      <c r="G759" s="173"/>
      <c r="H759" s="173"/>
      <c r="I759" s="174"/>
      <c r="J759" s="173"/>
      <c r="K759" s="173"/>
      <c r="L759" s="266"/>
      <c r="M759" s="173"/>
      <c r="N759" s="174"/>
      <c r="O759" s="173"/>
      <c r="P759" s="173"/>
      <c r="Q759" s="173"/>
      <c r="R759" s="173"/>
      <c r="S759" s="173">
        <v>41</v>
      </c>
      <c r="T759" s="327"/>
      <c r="U759" s="300">
        <v>0.17899999999999999</v>
      </c>
      <c r="V759" s="173"/>
      <c r="W759" s="173"/>
      <c r="X759" s="173"/>
      <c r="Y759" s="173"/>
      <c r="Z759" s="173">
        <v>80.703999999999994</v>
      </c>
      <c r="AA759" s="173"/>
      <c r="AB759" s="173"/>
      <c r="AC759" s="173"/>
      <c r="AD759" s="173"/>
      <c r="AE759" s="173"/>
      <c r="AF759" s="173"/>
      <c r="AG759" s="173"/>
      <c r="AH759" s="173"/>
      <c r="AI759" s="173" t="s">
        <v>482</v>
      </c>
      <c r="AJ759" s="173"/>
      <c r="AK759" s="173"/>
      <c r="AL759" s="173"/>
      <c r="AM759" s="643">
        <f t="shared" si="14"/>
        <v>211.88299999999998</v>
      </c>
      <c r="AO759" s="289"/>
      <c r="AP759" s="97"/>
    </row>
    <row r="760" spans="1:42" s="61" customFormat="1" ht="25.5" customHeight="1" x14ac:dyDescent="0.3">
      <c r="A760" s="706"/>
      <c r="B760" s="180" t="s">
        <v>362</v>
      </c>
      <c r="C760" s="300">
        <v>180</v>
      </c>
      <c r="D760" s="173"/>
      <c r="E760" s="173"/>
      <c r="F760" s="266"/>
      <c r="G760" s="173"/>
      <c r="H760" s="173"/>
      <c r="I760" s="174"/>
      <c r="J760" s="173"/>
      <c r="K760" s="173"/>
      <c r="L760" s="266"/>
      <c r="M760" s="173"/>
      <c r="N760" s="174"/>
      <c r="O760" s="173"/>
      <c r="P760" s="173"/>
      <c r="Q760" s="173"/>
      <c r="R760" s="173"/>
      <c r="S760" s="173">
        <v>96</v>
      </c>
      <c r="T760" s="327"/>
      <c r="U760" s="300"/>
      <c r="V760" s="173"/>
      <c r="W760" s="173"/>
      <c r="X760" s="173"/>
      <c r="Y760" s="173">
        <v>3</v>
      </c>
      <c r="Z760" s="173"/>
      <c r="AA760" s="173"/>
      <c r="AB760" s="173">
        <v>1</v>
      </c>
      <c r="AC760" s="173"/>
      <c r="AD760" s="173">
        <v>18</v>
      </c>
      <c r="AE760" s="173"/>
      <c r="AF760" s="173"/>
      <c r="AG760" s="173"/>
      <c r="AH760" s="173"/>
      <c r="AI760" s="173" t="s">
        <v>482</v>
      </c>
      <c r="AJ760" s="173"/>
      <c r="AK760" s="173"/>
      <c r="AL760" s="173"/>
      <c r="AM760" s="644">
        <f t="shared" si="14"/>
        <v>298</v>
      </c>
      <c r="AO760" s="289"/>
      <c r="AP760" s="97"/>
    </row>
    <row r="761" spans="1:42" s="61" customFormat="1" ht="22.5" customHeight="1" x14ac:dyDescent="0.3">
      <c r="A761" s="706"/>
      <c r="B761" s="115" t="s">
        <v>402</v>
      </c>
      <c r="C761" s="142">
        <v>125</v>
      </c>
      <c r="D761" s="111"/>
      <c r="E761" s="111"/>
      <c r="F761" s="267"/>
      <c r="G761" s="111"/>
      <c r="H761" s="111"/>
      <c r="I761" s="125"/>
      <c r="J761" s="111"/>
      <c r="K761" s="111"/>
      <c r="L761" s="267">
        <v>0</v>
      </c>
      <c r="M761" s="111"/>
      <c r="N761" s="125"/>
      <c r="O761" s="111"/>
      <c r="P761" s="111"/>
      <c r="Q761" s="111"/>
      <c r="R761" s="111"/>
      <c r="S761" s="111">
        <v>15</v>
      </c>
      <c r="T761" s="143"/>
      <c r="U761" s="142"/>
      <c r="V761" s="111"/>
      <c r="W761" s="111">
        <v>210</v>
      </c>
      <c r="X761" s="111">
        <v>5</v>
      </c>
      <c r="Y761" s="111"/>
      <c r="Z761" s="111"/>
      <c r="AA761" s="111"/>
      <c r="AB761" s="111"/>
      <c r="AC761" s="111"/>
      <c r="AD761" s="111"/>
      <c r="AE761" s="111"/>
      <c r="AF761" s="111"/>
      <c r="AG761" s="111"/>
      <c r="AH761" s="111" t="s">
        <v>482</v>
      </c>
      <c r="AI761" s="111" t="s">
        <v>482</v>
      </c>
      <c r="AJ761" s="111"/>
      <c r="AK761" s="111"/>
      <c r="AL761" s="111"/>
      <c r="AM761" s="645">
        <f t="shared" si="14"/>
        <v>355</v>
      </c>
      <c r="AO761" s="289"/>
    </row>
    <row r="762" spans="1:42" s="61" customFormat="1" ht="21" customHeight="1" x14ac:dyDescent="0.3">
      <c r="A762" s="707"/>
      <c r="B762" s="181" t="s">
        <v>403</v>
      </c>
      <c r="C762" s="144">
        <v>130</v>
      </c>
      <c r="D762" s="112"/>
      <c r="E762" s="112"/>
      <c r="F762" s="268"/>
      <c r="G762" s="112"/>
      <c r="H762" s="112"/>
      <c r="I762" s="126"/>
      <c r="J762" s="112"/>
      <c r="K762" s="112"/>
      <c r="L762" s="268"/>
      <c r="M762" s="112"/>
      <c r="N762" s="126"/>
      <c r="O762" s="112"/>
      <c r="P762" s="112"/>
      <c r="Q762" s="112"/>
      <c r="R762" s="112"/>
      <c r="S762" s="112">
        <v>16.893076999999998</v>
      </c>
      <c r="T762" s="145"/>
      <c r="U762" s="144"/>
      <c r="V762" s="112"/>
      <c r="W762" s="112">
        <f>499-210</f>
        <v>289</v>
      </c>
      <c r="X762" s="112"/>
      <c r="Y762" s="112"/>
      <c r="Z762" s="112"/>
      <c r="AA762" s="112"/>
      <c r="AB762" s="112"/>
      <c r="AC762" s="112"/>
      <c r="AD762" s="112"/>
      <c r="AE762" s="112"/>
      <c r="AF762" s="112"/>
      <c r="AG762" s="112"/>
      <c r="AH762" s="112" t="s">
        <v>482</v>
      </c>
      <c r="AI762" s="112" t="s">
        <v>482</v>
      </c>
      <c r="AJ762" s="112"/>
      <c r="AK762" s="112"/>
      <c r="AL762" s="112"/>
      <c r="AM762" s="646">
        <f t="shared" si="14"/>
        <v>435.89307700000001</v>
      </c>
      <c r="AO762" s="289"/>
    </row>
    <row r="763" spans="1:42" s="61" customFormat="1" ht="21" customHeight="1" x14ac:dyDescent="0.3">
      <c r="A763" s="705" t="s">
        <v>186</v>
      </c>
      <c r="B763" s="179" t="s">
        <v>293</v>
      </c>
      <c r="C763" s="135">
        <v>17276.55</v>
      </c>
      <c r="D763" s="136"/>
      <c r="E763" s="136"/>
      <c r="F763" s="262">
        <v>11085.322</v>
      </c>
      <c r="G763" s="136">
        <v>19512</v>
      </c>
      <c r="H763" s="136"/>
      <c r="I763" s="326"/>
      <c r="J763" s="136"/>
      <c r="K763" s="136">
        <f>500</f>
        <v>500</v>
      </c>
      <c r="L763" s="262">
        <v>1852.816</v>
      </c>
      <c r="M763" s="136">
        <v>170.72</v>
      </c>
      <c r="N763" s="326">
        <v>435.52699999999999</v>
      </c>
      <c r="O763" s="136"/>
      <c r="P763" s="136">
        <v>1678</v>
      </c>
      <c r="Q763" s="136"/>
      <c r="R763" s="136">
        <f>+(1820+37)/2</f>
        <v>928.5</v>
      </c>
      <c r="S763" s="136">
        <v>86770</v>
      </c>
      <c r="T763" s="137">
        <v>4100</v>
      </c>
      <c r="U763" s="632">
        <v>6878.5820000000003</v>
      </c>
      <c r="V763" s="122">
        <f>500000/1000</f>
        <v>500</v>
      </c>
      <c r="W763" s="122"/>
      <c r="X763" s="122">
        <v>428</v>
      </c>
      <c r="Y763" s="122">
        <v>117676</v>
      </c>
      <c r="Z763" s="122">
        <v>212124</v>
      </c>
      <c r="AA763" s="122">
        <v>4052.2484100000001</v>
      </c>
      <c r="AB763" s="122">
        <v>77</v>
      </c>
      <c r="AC763" s="122">
        <v>3132.26</v>
      </c>
      <c r="AD763" s="122">
        <v>11405</v>
      </c>
      <c r="AE763" s="122">
        <f>4817+3187</f>
        <v>8004</v>
      </c>
      <c r="AF763" s="122"/>
      <c r="AG763" s="122"/>
      <c r="AH763" s="122">
        <v>95842.36</v>
      </c>
      <c r="AI763" s="122">
        <v>14899</v>
      </c>
      <c r="AJ763" s="122">
        <v>1935</v>
      </c>
      <c r="AK763" s="122">
        <v>2320.69</v>
      </c>
      <c r="AL763" s="122">
        <v>1061.5144832214767</v>
      </c>
      <c r="AM763" s="639">
        <f t="shared" si="14"/>
        <v>624645.08989322139</v>
      </c>
      <c r="AO763" s="289"/>
    </row>
    <row r="764" spans="1:42" s="61" customFormat="1" ht="19.5" customHeight="1" x14ac:dyDescent="0.3">
      <c r="A764" s="706"/>
      <c r="B764" s="116" t="s">
        <v>294</v>
      </c>
      <c r="C764" s="138">
        <v>51805.7</v>
      </c>
      <c r="D764" s="109"/>
      <c r="E764" s="109"/>
      <c r="F764" s="263">
        <v>12618.254000000001</v>
      </c>
      <c r="G764" s="109">
        <v>11865</v>
      </c>
      <c r="H764" s="109">
        <v>803</v>
      </c>
      <c r="I764" s="123"/>
      <c r="J764" s="109"/>
      <c r="K764" s="109">
        <f>863-687+113</f>
        <v>289</v>
      </c>
      <c r="L764" s="263">
        <v>3428.4090000000001</v>
      </c>
      <c r="M764" s="109">
        <v>182.142</v>
      </c>
      <c r="N764" s="123">
        <v>260.75099999999998</v>
      </c>
      <c r="O764" s="109"/>
      <c r="P764" s="109">
        <v>42</v>
      </c>
      <c r="Q764" s="109"/>
      <c r="R764" s="109">
        <f>+(1820+37)/2</f>
        <v>928.5</v>
      </c>
      <c r="S764" s="109">
        <v>86770</v>
      </c>
      <c r="T764" s="139">
        <v>3500</v>
      </c>
      <c r="U764" s="138">
        <v>32135.482</v>
      </c>
      <c r="V764" s="109">
        <f>526573/1000-V763</f>
        <v>26.572999999999979</v>
      </c>
      <c r="W764" s="109">
        <v>2000</v>
      </c>
      <c r="X764" s="109">
        <v>592</v>
      </c>
      <c r="Y764" s="109">
        <v>89621</v>
      </c>
      <c r="Z764" s="109">
        <v>219294</v>
      </c>
      <c r="AA764" s="109">
        <v>2693.8866200000002</v>
      </c>
      <c r="AB764" s="109">
        <v>69</v>
      </c>
      <c r="AC764" s="109">
        <v>3298.26</v>
      </c>
      <c r="AD764" s="109">
        <v>8256</v>
      </c>
      <c r="AE764" s="109">
        <f>5099+3696</f>
        <v>8795</v>
      </c>
      <c r="AF764" s="109">
        <v>10</v>
      </c>
      <c r="AG764" s="109"/>
      <c r="AH764" s="109">
        <v>131112.44</v>
      </c>
      <c r="AI764" s="109">
        <v>13714</v>
      </c>
      <c r="AJ764" s="109">
        <v>2164</v>
      </c>
      <c r="AK764" s="109">
        <v>2290.44</v>
      </c>
      <c r="AL764" s="109">
        <v>623.28846153846155</v>
      </c>
      <c r="AM764" s="640">
        <f t="shared" si="14"/>
        <v>689188.12608153839</v>
      </c>
      <c r="AO764" s="289"/>
    </row>
    <row r="765" spans="1:42" s="61" customFormat="1" ht="22.5" customHeight="1" x14ac:dyDescent="0.3">
      <c r="A765" s="706"/>
      <c r="B765" s="117" t="s">
        <v>326</v>
      </c>
      <c r="C765" s="140">
        <v>64977.7</v>
      </c>
      <c r="D765" s="110"/>
      <c r="E765" s="110"/>
      <c r="F765" s="264">
        <v>14328</v>
      </c>
      <c r="G765" s="110">
        <v>25593</v>
      </c>
      <c r="H765" s="110">
        <v>803</v>
      </c>
      <c r="I765" s="124"/>
      <c r="J765" s="110"/>
      <c r="K765" s="110">
        <f>250-250+129</f>
        <v>129</v>
      </c>
      <c r="L765" s="264">
        <v>2260</v>
      </c>
      <c r="M765" s="110">
        <f>224519/1000</f>
        <v>224.51900000000001</v>
      </c>
      <c r="N765" s="124">
        <v>2268.6799999999998</v>
      </c>
      <c r="O765" s="110"/>
      <c r="P765" s="110">
        <v>1175</v>
      </c>
      <c r="Q765" s="110"/>
      <c r="R765" s="110">
        <v>231</v>
      </c>
      <c r="S765" s="110">
        <v>92798</v>
      </c>
      <c r="T765" s="141"/>
      <c r="U765" s="140">
        <v>13079.157999999999</v>
      </c>
      <c r="V765" s="110">
        <f>(50000+380848)/1000</f>
        <v>430.84800000000001</v>
      </c>
      <c r="W765" s="110">
        <v>1000</v>
      </c>
      <c r="X765" s="110">
        <v>9472</v>
      </c>
      <c r="Y765" s="110">
        <v>81752</v>
      </c>
      <c r="Z765" s="110">
        <v>258814</v>
      </c>
      <c r="AA765" s="110">
        <f>2052.03698+0.08403+44.89269</f>
        <v>2097.0137</v>
      </c>
      <c r="AB765" s="110">
        <v>50</v>
      </c>
      <c r="AC765" s="110">
        <v>3038.26</v>
      </c>
      <c r="AD765" s="110">
        <v>11296</v>
      </c>
      <c r="AE765" s="110">
        <f>3069+4005+1582</f>
        <v>8656</v>
      </c>
      <c r="AF765" s="110"/>
      <c r="AG765" s="110"/>
      <c r="AH765" s="110">
        <v>130154.14056999999</v>
      </c>
      <c r="AI765" s="110">
        <v>12878</v>
      </c>
      <c r="AJ765" s="110">
        <v>2330</v>
      </c>
      <c r="AK765" s="110">
        <v>2585</v>
      </c>
      <c r="AL765" s="110">
        <v>988.18739473684218</v>
      </c>
      <c r="AM765" s="641">
        <f t="shared" si="14"/>
        <v>743408.50666473689</v>
      </c>
      <c r="AO765" s="289"/>
      <c r="AP765" s="97"/>
    </row>
    <row r="766" spans="1:42" s="61" customFormat="1" ht="25.5" customHeight="1" x14ac:dyDescent="0.3">
      <c r="A766" s="706"/>
      <c r="B766" s="175" t="s">
        <v>327</v>
      </c>
      <c r="C766" s="176">
        <v>47846.377999999997</v>
      </c>
      <c r="D766" s="127"/>
      <c r="E766" s="127"/>
      <c r="F766" s="265">
        <v>18012</v>
      </c>
      <c r="G766" s="127">
        <v>19554</v>
      </c>
      <c r="H766" s="127">
        <v>721</v>
      </c>
      <c r="I766" s="178"/>
      <c r="J766" s="127"/>
      <c r="K766" s="127">
        <v>197</v>
      </c>
      <c r="L766" s="265">
        <v>2548</v>
      </c>
      <c r="M766" s="127"/>
      <c r="N766" s="178">
        <v>31362.888999999999</v>
      </c>
      <c r="O766" s="127">
        <v>144</v>
      </c>
      <c r="P766" s="127">
        <v>745</v>
      </c>
      <c r="Q766" s="127"/>
      <c r="R766" s="127">
        <v>231</v>
      </c>
      <c r="S766" s="127">
        <v>131252</v>
      </c>
      <c r="T766" s="177"/>
      <c r="U766" s="176">
        <v>13690.504000000001</v>
      </c>
      <c r="V766" s="127">
        <f>(156991+629038)/1000-V765</f>
        <v>355.18099999999998</v>
      </c>
      <c r="W766" s="127">
        <f>2147-1000</f>
        <v>1147</v>
      </c>
      <c r="X766" s="127">
        <v>5533</v>
      </c>
      <c r="Y766" s="127">
        <v>94518</v>
      </c>
      <c r="Z766" s="127">
        <v>296899</v>
      </c>
      <c r="AA766" s="127">
        <f>3331.86917+1.01046</f>
        <v>3332.8796299999999</v>
      </c>
      <c r="AB766" s="127">
        <v>40</v>
      </c>
      <c r="AC766" s="127">
        <v>2566.16</v>
      </c>
      <c r="AD766" s="127">
        <v>31235</v>
      </c>
      <c r="AE766" s="127">
        <f>2867+3560+977</f>
        <v>7404</v>
      </c>
      <c r="AF766" s="127"/>
      <c r="AG766" s="127"/>
      <c r="AH766" s="127">
        <v>164392.75</v>
      </c>
      <c r="AI766" s="127">
        <v>18254</v>
      </c>
      <c r="AJ766" s="127">
        <v>2049</v>
      </c>
      <c r="AK766" s="127">
        <f>1996-1+3</f>
        <v>1998</v>
      </c>
      <c r="AL766" s="127">
        <v>909.4641221374045</v>
      </c>
      <c r="AM766" s="642">
        <f t="shared" si="14"/>
        <v>896937.20575213747</v>
      </c>
      <c r="AO766" s="289"/>
    </row>
    <row r="767" spans="1:42" s="61" customFormat="1" ht="25.5" customHeight="1" x14ac:dyDescent="0.3">
      <c r="A767" s="706"/>
      <c r="B767" s="180" t="s">
        <v>361</v>
      </c>
      <c r="C767" s="300">
        <v>54556.244180000002</v>
      </c>
      <c r="D767" s="173"/>
      <c r="E767" s="173"/>
      <c r="F767" s="266">
        <v>18731</v>
      </c>
      <c r="G767" s="173">
        <f>14556+4146</f>
        <v>18702</v>
      </c>
      <c r="H767" s="173">
        <v>721</v>
      </c>
      <c r="I767" s="174"/>
      <c r="J767" s="173"/>
      <c r="K767" s="173">
        <v>179</v>
      </c>
      <c r="L767" s="266">
        <v>2229</v>
      </c>
      <c r="M767" s="173">
        <v>60</v>
      </c>
      <c r="N767" s="174">
        <v>10125.168</v>
      </c>
      <c r="O767" s="173">
        <v>135</v>
      </c>
      <c r="P767" s="173">
        <v>49</v>
      </c>
      <c r="Q767" s="173"/>
      <c r="R767" s="173">
        <v>131</v>
      </c>
      <c r="S767" s="173">
        <v>157192</v>
      </c>
      <c r="T767" s="327">
        <v>3715.3</v>
      </c>
      <c r="U767" s="300">
        <v>14552.243</v>
      </c>
      <c r="V767" s="173">
        <f>331300/1000</f>
        <v>331.3</v>
      </c>
      <c r="W767" s="173">
        <v>1300</v>
      </c>
      <c r="X767" s="173">
        <v>629</v>
      </c>
      <c r="Y767" s="173">
        <v>75148</v>
      </c>
      <c r="Z767" s="173">
        <v>289339.17535999999</v>
      </c>
      <c r="AA767" s="173">
        <f>1465.51724+4380</f>
        <v>5845.5172400000001</v>
      </c>
      <c r="AB767" s="173">
        <v>972</v>
      </c>
      <c r="AC767" s="173">
        <f>2169+73</f>
        <v>2242</v>
      </c>
      <c r="AD767" s="173">
        <v>13889</v>
      </c>
      <c r="AE767" s="173">
        <f>1801+1045+3311+479</f>
        <v>6636</v>
      </c>
      <c r="AF767" s="173"/>
      <c r="AG767" s="173"/>
      <c r="AH767" s="173">
        <v>78166</v>
      </c>
      <c r="AI767" s="173">
        <v>12773.44</v>
      </c>
      <c r="AJ767" s="173">
        <v>2048</v>
      </c>
      <c r="AK767" s="173">
        <v>1951</v>
      </c>
      <c r="AL767" s="173">
        <v>585.89586776859517</v>
      </c>
      <c r="AM767" s="643">
        <f t="shared" si="14"/>
        <v>772934.28364776843</v>
      </c>
      <c r="AO767" s="289"/>
      <c r="AP767" s="97"/>
    </row>
    <row r="768" spans="1:42" s="61" customFormat="1" ht="25.5" customHeight="1" x14ac:dyDescent="0.3">
      <c r="A768" s="706"/>
      <c r="B768" s="180" t="s">
        <v>362</v>
      </c>
      <c r="C768" s="300">
        <v>38233.299059999998</v>
      </c>
      <c r="D768" s="173"/>
      <c r="E768" s="173"/>
      <c r="F768" s="266">
        <v>11867</v>
      </c>
      <c r="G768" s="173">
        <f>15025+6399</f>
        <v>21424</v>
      </c>
      <c r="H768" s="173">
        <v>721</v>
      </c>
      <c r="I768" s="174"/>
      <c r="J768" s="173"/>
      <c r="K768" s="173"/>
      <c r="L768" s="266">
        <v>1470</v>
      </c>
      <c r="M768" s="173">
        <v>220.42</v>
      </c>
      <c r="N768" s="174">
        <v>32067.18</v>
      </c>
      <c r="O768" s="173">
        <v>130</v>
      </c>
      <c r="P768" s="173">
        <v>618</v>
      </c>
      <c r="Q768" s="173"/>
      <c r="R768" s="173">
        <f>398-R767</f>
        <v>267</v>
      </c>
      <c r="S768" s="173">
        <v>82855</v>
      </c>
      <c r="T768" s="327">
        <v>4925.7</v>
      </c>
      <c r="U768" s="300">
        <v>11349.733</v>
      </c>
      <c r="V768" s="173">
        <f>(551453/1000)-V767</f>
        <v>220.15299999999996</v>
      </c>
      <c r="W768" s="173">
        <v>2409</v>
      </c>
      <c r="X768" s="173">
        <v>641</v>
      </c>
      <c r="Y768" s="173">
        <v>89703</v>
      </c>
      <c r="Z768" s="173">
        <v>231450.16517000002</v>
      </c>
      <c r="AA768" s="173">
        <f>1440.67797+519</f>
        <v>1959.67797</v>
      </c>
      <c r="AB768" s="173">
        <v>907</v>
      </c>
      <c r="AC768" s="173">
        <f>4121-2169+132</f>
        <v>2084</v>
      </c>
      <c r="AD768" s="173">
        <v>15022</v>
      </c>
      <c r="AE768" s="173">
        <f>1735+1045+3262+563</f>
        <v>6605</v>
      </c>
      <c r="AF768" s="173"/>
      <c r="AG768" s="173"/>
      <c r="AH768" s="173">
        <v>118732</v>
      </c>
      <c r="AI768" s="173">
        <v>34637.56</v>
      </c>
      <c r="AJ768" s="173">
        <v>2143</v>
      </c>
      <c r="AK768" s="173">
        <v>1673</v>
      </c>
      <c r="AL768" s="173">
        <v>579.01696428571415</v>
      </c>
      <c r="AM768" s="644">
        <f t="shared" si="14"/>
        <v>714913.90516428568</v>
      </c>
      <c r="AO768" s="289"/>
      <c r="AP768" s="97"/>
    </row>
    <row r="769" spans="1:42" s="61" customFormat="1" ht="22.5" customHeight="1" x14ac:dyDescent="0.3">
      <c r="A769" s="706"/>
      <c r="B769" s="115" t="s">
        <v>402</v>
      </c>
      <c r="C769" s="142">
        <v>48439.294589999998</v>
      </c>
      <c r="D769" s="111"/>
      <c r="E769" s="111"/>
      <c r="F769" s="267">
        <v>10230.200000000001</v>
      </c>
      <c r="G769" s="111">
        <v>7272</v>
      </c>
      <c r="H769" s="111">
        <v>142</v>
      </c>
      <c r="I769" s="125"/>
      <c r="J769" s="111"/>
      <c r="K769" s="111"/>
      <c r="L769" s="267">
        <v>3100</v>
      </c>
      <c r="M769" s="111">
        <v>432.91500000000002</v>
      </c>
      <c r="N769" s="125"/>
      <c r="O769" s="111">
        <v>66</v>
      </c>
      <c r="P769" s="111">
        <v>379</v>
      </c>
      <c r="Q769" s="111"/>
      <c r="R769" s="111">
        <v>263</v>
      </c>
      <c r="S769" s="111">
        <v>205924.60103700004</v>
      </c>
      <c r="T769" s="143">
        <v>3882.76</v>
      </c>
      <c r="U769" s="142">
        <v>29955.816999999999</v>
      </c>
      <c r="V769" s="111">
        <f>1419879.48/1000</f>
        <v>1419.8794800000001</v>
      </c>
      <c r="W769" s="111">
        <f>8200</f>
        <v>8200</v>
      </c>
      <c r="X769" s="111">
        <v>16024</v>
      </c>
      <c r="Y769" s="111">
        <v>110871.126</v>
      </c>
      <c r="Z769" s="111">
        <v>160120</v>
      </c>
      <c r="AA769" s="111">
        <v>7339</v>
      </c>
      <c r="AB769" s="111">
        <v>913.1</v>
      </c>
      <c r="AC769" s="111">
        <v>2053</v>
      </c>
      <c r="AD769" s="111">
        <v>14790</v>
      </c>
      <c r="AE769" s="111">
        <v>7150</v>
      </c>
      <c r="AF769" s="111"/>
      <c r="AG769" s="111"/>
      <c r="AH769" s="111">
        <v>180073.99</v>
      </c>
      <c r="AI769" s="111">
        <v>12260</v>
      </c>
      <c r="AJ769" s="111">
        <v>3361</v>
      </c>
      <c r="AK769" s="111">
        <f>2127.126/1.097</f>
        <v>1939.0391978122154</v>
      </c>
      <c r="AL769" s="111">
        <v>436.88928571428568</v>
      </c>
      <c r="AM769" s="645">
        <f t="shared" si="14"/>
        <v>837038.61159052642</v>
      </c>
      <c r="AO769" s="289"/>
    </row>
    <row r="770" spans="1:42" s="61" customFormat="1" ht="21" customHeight="1" x14ac:dyDescent="0.3">
      <c r="A770" s="707"/>
      <c r="B770" s="181" t="s">
        <v>403</v>
      </c>
      <c r="C770" s="144">
        <v>64015.937870000002</v>
      </c>
      <c r="D770" s="112"/>
      <c r="E770" s="112"/>
      <c r="F770" s="268">
        <v>5857.6</v>
      </c>
      <c r="G770" s="112">
        <v>12841</v>
      </c>
      <c r="H770" s="112">
        <v>427</v>
      </c>
      <c r="I770" s="126"/>
      <c r="J770" s="112"/>
      <c r="K770" s="112"/>
      <c r="L770" s="268">
        <v>1712.3</v>
      </c>
      <c r="M770" s="112">
        <v>13702.955529999999</v>
      </c>
      <c r="N770" s="126"/>
      <c r="O770" s="112"/>
      <c r="P770" s="112">
        <v>957</v>
      </c>
      <c r="Q770" s="112"/>
      <c r="R770" s="112">
        <f>603-R769</f>
        <v>340</v>
      </c>
      <c r="S770" s="112">
        <v>250669.89919200001</v>
      </c>
      <c r="T770" s="145">
        <v>2912.66</v>
      </c>
      <c r="U770" s="144">
        <v>10375.842000000001</v>
      </c>
      <c r="V770" s="112">
        <f>(40000+2228130+69155)/1000-V769</f>
        <v>917.4055199999998</v>
      </c>
      <c r="W770" s="112">
        <f>9500-8200</f>
        <v>1300</v>
      </c>
      <c r="X770" s="112">
        <v>10426</v>
      </c>
      <c r="Y770" s="112">
        <v>110553.715</v>
      </c>
      <c r="Z770" s="112">
        <v>171214</v>
      </c>
      <c r="AA770" s="112">
        <v>1762</v>
      </c>
      <c r="AB770" s="112">
        <v>860.1</v>
      </c>
      <c r="AC770" s="112">
        <v>5111</v>
      </c>
      <c r="AD770" s="112">
        <v>16722</v>
      </c>
      <c r="AE770" s="112">
        <v>12698</v>
      </c>
      <c r="AF770" s="112">
        <v>489.8917748917749</v>
      </c>
      <c r="AG770" s="112"/>
      <c r="AH770" s="112">
        <v>204669.247</v>
      </c>
      <c r="AI770" s="112">
        <v>12261</v>
      </c>
      <c r="AJ770" s="112">
        <v>3414</v>
      </c>
      <c r="AK770" s="112">
        <f>3716.976/1.001</f>
        <v>3713.2627372627376</v>
      </c>
      <c r="AL770" s="112">
        <v>693</v>
      </c>
      <c r="AM770" s="646">
        <f t="shared" si="14"/>
        <v>920616.81662415445</v>
      </c>
      <c r="AO770" s="289"/>
    </row>
    <row r="771" spans="1:42" s="61" customFormat="1" ht="21" customHeight="1" x14ac:dyDescent="0.3">
      <c r="A771" s="705" t="s">
        <v>187</v>
      </c>
      <c r="B771" s="179" t="s">
        <v>293</v>
      </c>
      <c r="C771" s="135"/>
      <c r="D771" s="136"/>
      <c r="E771" s="136"/>
      <c r="F771" s="262"/>
      <c r="G771" s="136">
        <v>6</v>
      </c>
      <c r="H771" s="136">
        <v>7</v>
      </c>
      <c r="I771" s="326"/>
      <c r="J771" s="136"/>
      <c r="K771" s="136"/>
      <c r="L771" s="262"/>
      <c r="M771" s="136"/>
      <c r="N771" s="326"/>
      <c r="O771" s="136"/>
      <c r="P771" s="136"/>
      <c r="Q771" s="136"/>
      <c r="R771" s="136"/>
      <c r="S771" s="136">
        <v>269.774</v>
      </c>
      <c r="T771" s="137"/>
      <c r="U771" s="632">
        <v>46.304000000000002</v>
      </c>
      <c r="V771" s="122"/>
      <c r="W771" s="122"/>
      <c r="X771" s="122"/>
      <c r="Y771" s="122"/>
      <c r="Z771" s="122">
        <v>14.1243</v>
      </c>
      <c r="AA771" s="122"/>
      <c r="AB771" s="122"/>
      <c r="AC771" s="122"/>
      <c r="AD771" s="122">
        <v>204</v>
      </c>
      <c r="AE771" s="122">
        <v>1000</v>
      </c>
      <c r="AF771" s="122"/>
      <c r="AG771" s="122">
        <v>55</v>
      </c>
      <c r="AH771" s="122">
        <v>42</v>
      </c>
      <c r="AI771" s="122" t="s">
        <v>482</v>
      </c>
      <c r="AJ771" s="122"/>
      <c r="AK771" s="122"/>
      <c r="AL771" s="122"/>
      <c r="AM771" s="639">
        <f t="shared" si="14"/>
        <v>1644.2022999999999</v>
      </c>
      <c r="AO771" s="289"/>
    </row>
    <row r="772" spans="1:42" s="61" customFormat="1" ht="19.5" customHeight="1" x14ac:dyDescent="0.3">
      <c r="A772" s="706"/>
      <c r="B772" s="116" t="s">
        <v>294</v>
      </c>
      <c r="C772" s="138">
        <v>194</v>
      </c>
      <c r="D772" s="109"/>
      <c r="E772" s="109"/>
      <c r="F772" s="263"/>
      <c r="G772" s="109">
        <v>304</v>
      </c>
      <c r="H772" s="109"/>
      <c r="I772" s="123"/>
      <c r="J772" s="109"/>
      <c r="K772" s="109"/>
      <c r="L772" s="263"/>
      <c r="M772" s="109"/>
      <c r="N772" s="123"/>
      <c r="O772" s="109"/>
      <c r="P772" s="109"/>
      <c r="Q772" s="109"/>
      <c r="R772" s="109"/>
      <c r="S772" s="109">
        <v>269.774</v>
      </c>
      <c r="T772" s="139"/>
      <c r="U772" s="138">
        <v>804.33100000000002</v>
      </c>
      <c r="V772" s="109"/>
      <c r="W772" s="109"/>
      <c r="X772" s="109"/>
      <c r="Y772" s="109"/>
      <c r="Z772" s="109">
        <v>14.1243</v>
      </c>
      <c r="AA772" s="109"/>
      <c r="AB772" s="109"/>
      <c r="AC772" s="109"/>
      <c r="AD772" s="109">
        <v>446</v>
      </c>
      <c r="AE772" s="109">
        <v>500</v>
      </c>
      <c r="AF772" s="109"/>
      <c r="AG772" s="109">
        <v>10.88</v>
      </c>
      <c r="AH772" s="109">
        <v>88.61</v>
      </c>
      <c r="AI772" s="109" t="s">
        <v>482</v>
      </c>
      <c r="AJ772" s="109"/>
      <c r="AK772" s="109"/>
      <c r="AL772" s="109"/>
      <c r="AM772" s="640">
        <f t="shared" si="14"/>
        <v>2631.7193000000002</v>
      </c>
      <c r="AO772" s="289"/>
    </row>
    <row r="773" spans="1:42" s="61" customFormat="1" ht="22.5" customHeight="1" x14ac:dyDescent="0.3">
      <c r="A773" s="706"/>
      <c r="B773" s="117" t="s">
        <v>326</v>
      </c>
      <c r="C773" s="140">
        <v>55</v>
      </c>
      <c r="D773" s="110"/>
      <c r="E773" s="110"/>
      <c r="F773" s="264"/>
      <c r="G773" s="110">
        <v>77</v>
      </c>
      <c r="H773" s="110"/>
      <c r="I773" s="124"/>
      <c r="J773" s="110"/>
      <c r="K773" s="110"/>
      <c r="L773" s="264"/>
      <c r="M773" s="110"/>
      <c r="N773" s="124"/>
      <c r="O773" s="110">
        <v>48</v>
      </c>
      <c r="P773" s="110"/>
      <c r="Q773" s="110"/>
      <c r="R773" s="110"/>
      <c r="S773" s="110">
        <v>1065</v>
      </c>
      <c r="T773" s="141"/>
      <c r="U773" s="140">
        <v>301.01100000000002</v>
      </c>
      <c r="V773" s="110"/>
      <c r="W773" s="110"/>
      <c r="X773" s="110"/>
      <c r="Y773" s="110"/>
      <c r="Z773" s="110">
        <v>3.4632800000000001</v>
      </c>
      <c r="AA773" s="110"/>
      <c r="AB773" s="110"/>
      <c r="AC773" s="110"/>
      <c r="AD773" s="110">
        <v>630</v>
      </c>
      <c r="AE773" s="110">
        <v>500</v>
      </c>
      <c r="AF773" s="110"/>
      <c r="AG773" s="110">
        <v>1</v>
      </c>
      <c r="AH773" s="110">
        <v>53.363999999999997</v>
      </c>
      <c r="AI773" s="110" t="s">
        <v>482</v>
      </c>
      <c r="AJ773" s="110"/>
      <c r="AK773" s="110"/>
      <c r="AL773" s="110"/>
      <c r="AM773" s="641">
        <f t="shared" si="14"/>
        <v>2733.8382799999999</v>
      </c>
      <c r="AO773" s="289"/>
      <c r="AP773" s="97"/>
    </row>
    <row r="774" spans="1:42" s="61" customFormat="1" ht="25.5" customHeight="1" x14ac:dyDescent="0.3">
      <c r="A774" s="706"/>
      <c r="B774" s="175" t="s">
        <v>327</v>
      </c>
      <c r="C774" s="176">
        <v>5</v>
      </c>
      <c r="D774" s="127"/>
      <c r="E774" s="127"/>
      <c r="F774" s="265"/>
      <c r="G774" s="127">
        <v>79</v>
      </c>
      <c r="H774" s="127"/>
      <c r="I774" s="178"/>
      <c r="J774" s="127"/>
      <c r="K774" s="127"/>
      <c r="L774" s="265">
        <v>146</v>
      </c>
      <c r="M774" s="127"/>
      <c r="N774" s="178"/>
      <c r="O774" s="127">
        <v>70</v>
      </c>
      <c r="P774" s="127"/>
      <c r="Q774" s="127"/>
      <c r="R774" s="127"/>
      <c r="S774" s="127">
        <v>1790</v>
      </c>
      <c r="T774" s="177"/>
      <c r="U774" s="176">
        <v>12.287000000000001</v>
      </c>
      <c r="V774" s="127"/>
      <c r="W774" s="127"/>
      <c r="X774" s="127">
        <v>64</v>
      </c>
      <c r="Y774" s="127"/>
      <c r="Z774" s="127">
        <v>16</v>
      </c>
      <c r="AA774" s="127"/>
      <c r="AB774" s="127"/>
      <c r="AC774" s="127"/>
      <c r="AD774" s="127">
        <v>789</v>
      </c>
      <c r="AE774" s="127">
        <v>1000</v>
      </c>
      <c r="AF774" s="127"/>
      <c r="AG774" s="127"/>
      <c r="AH774" s="127"/>
      <c r="AI774" s="127" t="s">
        <v>482</v>
      </c>
      <c r="AJ774" s="127"/>
      <c r="AK774" s="127"/>
      <c r="AL774" s="127"/>
      <c r="AM774" s="642">
        <f t="shared" si="14"/>
        <v>3971.2869999999998</v>
      </c>
      <c r="AO774" s="289"/>
    </row>
    <row r="775" spans="1:42" s="61" customFormat="1" ht="25.5" customHeight="1" x14ac:dyDescent="0.3">
      <c r="A775" s="706"/>
      <c r="B775" s="180" t="s">
        <v>361</v>
      </c>
      <c r="C775" s="300">
        <v>1005</v>
      </c>
      <c r="D775" s="173"/>
      <c r="E775" s="173"/>
      <c r="F775" s="266"/>
      <c r="G775" s="173">
        <f>9+68</f>
        <v>77</v>
      </c>
      <c r="H775" s="173"/>
      <c r="I775" s="174"/>
      <c r="J775" s="173"/>
      <c r="K775" s="173"/>
      <c r="L775" s="266"/>
      <c r="M775" s="173"/>
      <c r="N775" s="174"/>
      <c r="O775" s="173">
        <v>22</v>
      </c>
      <c r="P775" s="173"/>
      <c r="Q775" s="173"/>
      <c r="R775" s="173"/>
      <c r="S775" s="173">
        <v>1786</v>
      </c>
      <c r="T775" s="327"/>
      <c r="U775" s="300">
        <v>188.976</v>
      </c>
      <c r="V775" s="173"/>
      <c r="W775" s="173"/>
      <c r="X775" s="173">
        <v>64</v>
      </c>
      <c r="Y775" s="173"/>
      <c r="Z775" s="173"/>
      <c r="AA775" s="173"/>
      <c r="AB775" s="173"/>
      <c r="AC775" s="173"/>
      <c r="AD775" s="173">
        <v>656</v>
      </c>
      <c r="AE775" s="173">
        <v>500</v>
      </c>
      <c r="AF775" s="173"/>
      <c r="AG775" s="173"/>
      <c r="AH775" s="173">
        <v>38</v>
      </c>
      <c r="AI775" s="173" t="s">
        <v>482</v>
      </c>
      <c r="AJ775" s="173"/>
      <c r="AK775" s="173"/>
      <c r="AL775" s="173"/>
      <c r="AM775" s="643">
        <f t="shared" si="14"/>
        <v>4336.9760000000006</v>
      </c>
      <c r="AO775" s="289"/>
      <c r="AP775" s="97"/>
    </row>
    <row r="776" spans="1:42" s="61" customFormat="1" ht="25.5" customHeight="1" x14ac:dyDescent="0.3">
      <c r="A776" s="706"/>
      <c r="B776" s="180" t="s">
        <v>362</v>
      </c>
      <c r="C776" s="300">
        <v>5</v>
      </c>
      <c r="D776" s="173"/>
      <c r="E776" s="173"/>
      <c r="F776" s="266"/>
      <c r="G776" s="173">
        <f>9+70</f>
        <v>79</v>
      </c>
      <c r="H776" s="173"/>
      <c r="I776" s="174"/>
      <c r="J776" s="173"/>
      <c r="K776" s="173"/>
      <c r="L776" s="266">
        <v>146</v>
      </c>
      <c r="M776" s="173"/>
      <c r="N776" s="174"/>
      <c r="O776" s="173"/>
      <c r="P776" s="173"/>
      <c r="Q776" s="173"/>
      <c r="R776" s="173"/>
      <c r="S776" s="173">
        <v>1887</v>
      </c>
      <c r="T776" s="327"/>
      <c r="U776" s="300">
        <v>0.70499999999999996</v>
      </c>
      <c r="V776" s="173"/>
      <c r="W776" s="173"/>
      <c r="X776" s="173">
        <v>64</v>
      </c>
      <c r="Y776" s="173"/>
      <c r="Z776" s="173"/>
      <c r="AA776" s="173"/>
      <c r="AB776" s="173"/>
      <c r="AC776" s="173"/>
      <c r="AD776" s="173">
        <v>737</v>
      </c>
      <c r="AE776" s="173">
        <f>500+40</f>
        <v>540</v>
      </c>
      <c r="AF776" s="173"/>
      <c r="AG776" s="173"/>
      <c r="AH776" s="173">
        <v>3</v>
      </c>
      <c r="AI776" s="173" t="s">
        <v>482</v>
      </c>
      <c r="AJ776" s="173"/>
      <c r="AK776" s="173"/>
      <c r="AL776" s="173"/>
      <c r="AM776" s="644">
        <f t="shared" si="14"/>
        <v>3461.7049999999999</v>
      </c>
      <c r="AO776" s="289"/>
      <c r="AP776" s="97"/>
    </row>
    <row r="777" spans="1:42" s="61" customFormat="1" ht="22.5" customHeight="1" x14ac:dyDescent="0.3">
      <c r="A777" s="706"/>
      <c r="B777" s="115" t="s">
        <v>402</v>
      </c>
      <c r="C777" s="142">
        <v>5</v>
      </c>
      <c r="D777" s="111"/>
      <c r="E777" s="111"/>
      <c r="F777" s="267"/>
      <c r="G777" s="111">
        <v>65</v>
      </c>
      <c r="H777" s="111"/>
      <c r="I777" s="125"/>
      <c r="J777" s="111"/>
      <c r="K777" s="111"/>
      <c r="L777" s="267">
        <v>249</v>
      </c>
      <c r="M777" s="111"/>
      <c r="N777" s="125"/>
      <c r="O777" s="111"/>
      <c r="P777" s="111"/>
      <c r="Q777" s="111"/>
      <c r="R777" s="111"/>
      <c r="S777" s="111">
        <v>478.32397800000001</v>
      </c>
      <c r="T777" s="143">
        <v>0</v>
      </c>
      <c r="U777" s="142">
        <v>0.78500000000000003</v>
      </c>
      <c r="V777" s="111"/>
      <c r="W777" s="111"/>
      <c r="X777" s="111">
        <v>64</v>
      </c>
      <c r="Y777" s="111"/>
      <c r="Z777" s="111"/>
      <c r="AA777" s="111"/>
      <c r="AB777" s="111"/>
      <c r="AC777" s="111"/>
      <c r="AD777" s="111">
        <v>233</v>
      </c>
      <c r="AE777" s="111">
        <v>331</v>
      </c>
      <c r="AF777" s="111"/>
      <c r="AG777" s="111"/>
      <c r="AH777" s="111">
        <v>88.727999999999994</v>
      </c>
      <c r="AI777" s="111">
        <v>101</v>
      </c>
      <c r="AJ777" s="111"/>
      <c r="AK777" s="111"/>
      <c r="AL777" s="111"/>
      <c r="AM777" s="645">
        <f t="shared" si="14"/>
        <v>1615.836978</v>
      </c>
      <c r="AO777" s="289"/>
    </row>
    <row r="778" spans="1:42" s="61" customFormat="1" ht="21" customHeight="1" x14ac:dyDescent="0.3">
      <c r="A778" s="707"/>
      <c r="B778" s="181" t="s">
        <v>403</v>
      </c>
      <c r="C778" s="144">
        <v>300</v>
      </c>
      <c r="D778" s="112"/>
      <c r="E778" s="112"/>
      <c r="F778" s="268"/>
      <c r="G778" s="112">
        <v>344</v>
      </c>
      <c r="H778" s="112"/>
      <c r="I778" s="126"/>
      <c r="J778" s="112"/>
      <c r="K778" s="112"/>
      <c r="L778" s="268">
        <v>288</v>
      </c>
      <c r="M778" s="112"/>
      <c r="N778" s="126"/>
      <c r="O778" s="112"/>
      <c r="P778" s="112"/>
      <c r="Q778" s="112"/>
      <c r="R778" s="112"/>
      <c r="S778" s="112">
        <v>562.34198800000001</v>
      </c>
      <c r="T778" s="145">
        <v>0</v>
      </c>
      <c r="U778" s="144">
        <v>0.75800000000000001</v>
      </c>
      <c r="V778" s="112"/>
      <c r="W778" s="112"/>
      <c r="X778" s="112">
        <v>64</v>
      </c>
      <c r="Y778" s="112"/>
      <c r="Z778" s="112"/>
      <c r="AA778" s="112"/>
      <c r="AB778" s="112"/>
      <c r="AC778" s="112"/>
      <c r="AD778" s="112">
        <v>693</v>
      </c>
      <c r="AE778" s="112"/>
      <c r="AF778" s="112"/>
      <c r="AG778" s="112"/>
      <c r="AH778" s="112">
        <v>706</v>
      </c>
      <c r="AI778" s="112">
        <v>102</v>
      </c>
      <c r="AJ778" s="112"/>
      <c r="AK778" s="112"/>
      <c r="AL778" s="112"/>
      <c r="AM778" s="646">
        <f t="shared" si="14"/>
        <v>3060.0999879999999</v>
      </c>
      <c r="AO778" s="289"/>
    </row>
    <row r="779" spans="1:42" s="61" customFormat="1" ht="21" customHeight="1" x14ac:dyDescent="0.3">
      <c r="A779" s="705" t="s">
        <v>188</v>
      </c>
      <c r="B779" s="179" t="s">
        <v>293</v>
      </c>
      <c r="C779" s="135"/>
      <c r="D779" s="136"/>
      <c r="E779" s="136"/>
      <c r="F779" s="262"/>
      <c r="G779" s="136">
        <v>-55</v>
      </c>
      <c r="H779" s="136"/>
      <c r="I779" s="326"/>
      <c r="J779" s="136"/>
      <c r="K779" s="136"/>
      <c r="L779" s="262"/>
      <c r="M779" s="136"/>
      <c r="N779" s="326"/>
      <c r="O779" s="136"/>
      <c r="P779" s="136"/>
      <c r="Q779" s="136"/>
      <c r="R779" s="136"/>
      <c r="S779" s="136"/>
      <c r="T779" s="137"/>
      <c r="U779" s="632">
        <v>59.110999999999997</v>
      </c>
      <c r="V779" s="122"/>
      <c r="W779" s="122"/>
      <c r="X779" s="122"/>
      <c r="Y779" s="122"/>
      <c r="Z779" s="122"/>
      <c r="AA779" s="122"/>
      <c r="AB779" s="122"/>
      <c r="AC779" s="122"/>
      <c r="AD779" s="122"/>
      <c r="AE779" s="122"/>
      <c r="AF779" s="122"/>
      <c r="AG779" s="122"/>
      <c r="AH779" s="122"/>
      <c r="AI779" s="122" t="s">
        <v>482</v>
      </c>
      <c r="AJ779" s="122"/>
      <c r="AK779" s="122"/>
      <c r="AL779" s="122"/>
      <c r="AM779" s="639">
        <f t="shared" si="14"/>
        <v>4.1109999999999971</v>
      </c>
      <c r="AO779" s="289"/>
    </row>
    <row r="780" spans="1:42" s="61" customFormat="1" ht="19.5" customHeight="1" x14ac:dyDescent="0.3">
      <c r="A780" s="706"/>
      <c r="B780" s="116" t="s">
        <v>294</v>
      </c>
      <c r="C780" s="138"/>
      <c r="D780" s="109"/>
      <c r="E780" s="109"/>
      <c r="F780" s="263"/>
      <c r="G780" s="109"/>
      <c r="H780" s="109"/>
      <c r="I780" s="123"/>
      <c r="J780" s="109"/>
      <c r="K780" s="109"/>
      <c r="L780" s="263"/>
      <c r="M780" s="109"/>
      <c r="N780" s="123"/>
      <c r="O780" s="109"/>
      <c r="P780" s="109"/>
      <c r="Q780" s="109"/>
      <c r="R780" s="109"/>
      <c r="S780" s="109"/>
      <c r="T780" s="139"/>
      <c r="U780" s="138">
        <v>3.0379999999999998</v>
      </c>
      <c r="V780" s="109"/>
      <c r="W780" s="109"/>
      <c r="X780" s="109"/>
      <c r="Y780" s="109"/>
      <c r="Z780" s="109">
        <v>10</v>
      </c>
      <c r="AA780" s="109"/>
      <c r="AB780" s="109"/>
      <c r="AC780" s="109"/>
      <c r="AD780" s="109"/>
      <c r="AE780" s="109"/>
      <c r="AF780" s="109"/>
      <c r="AG780" s="109">
        <v>4.0999999999999996</v>
      </c>
      <c r="AH780" s="109"/>
      <c r="AI780" s="109" t="s">
        <v>482</v>
      </c>
      <c r="AJ780" s="109"/>
      <c r="AK780" s="109"/>
      <c r="AL780" s="109"/>
      <c r="AM780" s="640">
        <f t="shared" si="14"/>
        <v>17.137999999999998</v>
      </c>
      <c r="AO780" s="289"/>
    </row>
    <row r="781" spans="1:42" s="61" customFormat="1" ht="22.5" customHeight="1" x14ac:dyDescent="0.3">
      <c r="A781" s="706"/>
      <c r="B781" s="117" t="s">
        <v>326</v>
      </c>
      <c r="C781" s="140">
        <v>158</v>
      </c>
      <c r="D781" s="110"/>
      <c r="E781" s="110"/>
      <c r="F781" s="264"/>
      <c r="G781" s="110">
        <v>20</v>
      </c>
      <c r="H781" s="110"/>
      <c r="I781" s="124"/>
      <c r="J781" s="110"/>
      <c r="K781" s="110"/>
      <c r="L781" s="264"/>
      <c r="M781" s="110"/>
      <c r="N781" s="124"/>
      <c r="O781" s="110"/>
      <c r="P781" s="110"/>
      <c r="Q781" s="110"/>
      <c r="R781" s="110"/>
      <c r="S781" s="110">
        <v>-140</v>
      </c>
      <c r="T781" s="141"/>
      <c r="U781" s="140">
        <v>1.034</v>
      </c>
      <c r="V781" s="110"/>
      <c r="W781" s="110"/>
      <c r="X781" s="110"/>
      <c r="Y781" s="110"/>
      <c r="Z781" s="110">
        <v>10</v>
      </c>
      <c r="AA781" s="110"/>
      <c r="AB781" s="110"/>
      <c r="AC781" s="110"/>
      <c r="AD781" s="110"/>
      <c r="AE781" s="110"/>
      <c r="AF781" s="110"/>
      <c r="AG781" s="110">
        <v>1</v>
      </c>
      <c r="AH781" s="110"/>
      <c r="AI781" s="110" t="s">
        <v>482</v>
      </c>
      <c r="AJ781" s="110"/>
      <c r="AK781" s="110"/>
      <c r="AL781" s="110"/>
      <c r="AM781" s="641">
        <f t="shared" si="14"/>
        <v>50.033999999999999</v>
      </c>
      <c r="AO781" s="289"/>
      <c r="AP781" s="97"/>
    </row>
    <row r="782" spans="1:42" s="61" customFormat="1" ht="25.5" customHeight="1" x14ac:dyDescent="0.3">
      <c r="A782" s="706"/>
      <c r="B782" s="175" t="s">
        <v>327</v>
      </c>
      <c r="C782" s="176">
        <v>95.063000000000002</v>
      </c>
      <c r="D782" s="127"/>
      <c r="E782" s="127"/>
      <c r="F782" s="265"/>
      <c r="G782" s="127">
        <v>19</v>
      </c>
      <c r="H782" s="127"/>
      <c r="I782" s="178"/>
      <c r="J782" s="127"/>
      <c r="K782" s="127"/>
      <c r="L782" s="265"/>
      <c r="M782" s="127"/>
      <c r="N782" s="178"/>
      <c r="O782" s="127"/>
      <c r="P782" s="127"/>
      <c r="Q782" s="127"/>
      <c r="R782" s="127"/>
      <c r="S782" s="127">
        <v>13</v>
      </c>
      <c r="T782" s="177"/>
      <c r="U782" s="176">
        <v>6.2</v>
      </c>
      <c r="V782" s="127"/>
      <c r="W782" s="127"/>
      <c r="X782" s="127"/>
      <c r="Y782" s="127"/>
      <c r="Z782" s="127">
        <v>43</v>
      </c>
      <c r="AA782" s="127"/>
      <c r="AB782" s="127"/>
      <c r="AC782" s="127"/>
      <c r="AD782" s="127"/>
      <c r="AE782" s="127"/>
      <c r="AF782" s="127"/>
      <c r="AG782" s="127">
        <f>1</f>
        <v>1</v>
      </c>
      <c r="AH782" s="127"/>
      <c r="AI782" s="127" t="s">
        <v>482</v>
      </c>
      <c r="AJ782" s="127"/>
      <c r="AK782" s="127"/>
      <c r="AL782" s="127"/>
      <c r="AM782" s="642">
        <f t="shared" si="14"/>
        <v>177.26300000000001</v>
      </c>
      <c r="AO782" s="289"/>
    </row>
    <row r="783" spans="1:42" s="61" customFormat="1" ht="25.5" customHeight="1" x14ac:dyDescent="0.3">
      <c r="A783" s="706"/>
      <c r="B783" s="180" t="s">
        <v>361</v>
      </c>
      <c r="C783" s="300">
        <v>97</v>
      </c>
      <c r="D783" s="173"/>
      <c r="E783" s="173"/>
      <c r="F783" s="266"/>
      <c r="G783" s="173">
        <v>19</v>
      </c>
      <c r="H783" s="173"/>
      <c r="I783" s="174"/>
      <c r="J783" s="173"/>
      <c r="K783" s="173"/>
      <c r="L783" s="266"/>
      <c r="M783" s="173"/>
      <c r="N783" s="174"/>
      <c r="O783" s="173"/>
      <c r="P783" s="173"/>
      <c r="Q783" s="173"/>
      <c r="R783" s="173"/>
      <c r="S783" s="173">
        <v>15</v>
      </c>
      <c r="T783" s="327"/>
      <c r="U783" s="300">
        <v>0.997</v>
      </c>
      <c r="V783" s="173"/>
      <c r="W783" s="173">
        <v>29</v>
      </c>
      <c r="X783" s="173"/>
      <c r="Y783" s="173"/>
      <c r="Z783" s="173"/>
      <c r="AA783" s="173"/>
      <c r="AB783" s="173"/>
      <c r="AC783" s="173"/>
      <c r="AD783" s="173"/>
      <c r="AE783" s="173"/>
      <c r="AF783" s="173"/>
      <c r="AG783" s="173"/>
      <c r="AH783" s="173"/>
      <c r="AI783" s="173" t="s">
        <v>482</v>
      </c>
      <c r="AJ783" s="173"/>
      <c r="AK783" s="173"/>
      <c r="AL783" s="173"/>
      <c r="AM783" s="643">
        <f t="shared" si="14"/>
        <v>160.99700000000001</v>
      </c>
      <c r="AO783" s="289"/>
      <c r="AP783" s="97"/>
    </row>
    <row r="784" spans="1:42" s="61" customFormat="1" ht="25.5" customHeight="1" x14ac:dyDescent="0.3">
      <c r="A784" s="706"/>
      <c r="B784" s="180" t="s">
        <v>362</v>
      </c>
      <c r="C784" s="300">
        <v>60.3215</v>
      </c>
      <c r="D784" s="173"/>
      <c r="E784" s="173"/>
      <c r="F784" s="266"/>
      <c r="G784" s="173">
        <v>19</v>
      </c>
      <c r="H784" s="173"/>
      <c r="I784" s="174"/>
      <c r="J784" s="173"/>
      <c r="K784" s="173"/>
      <c r="L784" s="266"/>
      <c r="M784" s="173"/>
      <c r="N784" s="174"/>
      <c r="O784" s="173"/>
      <c r="P784" s="173"/>
      <c r="Q784" s="173"/>
      <c r="R784" s="173"/>
      <c r="S784" s="173">
        <v>113</v>
      </c>
      <c r="T784" s="327"/>
      <c r="U784" s="300">
        <v>0.127</v>
      </c>
      <c r="V784" s="173"/>
      <c r="W784" s="173"/>
      <c r="X784" s="173"/>
      <c r="Y784" s="173"/>
      <c r="Z784" s="173">
        <v>70</v>
      </c>
      <c r="AA784" s="173"/>
      <c r="AB784" s="173"/>
      <c r="AC784" s="173">
        <v>25</v>
      </c>
      <c r="AD784" s="173"/>
      <c r="AE784" s="173"/>
      <c r="AF784" s="173"/>
      <c r="AG784" s="173"/>
      <c r="AH784" s="173"/>
      <c r="AI784" s="173" t="s">
        <v>482</v>
      </c>
      <c r="AJ784" s="173"/>
      <c r="AK784" s="173"/>
      <c r="AL784" s="173"/>
      <c r="AM784" s="644">
        <f t="shared" si="14"/>
        <v>287.44850000000002</v>
      </c>
      <c r="AO784" s="289"/>
      <c r="AP784" s="97"/>
    </row>
    <row r="785" spans="1:42" s="61" customFormat="1" ht="22.5" customHeight="1" x14ac:dyDescent="0.3">
      <c r="A785" s="706"/>
      <c r="B785" s="115" t="s">
        <v>402</v>
      </c>
      <c r="C785" s="142">
        <v>239.37504000000001</v>
      </c>
      <c r="D785" s="111"/>
      <c r="E785" s="111"/>
      <c r="F785" s="267"/>
      <c r="G785" s="111"/>
      <c r="H785" s="111"/>
      <c r="I785" s="125"/>
      <c r="J785" s="111"/>
      <c r="K785" s="111"/>
      <c r="L785" s="267"/>
      <c r="M785" s="111"/>
      <c r="N785" s="125"/>
      <c r="O785" s="111"/>
      <c r="P785" s="111"/>
      <c r="Q785" s="111"/>
      <c r="R785" s="111"/>
      <c r="S785" s="111">
        <v>251.03056900000001</v>
      </c>
      <c r="T785" s="143"/>
      <c r="U785" s="142">
        <v>0.92900000000000005</v>
      </c>
      <c r="V785" s="111"/>
      <c r="W785" s="111"/>
      <c r="X785" s="111"/>
      <c r="Y785" s="111"/>
      <c r="Z785" s="111"/>
      <c r="AA785" s="111"/>
      <c r="AB785" s="111"/>
      <c r="AC785" s="111"/>
      <c r="AD785" s="111"/>
      <c r="AE785" s="111"/>
      <c r="AF785" s="111"/>
      <c r="AG785" s="111"/>
      <c r="AH785" s="111" t="s">
        <v>482</v>
      </c>
      <c r="AI785" s="111">
        <v>75</v>
      </c>
      <c r="AJ785" s="111"/>
      <c r="AK785" s="111"/>
      <c r="AL785" s="111"/>
      <c r="AM785" s="645">
        <f t="shared" si="14"/>
        <v>566.334609</v>
      </c>
      <c r="AO785" s="289"/>
    </row>
    <row r="786" spans="1:42" s="61" customFormat="1" ht="21" customHeight="1" x14ac:dyDescent="0.3">
      <c r="A786" s="707"/>
      <c r="B786" s="181" t="s">
        <v>403</v>
      </c>
      <c r="C786" s="144">
        <v>175.59299999999999</v>
      </c>
      <c r="D786" s="112"/>
      <c r="E786" s="112"/>
      <c r="F786" s="268"/>
      <c r="G786" s="112"/>
      <c r="H786" s="112"/>
      <c r="I786" s="126"/>
      <c r="J786" s="112"/>
      <c r="K786" s="112"/>
      <c r="L786" s="268"/>
      <c r="M786" s="112"/>
      <c r="N786" s="126"/>
      <c r="O786" s="112"/>
      <c r="P786" s="112"/>
      <c r="Q786" s="112"/>
      <c r="R786" s="112"/>
      <c r="S786" s="112">
        <v>307.65894400000002</v>
      </c>
      <c r="T786" s="145"/>
      <c r="U786" s="144">
        <v>0.89700000000000002</v>
      </c>
      <c r="V786" s="112"/>
      <c r="W786" s="112"/>
      <c r="X786" s="112"/>
      <c r="Y786" s="112"/>
      <c r="Z786" s="112"/>
      <c r="AA786" s="112"/>
      <c r="AB786" s="112"/>
      <c r="AC786" s="112">
        <v>50</v>
      </c>
      <c r="AD786" s="112"/>
      <c r="AE786" s="112"/>
      <c r="AF786" s="112"/>
      <c r="AG786" s="112"/>
      <c r="AH786" s="112">
        <v>40</v>
      </c>
      <c r="AI786" s="112">
        <v>75</v>
      </c>
      <c r="AJ786" s="112"/>
      <c r="AK786" s="112"/>
      <c r="AL786" s="112"/>
      <c r="AM786" s="646">
        <f t="shared" si="14"/>
        <v>649.14894400000003</v>
      </c>
      <c r="AO786" s="289"/>
    </row>
    <row r="787" spans="1:42" s="61" customFormat="1" ht="21" customHeight="1" x14ac:dyDescent="0.3">
      <c r="A787" s="705" t="s">
        <v>189</v>
      </c>
      <c r="B787" s="179" t="s">
        <v>293</v>
      </c>
      <c r="C787" s="135">
        <v>3</v>
      </c>
      <c r="D787" s="136"/>
      <c r="E787" s="136"/>
      <c r="F787" s="262"/>
      <c r="G787" s="136">
        <v>5</v>
      </c>
      <c r="H787" s="136"/>
      <c r="I787" s="326"/>
      <c r="J787" s="136"/>
      <c r="K787" s="136"/>
      <c r="L787" s="262"/>
      <c r="M787" s="136"/>
      <c r="N787" s="326"/>
      <c r="O787" s="136"/>
      <c r="P787" s="136"/>
      <c r="Q787" s="136"/>
      <c r="R787" s="136"/>
      <c r="S787" s="136"/>
      <c r="T787" s="137"/>
      <c r="U787" s="632"/>
      <c r="V787" s="122"/>
      <c r="W787" s="122"/>
      <c r="X787" s="122">
        <v>44</v>
      </c>
      <c r="Y787" s="122"/>
      <c r="Z787" s="122">
        <v>90</v>
      </c>
      <c r="AA787" s="122">
        <v>25.29</v>
      </c>
      <c r="AB787" s="122"/>
      <c r="AC787" s="122"/>
      <c r="AD787" s="122"/>
      <c r="AE787" s="122"/>
      <c r="AF787" s="122"/>
      <c r="AG787" s="122">
        <f>17.4/1.3</f>
        <v>13.384615384615383</v>
      </c>
      <c r="AH787" s="122">
        <v>12139.86</v>
      </c>
      <c r="AI787" s="122" t="s">
        <v>482</v>
      </c>
      <c r="AJ787" s="122"/>
      <c r="AK787" s="122"/>
      <c r="AL787" s="122"/>
      <c r="AM787" s="639">
        <f t="shared" si="14"/>
        <v>12320.534615384617</v>
      </c>
      <c r="AO787" s="289"/>
    </row>
    <row r="788" spans="1:42" s="61" customFormat="1" ht="19.5" customHeight="1" x14ac:dyDescent="0.3">
      <c r="A788" s="706"/>
      <c r="B788" s="116" t="s">
        <v>294</v>
      </c>
      <c r="C788" s="138">
        <v>7</v>
      </c>
      <c r="D788" s="109"/>
      <c r="E788" s="109"/>
      <c r="F788" s="263"/>
      <c r="G788" s="109">
        <v>6</v>
      </c>
      <c r="H788" s="109"/>
      <c r="I788" s="123"/>
      <c r="J788" s="109"/>
      <c r="K788" s="109"/>
      <c r="L788" s="263"/>
      <c r="M788" s="109"/>
      <c r="N788" s="123"/>
      <c r="O788" s="109"/>
      <c r="P788" s="109"/>
      <c r="Q788" s="109"/>
      <c r="R788" s="109"/>
      <c r="S788" s="109"/>
      <c r="T788" s="139">
        <v>10.121</v>
      </c>
      <c r="U788" s="138">
        <v>0.58599999999999997</v>
      </c>
      <c r="V788" s="109"/>
      <c r="W788" s="109"/>
      <c r="X788" s="109">
        <v>44</v>
      </c>
      <c r="Y788" s="109"/>
      <c r="Z788" s="109">
        <v>-2</v>
      </c>
      <c r="AA788" s="109">
        <v>54.357059999999997</v>
      </c>
      <c r="AB788" s="109"/>
      <c r="AC788" s="109"/>
      <c r="AD788" s="109"/>
      <c r="AE788" s="109"/>
      <c r="AF788" s="109"/>
      <c r="AG788" s="109"/>
      <c r="AH788" s="109">
        <v>2777.67</v>
      </c>
      <c r="AI788" s="109" t="s">
        <v>482</v>
      </c>
      <c r="AJ788" s="109"/>
      <c r="AK788" s="109"/>
      <c r="AL788" s="109"/>
      <c r="AM788" s="640">
        <f t="shared" si="14"/>
        <v>2897.7340600000002</v>
      </c>
      <c r="AO788" s="289"/>
    </row>
    <row r="789" spans="1:42" s="61" customFormat="1" ht="22.5" customHeight="1" x14ac:dyDescent="0.3">
      <c r="A789" s="706"/>
      <c r="B789" s="117" t="s">
        <v>326</v>
      </c>
      <c r="C789" s="140"/>
      <c r="D789" s="110"/>
      <c r="E789" s="110"/>
      <c r="F789" s="264"/>
      <c r="G789" s="110"/>
      <c r="H789" s="110"/>
      <c r="I789" s="124"/>
      <c r="J789" s="110"/>
      <c r="K789" s="110"/>
      <c r="L789" s="264"/>
      <c r="M789" s="110"/>
      <c r="N789" s="124"/>
      <c r="O789" s="110"/>
      <c r="P789" s="110">
        <v>11</v>
      </c>
      <c r="Q789" s="110"/>
      <c r="R789" s="110"/>
      <c r="S789" s="110"/>
      <c r="T789" s="141"/>
      <c r="U789" s="140"/>
      <c r="V789" s="110"/>
      <c r="W789" s="110"/>
      <c r="X789" s="110">
        <v>50</v>
      </c>
      <c r="Y789" s="110"/>
      <c r="Z789" s="110">
        <v>114</v>
      </c>
      <c r="AA789" s="110">
        <v>28.673249999999999</v>
      </c>
      <c r="AB789" s="110"/>
      <c r="AC789" s="110"/>
      <c r="AD789" s="110"/>
      <c r="AE789" s="110"/>
      <c r="AF789" s="110"/>
      <c r="AG789" s="110">
        <f>2/1.3</f>
        <v>1.5384615384615383</v>
      </c>
      <c r="AH789" s="110">
        <v>10044.441000000001</v>
      </c>
      <c r="AI789" s="110" t="s">
        <v>482</v>
      </c>
      <c r="AJ789" s="110"/>
      <c r="AK789" s="110"/>
      <c r="AL789" s="110"/>
      <c r="AM789" s="641">
        <f t="shared" ref="AM789:AM844" si="15">SUM(C789:AL789)</f>
        <v>10249.652711538462</v>
      </c>
      <c r="AO789" s="289"/>
      <c r="AP789" s="97"/>
    </row>
    <row r="790" spans="1:42" s="61" customFormat="1" ht="25.5" customHeight="1" x14ac:dyDescent="0.3">
      <c r="A790" s="706"/>
      <c r="B790" s="175" t="s">
        <v>327</v>
      </c>
      <c r="C790" s="176"/>
      <c r="D790" s="127"/>
      <c r="E790" s="127"/>
      <c r="F790" s="265"/>
      <c r="G790" s="127"/>
      <c r="H790" s="127">
        <v>25</v>
      </c>
      <c r="I790" s="178"/>
      <c r="J790" s="127"/>
      <c r="K790" s="127"/>
      <c r="L790" s="265"/>
      <c r="M790" s="127"/>
      <c r="N790" s="178"/>
      <c r="O790" s="127"/>
      <c r="P790" s="127"/>
      <c r="Q790" s="127"/>
      <c r="R790" s="127"/>
      <c r="S790" s="127">
        <v>135</v>
      </c>
      <c r="T790" s="177"/>
      <c r="U790" s="176">
        <v>0.55000000000000004</v>
      </c>
      <c r="V790" s="127"/>
      <c r="W790" s="127"/>
      <c r="X790" s="127">
        <v>50</v>
      </c>
      <c r="Y790" s="127"/>
      <c r="Z790" s="127">
        <v>460</v>
      </c>
      <c r="AA790" s="127">
        <v>28.14846</v>
      </c>
      <c r="AB790" s="127"/>
      <c r="AC790" s="127"/>
      <c r="AD790" s="127"/>
      <c r="AE790" s="127"/>
      <c r="AF790" s="127"/>
      <c r="AG790" s="127"/>
      <c r="AH790" s="127">
        <v>14310.8</v>
      </c>
      <c r="AI790" s="127" t="s">
        <v>482</v>
      </c>
      <c r="AJ790" s="127"/>
      <c r="AK790" s="127"/>
      <c r="AL790" s="127"/>
      <c r="AM790" s="642">
        <f t="shared" si="15"/>
        <v>15009.498459999999</v>
      </c>
      <c r="AO790" s="289"/>
    </row>
    <row r="791" spans="1:42" s="61" customFormat="1" ht="25.5" customHeight="1" x14ac:dyDescent="0.3">
      <c r="A791" s="706"/>
      <c r="B791" s="180" t="s">
        <v>361</v>
      </c>
      <c r="C791" s="300"/>
      <c r="D791" s="173"/>
      <c r="E791" s="173"/>
      <c r="F791" s="266"/>
      <c r="G791" s="173">
        <f>7+0</f>
        <v>7</v>
      </c>
      <c r="H791" s="173"/>
      <c r="I791" s="174"/>
      <c r="J791" s="173"/>
      <c r="K791" s="173"/>
      <c r="L791" s="266"/>
      <c r="M791" s="173"/>
      <c r="N791" s="174"/>
      <c r="O791" s="173"/>
      <c r="P791" s="173"/>
      <c r="Q791" s="173"/>
      <c r="R791" s="173"/>
      <c r="S791" s="173">
        <v>218</v>
      </c>
      <c r="T791" s="327"/>
      <c r="U791" s="300"/>
      <c r="V791" s="173"/>
      <c r="W791" s="173"/>
      <c r="X791" s="173">
        <v>50</v>
      </c>
      <c r="Y791" s="173"/>
      <c r="Z791" s="173">
        <v>645.94803000000002</v>
      </c>
      <c r="AA791" s="173">
        <v>29</v>
      </c>
      <c r="AB791" s="173"/>
      <c r="AC791" s="173"/>
      <c r="AD791" s="173"/>
      <c r="AE791" s="173"/>
      <c r="AF791" s="173"/>
      <c r="AG791" s="173"/>
      <c r="AH791" s="173">
        <v>21174</v>
      </c>
      <c r="AI791" s="173" t="s">
        <v>482</v>
      </c>
      <c r="AJ791" s="173"/>
      <c r="AK791" s="173">
        <v>169</v>
      </c>
      <c r="AL791" s="173"/>
      <c r="AM791" s="643">
        <f t="shared" si="15"/>
        <v>22292.94803</v>
      </c>
      <c r="AO791" s="289"/>
      <c r="AP791" s="97"/>
    </row>
    <row r="792" spans="1:42" s="61" customFormat="1" ht="25.5" customHeight="1" x14ac:dyDescent="0.3">
      <c r="A792" s="706"/>
      <c r="B792" s="180" t="s">
        <v>362</v>
      </c>
      <c r="C792" s="300"/>
      <c r="D792" s="173"/>
      <c r="E792" s="173"/>
      <c r="F792" s="266"/>
      <c r="G792" s="173">
        <f>7+257</f>
        <v>264</v>
      </c>
      <c r="H792" s="173"/>
      <c r="I792" s="174"/>
      <c r="J792" s="173"/>
      <c r="K792" s="173"/>
      <c r="L792" s="266"/>
      <c r="M792" s="173"/>
      <c r="N792" s="174"/>
      <c r="O792" s="173"/>
      <c r="P792" s="173"/>
      <c r="Q792" s="173"/>
      <c r="R792" s="173"/>
      <c r="S792" s="173">
        <v>399</v>
      </c>
      <c r="T792" s="327"/>
      <c r="U792" s="300">
        <v>0.57999999999999996</v>
      </c>
      <c r="V792" s="173"/>
      <c r="W792" s="173"/>
      <c r="X792" s="173">
        <v>60</v>
      </c>
      <c r="Y792" s="173"/>
      <c r="Z792" s="173">
        <v>376.16888</v>
      </c>
      <c r="AA792" s="173">
        <v>38</v>
      </c>
      <c r="AB792" s="173"/>
      <c r="AC792" s="173"/>
      <c r="AD792" s="173"/>
      <c r="AE792" s="173"/>
      <c r="AF792" s="173"/>
      <c r="AG792" s="173"/>
      <c r="AH792" s="173">
        <v>2546</v>
      </c>
      <c r="AI792" s="173">
        <v>1</v>
      </c>
      <c r="AJ792" s="173"/>
      <c r="AK792" s="173">
        <v>11</v>
      </c>
      <c r="AL792" s="173"/>
      <c r="AM792" s="644">
        <f t="shared" si="15"/>
        <v>3695.7488800000001</v>
      </c>
      <c r="AO792" s="289"/>
      <c r="AP792" s="97"/>
    </row>
    <row r="793" spans="1:42" s="61" customFormat="1" ht="22.5" customHeight="1" x14ac:dyDescent="0.3">
      <c r="A793" s="706"/>
      <c r="B793" s="115" t="s">
        <v>402</v>
      </c>
      <c r="C793" s="142"/>
      <c r="D793" s="111"/>
      <c r="E793" s="111"/>
      <c r="F793" s="267"/>
      <c r="G793" s="111"/>
      <c r="H793" s="111"/>
      <c r="I793" s="125"/>
      <c r="J793" s="111"/>
      <c r="K793" s="111"/>
      <c r="L793" s="267"/>
      <c r="M793" s="111"/>
      <c r="N793" s="125"/>
      <c r="O793" s="111"/>
      <c r="P793" s="111">
        <v>34</v>
      </c>
      <c r="Q793" s="111"/>
      <c r="R793" s="111"/>
      <c r="S793" s="111">
        <v>9.4905000000000003E-2</v>
      </c>
      <c r="T793" s="143"/>
      <c r="U793" s="142">
        <v>15.512</v>
      </c>
      <c r="V793" s="111"/>
      <c r="W793" s="111"/>
      <c r="X793" s="111">
        <v>60</v>
      </c>
      <c r="Y793" s="111"/>
      <c r="Z793" s="111">
        <v>116</v>
      </c>
      <c r="AA793" s="111"/>
      <c r="AB793" s="111">
        <v>63.3</v>
      </c>
      <c r="AC793" s="111"/>
      <c r="AD793" s="111"/>
      <c r="AE793" s="111"/>
      <c r="AF793" s="111"/>
      <c r="AG793" s="111"/>
      <c r="AH793" s="111">
        <v>5610.7669999999998</v>
      </c>
      <c r="AI793" s="111" t="s">
        <v>482</v>
      </c>
      <c r="AJ793" s="111"/>
      <c r="AK793" s="111">
        <f>275.424/1.097</f>
        <v>251.07019143117591</v>
      </c>
      <c r="AL793" s="111"/>
      <c r="AM793" s="645">
        <f t="shared" si="15"/>
        <v>6150.7440964311754</v>
      </c>
      <c r="AO793" s="289"/>
    </row>
    <row r="794" spans="1:42" s="61" customFormat="1" ht="21" customHeight="1" x14ac:dyDescent="0.3">
      <c r="A794" s="707"/>
      <c r="B794" s="181" t="s">
        <v>403</v>
      </c>
      <c r="C794" s="144">
        <v>9.8946199999999997</v>
      </c>
      <c r="D794" s="112"/>
      <c r="E794" s="112"/>
      <c r="F794" s="268"/>
      <c r="G794" s="112">
        <v>75</v>
      </c>
      <c r="H794" s="112">
        <v>4</v>
      </c>
      <c r="I794" s="126"/>
      <c r="J794" s="112"/>
      <c r="K794" s="112"/>
      <c r="L794" s="268"/>
      <c r="M794" s="112"/>
      <c r="N794" s="126"/>
      <c r="O794" s="112"/>
      <c r="P794" s="112">
        <v>0</v>
      </c>
      <c r="Q794" s="112"/>
      <c r="R794" s="112"/>
      <c r="S794" s="112">
        <v>366.60599999999999</v>
      </c>
      <c r="T794" s="145"/>
      <c r="U794" s="144"/>
      <c r="V794" s="112"/>
      <c r="W794" s="112"/>
      <c r="X794" s="112">
        <v>122</v>
      </c>
      <c r="Y794" s="112"/>
      <c r="Z794" s="112">
        <v>118</v>
      </c>
      <c r="AA794" s="112"/>
      <c r="AB794" s="112"/>
      <c r="AC794" s="112"/>
      <c r="AD794" s="112"/>
      <c r="AE794" s="112"/>
      <c r="AF794" s="112"/>
      <c r="AG794" s="112"/>
      <c r="AH794" s="112">
        <v>14576.936</v>
      </c>
      <c r="AI794" s="112" t="s">
        <v>482</v>
      </c>
      <c r="AJ794" s="112"/>
      <c r="AK794" s="112">
        <f>30.4895/1.001</f>
        <v>30.459040959040962</v>
      </c>
      <c r="AL794" s="112"/>
      <c r="AM794" s="646">
        <f t="shared" si="15"/>
        <v>15302.89566095904</v>
      </c>
      <c r="AO794" s="289"/>
    </row>
    <row r="795" spans="1:42" s="61" customFormat="1" ht="21" customHeight="1" x14ac:dyDescent="0.3">
      <c r="A795" s="705" t="s">
        <v>358</v>
      </c>
      <c r="B795" s="179" t="s">
        <v>293</v>
      </c>
      <c r="C795" s="135"/>
      <c r="D795" s="136"/>
      <c r="E795" s="136"/>
      <c r="F795" s="262"/>
      <c r="G795" s="136"/>
      <c r="H795" s="136"/>
      <c r="I795" s="326"/>
      <c r="J795" s="136"/>
      <c r="K795" s="136"/>
      <c r="L795" s="262"/>
      <c r="M795" s="136"/>
      <c r="N795" s="326"/>
      <c r="O795" s="136"/>
      <c r="P795" s="136"/>
      <c r="Q795" s="136"/>
      <c r="R795" s="136"/>
      <c r="S795" s="136"/>
      <c r="T795" s="137"/>
      <c r="U795" s="632"/>
      <c r="V795" s="122"/>
      <c r="W795" s="122"/>
      <c r="X795" s="122"/>
      <c r="Y795" s="122"/>
      <c r="Z795" s="122"/>
      <c r="AA795" s="122"/>
      <c r="AB795" s="122"/>
      <c r="AC795" s="122"/>
      <c r="AD795" s="122"/>
      <c r="AE795" s="122"/>
      <c r="AF795" s="122"/>
      <c r="AG795" s="122"/>
      <c r="AH795" s="122"/>
      <c r="AI795" s="122" t="s">
        <v>482</v>
      </c>
      <c r="AJ795" s="122"/>
      <c r="AK795" s="122"/>
      <c r="AL795" s="122"/>
      <c r="AM795" s="639">
        <f t="shared" si="15"/>
        <v>0</v>
      </c>
      <c r="AO795" s="289"/>
    </row>
    <row r="796" spans="1:42" s="61" customFormat="1" ht="19.5" customHeight="1" x14ac:dyDescent="0.3">
      <c r="A796" s="706"/>
      <c r="B796" s="116" t="s">
        <v>294</v>
      </c>
      <c r="C796" s="138"/>
      <c r="D796" s="109"/>
      <c r="E796" s="109"/>
      <c r="F796" s="263"/>
      <c r="G796" s="109"/>
      <c r="H796" s="109"/>
      <c r="I796" s="123"/>
      <c r="J796" s="109"/>
      <c r="K796" s="109"/>
      <c r="L796" s="263"/>
      <c r="M796" s="109"/>
      <c r="N796" s="123"/>
      <c r="O796" s="109"/>
      <c r="P796" s="109"/>
      <c r="Q796" s="109"/>
      <c r="R796" s="109"/>
      <c r="S796" s="109"/>
      <c r="T796" s="139"/>
      <c r="U796" s="138"/>
      <c r="V796" s="109"/>
      <c r="W796" s="109"/>
      <c r="X796" s="109"/>
      <c r="Y796" s="109"/>
      <c r="Z796" s="109"/>
      <c r="AA796" s="109"/>
      <c r="AB796" s="109"/>
      <c r="AC796" s="109"/>
      <c r="AD796" s="109"/>
      <c r="AE796" s="109"/>
      <c r="AF796" s="109"/>
      <c r="AG796" s="109"/>
      <c r="AH796" s="109"/>
      <c r="AI796" s="109" t="s">
        <v>482</v>
      </c>
      <c r="AJ796" s="109"/>
      <c r="AK796" s="109"/>
      <c r="AL796" s="109"/>
      <c r="AM796" s="640">
        <f t="shared" si="15"/>
        <v>0</v>
      </c>
      <c r="AO796" s="289"/>
    </row>
    <row r="797" spans="1:42" s="61" customFormat="1" ht="22.5" customHeight="1" x14ac:dyDescent="0.3">
      <c r="A797" s="706"/>
      <c r="B797" s="117" t="s">
        <v>326</v>
      </c>
      <c r="C797" s="140"/>
      <c r="D797" s="110"/>
      <c r="E797" s="110"/>
      <c r="F797" s="264"/>
      <c r="G797" s="110"/>
      <c r="H797" s="110"/>
      <c r="I797" s="124"/>
      <c r="J797" s="110"/>
      <c r="K797" s="110"/>
      <c r="L797" s="264"/>
      <c r="M797" s="110"/>
      <c r="N797" s="124"/>
      <c r="O797" s="110"/>
      <c r="P797" s="110"/>
      <c r="Q797" s="110"/>
      <c r="R797" s="110"/>
      <c r="S797" s="110"/>
      <c r="T797" s="141"/>
      <c r="U797" s="140"/>
      <c r="V797" s="110"/>
      <c r="W797" s="110"/>
      <c r="X797" s="110"/>
      <c r="Y797" s="110"/>
      <c r="Z797" s="110"/>
      <c r="AA797" s="110"/>
      <c r="AB797" s="110"/>
      <c r="AC797" s="110"/>
      <c r="AD797" s="110"/>
      <c r="AE797" s="110"/>
      <c r="AF797" s="110"/>
      <c r="AG797" s="110"/>
      <c r="AH797" s="110"/>
      <c r="AI797" s="110" t="s">
        <v>482</v>
      </c>
      <c r="AJ797" s="110"/>
      <c r="AK797" s="110"/>
      <c r="AL797" s="110"/>
      <c r="AM797" s="641">
        <f t="shared" si="15"/>
        <v>0</v>
      </c>
      <c r="AO797" s="289"/>
      <c r="AP797" s="97"/>
    </row>
    <row r="798" spans="1:42" s="61" customFormat="1" ht="25.5" customHeight="1" x14ac:dyDescent="0.3">
      <c r="A798" s="706"/>
      <c r="B798" s="175" t="s">
        <v>327</v>
      </c>
      <c r="C798" s="176"/>
      <c r="D798" s="127"/>
      <c r="E798" s="127"/>
      <c r="F798" s="265"/>
      <c r="G798" s="127"/>
      <c r="H798" s="127">
        <v>508</v>
      </c>
      <c r="I798" s="178"/>
      <c r="J798" s="127"/>
      <c r="K798" s="127"/>
      <c r="L798" s="265"/>
      <c r="M798" s="127"/>
      <c r="N798" s="178"/>
      <c r="O798" s="127"/>
      <c r="P798" s="127"/>
      <c r="Q798" s="127"/>
      <c r="R798" s="127"/>
      <c r="S798" s="127"/>
      <c r="T798" s="177"/>
      <c r="U798" s="176"/>
      <c r="V798" s="127"/>
      <c r="W798" s="127"/>
      <c r="X798" s="127"/>
      <c r="Y798" s="127"/>
      <c r="Z798" s="127"/>
      <c r="AA798" s="127"/>
      <c r="AB798" s="127"/>
      <c r="AC798" s="127"/>
      <c r="AD798" s="127"/>
      <c r="AE798" s="127"/>
      <c r="AF798" s="127"/>
      <c r="AG798" s="127"/>
      <c r="AH798" s="127"/>
      <c r="AI798" s="127" t="s">
        <v>482</v>
      </c>
      <c r="AJ798" s="127"/>
      <c r="AK798" s="127"/>
      <c r="AL798" s="127"/>
      <c r="AM798" s="642">
        <f t="shared" si="15"/>
        <v>508</v>
      </c>
      <c r="AO798" s="289"/>
    </row>
    <row r="799" spans="1:42" s="61" customFormat="1" ht="25.5" customHeight="1" x14ac:dyDescent="0.3">
      <c r="A799" s="706"/>
      <c r="B799" s="180" t="s">
        <v>361</v>
      </c>
      <c r="C799" s="300"/>
      <c r="D799" s="173"/>
      <c r="E799" s="173"/>
      <c r="F799" s="266"/>
      <c r="G799" s="173"/>
      <c r="H799" s="173">
        <v>355</v>
      </c>
      <c r="I799" s="174"/>
      <c r="J799" s="173"/>
      <c r="K799" s="173"/>
      <c r="L799" s="266"/>
      <c r="M799" s="173"/>
      <c r="N799" s="174"/>
      <c r="O799" s="173"/>
      <c r="P799" s="173"/>
      <c r="Q799" s="173"/>
      <c r="R799" s="173"/>
      <c r="S799" s="173">
        <v>4345</v>
      </c>
      <c r="T799" s="327"/>
      <c r="U799" s="300"/>
      <c r="V799" s="173"/>
      <c r="W799" s="173"/>
      <c r="X799" s="173"/>
      <c r="Y799" s="173"/>
      <c r="Z799" s="173"/>
      <c r="AA799" s="173"/>
      <c r="AB799" s="173"/>
      <c r="AC799" s="173"/>
      <c r="AD799" s="173"/>
      <c r="AE799" s="173"/>
      <c r="AF799" s="173"/>
      <c r="AG799" s="173"/>
      <c r="AH799" s="173"/>
      <c r="AI799" s="173" t="s">
        <v>482</v>
      </c>
      <c r="AJ799" s="173"/>
      <c r="AK799" s="173"/>
      <c r="AL799" s="173"/>
      <c r="AM799" s="643">
        <f t="shared" si="15"/>
        <v>4700</v>
      </c>
      <c r="AO799" s="289"/>
      <c r="AP799" s="97"/>
    </row>
    <row r="800" spans="1:42" s="61" customFormat="1" ht="25.5" customHeight="1" x14ac:dyDescent="0.3">
      <c r="A800" s="706"/>
      <c r="B800" s="180" t="s">
        <v>362</v>
      </c>
      <c r="C800" s="300"/>
      <c r="D800" s="173"/>
      <c r="E800" s="173"/>
      <c r="F800" s="266"/>
      <c r="G800" s="173"/>
      <c r="H800" s="173">
        <v>712</v>
      </c>
      <c r="I800" s="174"/>
      <c r="J800" s="173"/>
      <c r="K800" s="173"/>
      <c r="L800" s="266"/>
      <c r="M800" s="173"/>
      <c r="N800" s="174"/>
      <c r="O800" s="173"/>
      <c r="P800" s="173"/>
      <c r="Q800" s="173"/>
      <c r="R800" s="173"/>
      <c r="S800" s="173">
        <v>4482</v>
      </c>
      <c r="T800" s="327"/>
      <c r="U800" s="300"/>
      <c r="V800" s="173"/>
      <c r="W800" s="173"/>
      <c r="X800" s="173"/>
      <c r="Y800" s="173"/>
      <c r="Z800" s="173"/>
      <c r="AA800" s="173"/>
      <c r="AB800" s="173"/>
      <c r="AC800" s="173"/>
      <c r="AD800" s="173"/>
      <c r="AE800" s="173"/>
      <c r="AF800" s="173"/>
      <c r="AG800" s="173"/>
      <c r="AH800" s="173"/>
      <c r="AI800" s="173" t="s">
        <v>482</v>
      </c>
      <c r="AJ800" s="173"/>
      <c r="AK800" s="173"/>
      <c r="AL800" s="173"/>
      <c r="AM800" s="644">
        <f t="shared" si="15"/>
        <v>5194</v>
      </c>
      <c r="AO800" s="289"/>
      <c r="AP800" s="97"/>
    </row>
    <row r="801" spans="1:42" s="61" customFormat="1" ht="22.5" customHeight="1" x14ac:dyDescent="0.3">
      <c r="A801" s="706"/>
      <c r="B801" s="115" t="s">
        <v>402</v>
      </c>
      <c r="C801" s="142"/>
      <c r="D801" s="111"/>
      <c r="E801" s="111"/>
      <c r="F801" s="267"/>
      <c r="G801" s="111"/>
      <c r="H801" s="111"/>
      <c r="I801" s="125"/>
      <c r="J801" s="111"/>
      <c r="K801" s="111"/>
      <c r="L801" s="267"/>
      <c r="M801" s="111"/>
      <c r="N801" s="125"/>
      <c r="O801" s="111"/>
      <c r="P801" s="111"/>
      <c r="Q801" s="111"/>
      <c r="R801" s="111"/>
      <c r="S801" s="111">
        <v>2650.166275</v>
      </c>
      <c r="T801" s="143"/>
      <c r="U801" s="142"/>
      <c r="V801" s="111"/>
      <c r="W801" s="111"/>
      <c r="X801" s="111"/>
      <c r="Y801" s="111"/>
      <c r="Z801" s="111"/>
      <c r="AA801" s="111"/>
      <c r="AB801" s="111"/>
      <c r="AC801" s="111">
        <v>315</v>
      </c>
      <c r="AD801" s="111"/>
      <c r="AE801" s="111"/>
      <c r="AF801" s="111"/>
      <c r="AG801" s="111"/>
      <c r="AH801" s="111" t="s">
        <v>482</v>
      </c>
      <c r="AI801" s="111" t="s">
        <v>482</v>
      </c>
      <c r="AJ801" s="111"/>
      <c r="AK801" s="111"/>
      <c r="AL801" s="111"/>
      <c r="AM801" s="645">
        <f t="shared" si="15"/>
        <v>2965.166275</v>
      </c>
      <c r="AO801" s="289"/>
    </row>
    <row r="802" spans="1:42" s="61" customFormat="1" ht="21" customHeight="1" x14ac:dyDescent="0.3">
      <c r="A802" s="707"/>
      <c r="B802" s="181" t="s">
        <v>403</v>
      </c>
      <c r="C802" s="144"/>
      <c r="D802" s="112"/>
      <c r="E802" s="112"/>
      <c r="F802" s="268"/>
      <c r="G802" s="112"/>
      <c r="H802" s="112"/>
      <c r="I802" s="126"/>
      <c r="J802" s="112"/>
      <c r="K802" s="112"/>
      <c r="L802" s="268"/>
      <c r="M802" s="112"/>
      <c r="N802" s="126"/>
      <c r="O802" s="112"/>
      <c r="P802" s="112"/>
      <c r="Q802" s="112"/>
      <c r="R802" s="112"/>
      <c r="S802" s="112">
        <v>952.14135899999997</v>
      </c>
      <c r="T802" s="145"/>
      <c r="U802" s="144"/>
      <c r="V802" s="112"/>
      <c r="W802" s="112"/>
      <c r="X802" s="112"/>
      <c r="Y802" s="112"/>
      <c r="Z802" s="112"/>
      <c r="AA802" s="112"/>
      <c r="AB802" s="112"/>
      <c r="AC802" s="112">
        <v>64</v>
      </c>
      <c r="AD802" s="112"/>
      <c r="AE802" s="112"/>
      <c r="AF802" s="112"/>
      <c r="AG802" s="112"/>
      <c r="AH802" s="112" t="s">
        <v>482</v>
      </c>
      <c r="AI802" s="112" t="s">
        <v>482</v>
      </c>
      <c r="AJ802" s="112"/>
      <c r="AK802" s="112"/>
      <c r="AL802" s="112"/>
      <c r="AM802" s="646">
        <f t="shared" si="15"/>
        <v>1016.141359</v>
      </c>
      <c r="AO802" s="289"/>
    </row>
    <row r="803" spans="1:42" s="61" customFormat="1" ht="21" customHeight="1" x14ac:dyDescent="0.3">
      <c r="A803" s="705" t="s">
        <v>191</v>
      </c>
      <c r="B803" s="179" t="s">
        <v>293</v>
      </c>
      <c r="C803" s="135">
        <v>110</v>
      </c>
      <c r="D803" s="136">
        <v>39111</v>
      </c>
      <c r="E803" s="136"/>
      <c r="F803" s="262">
        <v>-67.498000000000005</v>
      </c>
      <c r="G803" s="136">
        <v>182</v>
      </c>
      <c r="H803" s="136"/>
      <c r="I803" s="326"/>
      <c r="J803" s="136"/>
      <c r="K803" s="136"/>
      <c r="L803" s="262"/>
      <c r="M803" s="136"/>
      <c r="N803" s="326"/>
      <c r="O803" s="136"/>
      <c r="P803" s="136"/>
      <c r="Q803" s="136"/>
      <c r="R803" s="136"/>
      <c r="S803" s="136"/>
      <c r="T803" s="137">
        <v>200</v>
      </c>
      <c r="U803" s="632">
        <v>500</v>
      </c>
      <c r="V803" s="122"/>
      <c r="W803" s="122"/>
      <c r="X803" s="122"/>
      <c r="Y803" s="122">
        <v>844</v>
      </c>
      <c r="Z803" s="122">
        <v>450</v>
      </c>
      <c r="AA803" s="122">
        <v>4.1440000000000001</v>
      </c>
      <c r="AB803" s="122">
        <v>20</v>
      </c>
      <c r="AC803" s="122">
        <v>5</v>
      </c>
      <c r="AD803" s="122">
        <v>1500</v>
      </c>
      <c r="AE803" s="122"/>
      <c r="AF803" s="122"/>
      <c r="AG803" s="122">
        <v>6</v>
      </c>
      <c r="AH803" s="122"/>
      <c r="AI803" s="122">
        <v>275</v>
      </c>
      <c r="AJ803" s="122"/>
      <c r="AK803" s="122"/>
      <c r="AL803" s="122"/>
      <c r="AM803" s="639">
        <f t="shared" si="15"/>
        <v>43139.646000000001</v>
      </c>
      <c r="AO803" s="289"/>
    </row>
    <row r="804" spans="1:42" s="61" customFormat="1" ht="19.5" customHeight="1" x14ac:dyDescent="0.3">
      <c r="A804" s="706"/>
      <c r="B804" s="116" t="s">
        <v>294</v>
      </c>
      <c r="C804" s="138"/>
      <c r="D804" s="109">
        <v>5618</v>
      </c>
      <c r="E804" s="109"/>
      <c r="F804" s="263">
        <v>-10.288</v>
      </c>
      <c r="G804" s="109"/>
      <c r="H804" s="109"/>
      <c r="I804" s="123"/>
      <c r="J804" s="109"/>
      <c r="K804" s="109"/>
      <c r="L804" s="263"/>
      <c r="M804" s="109"/>
      <c r="N804" s="123"/>
      <c r="O804" s="109"/>
      <c r="P804" s="109"/>
      <c r="Q804" s="109"/>
      <c r="R804" s="109"/>
      <c r="S804" s="109"/>
      <c r="T804" s="139">
        <v>200</v>
      </c>
      <c r="U804" s="138">
        <v>50.567999999999998</v>
      </c>
      <c r="V804" s="109"/>
      <c r="W804" s="109"/>
      <c r="X804" s="109"/>
      <c r="Y804" s="109">
        <v>2006</v>
      </c>
      <c r="Z804" s="109"/>
      <c r="AA804" s="109">
        <v>3.5710000000000002</v>
      </c>
      <c r="AB804" s="109">
        <v>20</v>
      </c>
      <c r="AC804" s="109">
        <v>5</v>
      </c>
      <c r="AD804" s="109">
        <v>1500</v>
      </c>
      <c r="AE804" s="109"/>
      <c r="AF804" s="109"/>
      <c r="AG804" s="109">
        <v>6</v>
      </c>
      <c r="AH804" s="109">
        <v>1000</v>
      </c>
      <c r="AI804" s="109">
        <v>125</v>
      </c>
      <c r="AJ804" s="109"/>
      <c r="AK804" s="109"/>
      <c r="AL804" s="109"/>
      <c r="AM804" s="640">
        <f t="shared" si="15"/>
        <v>10523.851000000001</v>
      </c>
      <c r="AO804" s="289"/>
    </row>
    <row r="805" spans="1:42" s="61" customFormat="1" ht="22.5" customHeight="1" x14ac:dyDescent="0.3">
      <c r="A805" s="706"/>
      <c r="B805" s="117" t="s">
        <v>326</v>
      </c>
      <c r="C805" s="140">
        <v>159.83099999999999</v>
      </c>
      <c r="D805" s="110"/>
      <c r="E805" s="110"/>
      <c r="F805" s="264"/>
      <c r="G805" s="110">
        <v>209</v>
      </c>
      <c r="H805" s="110"/>
      <c r="I805" s="124"/>
      <c r="J805" s="110"/>
      <c r="K805" s="110"/>
      <c r="L805" s="264">
        <v>152</v>
      </c>
      <c r="M805" s="110"/>
      <c r="N805" s="124"/>
      <c r="O805" s="110"/>
      <c r="P805" s="110"/>
      <c r="Q805" s="110"/>
      <c r="R805" s="110"/>
      <c r="S805" s="110">
        <v>-838</v>
      </c>
      <c r="T805" s="141"/>
      <c r="U805" s="140">
        <v>21.004999999999999</v>
      </c>
      <c r="V805" s="110"/>
      <c r="W805" s="110"/>
      <c r="X805" s="110"/>
      <c r="Y805" s="110">
        <v>196</v>
      </c>
      <c r="Z805" s="110">
        <v>400</v>
      </c>
      <c r="AA805" s="110">
        <f>1.79179+0.97592</f>
        <v>2.7677100000000001</v>
      </c>
      <c r="AB805" s="110"/>
      <c r="AC805" s="110"/>
      <c r="AD805" s="110">
        <v>1500</v>
      </c>
      <c r="AE805" s="110"/>
      <c r="AF805" s="110"/>
      <c r="AG805" s="110">
        <v>6</v>
      </c>
      <c r="AH805" s="110"/>
      <c r="AI805" s="110">
        <v>125</v>
      </c>
      <c r="AJ805" s="110"/>
      <c r="AK805" s="110"/>
      <c r="AL805" s="110"/>
      <c r="AM805" s="641">
        <f t="shared" si="15"/>
        <v>1933.6037100000001</v>
      </c>
      <c r="AO805" s="289"/>
      <c r="AP805" s="97"/>
    </row>
    <row r="806" spans="1:42" s="61" customFormat="1" ht="25.5" customHeight="1" x14ac:dyDescent="0.3">
      <c r="A806" s="706"/>
      <c r="B806" s="175" t="s">
        <v>327</v>
      </c>
      <c r="C806" s="176">
        <v>1030</v>
      </c>
      <c r="D806" s="127"/>
      <c r="E806" s="127"/>
      <c r="F806" s="265"/>
      <c r="G806" s="127"/>
      <c r="H806" s="127"/>
      <c r="I806" s="178"/>
      <c r="J806" s="127"/>
      <c r="K806" s="127"/>
      <c r="L806" s="265"/>
      <c r="M806" s="127"/>
      <c r="N806" s="178"/>
      <c r="O806" s="127"/>
      <c r="P806" s="127"/>
      <c r="Q806" s="127"/>
      <c r="R806" s="127"/>
      <c r="S806" s="127">
        <v>4429</v>
      </c>
      <c r="T806" s="177"/>
      <c r="U806" s="176">
        <v>39.853999999999999</v>
      </c>
      <c r="V806" s="127"/>
      <c r="W806" s="127">
        <v>500</v>
      </c>
      <c r="X806" s="127"/>
      <c r="Y806" s="127">
        <v>200</v>
      </c>
      <c r="Z806" s="127">
        <v>700</v>
      </c>
      <c r="AA806" s="127">
        <v>0.81586999999999998</v>
      </c>
      <c r="AB806" s="127">
        <v>20</v>
      </c>
      <c r="AC806" s="127">
        <v>5</v>
      </c>
      <c r="AD806" s="127">
        <v>1500</v>
      </c>
      <c r="AE806" s="127"/>
      <c r="AF806" s="127"/>
      <c r="AG806" s="127">
        <v>6</v>
      </c>
      <c r="AH806" s="127">
        <v>500</v>
      </c>
      <c r="AI806" s="127">
        <v>800</v>
      </c>
      <c r="AJ806" s="127"/>
      <c r="AK806" s="127"/>
      <c r="AL806" s="127"/>
      <c r="AM806" s="642">
        <f t="shared" si="15"/>
        <v>9730.6698700000015</v>
      </c>
      <c r="AO806" s="289"/>
    </row>
    <row r="807" spans="1:42" s="61" customFormat="1" ht="25.5" customHeight="1" x14ac:dyDescent="0.3">
      <c r="A807" s="706"/>
      <c r="B807" s="180" t="s">
        <v>361</v>
      </c>
      <c r="C807" s="300">
        <v>1812</v>
      </c>
      <c r="D807" s="173"/>
      <c r="E807" s="173"/>
      <c r="F807" s="266"/>
      <c r="G807" s="173">
        <v>121</v>
      </c>
      <c r="H807" s="173"/>
      <c r="I807" s="174"/>
      <c r="J807" s="173"/>
      <c r="K807" s="173"/>
      <c r="L807" s="266"/>
      <c r="M807" s="173"/>
      <c r="N807" s="174"/>
      <c r="O807" s="173"/>
      <c r="P807" s="173"/>
      <c r="Q807" s="173"/>
      <c r="R807" s="173"/>
      <c r="S807" s="173">
        <v>189</v>
      </c>
      <c r="T807" s="327"/>
      <c r="U807" s="300">
        <v>20.62</v>
      </c>
      <c r="V807" s="173"/>
      <c r="W807" s="173"/>
      <c r="X807" s="173"/>
      <c r="Y807" s="173">
        <v>700</v>
      </c>
      <c r="Z807" s="173">
        <v>200</v>
      </c>
      <c r="AA807" s="173">
        <f>1.2825+1.96207</f>
        <v>3.24457</v>
      </c>
      <c r="AB807" s="173">
        <v>60</v>
      </c>
      <c r="AC807" s="173">
        <v>5</v>
      </c>
      <c r="AD807" s="173">
        <v>2500</v>
      </c>
      <c r="AE807" s="173"/>
      <c r="AF807" s="173"/>
      <c r="AG807" s="173">
        <v>6</v>
      </c>
      <c r="AH807" s="173">
        <v>143</v>
      </c>
      <c r="AI807" s="173">
        <v>300</v>
      </c>
      <c r="AJ807" s="173"/>
      <c r="AK807" s="173"/>
      <c r="AL807" s="173"/>
      <c r="AM807" s="643">
        <f t="shared" si="15"/>
        <v>6059.8645699999997</v>
      </c>
      <c r="AO807" s="289"/>
      <c r="AP807" s="97"/>
    </row>
    <row r="808" spans="1:42" s="61" customFormat="1" ht="25.5" customHeight="1" x14ac:dyDescent="0.3">
      <c r="A808" s="706"/>
      <c r="B808" s="180" t="s">
        <v>362</v>
      </c>
      <c r="C808" s="300">
        <v>10</v>
      </c>
      <c r="D808" s="173"/>
      <c r="E808" s="173"/>
      <c r="F808" s="266">
        <v>-6</v>
      </c>
      <c r="G808" s="173">
        <f>125</f>
        <v>125</v>
      </c>
      <c r="H808" s="173"/>
      <c r="I808" s="174"/>
      <c r="J808" s="173"/>
      <c r="K808" s="173"/>
      <c r="L808" s="266"/>
      <c r="M808" s="173"/>
      <c r="N808" s="174"/>
      <c r="O808" s="173"/>
      <c r="P808" s="173"/>
      <c r="Q808" s="173"/>
      <c r="R808" s="173"/>
      <c r="S808" s="173">
        <v>5593</v>
      </c>
      <c r="T808" s="327"/>
      <c r="U808" s="300">
        <v>10.554</v>
      </c>
      <c r="V808" s="173"/>
      <c r="W808" s="173"/>
      <c r="X808" s="173">
        <v>344</v>
      </c>
      <c r="Y808" s="173">
        <v>700</v>
      </c>
      <c r="Z808" s="173">
        <v>1000</v>
      </c>
      <c r="AA808" s="173">
        <f>1.96506</f>
        <v>1.96506</v>
      </c>
      <c r="AB808" s="173">
        <v>20</v>
      </c>
      <c r="AC808" s="173">
        <v>5</v>
      </c>
      <c r="AD808" s="173">
        <v>1500</v>
      </c>
      <c r="AE808" s="173"/>
      <c r="AF808" s="173"/>
      <c r="AG808" s="173">
        <v>6</v>
      </c>
      <c r="AH808" s="173"/>
      <c r="AI808" s="173">
        <v>1775</v>
      </c>
      <c r="AJ808" s="173"/>
      <c r="AK808" s="173"/>
      <c r="AL808" s="173"/>
      <c r="AM808" s="644">
        <f t="shared" si="15"/>
        <v>11084.519060000001</v>
      </c>
      <c r="AO808" s="289"/>
      <c r="AP808" s="97"/>
    </row>
    <row r="809" spans="1:42" s="61" customFormat="1" ht="22.5" customHeight="1" x14ac:dyDescent="0.3">
      <c r="A809" s="706"/>
      <c r="B809" s="115" t="s">
        <v>402</v>
      </c>
      <c r="C809" s="142">
        <v>5050</v>
      </c>
      <c r="D809" s="111"/>
      <c r="E809" s="111"/>
      <c r="F809" s="267"/>
      <c r="G809" s="111">
        <v>14</v>
      </c>
      <c r="H809" s="111"/>
      <c r="I809" s="125"/>
      <c r="J809" s="111"/>
      <c r="K809" s="111">
        <v>147</v>
      </c>
      <c r="L809" s="267"/>
      <c r="M809" s="111"/>
      <c r="N809" s="125"/>
      <c r="O809" s="111"/>
      <c r="P809" s="111"/>
      <c r="Q809" s="111"/>
      <c r="R809" s="111"/>
      <c r="S809" s="111">
        <v>2037.543678</v>
      </c>
      <c r="T809" s="143"/>
      <c r="U809" s="142">
        <v>171.43600000000001</v>
      </c>
      <c r="V809" s="111"/>
      <c r="W809" s="111"/>
      <c r="X809" s="111"/>
      <c r="Y809" s="111">
        <v>2000</v>
      </c>
      <c r="Z809" s="111"/>
      <c r="AA809" s="111">
        <v>2</v>
      </c>
      <c r="AB809" s="111">
        <v>40</v>
      </c>
      <c r="AC809" s="111">
        <v>5</v>
      </c>
      <c r="AD809" s="111">
        <v>2500</v>
      </c>
      <c r="AE809" s="111"/>
      <c r="AF809" s="111"/>
      <c r="AG809" s="111"/>
      <c r="AH809" s="111" t="s">
        <v>482</v>
      </c>
      <c r="AI809" s="111">
        <v>580</v>
      </c>
      <c r="AJ809" s="111"/>
      <c r="AK809" s="111"/>
      <c r="AL809" s="111"/>
      <c r="AM809" s="645">
        <f t="shared" si="15"/>
        <v>12546.979678</v>
      </c>
      <c r="AO809" s="289"/>
    </row>
    <row r="810" spans="1:42" s="61" customFormat="1" ht="21" customHeight="1" x14ac:dyDescent="0.3">
      <c r="A810" s="707"/>
      <c r="B810" s="181" t="s">
        <v>403</v>
      </c>
      <c r="C810" s="144">
        <v>610</v>
      </c>
      <c r="D810" s="112"/>
      <c r="E810" s="112"/>
      <c r="F810" s="268"/>
      <c r="G810" s="112">
        <v>141</v>
      </c>
      <c r="H810" s="112"/>
      <c r="I810" s="126"/>
      <c r="J810" s="112"/>
      <c r="K810" s="112"/>
      <c r="L810" s="268">
        <v>1000</v>
      </c>
      <c r="M810" s="112"/>
      <c r="N810" s="126"/>
      <c r="O810" s="112"/>
      <c r="P810" s="112"/>
      <c r="Q810" s="112"/>
      <c r="R810" s="112"/>
      <c r="S810" s="112">
        <v>4402.9745210000001</v>
      </c>
      <c r="T810" s="145"/>
      <c r="U810" s="144">
        <v>5.742</v>
      </c>
      <c r="V810" s="112"/>
      <c r="W810" s="112"/>
      <c r="X810" s="112">
        <v>692</v>
      </c>
      <c r="Y810" s="112">
        <v>1000</v>
      </c>
      <c r="Z810" s="112"/>
      <c r="AA810" s="112">
        <v>11</v>
      </c>
      <c r="AB810" s="112">
        <v>40</v>
      </c>
      <c r="AC810" s="112">
        <v>5</v>
      </c>
      <c r="AD810" s="112">
        <v>35500</v>
      </c>
      <c r="AE810" s="112"/>
      <c r="AF810" s="112"/>
      <c r="AG810" s="112"/>
      <c r="AH810" s="112" t="s">
        <v>482</v>
      </c>
      <c r="AI810" s="112">
        <v>580</v>
      </c>
      <c r="AJ810" s="112"/>
      <c r="AK810" s="112"/>
      <c r="AL810" s="112"/>
      <c r="AM810" s="646">
        <f t="shared" si="15"/>
        <v>43987.716521000002</v>
      </c>
      <c r="AO810" s="289"/>
    </row>
    <row r="811" spans="1:42" s="61" customFormat="1" ht="21" customHeight="1" x14ac:dyDescent="0.3">
      <c r="A811" s="705" t="s">
        <v>304</v>
      </c>
      <c r="B811" s="179" t="s">
        <v>293</v>
      </c>
      <c r="C811" s="135"/>
      <c r="D811" s="136"/>
      <c r="E811" s="136"/>
      <c r="F811" s="262"/>
      <c r="G811" s="136"/>
      <c r="H811" s="136"/>
      <c r="I811" s="326"/>
      <c r="J811" s="136"/>
      <c r="K811" s="136"/>
      <c r="L811" s="262"/>
      <c r="M811" s="136"/>
      <c r="N811" s="326"/>
      <c r="O811" s="136"/>
      <c r="P811" s="136"/>
      <c r="Q811" s="136"/>
      <c r="R811" s="136"/>
      <c r="S811" s="136"/>
      <c r="T811" s="137"/>
      <c r="U811" s="632"/>
      <c r="V811" s="122"/>
      <c r="W811" s="122"/>
      <c r="X811" s="122"/>
      <c r="Y811" s="122"/>
      <c r="Z811" s="122"/>
      <c r="AA811" s="122"/>
      <c r="AB811" s="122"/>
      <c r="AC811" s="122"/>
      <c r="AD811" s="122"/>
      <c r="AE811" s="122"/>
      <c r="AF811" s="122"/>
      <c r="AG811" s="122"/>
      <c r="AH811" s="122"/>
      <c r="AI811" s="122" t="s">
        <v>482</v>
      </c>
      <c r="AJ811" s="122"/>
      <c r="AK811" s="122"/>
      <c r="AL811" s="122"/>
      <c r="AM811" s="639">
        <f t="shared" si="15"/>
        <v>0</v>
      </c>
      <c r="AO811" s="289"/>
    </row>
    <row r="812" spans="1:42" s="61" customFormat="1" ht="19.5" customHeight="1" x14ac:dyDescent="0.3">
      <c r="A812" s="706"/>
      <c r="B812" s="116" t="s">
        <v>294</v>
      </c>
      <c r="C812" s="138"/>
      <c r="D812" s="109"/>
      <c r="E812" s="109"/>
      <c r="F812" s="263">
        <v>68.849000000000004</v>
      </c>
      <c r="G812" s="109"/>
      <c r="H812" s="109"/>
      <c r="I812" s="123"/>
      <c r="J812" s="109"/>
      <c r="K812" s="109"/>
      <c r="L812" s="263"/>
      <c r="M812" s="109"/>
      <c r="N812" s="123"/>
      <c r="O812" s="109"/>
      <c r="P812" s="109"/>
      <c r="Q812" s="109"/>
      <c r="R812" s="109"/>
      <c r="S812" s="109"/>
      <c r="T812" s="139">
        <v>0.7</v>
      </c>
      <c r="U812" s="138"/>
      <c r="V812" s="109"/>
      <c r="W812" s="109"/>
      <c r="X812" s="109"/>
      <c r="Y812" s="109"/>
      <c r="Z812" s="109"/>
      <c r="AA812" s="109"/>
      <c r="AB812" s="109"/>
      <c r="AC812" s="109"/>
      <c r="AD812" s="109"/>
      <c r="AE812" s="109"/>
      <c r="AF812" s="109"/>
      <c r="AG812" s="109"/>
      <c r="AH812" s="109"/>
      <c r="AI812" s="109" t="s">
        <v>482</v>
      </c>
      <c r="AJ812" s="109"/>
      <c r="AK812" s="109"/>
      <c r="AL812" s="109"/>
      <c r="AM812" s="640">
        <f t="shared" si="15"/>
        <v>69.549000000000007</v>
      </c>
      <c r="AO812" s="289"/>
    </row>
    <row r="813" spans="1:42" s="61" customFormat="1" ht="22.5" customHeight="1" x14ac:dyDescent="0.3">
      <c r="A813" s="706"/>
      <c r="B813" s="117" t="s">
        <v>326</v>
      </c>
      <c r="C813" s="140"/>
      <c r="D813" s="110"/>
      <c r="E813" s="110"/>
      <c r="F813" s="264"/>
      <c r="G813" s="110"/>
      <c r="H813" s="110"/>
      <c r="I813" s="124"/>
      <c r="J813" s="110"/>
      <c r="K813" s="110"/>
      <c r="L813" s="264"/>
      <c r="M813" s="110"/>
      <c r="N813" s="124"/>
      <c r="O813" s="110"/>
      <c r="P813" s="110"/>
      <c r="Q813" s="110"/>
      <c r="R813" s="110"/>
      <c r="S813" s="110">
        <v>4</v>
      </c>
      <c r="T813" s="141"/>
      <c r="U813" s="140"/>
      <c r="V813" s="110"/>
      <c r="W813" s="110"/>
      <c r="X813" s="110"/>
      <c r="Y813" s="110"/>
      <c r="Z813" s="110"/>
      <c r="AA813" s="110"/>
      <c r="AB813" s="110"/>
      <c r="AC813" s="110"/>
      <c r="AD813" s="110"/>
      <c r="AE813" s="110"/>
      <c r="AF813" s="110"/>
      <c r="AG813" s="110"/>
      <c r="AH813" s="110"/>
      <c r="AI813" s="110" t="s">
        <v>482</v>
      </c>
      <c r="AJ813" s="110"/>
      <c r="AK813" s="110"/>
      <c r="AL813" s="110"/>
      <c r="AM813" s="641">
        <f t="shared" si="15"/>
        <v>4</v>
      </c>
      <c r="AO813" s="289"/>
      <c r="AP813" s="97"/>
    </row>
    <row r="814" spans="1:42" s="61" customFormat="1" ht="25.5" customHeight="1" x14ac:dyDescent="0.3">
      <c r="A814" s="706"/>
      <c r="B814" s="175" t="s">
        <v>327</v>
      </c>
      <c r="C814" s="176">
        <v>0.99</v>
      </c>
      <c r="D814" s="127"/>
      <c r="E814" s="127"/>
      <c r="F814" s="265"/>
      <c r="G814" s="127"/>
      <c r="H814" s="127"/>
      <c r="I814" s="178"/>
      <c r="J814" s="127"/>
      <c r="K814" s="127"/>
      <c r="L814" s="265"/>
      <c r="M814" s="127"/>
      <c r="N814" s="178"/>
      <c r="O814" s="127"/>
      <c r="P814" s="127"/>
      <c r="Q814" s="127"/>
      <c r="R814" s="127"/>
      <c r="S814" s="127">
        <v>27</v>
      </c>
      <c r="T814" s="177"/>
      <c r="U814" s="176"/>
      <c r="V814" s="127"/>
      <c r="W814" s="127"/>
      <c r="X814" s="127"/>
      <c r="Y814" s="127"/>
      <c r="Z814" s="127"/>
      <c r="AA814" s="127"/>
      <c r="AB814" s="127"/>
      <c r="AC814" s="127"/>
      <c r="AD814" s="127"/>
      <c r="AE814" s="127"/>
      <c r="AF814" s="127"/>
      <c r="AG814" s="127"/>
      <c r="AH814" s="127"/>
      <c r="AI814" s="127" t="s">
        <v>482</v>
      </c>
      <c r="AJ814" s="127"/>
      <c r="AK814" s="127"/>
      <c r="AL814" s="127"/>
      <c r="AM814" s="642">
        <f t="shared" si="15"/>
        <v>27.99</v>
      </c>
      <c r="AO814" s="289"/>
    </row>
    <row r="815" spans="1:42" s="61" customFormat="1" ht="25.5" customHeight="1" x14ac:dyDescent="0.3">
      <c r="A815" s="706"/>
      <c r="B815" s="180" t="s">
        <v>361</v>
      </c>
      <c r="C815" s="300"/>
      <c r="D815" s="173"/>
      <c r="E815" s="173"/>
      <c r="F815" s="266"/>
      <c r="G815" s="173">
        <v>1</v>
      </c>
      <c r="H815" s="173"/>
      <c r="I815" s="174"/>
      <c r="J815" s="173"/>
      <c r="K815" s="173"/>
      <c r="L815" s="266"/>
      <c r="M815" s="173"/>
      <c r="N815" s="174"/>
      <c r="O815" s="173"/>
      <c r="P815" s="173"/>
      <c r="Q815" s="173"/>
      <c r="R815" s="173"/>
      <c r="S815" s="173">
        <v>101</v>
      </c>
      <c r="T815" s="327"/>
      <c r="U815" s="300">
        <v>0.02</v>
      </c>
      <c r="V815" s="173"/>
      <c r="W815" s="173"/>
      <c r="X815" s="173"/>
      <c r="Y815" s="173"/>
      <c r="Z815" s="173"/>
      <c r="AA815" s="173"/>
      <c r="AB815" s="173"/>
      <c r="AC815" s="173"/>
      <c r="AD815" s="173"/>
      <c r="AE815" s="173"/>
      <c r="AF815" s="173"/>
      <c r="AG815" s="173"/>
      <c r="AH815" s="173"/>
      <c r="AI815" s="173" t="s">
        <v>482</v>
      </c>
      <c r="AJ815" s="173"/>
      <c r="AK815" s="173"/>
      <c r="AL815" s="173"/>
      <c r="AM815" s="643">
        <f t="shared" si="15"/>
        <v>102.02</v>
      </c>
      <c r="AO815" s="289"/>
      <c r="AP815" s="97"/>
    </row>
    <row r="816" spans="1:42" s="61" customFormat="1" ht="25.5" customHeight="1" x14ac:dyDescent="0.3">
      <c r="A816" s="706"/>
      <c r="B816" s="180" t="s">
        <v>362</v>
      </c>
      <c r="C816" s="300"/>
      <c r="D816" s="173"/>
      <c r="E816" s="173"/>
      <c r="F816" s="266"/>
      <c r="G816" s="173">
        <v>1</v>
      </c>
      <c r="H816" s="173"/>
      <c r="I816" s="174"/>
      <c r="J816" s="173"/>
      <c r="K816" s="173"/>
      <c r="L816" s="266"/>
      <c r="M816" s="173"/>
      <c r="N816" s="174"/>
      <c r="O816" s="173"/>
      <c r="P816" s="173"/>
      <c r="Q816" s="173"/>
      <c r="R816" s="173"/>
      <c r="S816" s="173">
        <v>37</v>
      </c>
      <c r="T816" s="327"/>
      <c r="U816" s="300"/>
      <c r="V816" s="173"/>
      <c r="W816" s="173"/>
      <c r="X816" s="173"/>
      <c r="Y816" s="173"/>
      <c r="Z816" s="173"/>
      <c r="AA816" s="173"/>
      <c r="AB816" s="173"/>
      <c r="AC816" s="173"/>
      <c r="AD816" s="173"/>
      <c r="AE816" s="173"/>
      <c r="AF816" s="173"/>
      <c r="AG816" s="173"/>
      <c r="AH816" s="173"/>
      <c r="AI816" s="173">
        <v>50</v>
      </c>
      <c r="AJ816" s="173"/>
      <c r="AK816" s="173"/>
      <c r="AL816" s="173"/>
      <c r="AM816" s="644">
        <f t="shared" si="15"/>
        <v>88</v>
      </c>
      <c r="AO816" s="289"/>
      <c r="AP816" s="97"/>
    </row>
    <row r="817" spans="1:42" s="61" customFormat="1" ht="22.5" customHeight="1" x14ac:dyDescent="0.3">
      <c r="A817" s="706"/>
      <c r="B817" s="115" t="s">
        <v>402</v>
      </c>
      <c r="C817" s="142">
        <v>0.6</v>
      </c>
      <c r="D817" s="111"/>
      <c r="E817" s="111"/>
      <c r="F817" s="267"/>
      <c r="G817" s="111"/>
      <c r="H817" s="111"/>
      <c r="I817" s="125"/>
      <c r="J817" s="111"/>
      <c r="K817" s="111"/>
      <c r="L817" s="267">
        <v>0</v>
      </c>
      <c r="M817" s="111"/>
      <c r="N817" s="125"/>
      <c r="O817" s="111"/>
      <c r="P817" s="111"/>
      <c r="Q817" s="111"/>
      <c r="R817" s="111"/>
      <c r="S817" s="111">
        <v>2186.9065310000001</v>
      </c>
      <c r="T817" s="143"/>
      <c r="U817" s="142"/>
      <c r="V817" s="111"/>
      <c r="W817" s="111"/>
      <c r="X817" s="111"/>
      <c r="Y817" s="111"/>
      <c r="Z817" s="111"/>
      <c r="AA817" s="111"/>
      <c r="AB817" s="111"/>
      <c r="AC817" s="111"/>
      <c r="AD817" s="111"/>
      <c r="AE817" s="111"/>
      <c r="AF817" s="111"/>
      <c r="AG817" s="111"/>
      <c r="AH817" s="111" t="s">
        <v>482</v>
      </c>
      <c r="AI817" s="111">
        <v>76</v>
      </c>
      <c r="AJ817" s="111"/>
      <c r="AK817" s="111"/>
      <c r="AL817" s="111"/>
      <c r="AM817" s="645">
        <f t="shared" si="15"/>
        <v>2263.506531</v>
      </c>
      <c r="AO817" s="289"/>
    </row>
    <row r="818" spans="1:42" s="61" customFormat="1" ht="21" customHeight="1" x14ac:dyDescent="0.3">
      <c r="A818" s="707"/>
      <c r="B818" s="181" t="s">
        <v>403</v>
      </c>
      <c r="C818" s="144">
        <v>2.1560999999999999</v>
      </c>
      <c r="D818" s="112"/>
      <c r="E818" s="112"/>
      <c r="F818" s="268"/>
      <c r="G818" s="112"/>
      <c r="H818" s="112"/>
      <c r="I818" s="126"/>
      <c r="J818" s="112"/>
      <c r="K818" s="112"/>
      <c r="L818" s="268"/>
      <c r="M818" s="112"/>
      <c r="N818" s="126"/>
      <c r="O818" s="112"/>
      <c r="P818" s="112"/>
      <c r="Q818" s="112"/>
      <c r="R818" s="112"/>
      <c r="S818" s="112">
        <v>5694.2009900000003</v>
      </c>
      <c r="T818" s="145"/>
      <c r="U818" s="144">
        <v>0.187</v>
      </c>
      <c r="V818" s="112"/>
      <c r="W818" s="112"/>
      <c r="X818" s="112"/>
      <c r="Y818" s="112"/>
      <c r="Z818" s="112"/>
      <c r="AA818" s="112"/>
      <c r="AB818" s="112"/>
      <c r="AC818" s="112"/>
      <c r="AD818" s="112"/>
      <c r="AE818" s="112"/>
      <c r="AF818" s="112"/>
      <c r="AG818" s="112"/>
      <c r="AH818" s="112" t="s">
        <v>482</v>
      </c>
      <c r="AI818" s="112">
        <v>77</v>
      </c>
      <c r="AJ818" s="112"/>
      <c r="AK818" s="112"/>
      <c r="AL818" s="112"/>
      <c r="AM818" s="646">
        <f t="shared" si="15"/>
        <v>5773.5440900000003</v>
      </c>
      <c r="AO818" s="289"/>
    </row>
    <row r="819" spans="1:42" s="61" customFormat="1" ht="21" customHeight="1" x14ac:dyDescent="0.3">
      <c r="A819" s="712" t="s">
        <v>555</v>
      </c>
      <c r="B819" s="179" t="s">
        <v>293</v>
      </c>
      <c r="C819" s="135">
        <v>1.98</v>
      </c>
      <c r="D819" s="136"/>
      <c r="E819" s="136"/>
      <c r="F819" s="262"/>
      <c r="G819" s="136"/>
      <c r="H819" s="136">
        <v>62</v>
      </c>
      <c r="I819" s="326"/>
      <c r="J819" s="136"/>
      <c r="K819" s="136"/>
      <c r="L819" s="262"/>
      <c r="M819" s="136"/>
      <c r="N819" s="326"/>
      <c r="O819" s="136"/>
      <c r="P819" s="136"/>
      <c r="Q819" s="136"/>
      <c r="R819" s="136"/>
      <c r="S819" s="136"/>
      <c r="T819" s="137">
        <v>2</v>
      </c>
      <c r="U819" s="632">
        <v>64.27</v>
      </c>
      <c r="V819" s="122"/>
      <c r="W819" s="122"/>
      <c r="X819" s="122"/>
      <c r="Y819" s="122"/>
      <c r="Z819" s="122">
        <v>5.35</v>
      </c>
      <c r="AA819" s="122"/>
      <c r="AB819" s="122"/>
      <c r="AC819" s="122">
        <v>1.9830000000000001</v>
      </c>
      <c r="AD819" s="122"/>
      <c r="AE819" s="122"/>
      <c r="AF819" s="122"/>
      <c r="AG819" s="122"/>
      <c r="AH819" s="122"/>
      <c r="AI819" s="122" t="s">
        <v>482</v>
      </c>
      <c r="AJ819" s="122"/>
      <c r="AK819" s="122"/>
      <c r="AL819" s="122"/>
      <c r="AM819" s="639">
        <f t="shared" si="15"/>
        <v>137.583</v>
      </c>
      <c r="AO819" s="289"/>
    </row>
    <row r="820" spans="1:42" s="61" customFormat="1" ht="19.5" customHeight="1" x14ac:dyDescent="0.3">
      <c r="A820" s="713"/>
      <c r="B820" s="116" t="s">
        <v>294</v>
      </c>
      <c r="C820" s="138">
        <v>1</v>
      </c>
      <c r="D820" s="109"/>
      <c r="E820" s="109"/>
      <c r="F820" s="263"/>
      <c r="G820" s="109"/>
      <c r="H820" s="109">
        <v>5</v>
      </c>
      <c r="I820" s="123"/>
      <c r="J820" s="109"/>
      <c r="K820" s="109"/>
      <c r="L820" s="263"/>
      <c r="M820" s="109"/>
      <c r="N820" s="123"/>
      <c r="O820" s="109"/>
      <c r="P820" s="109"/>
      <c r="Q820" s="109"/>
      <c r="R820" s="109"/>
      <c r="S820" s="109"/>
      <c r="T820" s="139">
        <v>2</v>
      </c>
      <c r="U820" s="138">
        <v>342.67200000000003</v>
      </c>
      <c r="V820" s="109"/>
      <c r="W820" s="109"/>
      <c r="X820" s="109"/>
      <c r="Y820" s="109"/>
      <c r="Z820" s="109">
        <v>5.35</v>
      </c>
      <c r="AA820" s="109"/>
      <c r="AB820" s="109"/>
      <c r="AC820" s="109"/>
      <c r="AD820" s="109"/>
      <c r="AE820" s="109"/>
      <c r="AF820" s="109"/>
      <c r="AG820" s="109"/>
      <c r="AH820" s="109"/>
      <c r="AI820" s="109" t="s">
        <v>482</v>
      </c>
      <c r="AJ820" s="109"/>
      <c r="AK820" s="109"/>
      <c r="AL820" s="109"/>
      <c r="AM820" s="640">
        <f t="shared" si="15"/>
        <v>356.02200000000005</v>
      </c>
      <c r="AO820" s="289"/>
    </row>
    <row r="821" spans="1:42" s="61" customFormat="1" ht="22.5" customHeight="1" x14ac:dyDescent="0.3">
      <c r="A821" s="713"/>
      <c r="B821" s="117" t="s">
        <v>326</v>
      </c>
      <c r="C821" s="140">
        <v>2</v>
      </c>
      <c r="D821" s="110"/>
      <c r="E821" s="110"/>
      <c r="F821" s="264"/>
      <c r="G821" s="110"/>
      <c r="H821" s="110">
        <v>5</v>
      </c>
      <c r="I821" s="124"/>
      <c r="J821" s="110"/>
      <c r="K821" s="110"/>
      <c r="L821" s="264"/>
      <c r="M821" s="110"/>
      <c r="N821" s="124"/>
      <c r="O821" s="110"/>
      <c r="P821" s="110"/>
      <c r="Q821" s="110"/>
      <c r="R821" s="110"/>
      <c r="S821" s="110">
        <v>2</v>
      </c>
      <c r="T821" s="141"/>
      <c r="U821" s="140">
        <v>78.165000000000006</v>
      </c>
      <c r="V821" s="110"/>
      <c r="W821" s="110"/>
      <c r="X821" s="110"/>
      <c r="Y821" s="110"/>
      <c r="Z821" s="110">
        <v>10</v>
      </c>
      <c r="AA821" s="110"/>
      <c r="AB821" s="110"/>
      <c r="AC821" s="110">
        <v>5</v>
      </c>
      <c r="AD821" s="110"/>
      <c r="AE821" s="110"/>
      <c r="AF821" s="110"/>
      <c r="AG821" s="110"/>
      <c r="AH821" s="110"/>
      <c r="AI821" s="110" t="s">
        <v>482</v>
      </c>
      <c r="AJ821" s="110"/>
      <c r="AK821" s="110"/>
      <c r="AL821" s="110"/>
      <c r="AM821" s="641">
        <f t="shared" si="15"/>
        <v>102.16500000000001</v>
      </c>
      <c r="AO821" s="289"/>
      <c r="AP821" s="97"/>
    </row>
    <row r="822" spans="1:42" s="61" customFormat="1" ht="25.5" customHeight="1" x14ac:dyDescent="0.3">
      <c r="A822" s="713"/>
      <c r="B822" s="175" t="s">
        <v>327</v>
      </c>
      <c r="C822" s="176">
        <v>0.98499999999999999</v>
      </c>
      <c r="D822" s="127"/>
      <c r="E822" s="127"/>
      <c r="F822" s="265"/>
      <c r="G822" s="127"/>
      <c r="H822" s="127">
        <v>42</v>
      </c>
      <c r="I822" s="178"/>
      <c r="J822" s="127"/>
      <c r="K822" s="127"/>
      <c r="L822" s="265"/>
      <c r="M822" s="127"/>
      <c r="N822" s="178"/>
      <c r="O822" s="127"/>
      <c r="P822" s="127"/>
      <c r="Q822" s="127"/>
      <c r="R822" s="127"/>
      <c r="S822" s="127">
        <v>59</v>
      </c>
      <c r="T822" s="177"/>
      <c r="U822" s="176">
        <v>406.12799999999999</v>
      </c>
      <c r="V822" s="127"/>
      <c r="W822" s="127"/>
      <c r="X822" s="127"/>
      <c r="Y822" s="127"/>
      <c r="Z822" s="127">
        <v>7</v>
      </c>
      <c r="AA822" s="127"/>
      <c r="AB822" s="127"/>
      <c r="AC822" s="127"/>
      <c r="AD822" s="127"/>
      <c r="AE822" s="127"/>
      <c r="AF822" s="127"/>
      <c r="AG822" s="127"/>
      <c r="AH822" s="127"/>
      <c r="AI822" s="127">
        <v>110</v>
      </c>
      <c r="AJ822" s="127"/>
      <c r="AK822" s="127"/>
      <c r="AL822" s="127"/>
      <c r="AM822" s="642">
        <f t="shared" si="15"/>
        <v>625.11300000000006</v>
      </c>
      <c r="AO822" s="289"/>
    </row>
    <row r="823" spans="1:42" s="61" customFormat="1" ht="25.5" customHeight="1" x14ac:dyDescent="0.3">
      <c r="A823" s="713"/>
      <c r="B823" s="180" t="s">
        <v>361</v>
      </c>
      <c r="C823" s="300">
        <v>6</v>
      </c>
      <c r="D823" s="173"/>
      <c r="E823" s="173"/>
      <c r="F823" s="266"/>
      <c r="G823" s="173"/>
      <c r="H823" s="173">
        <v>15</v>
      </c>
      <c r="I823" s="174"/>
      <c r="J823" s="173"/>
      <c r="K823" s="173"/>
      <c r="L823" s="266"/>
      <c r="M823" s="173"/>
      <c r="N823" s="174"/>
      <c r="O823" s="173"/>
      <c r="P823" s="173"/>
      <c r="Q823" s="173"/>
      <c r="R823" s="173"/>
      <c r="S823" s="173">
        <v>914</v>
      </c>
      <c r="T823" s="327"/>
      <c r="U823" s="300">
        <v>143.566</v>
      </c>
      <c r="V823" s="173"/>
      <c r="W823" s="173"/>
      <c r="X823" s="173"/>
      <c r="Y823" s="173"/>
      <c r="Z823" s="173">
        <v>6</v>
      </c>
      <c r="AA823" s="173"/>
      <c r="AB823" s="173"/>
      <c r="AC823" s="173">
        <v>5</v>
      </c>
      <c r="AD823" s="173"/>
      <c r="AE823" s="173"/>
      <c r="AF823" s="173"/>
      <c r="AG823" s="173"/>
      <c r="AH823" s="173"/>
      <c r="AI823" s="173" t="s">
        <v>482</v>
      </c>
      <c r="AJ823" s="173"/>
      <c r="AK823" s="173">
        <v>91</v>
      </c>
      <c r="AL823" s="173"/>
      <c r="AM823" s="643">
        <f t="shared" si="15"/>
        <v>1180.566</v>
      </c>
      <c r="AO823" s="289"/>
      <c r="AP823" s="97"/>
    </row>
    <row r="824" spans="1:42" s="61" customFormat="1" ht="25.5" customHeight="1" x14ac:dyDescent="0.3">
      <c r="A824" s="713"/>
      <c r="B824" s="180" t="s">
        <v>362</v>
      </c>
      <c r="C824" s="300">
        <v>2</v>
      </c>
      <c r="D824" s="173"/>
      <c r="E824" s="173"/>
      <c r="F824" s="266"/>
      <c r="G824" s="173"/>
      <c r="H824" s="173"/>
      <c r="I824" s="174"/>
      <c r="J824" s="173"/>
      <c r="K824" s="173"/>
      <c r="L824" s="266"/>
      <c r="M824" s="173"/>
      <c r="N824" s="174"/>
      <c r="O824" s="173"/>
      <c r="P824" s="173"/>
      <c r="Q824" s="173"/>
      <c r="R824" s="173"/>
      <c r="S824" s="173">
        <v>2028</v>
      </c>
      <c r="T824" s="327"/>
      <c r="U824" s="300"/>
      <c r="V824" s="173"/>
      <c r="W824" s="173"/>
      <c r="X824" s="173"/>
      <c r="Y824" s="173"/>
      <c r="Z824" s="173"/>
      <c r="AA824" s="173"/>
      <c r="AB824" s="173"/>
      <c r="AC824" s="173">
        <v>1</v>
      </c>
      <c r="AD824" s="173"/>
      <c r="AE824" s="173"/>
      <c r="AF824" s="173"/>
      <c r="AG824" s="173"/>
      <c r="AH824" s="173"/>
      <c r="AI824" s="173">
        <v>111</v>
      </c>
      <c r="AJ824" s="173"/>
      <c r="AK824" s="173"/>
      <c r="AL824" s="173"/>
      <c r="AM824" s="644">
        <f t="shared" si="15"/>
        <v>2142</v>
      </c>
      <c r="AO824" s="289"/>
      <c r="AP824" s="97"/>
    </row>
    <row r="825" spans="1:42" s="61" customFormat="1" ht="22.5" customHeight="1" x14ac:dyDescent="0.3">
      <c r="A825" s="713"/>
      <c r="B825" s="115" t="s">
        <v>402</v>
      </c>
      <c r="C825" s="142">
        <v>2</v>
      </c>
      <c r="D825" s="111"/>
      <c r="E825" s="111"/>
      <c r="F825" s="267"/>
      <c r="G825" s="111"/>
      <c r="H825" s="111"/>
      <c r="I825" s="125"/>
      <c r="J825" s="111"/>
      <c r="K825" s="111"/>
      <c r="L825" s="267"/>
      <c r="M825" s="111"/>
      <c r="N825" s="125"/>
      <c r="O825" s="111"/>
      <c r="P825" s="111"/>
      <c r="Q825" s="111"/>
      <c r="R825" s="111"/>
      <c r="S825" s="111">
        <v>861.28</v>
      </c>
      <c r="T825" s="143"/>
      <c r="U825" s="142">
        <v>51.024999999999999</v>
      </c>
      <c r="V825" s="111"/>
      <c r="W825" s="111"/>
      <c r="X825" s="111"/>
      <c r="Y825" s="111"/>
      <c r="Z825" s="111"/>
      <c r="AA825" s="111"/>
      <c r="AB825" s="111"/>
      <c r="AC825" s="111"/>
      <c r="AD825" s="111"/>
      <c r="AE825" s="111"/>
      <c r="AF825" s="111"/>
      <c r="AG825" s="111"/>
      <c r="AH825" s="111" t="s">
        <v>482</v>
      </c>
      <c r="AI825" s="111">
        <v>275</v>
      </c>
      <c r="AJ825" s="111"/>
      <c r="AK825" s="111"/>
      <c r="AL825" s="111"/>
      <c r="AM825" s="645">
        <f t="shared" si="15"/>
        <v>1189.3049999999998</v>
      </c>
      <c r="AO825" s="289"/>
    </row>
    <row r="826" spans="1:42" s="61" customFormat="1" ht="21" customHeight="1" x14ac:dyDescent="0.3">
      <c r="A826" s="714"/>
      <c r="B826" s="181" t="s">
        <v>403</v>
      </c>
      <c r="C826" s="144">
        <v>3</v>
      </c>
      <c r="D826" s="112"/>
      <c r="E826" s="112"/>
      <c r="F826" s="268"/>
      <c r="G826" s="112"/>
      <c r="H826" s="112"/>
      <c r="I826" s="126"/>
      <c r="J826" s="112"/>
      <c r="K826" s="112"/>
      <c r="L826" s="268"/>
      <c r="M826" s="112"/>
      <c r="N826" s="126"/>
      <c r="O826" s="112"/>
      <c r="P826" s="112"/>
      <c r="Q826" s="112"/>
      <c r="R826" s="112"/>
      <c r="S826" s="112">
        <v>618.774</v>
      </c>
      <c r="T826" s="145"/>
      <c r="U826" s="144">
        <v>13.388999999999999</v>
      </c>
      <c r="V826" s="112"/>
      <c r="W826" s="112"/>
      <c r="X826" s="112"/>
      <c r="Y826" s="112"/>
      <c r="Z826" s="112"/>
      <c r="AA826" s="112"/>
      <c r="AB826" s="112"/>
      <c r="AC826" s="112">
        <v>1</v>
      </c>
      <c r="AD826" s="112"/>
      <c r="AE826" s="112"/>
      <c r="AF826" s="112"/>
      <c r="AG826" s="112"/>
      <c r="AH826" s="112" t="s">
        <v>482</v>
      </c>
      <c r="AI826" s="112">
        <v>276</v>
      </c>
      <c r="AJ826" s="112"/>
      <c r="AK826" s="112"/>
      <c r="AL826" s="112"/>
      <c r="AM826" s="646">
        <f t="shared" si="15"/>
        <v>912.16300000000001</v>
      </c>
      <c r="AO826" s="289"/>
    </row>
    <row r="827" spans="1:42" s="61" customFormat="1" ht="21" customHeight="1" x14ac:dyDescent="0.3">
      <c r="A827" s="705" t="s">
        <v>193</v>
      </c>
      <c r="B827" s="179" t="s">
        <v>293</v>
      </c>
      <c r="C827" s="135">
        <v>20</v>
      </c>
      <c r="D827" s="136"/>
      <c r="E827" s="136"/>
      <c r="F827" s="262"/>
      <c r="G827" s="136">
        <v>139</v>
      </c>
      <c r="H827" s="136"/>
      <c r="I827" s="326"/>
      <c r="J827" s="136"/>
      <c r="K827" s="136"/>
      <c r="L827" s="262"/>
      <c r="M827" s="136"/>
      <c r="N827" s="326"/>
      <c r="O827" s="136"/>
      <c r="P827" s="136"/>
      <c r="Q827" s="136"/>
      <c r="R827" s="136"/>
      <c r="S827" s="136"/>
      <c r="T827" s="137">
        <v>5.9</v>
      </c>
      <c r="U827" s="632"/>
      <c r="V827" s="122"/>
      <c r="W827" s="122"/>
      <c r="X827" s="122"/>
      <c r="Y827" s="122"/>
      <c r="Z827" s="122">
        <v>34</v>
      </c>
      <c r="AA827" s="122"/>
      <c r="AB827" s="122"/>
      <c r="AC827" s="122"/>
      <c r="AD827" s="122"/>
      <c r="AE827" s="122"/>
      <c r="AF827" s="122"/>
      <c r="AG827" s="122">
        <v>1.25</v>
      </c>
      <c r="AH827" s="122"/>
      <c r="AI827" s="122" t="s">
        <v>482</v>
      </c>
      <c r="AJ827" s="122"/>
      <c r="AK827" s="122"/>
      <c r="AL827" s="122"/>
      <c r="AM827" s="639">
        <f t="shared" si="15"/>
        <v>200.15</v>
      </c>
      <c r="AO827" s="289"/>
    </row>
    <row r="828" spans="1:42" s="61" customFormat="1" ht="19.5" customHeight="1" x14ac:dyDescent="0.3">
      <c r="A828" s="706"/>
      <c r="B828" s="116" t="s">
        <v>294</v>
      </c>
      <c r="C828" s="138">
        <v>11.4</v>
      </c>
      <c r="D828" s="109"/>
      <c r="E828" s="109"/>
      <c r="F828" s="263"/>
      <c r="G828" s="109">
        <v>186</v>
      </c>
      <c r="H828" s="109">
        <v>6</v>
      </c>
      <c r="I828" s="123"/>
      <c r="J828" s="109"/>
      <c r="K828" s="109"/>
      <c r="L828" s="263"/>
      <c r="M828" s="109"/>
      <c r="N828" s="123"/>
      <c r="O828" s="109"/>
      <c r="P828" s="109"/>
      <c r="Q828" s="109"/>
      <c r="R828" s="109"/>
      <c r="S828" s="109">
        <v>8</v>
      </c>
      <c r="T828" s="139">
        <v>5.9</v>
      </c>
      <c r="U828" s="138"/>
      <c r="V828" s="109"/>
      <c r="W828" s="109"/>
      <c r="X828" s="109"/>
      <c r="Y828" s="109">
        <v>5</v>
      </c>
      <c r="Z828" s="109">
        <v>4</v>
      </c>
      <c r="AA828" s="109"/>
      <c r="AB828" s="109"/>
      <c r="AC828" s="109"/>
      <c r="AD828" s="109"/>
      <c r="AE828" s="109"/>
      <c r="AF828" s="109"/>
      <c r="AG828" s="109">
        <v>0.85</v>
      </c>
      <c r="AH828" s="109"/>
      <c r="AI828" s="109" t="s">
        <v>482</v>
      </c>
      <c r="AJ828" s="109"/>
      <c r="AK828" s="109"/>
      <c r="AL828" s="109"/>
      <c r="AM828" s="640">
        <f t="shared" si="15"/>
        <v>227.15</v>
      </c>
      <c r="AO828" s="289"/>
    </row>
    <row r="829" spans="1:42" s="61" customFormat="1" ht="22.5" customHeight="1" x14ac:dyDescent="0.3">
      <c r="A829" s="706"/>
      <c r="B829" s="117" t="s">
        <v>326</v>
      </c>
      <c r="C829" s="140">
        <v>50.734000000000002</v>
      </c>
      <c r="D829" s="110"/>
      <c r="E829" s="110"/>
      <c r="F829" s="264"/>
      <c r="G829" s="110">
        <v>117</v>
      </c>
      <c r="H829" s="110">
        <v>4</v>
      </c>
      <c r="I829" s="124"/>
      <c r="J829" s="110"/>
      <c r="K829" s="110"/>
      <c r="L829" s="264"/>
      <c r="M829" s="110"/>
      <c r="N829" s="124"/>
      <c r="O829" s="110"/>
      <c r="P829" s="110"/>
      <c r="Q829" s="110"/>
      <c r="R829" s="110"/>
      <c r="S829" s="110">
        <v>-101</v>
      </c>
      <c r="T829" s="141"/>
      <c r="U829" s="140">
        <v>0.45800000000000002</v>
      </c>
      <c r="V829" s="110"/>
      <c r="W829" s="110"/>
      <c r="X829" s="110"/>
      <c r="Y829" s="110">
        <v>8</v>
      </c>
      <c r="Z829" s="110">
        <v>13</v>
      </c>
      <c r="AA829" s="110"/>
      <c r="AB829" s="110"/>
      <c r="AC829" s="110"/>
      <c r="AD829" s="110"/>
      <c r="AE829" s="110"/>
      <c r="AF829" s="110"/>
      <c r="AG829" s="110"/>
      <c r="AH829" s="110"/>
      <c r="AI829" s="110" t="s">
        <v>482</v>
      </c>
      <c r="AJ829" s="110"/>
      <c r="AK829" s="110"/>
      <c r="AL829" s="110"/>
      <c r="AM829" s="641">
        <f t="shared" si="15"/>
        <v>92.192000000000007</v>
      </c>
      <c r="AO829" s="289"/>
      <c r="AP829" s="97"/>
    </row>
    <row r="830" spans="1:42" s="61" customFormat="1" ht="25.5" customHeight="1" x14ac:dyDescent="0.3">
      <c r="A830" s="706"/>
      <c r="B830" s="175" t="s">
        <v>327</v>
      </c>
      <c r="C830" s="176">
        <v>14.382999999999999</v>
      </c>
      <c r="D830" s="127"/>
      <c r="E830" s="127"/>
      <c r="F830" s="265"/>
      <c r="G830" s="127">
        <v>166</v>
      </c>
      <c r="H830" s="127"/>
      <c r="I830" s="178"/>
      <c r="J830" s="127"/>
      <c r="K830" s="127"/>
      <c r="L830" s="265"/>
      <c r="M830" s="127"/>
      <c r="N830" s="178">
        <v>62.061999999999998</v>
      </c>
      <c r="O830" s="127"/>
      <c r="P830" s="127"/>
      <c r="Q830" s="127"/>
      <c r="R830" s="127"/>
      <c r="S830" s="127">
        <v>47</v>
      </c>
      <c r="T830" s="177"/>
      <c r="U830" s="176">
        <v>0.55800000000000005</v>
      </c>
      <c r="V830" s="127"/>
      <c r="W830" s="127"/>
      <c r="X830" s="127"/>
      <c r="Y830" s="127"/>
      <c r="Z830" s="127">
        <v>-12.452260000000001</v>
      </c>
      <c r="AA830" s="127"/>
      <c r="AB830" s="127"/>
      <c r="AC830" s="127"/>
      <c r="AD830" s="127"/>
      <c r="AE830" s="127"/>
      <c r="AF830" s="127"/>
      <c r="AG830" s="127"/>
      <c r="AH830" s="127"/>
      <c r="AI830" s="127" t="s">
        <v>482</v>
      </c>
      <c r="AJ830" s="127"/>
      <c r="AK830" s="127"/>
      <c r="AL830" s="127"/>
      <c r="AM830" s="642">
        <f t="shared" si="15"/>
        <v>277.55073999999996</v>
      </c>
      <c r="AO830" s="289"/>
    </row>
    <row r="831" spans="1:42" s="61" customFormat="1" ht="25.5" customHeight="1" x14ac:dyDescent="0.3">
      <c r="A831" s="706"/>
      <c r="B831" s="180" t="s">
        <v>361</v>
      </c>
      <c r="C831" s="300">
        <v>30.32227</v>
      </c>
      <c r="D831" s="173"/>
      <c r="E831" s="173"/>
      <c r="F831" s="266"/>
      <c r="G831" s="173">
        <f>11+77</f>
        <v>88</v>
      </c>
      <c r="H831" s="173"/>
      <c r="I831" s="174"/>
      <c r="J831" s="173"/>
      <c r="K831" s="173"/>
      <c r="L831" s="266"/>
      <c r="M831" s="173"/>
      <c r="N831" s="174">
        <v>97.394000000000005</v>
      </c>
      <c r="O831" s="173"/>
      <c r="P831" s="173"/>
      <c r="Q831" s="173"/>
      <c r="R831" s="173"/>
      <c r="S831" s="173">
        <v>13</v>
      </c>
      <c r="T831" s="327"/>
      <c r="U831" s="300">
        <v>6.6609999999999996</v>
      </c>
      <c r="V831" s="173">
        <f>6064/1000</f>
        <v>6.0640000000000001</v>
      </c>
      <c r="W831" s="173"/>
      <c r="X831" s="173"/>
      <c r="Y831" s="173">
        <v>13</v>
      </c>
      <c r="Z831" s="173">
        <v>3.0620900000000075</v>
      </c>
      <c r="AA831" s="173"/>
      <c r="AB831" s="173"/>
      <c r="AC831" s="173"/>
      <c r="AD831" s="173"/>
      <c r="AE831" s="173"/>
      <c r="AF831" s="173"/>
      <c r="AG831" s="173"/>
      <c r="AH831" s="173"/>
      <c r="AI831" s="173">
        <v>2</v>
      </c>
      <c r="AJ831" s="173"/>
      <c r="AK831" s="173"/>
      <c r="AL831" s="173"/>
      <c r="AM831" s="643">
        <f t="shared" si="15"/>
        <v>259.50335999999999</v>
      </c>
      <c r="AO831" s="289"/>
      <c r="AP831" s="97"/>
    </row>
    <row r="832" spans="1:42" s="61" customFormat="1" ht="25.5" customHeight="1" x14ac:dyDescent="0.3">
      <c r="A832" s="706"/>
      <c r="B832" s="180" t="s">
        <v>362</v>
      </c>
      <c r="C832" s="300">
        <v>23.67773</v>
      </c>
      <c r="D832" s="173"/>
      <c r="E832" s="173"/>
      <c r="F832" s="266"/>
      <c r="G832" s="173">
        <f>11+161</f>
        <v>172</v>
      </c>
      <c r="H832" s="173"/>
      <c r="I832" s="174"/>
      <c r="J832" s="173"/>
      <c r="K832" s="173"/>
      <c r="L832" s="266"/>
      <c r="M832" s="173"/>
      <c r="N832" s="174">
        <v>68.728999999999999</v>
      </c>
      <c r="O832" s="173"/>
      <c r="P832" s="173"/>
      <c r="Q832" s="173"/>
      <c r="R832" s="173"/>
      <c r="S832" s="173">
        <v>30</v>
      </c>
      <c r="T832" s="327"/>
      <c r="U832" s="300">
        <v>1.419</v>
      </c>
      <c r="V832" s="173">
        <f>(11504/1000)-V831</f>
        <v>5.4399999999999995</v>
      </c>
      <c r="W832" s="173"/>
      <c r="X832" s="173"/>
      <c r="Y832" s="173">
        <v>31</v>
      </c>
      <c r="Z832" s="173">
        <v>50.155250000000002</v>
      </c>
      <c r="AA832" s="173"/>
      <c r="AB832" s="173"/>
      <c r="AC832" s="173"/>
      <c r="AD832" s="173"/>
      <c r="AE832" s="173"/>
      <c r="AF832" s="173"/>
      <c r="AG832" s="173"/>
      <c r="AH832" s="173"/>
      <c r="AI832" s="173" t="s">
        <v>482</v>
      </c>
      <c r="AJ832" s="173"/>
      <c r="AK832" s="173"/>
      <c r="AL832" s="173">
        <v>10</v>
      </c>
      <c r="AM832" s="644">
        <f t="shared" si="15"/>
        <v>392.42097999999999</v>
      </c>
      <c r="AO832" s="289"/>
      <c r="AP832" s="97"/>
    </row>
    <row r="833" spans="1:42" s="61" customFormat="1" ht="22.5" customHeight="1" x14ac:dyDescent="0.3">
      <c r="A833" s="706"/>
      <c r="B833" s="115" t="s">
        <v>402</v>
      </c>
      <c r="C833" s="142">
        <v>108.65487</v>
      </c>
      <c r="D833" s="111"/>
      <c r="E833" s="111"/>
      <c r="F833" s="267"/>
      <c r="G833" s="111">
        <v>129</v>
      </c>
      <c r="H833" s="111"/>
      <c r="I833" s="125"/>
      <c r="J833" s="111"/>
      <c r="K833" s="111"/>
      <c r="L833" s="267">
        <v>0</v>
      </c>
      <c r="M833" s="111"/>
      <c r="N833" s="125"/>
      <c r="O833" s="111"/>
      <c r="P833" s="111"/>
      <c r="Q833" s="111"/>
      <c r="R833" s="111"/>
      <c r="S833" s="111">
        <v>71.963388000000009</v>
      </c>
      <c r="T833" s="143"/>
      <c r="U833" s="142">
        <v>1.1359999999999999</v>
      </c>
      <c r="V833" s="111">
        <f>4000/1000</f>
        <v>4</v>
      </c>
      <c r="W833" s="111"/>
      <c r="X833" s="111"/>
      <c r="Y833" s="111">
        <v>37.607999999999997</v>
      </c>
      <c r="Z833" s="111"/>
      <c r="AA833" s="111"/>
      <c r="AB833" s="111"/>
      <c r="AC833" s="111"/>
      <c r="AD833" s="111"/>
      <c r="AE833" s="111"/>
      <c r="AF833" s="111"/>
      <c r="AG833" s="111"/>
      <c r="AH833" s="111" t="s">
        <v>482</v>
      </c>
      <c r="AI833" s="111" t="s">
        <v>482</v>
      </c>
      <c r="AJ833" s="111"/>
      <c r="AK833" s="111"/>
      <c r="AL833" s="111"/>
      <c r="AM833" s="645">
        <f t="shared" si="15"/>
        <v>352.36225800000005</v>
      </c>
      <c r="AO833" s="289"/>
    </row>
    <row r="834" spans="1:42" s="61" customFormat="1" ht="21" customHeight="1" x14ac:dyDescent="0.3">
      <c r="A834" s="707"/>
      <c r="B834" s="181" t="s">
        <v>403</v>
      </c>
      <c r="C834" s="144">
        <v>8.7037099999999992</v>
      </c>
      <c r="D834" s="112"/>
      <c r="E834" s="112"/>
      <c r="F834" s="268"/>
      <c r="G834" s="112">
        <v>72</v>
      </c>
      <c r="H834" s="112"/>
      <c r="I834" s="126"/>
      <c r="J834" s="112"/>
      <c r="K834" s="112"/>
      <c r="L834" s="268"/>
      <c r="M834" s="112"/>
      <c r="N834" s="126"/>
      <c r="O834" s="112"/>
      <c r="P834" s="112"/>
      <c r="Q834" s="112"/>
      <c r="R834" s="112"/>
      <c r="S834" s="112">
        <v>0.17837999999999998</v>
      </c>
      <c r="T834" s="145"/>
      <c r="U834" s="144">
        <v>1.1359999999999999</v>
      </c>
      <c r="V834" s="112">
        <f>4000/1000-V833</f>
        <v>0</v>
      </c>
      <c r="W834" s="112"/>
      <c r="X834" s="112"/>
      <c r="Y834" s="112"/>
      <c r="Z834" s="112"/>
      <c r="AA834" s="112"/>
      <c r="AB834" s="112"/>
      <c r="AC834" s="112"/>
      <c r="AD834" s="112"/>
      <c r="AE834" s="112"/>
      <c r="AF834" s="112"/>
      <c r="AG834" s="112"/>
      <c r="AH834" s="112" t="s">
        <v>482</v>
      </c>
      <c r="AI834" s="112" t="s">
        <v>482</v>
      </c>
      <c r="AJ834" s="112"/>
      <c r="AK834" s="112"/>
      <c r="AL834" s="112"/>
      <c r="AM834" s="646">
        <f t="shared" si="15"/>
        <v>82.018090000000001</v>
      </c>
      <c r="AO834" s="289"/>
    </row>
    <row r="835" spans="1:42" s="61" customFormat="1" ht="21" customHeight="1" x14ac:dyDescent="0.3">
      <c r="A835" s="705" t="s">
        <v>194</v>
      </c>
      <c r="B835" s="179" t="s">
        <v>293</v>
      </c>
      <c r="C835" s="135">
        <v>1</v>
      </c>
      <c r="D835" s="136">
        <v>201</v>
      </c>
      <c r="E835" s="136"/>
      <c r="F835" s="262">
        <v>280.56700000000001</v>
      </c>
      <c r="G835" s="136"/>
      <c r="H835" s="136">
        <v>54</v>
      </c>
      <c r="I835" s="326"/>
      <c r="J835" s="136"/>
      <c r="K835" s="136"/>
      <c r="L835" s="262"/>
      <c r="M835" s="136"/>
      <c r="N835" s="326"/>
      <c r="O835" s="136"/>
      <c r="P835" s="136"/>
      <c r="Q835" s="136"/>
      <c r="R835" s="136"/>
      <c r="S835" s="136"/>
      <c r="T835" s="137"/>
      <c r="U835" s="632">
        <v>95.995000000000005</v>
      </c>
      <c r="V835" s="122"/>
      <c r="W835" s="122">
        <v>1290</v>
      </c>
      <c r="X835" s="122"/>
      <c r="Y835" s="122"/>
      <c r="Z835" s="122">
        <v>-2</v>
      </c>
      <c r="AA835" s="122">
        <v>64.500959999999992</v>
      </c>
      <c r="AB835" s="122"/>
      <c r="AC835" s="122"/>
      <c r="AD835" s="122">
        <v>7</v>
      </c>
      <c r="AE835" s="122"/>
      <c r="AF835" s="122"/>
      <c r="AG835" s="122"/>
      <c r="AH835" s="122"/>
      <c r="AI835" s="122" t="s">
        <v>482</v>
      </c>
      <c r="AJ835" s="122"/>
      <c r="AK835" s="122"/>
      <c r="AL835" s="122"/>
      <c r="AM835" s="639">
        <f t="shared" si="15"/>
        <v>1992.06296</v>
      </c>
      <c r="AO835" s="289"/>
    </row>
    <row r="836" spans="1:42" s="61" customFormat="1" ht="19.5" customHeight="1" x14ac:dyDescent="0.3">
      <c r="A836" s="706"/>
      <c r="B836" s="116" t="s">
        <v>294</v>
      </c>
      <c r="C836" s="138"/>
      <c r="D836" s="109"/>
      <c r="E836" s="109"/>
      <c r="F836" s="263">
        <v>513.13300000000004</v>
      </c>
      <c r="G836" s="109"/>
      <c r="H836" s="109">
        <v>9</v>
      </c>
      <c r="I836" s="123"/>
      <c r="J836" s="109"/>
      <c r="K836" s="109"/>
      <c r="L836" s="263"/>
      <c r="M836" s="109"/>
      <c r="N836" s="123"/>
      <c r="O836" s="109"/>
      <c r="P836" s="109"/>
      <c r="Q836" s="109"/>
      <c r="R836" s="109"/>
      <c r="S836" s="109"/>
      <c r="T836" s="139"/>
      <c r="U836" s="138">
        <v>0.86599999999999999</v>
      </c>
      <c r="V836" s="109"/>
      <c r="W836" s="109">
        <f>1423-1290</f>
        <v>133</v>
      </c>
      <c r="X836" s="109"/>
      <c r="Y836" s="109"/>
      <c r="Z836" s="109">
        <v>52</v>
      </c>
      <c r="AA836" s="109"/>
      <c r="AB836" s="109"/>
      <c r="AC836" s="109"/>
      <c r="AD836" s="109">
        <v>15</v>
      </c>
      <c r="AE836" s="109"/>
      <c r="AF836" s="109"/>
      <c r="AG836" s="109"/>
      <c r="AH836" s="109"/>
      <c r="AI836" s="109" t="s">
        <v>482</v>
      </c>
      <c r="AJ836" s="109"/>
      <c r="AK836" s="109"/>
      <c r="AL836" s="109"/>
      <c r="AM836" s="640">
        <f t="shared" si="15"/>
        <v>722.99900000000002</v>
      </c>
      <c r="AO836" s="289"/>
    </row>
    <row r="837" spans="1:42" s="61" customFormat="1" ht="22.5" customHeight="1" x14ac:dyDescent="0.3">
      <c r="A837" s="706"/>
      <c r="B837" s="117" t="s">
        <v>326</v>
      </c>
      <c r="C837" s="140">
        <v>5</v>
      </c>
      <c r="D837" s="110"/>
      <c r="E837" s="110"/>
      <c r="F837" s="264">
        <v>258</v>
      </c>
      <c r="G837" s="110"/>
      <c r="H837" s="110">
        <v>900</v>
      </c>
      <c r="I837" s="124"/>
      <c r="J837" s="110"/>
      <c r="K837" s="110"/>
      <c r="L837" s="264"/>
      <c r="M837" s="110"/>
      <c r="N837" s="124"/>
      <c r="O837" s="110"/>
      <c r="P837" s="110"/>
      <c r="Q837" s="110"/>
      <c r="R837" s="110"/>
      <c r="S837" s="110">
        <v>3610</v>
      </c>
      <c r="T837" s="141"/>
      <c r="U837" s="140">
        <v>232.51</v>
      </c>
      <c r="V837" s="110"/>
      <c r="W837" s="110">
        <v>399</v>
      </c>
      <c r="X837" s="110"/>
      <c r="Y837" s="110"/>
      <c r="Z837" s="110">
        <v>83</v>
      </c>
      <c r="AA837" s="110"/>
      <c r="AB837" s="110"/>
      <c r="AC837" s="110"/>
      <c r="AD837" s="110"/>
      <c r="AE837" s="110"/>
      <c r="AF837" s="110"/>
      <c r="AG837" s="110"/>
      <c r="AH837" s="110"/>
      <c r="AI837" s="110" t="s">
        <v>482</v>
      </c>
      <c r="AJ837" s="110"/>
      <c r="AK837" s="110"/>
      <c r="AL837" s="110"/>
      <c r="AM837" s="641">
        <f t="shared" si="15"/>
        <v>5487.51</v>
      </c>
      <c r="AO837" s="289"/>
      <c r="AP837" s="97"/>
    </row>
    <row r="838" spans="1:42" s="61" customFormat="1" ht="25.5" customHeight="1" x14ac:dyDescent="0.3">
      <c r="A838" s="706"/>
      <c r="B838" s="175" t="s">
        <v>327</v>
      </c>
      <c r="C838" s="176">
        <v>8</v>
      </c>
      <c r="D838" s="127"/>
      <c r="E838" s="127"/>
      <c r="F838" s="265"/>
      <c r="G838" s="127"/>
      <c r="H838" s="127">
        <v>727</v>
      </c>
      <c r="I838" s="178"/>
      <c r="J838" s="127"/>
      <c r="K838" s="127"/>
      <c r="L838" s="265"/>
      <c r="M838" s="127"/>
      <c r="N838" s="178"/>
      <c r="O838" s="127"/>
      <c r="P838" s="127"/>
      <c r="Q838" s="127"/>
      <c r="R838" s="127"/>
      <c r="S838" s="127">
        <v>5005</v>
      </c>
      <c r="T838" s="177"/>
      <c r="U838" s="176">
        <v>233.745</v>
      </c>
      <c r="V838" s="127"/>
      <c r="W838" s="127">
        <f>750-399</f>
        <v>351</v>
      </c>
      <c r="X838" s="127"/>
      <c r="Y838" s="127"/>
      <c r="Z838" s="127">
        <v>457</v>
      </c>
      <c r="AA838" s="127">
        <v>114.59894</v>
      </c>
      <c r="AB838" s="127"/>
      <c r="AC838" s="127">
        <v>5</v>
      </c>
      <c r="AD838" s="127">
        <v>7</v>
      </c>
      <c r="AE838" s="127"/>
      <c r="AF838" s="127"/>
      <c r="AG838" s="127"/>
      <c r="AH838" s="127"/>
      <c r="AI838" s="127" t="s">
        <v>482</v>
      </c>
      <c r="AJ838" s="127"/>
      <c r="AK838" s="127"/>
      <c r="AL838" s="127"/>
      <c r="AM838" s="642">
        <f t="shared" si="15"/>
        <v>6908.3439399999997</v>
      </c>
      <c r="AO838" s="289"/>
    </row>
    <row r="839" spans="1:42" s="61" customFormat="1" ht="25.5" customHeight="1" x14ac:dyDescent="0.3">
      <c r="A839" s="706"/>
      <c r="B839" s="180" t="s">
        <v>361</v>
      </c>
      <c r="C839" s="300">
        <v>720</v>
      </c>
      <c r="D839" s="173"/>
      <c r="E839" s="173"/>
      <c r="F839" s="266"/>
      <c r="G839" s="173"/>
      <c r="H839" s="173">
        <f>1083+6</f>
        <v>1089</v>
      </c>
      <c r="I839" s="174"/>
      <c r="J839" s="173"/>
      <c r="K839" s="173"/>
      <c r="L839" s="266"/>
      <c r="M839" s="173"/>
      <c r="N839" s="174"/>
      <c r="O839" s="173"/>
      <c r="P839" s="173"/>
      <c r="Q839" s="173"/>
      <c r="R839" s="173"/>
      <c r="S839" s="173">
        <v>10886</v>
      </c>
      <c r="T839" s="327"/>
      <c r="U839" s="300">
        <v>99.933000000000007</v>
      </c>
      <c r="V839" s="173"/>
      <c r="W839" s="173">
        <v>275</v>
      </c>
      <c r="X839" s="173"/>
      <c r="Y839" s="173">
        <v>73</v>
      </c>
      <c r="Z839" s="173">
        <v>126.74234</v>
      </c>
      <c r="AA839" s="173">
        <v>0.64285999999999999</v>
      </c>
      <c r="AB839" s="173"/>
      <c r="AC839" s="173"/>
      <c r="AD839" s="173">
        <v>18</v>
      </c>
      <c r="AE839" s="173"/>
      <c r="AF839" s="173"/>
      <c r="AG839" s="173"/>
      <c r="AH839" s="173">
        <v>3137</v>
      </c>
      <c r="AI839" s="173" t="s">
        <v>482</v>
      </c>
      <c r="AJ839" s="173"/>
      <c r="AK839" s="173"/>
      <c r="AL839" s="173"/>
      <c r="AM839" s="643">
        <f t="shared" si="15"/>
        <v>16425.318200000002</v>
      </c>
      <c r="AO839" s="289"/>
      <c r="AP839" s="97"/>
    </row>
    <row r="840" spans="1:42" s="61" customFormat="1" ht="25.5" customHeight="1" x14ac:dyDescent="0.3">
      <c r="A840" s="706"/>
      <c r="B840" s="180" t="s">
        <v>362</v>
      </c>
      <c r="C840" s="300">
        <v>4975</v>
      </c>
      <c r="D840" s="173"/>
      <c r="E840" s="173"/>
      <c r="F840" s="266"/>
      <c r="G840" s="173"/>
      <c r="H840" s="173">
        <f>9+3</f>
        <v>12</v>
      </c>
      <c r="I840" s="174"/>
      <c r="J840" s="173"/>
      <c r="K840" s="173"/>
      <c r="L840" s="266"/>
      <c r="M840" s="173"/>
      <c r="N840" s="174"/>
      <c r="O840" s="173"/>
      <c r="P840" s="173">
        <v>6</v>
      </c>
      <c r="Q840" s="173"/>
      <c r="R840" s="173"/>
      <c r="S840" s="173">
        <v>10675</v>
      </c>
      <c r="T840" s="327"/>
      <c r="U840" s="300">
        <v>232.471</v>
      </c>
      <c r="V840" s="173"/>
      <c r="W840" s="173">
        <v>445</v>
      </c>
      <c r="X840" s="173"/>
      <c r="Y840" s="173"/>
      <c r="Z840" s="173">
        <v>196.17514000000003</v>
      </c>
      <c r="AA840" s="173"/>
      <c r="AB840" s="173"/>
      <c r="AC840" s="173"/>
      <c r="AD840" s="173">
        <v>552</v>
      </c>
      <c r="AE840" s="173"/>
      <c r="AF840" s="173"/>
      <c r="AG840" s="173"/>
      <c r="AH840" s="173"/>
      <c r="AI840" s="173" t="s">
        <v>482</v>
      </c>
      <c r="AJ840" s="173"/>
      <c r="AK840" s="173"/>
      <c r="AL840" s="173"/>
      <c r="AM840" s="644">
        <f t="shared" si="15"/>
        <v>17093.646140000001</v>
      </c>
      <c r="AO840" s="289"/>
      <c r="AP840" s="97"/>
    </row>
    <row r="841" spans="1:42" s="61" customFormat="1" ht="22.5" customHeight="1" x14ac:dyDescent="0.3">
      <c r="A841" s="706"/>
      <c r="B841" s="115" t="s">
        <v>402</v>
      </c>
      <c r="C841" s="142">
        <v>12218.447770000001</v>
      </c>
      <c r="D841" s="111"/>
      <c r="E841" s="111"/>
      <c r="F841" s="267"/>
      <c r="G841" s="111"/>
      <c r="H841" s="111">
        <v>23124</v>
      </c>
      <c r="I841" s="125"/>
      <c r="J841" s="111"/>
      <c r="K841" s="111"/>
      <c r="L841" s="267">
        <v>0</v>
      </c>
      <c r="M841" s="111"/>
      <c r="N841" s="125"/>
      <c r="O841" s="111"/>
      <c r="P841" s="111"/>
      <c r="Q841" s="111"/>
      <c r="R841" s="111"/>
      <c r="S841" s="111">
        <v>5408.5700079999997</v>
      </c>
      <c r="T841" s="143"/>
      <c r="U841" s="142"/>
      <c r="V841" s="111"/>
      <c r="W841" s="111">
        <v>258</v>
      </c>
      <c r="X841" s="111"/>
      <c r="Y841" s="111"/>
      <c r="Z841" s="111">
        <v>1225</v>
      </c>
      <c r="AA841" s="111"/>
      <c r="AB841" s="111"/>
      <c r="AC841" s="111"/>
      <c r="AD841" s="111">
        <v>38</v>
      </c>
      <c r="AE841" s="111"/>
      <c r="AF841" s="111"/>
      <c r="AG841" s="111"/>
      <c r="AH841" s="111" t="s">
        <v>482</v>
      </c>
      <c r="AI841" s="111">
        <v>248</v>
      </c>
      <c r="AJ841" s="111"/>
      <c r="AK841" s="111"/>
      <c r="AL841" s="111"/>
      <c r="AM841" s="645">
        <f t="shared" si="15"/>
        <v>42520.017778000001</v>
      </c>
      <c r="AO841" s="289"/>
    </row>
    <row r="842" spans="1:42" s="61" customFormat="1" ht="21" customHeight="1" x14ac:dyDescent="0.3">
      <c r="A842" s="707"/>
      <c r="B842" s="181" t="s">
        <v>403</v>
      </c>
      <c r="C842" s="144">
        <v>13</v>
      </c>
      <c r="D842" s="112"/>
      <c r="E842" s="112"/>
      <c r="F842" s="268">
        <v>81.900000000000006</v>
      </c>
      <c r="G842" s="112"/>
      <c r="H842" s="112"/>
      <c r="I842" s="126"/>
      <c r="J842" s="112"/>
      <c r="K842" s="112"/>
      <c r="L842" s="268"/>
      <c r="M842" s="112"/>
      <c r="N842" s="126"/>
      <c r="O842" s="112"/>
      <c r="P842" s="112"/>
      <c r="Q842" s="112"/>
      <c r="R842" s="112"/>
      <c r="S842" s="112">
        <v>9695.9217360000002</v>
      </c>
      <c r="T842" s="145"/>
      <c r="U842" s="144">
        <v>270.06700000000001</v>
      </c>
      <c r="V842" s="112"/>
      <c r="W842" s="112">
        <f>539-258</f>
        <v>281</v>
      </c>
      <c r="X842" s="112"/>
      <c r="Y842" s="112"/>
      <c r="Z842" s="112">
        <v>25</v>
      </c>
      <c r="AA842" s="112"/>
      <c r="AB842" s="112"/>
      <c r="AC842" s="112"/>
      <c r="AD842" s="112">
        <v>0</v>
      </c>
      <c r="AE842" s="112"/>
      <c r="AF842" s="112"/>
      <c r="AG842" s="112"/>
      <c r="AH842" s="112" t="s">
        <v>482</v>
      </c>
      <c r="AI842" s="112">
        <v>249</v>
      </c>
      <c r="AJ842" s="112"/>
      <c r="AK842" s="112"/>
      <c r="AL842" s="112"/>
      <c r="AM842" s="646">
        <f t="shared" si="15"/>
        <v>10615.888736000001</v>
      </c>
      <c r="AO842" s="289"/>
    </row>
    <row r="843" spans="1:42" s="61" customFormat="1" ht="21" customHeight="1" x14ac:dyDescent="0.3">
      <c r="A843" s="705" t="s">
        <v>195</v>
      </c>
      <c r="B843" s="179" t="s">
        <v>293</v>
      </c>
      <c r="C843" s="135"/>
      <c r="D843" s="136"/>
      <c r="E843" s="136"/>
      <c r="F843" s="262"/>
      <c r="G843" s="136"/>
      <c r="H843" s="136"/>
      <c r="I843" s="326"/>
      <c r="J843" s="136"/>
      <c r="K843" s="136"/>
      <c r="L843" s="262"/>
      <c r="M843" s="136"/>
      <c r="N843" s="326"/>
      <c r="O843" s="136"/>
      <c r="P843" s="136"/>
      <c r="Q843" s="136"/>
      <c r="R843" s="136"/>
      <c r="S843" s="136"/>
      <c r="T843" s="137">
        <v>10</v>
      </c>
      <c r="U843" s="632"/>
      <c r="V843" s="122"/>
      <c r="W843" s="122"/>
      <c r="X843" s="122"/>
      <c r="Y843" s="122"/>
      <c r="Z843" s="122">
        <v>0.67159999999999997</v>
      </c>
      <c r="AA843" s="122"/>
      <c r="AB843" s="122"/>
      <c r="AC843" s="122"/>
      <c r="AD843" s="122"/>
      <c r="AE843" s="122"/>
      <c r="AF843" s="122"/>
      <c r="AG843" s="122"/>
      <c r="AH843" s="122"/>
      <c r="AI843" s="122" t="s">
        <v>482</v>
      </c>
      <c r="AJ843" s="122"/>
      <c r="AK843" s="122"/>
      <c r="AL843" s="122"/>
      <c r="AM843" s="639">
        <f t="shared" si="15"/>
        <v>10.6716</v>
      </c>
      <c r="AO843" s="289"/>
    </row>
    <row r="844" spans="1:42" s="61" customFormat="1" ht="19.5" customHeight="1" x14ac:dyDescent="0.3">
      <c r="A844" s="706"/>
      <c r="B844" s="116" t="s">
        <v>294</v>
      </c>
      <c r="C844" s="138"/>
      <c r="D844" s="109"/>
      <c r="E844" s="109"/>
      <c r="F844" s="263"/>
      <c r="G844" s="109"/>
      <c r="H844" s="109"/>
      <c r="I844" s="123"/>
      <c r="J844" s="109"/>
      <c r="K844" s="109"/>
      <c r="L844" s="263">
        <v>51.8</v>
      </c>
      <c r="M844" s="109"/>
      <c r="N844" s="123"/>
      <c r="O844" s="109"/>
      <c r="P844" s="109"/>
      <c r="Q844" s="109"/>
      <c r="R844" s="109"/>
      <c r="S844" s="109"/>
      <c r="T844" s="139"/>
      <c r="U844" s="138"/>
      <c r="V844" s="109"/>
      <c r="W844" s="109"/>
      <c r="X844" s="109"/>
      <c r="Y844" s="109"/>
      <c r="Z844" s="109">
        <v>3.5257299999999998</v>
      </c>
      <c r="AA844" s="109"/>
      <c r="AB844" s="109"/>
      <c r="AC844" s="109"/>
      <c r="AD844" s="109"/>
      <c r="AE844" s="109"/>
      <c r="AF844" s="109"/>
      <c r="AG844" s="109"/>
      <c r="AH844" s="109"/>
      <c r="AI844" s="109" t="s">
        <v>482</v>
      </c>
      <c r="AJ844" s="109"/>
      <c r="AK844" s="109"/>
      <c r="AL844" s="109"/>
      <c r="AM844" s="640">
        <f t="shared" si="15"/>
        <v>55.32573</v>
      </c>
      <c r="AO844" s="289"/>
    </row>
    <row r="845" spans="1:42" s="61" customFormat="1" ht="22.5" customHeight="1" x14ac:dyDescent="0.3">
      <c r="A845" s="706"/>
      <c r="B845" s="117" t="s">
        <v>326</v>
      </c>
      <c r="C845" s="140"/>
      <c r="D845" s="110"/>
      <c r="E845" s="110"/>
      <c r="F845" s="264"/>
      <c r="G845" s="110"/>
      <c r="H845" s="110"/>
      <c r="I845" s="124"/>
      <c r="J845" s="110"/>
      <c r="K845" s="110"/>
      <c r="L845" s="264"/>
      <c r="M845" s="110"/>
      <c r="N845" s="124"/>
      <c r="O845" s="110"/>
      <c r="P845" s="110"/>
      <c r="Q845" s="110"/>
      <c r="R845" s="110"/>
      <c r="S845" s="110">
        <v>243</v>
      </c>
      <c r="T845" s="141"/>
      <c r="U845" s="140"/>
      <c r="V845" s="110"/>
      <c r="W845" s="110"/>
      <c r="X845" s="110"/>
      <c r="Y845" s="110"/>
      <c r="Z845" s="110">
        <v>1</v>
      </c>
      <c r="AA845" s="110"/>
      <c r="AB845" s="110"/>
      <c r="AC845" s="110"/>
      <c r="AD845" s="110"/>
      <c r="AE845" s="110"/>
      <c r="AF845" s="110"/>
      <c r="AG845" s="110"/>
      <c r="AH845" s="110"/>
      <c r="AI845" s="110" t="s">
        <v>482</v>
      </c>
      <c r="AJ845" s="110"/>
      <c r="AK845" s="110"/>
      <c r="AL845" s="110"/>
      <c r="AM845" s="641">
        <f t="shared" ref="AM845:AM908" si="16">SUM(C845:AL845)</f>
        <v>244</v>
      </c>
      <c r="AO845" s="289"/>
      <c r="AP845" s="97"/>
    </row>
    <row r="846" spans="1:42" s="61" customFormat="1" ht="25.5" customHeight="1" x14ac:dyDescent="0.3">
      <c r="A846" s="706"/>
      <c r="B846" s="175" t="s">
        <v>327</v>
      </c>
      <c r="C846" s="176"/>
      <c r="D846" s="127"/>
      <c r="E846" s="127"/>
      <c r="F846" s="265"/>
      <c r="G846" s="127"/>
      <c r="H846" s="127">
        <v>4</v>
      </c>
      <c r="I846" s="178"/>
      <c r="J846" s="127"/>
      <c r="K846" s="127"/>
      <c r="L846" s="265">
        <v>104</v>
      </c>
      <c r="M846" s="127"/>
      <c r="N846" s="178"/>
      <c r="O846" s="127"/>
      <c r="P846" s="127"/>
      <c r="Q846" s="127"/>
      <c r="R846" s="127"/>
      <c r="S846" s="127">
        <v>145</v>
      </c>
      <c r="T846" s="177"/>
      <c r="U846" s="176">
        <v>6.2E-2</v>
      </c>
      <c r="V846" s="127"/>
      <c r="W846" s="127"/>
      <c r="X846" s="127"/>
      <c r="Y846" s="127"/>
      <c r="Z846" s="127"/>
      <c r="AA846" s="127"/>
      <c r="AB846" s="127"/>
      <c r="AC846" s="127"/>
      <c r="AD846" s="127"/>
      <c r="AE846" s="127"/>
      <c r="AF846" s="127"/>
      <c r="AG846" s="127"/>
      <c r="AH846" s="127"/>
      <c r="AI846" s="127" t="s">
        <v>482</v>
      </c>
      <c r="AJ846" s="127"/>
      <c r="AK846" s="127">
        <v>27</v>
      </c>
      <c r="AL846" s="127"/>
      <c r="AM846" s="642">
        <f t="shared" si="16"/>
        <v>280.06200000000001</v>
      </c>
      <c r="AO846" s="289"/>
    </row>
    <row r="847" spans="1:42" s="61" customFormat="1" ht="25.5" customHeight="1" x14ac:dyDescent="0.3">
      <c r="A847" s="706"/>
      <c r="B847" s="180" t="s">
        <v>361</v>
      </c>
      <c r="C847" s="300"/>
      <c r="D847" s="173"/>
      <c r="E847" s="173"/>
      <c r="F847" s="266"/>
      <c r="G847" s="173"/>
      <c r="H847" s="173"/>
      <c r="I847" s="174"/>
      <c r="J847" s="173"/>
      <c r="K847" s="173"/>
      <c r="L847" s="266">
        <v>106</v>
      </c>
      <c r="M847" s="173"/>
      <c r="N847" s="174"/>
      <c r="O847" s="173"/>
      <c r="P847" s="173"/>
      <c r="Q847" s="173"/>
      <c r="R847" s="173"/>
      <c r="S847" s="173">
        <v>38</v>
      </c>
      <c r="T847" s="327"/>
      <c r="U847" s="300">
        <v>3.1E-2</v>
      </c>
      <c r="V847" s="173"/>
      <c r="W847" s="173"/>
      <c r="X847" s="173"/>
      <c r="Y847" s="173"/>
      <c r="Z847" s="173">
        <v>6.5909999999999996E-2</v>
      </c>
      <c r="AA847" s="173"/>
      <c r="AB847" s="173"/>
      <c r="AC847" s="173"/>
      <c r="AD847" s="173"/>
      <c r="AE847" s="173"/>
      <c r="AF847" s="173"/>
      <c r="AG847" s="173"/>
      <c r="AH847" s="173"/>
      <c r="AI847" s="173" t="s">
        <v>482</v>
      </c>
      <c r="AJ847" s="173"/>
      <c r="AK847" s="173">
        <v>10</v>
      </c>
      <c r="AL847" s="173"/>
      <c r="AM847" s="643">
        <f t="shared" si="16"/>
        <v>154.09691000000001</v>
      </c>
      <c r="AO847" s="289"/>
      <c r="AP847" s="97"/>
    </row>
    <row r="848" spans="1:42" s="61" customFormat="1" ht="25.5" customHeight="1" x14ac:dyDescent="0.3">
      <c r="A848" s="706"/>
      <c r="B848" s="180" t="s">
        <v>362</v>
      </c>
      <c r="C848" s="300"/>
      <c r="D848" s="173"/>
      <c r="E848" s="173"/>
      <c r="F848" s="266"/>
      <c r="G848" s="173"/>
      <c r="H848" s="173"/>
      <c r="I848" s="174"/>
      <c r="J848" s="173"/>
      <c r="K848" s="173"/>
      <c r="L848" s="266"/>
      <c r="M848" s="173"/>
      <c r="N848" s="174"/>
      <c r="O848" s="173"/>
      <c r="P848" s="173"/>
      <c r="Q848" s="173"/>
      <c r="R848" s="173"/>
      <c r="S848" s="173">
        <v>254</v>
      </c>
      <c r="T848" s="327">
        <v>12</v>
      </c>
      <c r="U848" s="300">
        <v>3.45</v>
      </c>
      <c r="V848" s="173"/>
      <c r="W848" s="173"/>
      <c r="X848" s="173"/>
      <c r="Y848" s="173"/>
      <c r="Z848" s="173"/>
      <c r="AA848" s="173"/>
      <c r="AB848" s="173"/>
      <c r="AC848" s="173"/>
      <c r="AD848" s="173"/>
      <c r="AE848" s="173"/>
      <c r="AF848" s="173"/>
      <c r="AG848" s="173"/>
      <c r="AH848" s="173">
        <v>950</v>
      </c>
      <c r="AI848" s="173">
        <v>3</v>
      </c>
      <c r="AJ848" s="173"/>
      <c r="AK848" s="173">
        <v>21</v>
      </c>
      <c r="AL848" s="173"/>
      <c r="AM848" s="644">
        <f t="shared" si="16"/>
        <v>1243.45</v>
      </c>
      <c r="AO848" s="289"/>
      <c r="AP848" s="97"/>
    </row>
    <row r="849" spans="1:42" s="61" customFormat="1" ht="22.5" customHeight="1" x14ac:dyDescent="0.3">
      <c r="A849" s="706"/>
      <c r="B849" s="115" t="s">
        <v>402</v>
      </c>
      <c r="C849" s="142"/>
      <c r="D849" s="111"/>
      <c r="E849" s="111"/>
      <c r="F849" s="267"/>
      <c r="G849" s="111"/>
      <c r="H849" s="111">
        <v>119</v>
      </c>
      <c r="I849" s="125"/>
      <c r="J849" s="111"/>
      <c r="K849" s="111"/>
      <c r="L849" s="267">
        <v>0</v>
      </c>
      <c r="M849" s="111"/>
      <c r="N849" s="125"/>
      <c r="O849" s="111"/>
      <c r="P849" s="111"/>
      <c r="Q849" s="111"/>
      <c r="R849" s="111"/>
      <c r="S849" s="111">
        <v>-2.0181909999999998</v>
      </c>
      <c r="T849" s="143"/>
      <c r="U849" s="142">
        <v>2.4750000000000001</v>
      </c>
      <c r="V849" s="111"/>
      <c r="W849" s="111"/>
      <c r="X849" s="111"/>
      <c r="Y849" s="111"/>
      <c r="Z849" s="111"/>
      <c r="AA849" s="111"/>
      <c r="AB849" s="111"/>
      <c r="AC849" s="111"/>
      <c r="AD849" s="111"/>
      <c r="AE849" s="111"/>
      <c r="AF849" s="111"/>
      <c r="AG849" s="111"/>
      <c r="AH849" s="111" t="s">
        <v>482</v>
      </c>
      <c r="AI849" s="111" t="s">
        <v>482</v>
      </c>
      <c r="AJ849" s="111"/>
      <c r="AK849" s="111">
        <f>22.116/1.097</f>
        <v>20.160437556973566</v>
      </c>
      <c r="AL849" s="111"/>
      <c r="AM849" s="645">
        <f t="shared" si="16"/>
        <v>139.61724655697356</v>
      </c>
      <c r="AO849" s="289"/>
    </row>
    <row r="850" spans="1:42" s="61" customFormat="1" ht="21" customHeight="1" x14ac:dyDescent="0.3">
      <c r="A850" s="707"/>
      <c r="B850" s="181" t="s">
        <v>403</v>
      </c>
      <c r="C850" s="144"/>
      <c r="D850" s="112"/>
      <c r="E850" s="112"/>
      <c r="F850" s="268"/>
      <c r="G850" s="112"/>
      <c r="H850" s="112"/>
      <c r="I850" s="126"/>
      <c r="J850" s="112"/>
      <c r="K850" s="112"/>
      <c r="L850" s="268"/>
      <c r="M850" s="112"/>
      <c r="N850" s="126"/>
      <c r="O850" s="112"/>
      <c r="P850" s="112"/>
      <c r="Q850" s="112"/>
      <c r="R850" s="112"/>
      <c r="S850" s="112">
        <v>22.257850999999999</v>
      </c>
      <c r="T850" s="145"/>
      <c r="U850" s="144">
        <v>3.7999999999999999E-2</v>
      </c>
      <c r="V850" s="112"/>
      <c r="W850" s="112"/>
      <c r="X850" s="112"/>
      <c r="Y850" s="112"/>
      <c r="Z850" s="112"/>
      <c r="AA850" s="112"/>
      <c r="AB850" s="112"/>
      <c r="AC850" s="112"/>
      <c r="AD850" s="112"/>
      <c r="AE850" s="112"/>
      <c r="AF850" s="112"/>
      <c r="AG850" s="112"/>
      <c r="AH850" s="112" t="s">
        <v>482</v>
      </c>
      <c r="AI850" s="112" t="s">
        <v>482</v>
      </c>
      <c r="AJ850" s="112"/>
      <c r="AK850" s="112">
        <f>18.8845/1.001</f>
        <v>18.865634365634367</v>
      </c>
      <c r="AL850" s="112"/>
      <c r="AM850" s="646">
        <f t="shared" si="16"/>
        <v>41.161485365634363</v>
      </c>
      <c r="AO850" s="289"/>
    </row>
    <row r="851" spans="1:42" s="61" customFormat="1" ht="21" customHeight="1" x14ac:dyDescent="0.3">
      <c r="A851" s="705" t="s">
        <v>196</v>
      </c>
      <c r="B851" s="179" t="s">
        <v>293</v>
      </c>
      <c r="C851" s="135"/>
      <c r="D851" s="136"/>
      <c r="E851" s="136"/>
      <c r="F851" s="262"/>
      <c r="G851" s="136"/>
      <c r="H851" s="136">
        <v>19</v>
      </c>
      <c r="I851" s="326"/>
      <c r="J851" s="136"/>
      <c r="K851" s="136"/>
      <c r="L851" s="262"/>
      <c r="M851" s="136"/>
      <c r="N851" s="326"/>
      <c r="O851" s="136"/>
      <c r="P851" s="136"/>
      <c r="Q851" s="136"/>
      <c r="R851" s="136"/>
      <c r="S851" s="136"/>
      <c r="T851" s="137"/>
      <c r="U851" s="632"/>
      <c r="V851" s="122"/>
      <c r="W851" s="122"/>
      <c r="X851" s="122"/>
      <c r="Y851" s="122"/>
      <c r="Z851" s="122"/>
      <c r="AA851" s="122"/>
      <c r="AB851" s="122"/>
      <c r="AC851" s="122"/>
      <c r="AD851" s="122"/>
      <c r="AE851" s="122"/>
      <c r="AF851" s="122"/>
      <c r="AG851" s="122">
        <v>0.3</v>
      </c>
      <c r="AH851" s="122"/>
      <c r="AI851" s="122" t="s">
        <v>482</v>
      </c>
      <c r="AJ851" s="122"/>
      <c r="AK851" s="122"/>
      <c r="AL851" s="122"/>
      <c r="AM851" s="639">
        <f t="shared" si="16"/>
        <v>19.3</v>
      </c>
      <c r="AO851" s="289"/>
    </row>
    <row r="852" spans="1:42" s="61" customFormat="1" ht="19.5" customHeight="1" x14ac:dyDescent="0.3">
      <c r="A852" s="706"/>
      <c r="B852" s="116" t="s">
        <v>294</v>
      </c>
      <c r="C852" s="138"/>
      <c r="D852" s="109"/>
      <c r="E852" s="109"/>
      <c r="F852" s="263"/>
      <c r="G852" s="109"/>
      <c r="H852" s="109"/>
      <c r="I852" s="123"/>
      <c r="J852" s="109"/>
      <c r="K852" s="109"/>
      <c r="L852" s="263"/>
      <c r="M852" s="109"/>
      <c r="N852" s="123"/>
      <c r="O852" s="109"/>
      <c r="P852" s="109"/>
      <c r="Q852" s="109"/>
      <c r="R852" s="109"/>
      <c r="S852" s="109"/>
      <c r="T852" s="139"/>
      <c r="U852" s="138"/>
      <c r="V852" s="109"/>
      <c r="W852" s="109"/>
      <c r="X852" s="109"/>
      <c r="Y852" s="109"/>
      <c r="Z852" s="109"/>
      <c r="AA852" s="109"/>
      <c r="AB852" s="109"/>
      <c r="AC852" s="109"/>
      <c r="AD852" s="109"/>
      <c r="AE852" s="109"/>
      <c r="AF852" s="109"/>
      <c r="AG852" s="109"/>
      <c r="AH852" s="109"/>
      <c r="AI852" s="109" t="s">
        <v>482</v>
      </c>
      <c r="AJ852" s="109"/>
      <c r="AK852" s="109"/>
      <c r="AL852" s="109"/>
      <c r="AM852" s="640">
        <f t="shared" si="16"/>
        <v>0</v>
      </c>
      <c r="AO852" s="289"/>
    </row>
    <row r="853" spans="1:42" s="61" customFormat="1" ht="22.5" customHeight="1" x14ac:dyDescent="0.3">
      <c r="A853" s="706"/>
      <c r="B853" s="117" t="s">
        <v>326</v>
      </c>
      <c r="C853" s="140"/>
      <c r="D853" s="110"/>
      <c r="E853" s="110"/>
      <c r="F853" s="264"/>
      <c r="G853" s="110"/>
      <c r="H853" s="110"/>
      <c r="I853" s="124"/>
      <c r="J853" s="110"/>
      <c r="K853" s="110"/>
      <c r="L853" s="264"/>
      <c r="M853" s="110"/>
      <c r="N853" s="124"/>
      <c r="O853" s="110"/>
      <c r="P853" s="110"/>
      <c r="Q853" s="110"/>
      <c r="R853" s="110"/>
      <c r="S853" s="110"/>
      <c r="T853" s="141"/>
      <c r="U853" s="140"/>
      <c r="V853" s="110"/>
      <c r="W853" s="110"/>
      <c r="X853" s="110"/>
      <c r="Y853" s="110"/>
      <c r="Z853" s="110"/>
      <c r="AA853" s="110"/>
      <c r="AB853" s="110"/>
      <c r="AC853" s="110"/>
      <c r="AD853" s="110"/>
      <c r="AE853" s="110"/>
      <c r="AF853" s="110"/>
      <c r="AG853" s="110"/>
      <c r="AH853" s="110"/>
      <c r="AI853" s="110" t="s">
        <v>482</v>
      </c>
      <c r="AJ853" s="110"/>
      <c r="AK853" s="110"/>
      <c r="AL853" s="110"/>
      <c r="AM853" s="641">
        <f t="shared" si="16"/>
        <v>0</v>
      </c>
      <c r="AO853" s="289"/>
      <c r="AP853" s="97"/>
    </row>
    <row r="854" spans="1:42" s="61" customFormat="1" ht="25.5" customHeight="1" x14ac:dyDescent="0.3">
      <c r="A854" s="706"/>
      <c r="B854" s="175" t="s">
        <v>327</v>
      </c>
      <c r="C854" s="176">
        <v>133.53700000000001</v>
      </c>
      <c r="D854" s="127"/>
      <c r="E854" s="127"/>
      <c r="F854" s="265"/>
      <c r="G854" s="127"/>
      <c r="H854" s="127"/>
      <c r="I854" s="178"/>
      <c r="J854" s="127"/>
      <c r="K854" s="127"/>
      <c r="L854" s="265"/>
      <c r="M854" s="127"/>
      <c r="N854" s="178"/>
      <c r="O854" s="127"/>
      <c r="P854" s="127"/>
      <c r="Q854" s="127"/>
      <c r="R854" s="127"/>
      <c r="S854" s="127">
        <v>355</v>
      </c>
      <c r="T854" s="177"/>
      <c r="U854" s="176">
        <v>0.11600000000000001</v>
      </c>
      <c r="V854" s="127"/>
      <c r="W854" s="127"/>
      <c r="X854" s="127"/>
      <c r="Y854" s="127"/>
      <c r="Z854" s="127"/>
      <c r="AA854" s="127"/>
      <c r="AB854" s="127"/>
      <c r="AC854" s="127"/>
      <c r="AD854" s="127"/>
      <c r="AE854" s="127"/>
      <c r="AF854" s="127"/>
      <c r="AG854" s="127"/>
      <c r="AH854" s="127"/>
      <c r="AI854" s="127" t="s">
        <v>482</v>
      </c>
      <c r="AJ854" s="127"/>
      <c r="AK854" s="127"/>
      <c r="AL854" s="127"/>
      <c r="AM854" s="642">
        <f t="shared" si="16"/>
        <v>488.65300000000002</v>
      </c>
      <c r="AO854" s="289"/>
    </row>
    <row r="855" spans="1:42" s="61" customFormat="1" ht="25.5" customHeight="1" x14ac:dyDescent="0.3">
      <c r="A855" s="706"/>
      <c r="B855" s="180" t="s">
        <v>361</v>
      </c>
      <c r="C855" s="300"/>
      <c r="D855" s="173"/>
      <c r="E855" s="173"/>
      <c r="F855" s="266"/>
      <c r="G855" s="173"/>
      <c r="H855" s="173"/>
      <c r="I855" s="174"/>
      <c r="J855" s="173"/>
      <c r="K855" s="173"/>
      <c r="L855" s="266"/>
      <c r="M855" s="173"/>
      <c r="N855" s="174"/>
      <c r="O855" s="173"/>
      <c r="P855" s="173"/>
      <c r="Q855" s="173"/>
      <c r="R855" s="173"/>
      <c r="S855" s="173">
        <v>542</v>
      </c>
      <c r="T855" s="327"/>
      <c r="U855" s="300"/>
      <c r="V855" s="173"/>
      <c r="W855" s="173">
        <v>30</v>
      </c>
      <c r="X855" s="173"/>
      <c r="Y855" s="173"/>
      <c r="Z855" s="173"/>
      <c r="AA855" s="173"/>
      <c r="AB855" s="173"/>
      <c r="AC855" s="173"/>
      <c r="AD855" s="173"/>
      <c r="AE855" s="173"/>
      <c r="AF855" s="173"/>
      <c r="AG855" s="173"/>
      <c r="AH855" s="173"/>
      <c r="AI855" s="173" t="s">
        <v>482</v>
      </c>
      <c r="AJ855" s="173"/>
      <c r="AK855" s="173"/>
      <c r="AL855" s="173"/>
      <c r="AM855" s="643">
        <f t="shared" si="16"/>
        <v>572</v>
      </c>
      <c r="AO855" s="289"/>
      <c r="AP855" s="97"/>
    </row>
    <row r="856" spans="1:42" s="61" customFormat="1" ht="25.5" customHeight="1" x14ac:dyDescent="0.3">
      <c r="A856" s="706"/>
      <c r="B856" s="180" t="s">
        <v>362</v>
      </c>
      <c r="C856" s="300"/>
      <c r="D856" s="173"/>
      <c r="E856" s="173"/>
      <c r="F856" s="266"/>
      <c r="G856" s="173"/>
      <c r="H856" s="173"/>
      <c r="I856" s="174"/>
      <c r="J856" s="173"/>
      <c r="K856" s="173"/>
      <c r="L856" s="266"/>
      <c r="M856" s="173"/>
      <c r="N856" s="174"/>
      <c r="O856" s="173"/>
      <c r="P856" s="173"/>
      <c r="Q856" s="173"/>
      <c r="R856" s="173"/>
      <c r="S856" s="173">
        <v>12749</v>
      </c>
      <c r="T856" s="327"/>
      <c r="U856" s="300"/>
      <c r="V856" s="173"/>
      <c r="W856" s="173"/>
      <c r="X856" s="173"/>
      <c r="Y856" s="173"/>
      <c r="Z856" s="173"/>
      <c r="AA856" s="173"/>
      <c r="AB856" s="173"/>
      <c r="AC856" s="173"/>
      <c r="AD856" s="173"/>
      <c r="AE856" s="173"/>
      <c r="AF856" s="173"/>
      <c r="AG856" s="173"/>
      <c r="AH856" s="173"/>
      <c r="AI856" s="173" t="s">
        <v>482</v>
      </c>
      <c r="AJ856" s="173"/>
      <c r="AK856" s="173"/>
      <c r="AL856" s="173"/>
      <c r="AM856" s="644">
        <f t="shared" si="16"/>
        <v>12749</v>
      </c>
      <c r="AO856" s="289"/>
      <c r="AP856" s="97"/>
    </row>
    <row r="857" spans="1:42" s="61" customFormat="1" ht="22.5" customHeight="1" x14ac:dyDescent="0.3">
      <c r="A857" s="706"/>
      <c r="B857" s="115" t="s">
        <v>402</v>
      </c>
      <c r="C857" s="142"/>
      <c r="D857" s="111"/>
      <c r="E857" s="111"/>
      <c r="F857" s="267">
        <v>250</v>
      </c>
      <c r="G857" s="111"/>
      <c r="H857" s="111"/>
      <c r="I857" s="125"/>
      <c r="J857" s="111"/>
      <c r="K857" s="111"/>
      <c r="L857" s="267"/>
      <c r="M857" s="111"/>
      <c r="N857" s="125"/>
      <c r="O857" s="111"/>
      <c r="P857" s="111"/>
      <c r="Q857" s="111"/>
      <c r="R857" s="111"/>
      <c r="S857" s="111">
        <v>811.46067099999993</v>
      </c>
      <c r="T857" s="143"/>
      <c r="U857" s="142"/>
      <c r="V857" s="111"/>
      <c r="W857" s="111"/>
      <c r="X857" s="111"/>
      <c r="Y857" s="111"/>
      <c r="Z857" s="111"/>
      <c r="AA857" s="111"/>
      <c r="AB857" s="111"/>
      <c r="AC857" s="111"/>
      <c r="AD857" s="111"/>
      <c r="AE857" s="111"/>
      <c r="AF857" s="111"/>
      <c r="AG857" s="111"/>
      <c r="AH857" s="111" t="s">
        <v>482</v>
      </c>
      <c r="AI857" s="111" t="s">
        <v>482</v>
      </c>
      <c r="AJ857" s="111"/>
      <c r="AK857" s="111"/>
      <c r="AL857" s="111"/>
      <c r="AM857" s="645">
        <f t="shared" si="16"/>
        <v>1061.4606709999998</v>
      </c>
      <c r="AO857" s="289"/>
    </row>
    <row r="858" spans="1:42" s="61" customFormat="1" ht="21" customHeight="1" x14ac:dyDescent="0.3">
      <c r="A858" s="707"/>
      <c r="B858" s="181" t="s">
        <v>403</v>
      </c>
      <c r="C858" s="144">
        <v>599.95000000000005</v>
      </c>
      <c r="D858" s="112"/>
      <c r="E858" s="112"/>
      <c r="F858" s="268">
        <v>1500</v>
      </c>
      <c r="G858" s="112"/>
      <c r="H858" s="112"/>
      <c r="I858" s="126"/>
      <c r="J858" s="112"/>
      <c r="K858" s="112"/>
      <c r="L858" s="268">
        <v>3474.7</v>
      </c>
      <c r="M858" s="112"/>
      <c r="N858" s="126"/>
      <c r="O858" s="112"/>
      <c r="P858" s="112"/>
      <c r="Q858" s="112"/>
      <c r="R858" s="112"/>
      <c r="S858" s="112">
        <v>498.43580400000002</v>
      </c>
      <c r="T858" s="145"/>
      <c r="U858" s="144">
        <v>0.111</v>
      </c>
      <c r="V858" s="112"/>
      <c r="W858" s="112"/>
      <c r="X858" s="112"/>
      <c r="Y858" s="112"/>
      <c r="Z858" s="112"/>
      <c r="AA858" s="112"/>
      <c r="AB858" s="112"/>
      <c r="AC858" s="112"/>
      <c r="AD858" s="112"/>
      <c r="AE858" s="112"/>
      <c r="AF858" s="112"/>
      <c r="AG858" s="112"/>
      <c r="AH858" s="112" t="s">
        <v>482</v>
      </c>
      <c r="AI858" s="112" t="s">
        <v>482</v>
      </c>
      <c r="AJ858" s="112"/>
      <c r="AK858" s="112"/>
      <c r="AL858" s="112"/>
      <c r="AM858" s="646">
        <f t="shared" si="16"/>
        <v>6073.1968039999992</v>
      </c>
      <c r="AO858" s="289"/>
    </row>
    <row r="859" spans="1:42" s="61" customFormat="1" ht="21" customHeight="1" x14ac:dyDescent="0.3">
      <c r="A859" s="705" t="s">
        <v>303</v>
      </c>
      <c r="B859" s="179" t="s">
        <v>293</v>
      </c>
      <c r="C859" s="135">
        <v>11</v>
      </c>
      <c r="D859" s="136"/>
      <c r="E859" s="136"/>
      <c r="F859" s="262"/>
      <c r="G859" s="136">
        <v>50</v>
      </c>
      <c r="H859" s="136"/>
      <c r="I859" s="326"/>
      <c r="J859" s="136"/>
      <c r="K859" s="136"/>
      <c r="L859" s="262"/>
      <c r="M859" s="136"/>
      <c r="N859" s="326"/>
      <c r="O859" s="136"/>
      <c r="P859" s="136"/>
      <c r="Q859" s="136"/>
      <c r="R859" s="136"/>
      <c r="S859" s="136"/>
      <c r="T859" s="137"/>
      <c r="U859" s="632">
        <v>3772.8409999999999</v>
      </c>
      <c r="V859" s="122"/>
      <c r="W859" s="122"/>
      <c r="X859" s="122"/>
      <c r="Y859" s="122"/>
      <c r="Z859" s="122"/>
      <c r="AA859" s="122"/>
      <c r="AB859" s="122"/>
      <c r="AC859" s="122">
        <v>1388.2860000000001</v>
      </c>
      <c r="AD859" s="122"/>
      <c r="AE859" s="122"/>
      <c r="AF859" s="122"/>
      <c r="AG859" s="122"/>
      <c r="AH859" s="122"/>
      <c r="AI859" s="122" t="s">
        <v>482</v>
      </c>
      <c r="AJ859" s="122"/>
      <c r="AK859" s="122"/>
      <c r="AL859" s="122"/>
      <c r="AM859" s="639">
        <f t="shared" si="16"/>
        <v>5222.1270000000004</v>
      </c>
      <c r="AO859" s="289"/>
    </row>
    <row r="860" spans="1:42" s="61" customFormat="1" ht="19.5" customHeight="1" x14ac:dyDescent="0.3">
      <c r="A860" s="706"/>
      <c r="B860" s="116" t="s">
        <v>294</v>
      </c>
      <c r="C860" s="138">
        <v>25</v>
      </c>
      <c r="D860" s="109"/>
      <c r="E860" s="109"/>
      <c r="F860" s="263">
        <v>9474.4869999999992</v>
      </c>
      <c r="G860" s="109"/>
      <c r="H860" s="109">
        <v>127</v>
      </c>
      <c r="I860" s="123"/>
      <c r="J860" s="109"/>
      <c r="K860" s="109"/>
      <c r="L860" s="263"/>
      <c r="M860" s="109"/>
      <c r="N860" s="123"/>
      <c r="O860" s="109"/>
      <c r="P860" s="109"/>
      <c r="Q860" s="109"/>
      <c r="R860" s="109"/>
      <c r="S860" s="109"/>
      <c r="T860" s="139"/>
      <c r="U860" s="138">
        <v>3599.22</v>
      </c>
      <c r="V860" s="109"/>
      <c r="W860" s="109"/>
      <c r="X860" s="109"/>
      <c r="Y860" s="109"/>
      <c r="Z860" s="109"/>
      <c r="AA860" s="109">
        <v>-25.226380000000002</v>
      </c>
      <c r="AB860" s="109">
        <v>7</v>
      </c>
      <c r="AC860" s="109">
        <v>794.79499999999996</v>
      </c>
      <c r="AD860" s="109"/>
      <c r="AE860" s="109"/>
      <c r="AF860" s="109"/>
      <c r="AG860" s="109"/>
      <c r="AH860" s="109"/>
      <c r="AI860" s="109" t="s">
        <v>482</v>
      </c>
      <c r="AJ860" s="109">
        <v>107</v>
      </c>
      <c r="AK860" s="109"/>
      <c r="AL860" s="109"/>
      <c r="AM860" s="640">
        <f t="shared" si="16"/>
        <v>14109.275619999999</v>
      </c>
      <c r="AO860" s="289"/>
    </row>
    <row r="861" spans="1:42" s="61" customFormat="1" ht="22.5" customHeight="1" x14ac:dyDescent="0.3">
      <c r="A861" s="706"/>
      <c r="B861" s="117" t="s">
        <v>326</v>
      </c>
      <c r="C861" s="140">
        <v>629.77599999999995</v>
      </c>
      <c r="D861" s="110"/>
      <c r="E861" s="110"/>
      <c r="F861" s="264">
        <v>-1652</v>
      </c>
      <c r="G861" s="110"/>
      <c r="H861" s="110"/>
      <c r="I861" s="124"/>
      <c r="J861" s="110"/>
      <c r="K861" s="110"/>
      <c r="L861" s="264"/>
      <c r="M861" s="110"/>
      <c r="N861" s="124"/>
      <c r="O861" s="110"/>
      <c r="P861" s="110">
        <v>40</v>
      </c>
      <c r="Q861" s="110"/>
      <c r="R861" s="110"/>
      <c r="S861" s="110">
        <v>4009</v>
      </c>
      <c r="T861" s="141"/>
      <c r="U861" s="140"/>
      <c r="V861" s="110"/>
      <c r="W861" s="110"/>
      <c r="X861" s="110">
        <v>643</v>
      </c>
      <c r="Y861" s="110"/>
      <c r="Z861" s="110"/>
      <c r="AA861" s="110"/>
      <c r="AB861" s="110"/>
      <c r="AC861" s="110"/>
      <c r="AD861" s="110"/>
      <c r="AE861" s="110"/>
      <c r="AF861" s="110"/>
      <c r="AG861" s="110"/>
      <c r="AH861" s="110"/>
      <c r="AI861" s="110" t="s">
        <v>482</v>
      </c>
      <c r="AJ861" s="110"/>
      <c r="AK861" s="110"/>
      <c r="AL861" s="110"/>
      <c r="AM861" s="641">
        <f t="shared" si="16"/>
        <v>3669.7759999999998</v>
      </c>
      <c r="AO861" s="289"/>
      <c r="AP861" s="97"/>
    </row>
    <row r="862" spans="1:42" s="61" customFormat="1" ht="25.5" customHeight="1" x14ac:dyDescent="0.3">
      <c r="A862" s="706"/>
      <c r="B862" s="175" t="s">
        <v>327</v>
      </c>
      <c r="C862" s="176">
        <v>14.074999999999999</v>
      </c>
      <c r="D862" s="127"/>
      <c r="E862" s="127"/>
      <c r="F862" s="265"/>
      <c r="G862" s="127">
        <v>258</v>
      </c>
      <c r="H862" s="127">
        <v>5</v>
      </c>
      <c r="I862" s="178"/>
      <c r="J862" s="127"/>
      <c r="K862" s="127"/>
      <c r="L862" s="265"/>
      <c r="M862" s="127"/>
      <c r="N862" s="178"/>
      <c r="O862" s="127"/>
      <c r="P862" s="127">
        <v>24</v>
      </c>
      <c r="Q862" s="127"/>
      <c r="R862" s="127"/>
      <c r="S862" s="127">
        <v>4237</v>
      </c>
      <c r="T862" s="177"/>
      <c r="U862" s="176"/>
      <c r="V862" s="127"/>
      <c r="W862" s="127"/>
      <c r="X862" s="127">
        <v>1261</v>
      </c>
      <c r="Y862" s="127">
        <v>100</v>
      </c>
      <c r="Z862" s="127"/>
      <c r="AA862" s="127"/>
      <c r="AB862" s="127"/>
      <c r="AC862" s="127">
        <v>1400</v>
      </c>
      <c r="AD862" s="127"/>
      <c r="AE862" s="127"/>
      <c r="AF862" s="127"/>
      <c r="AG862" s="127"/>
      <c r="AH862" s="127"/>
      <c r="AI862" s="127" t="s">
        <v>482</v>
      </c>
      <c r="AJ862" s="127"/>
      <c r="AK862" s="127"/>
      <c r="AL862" s="127"/>
      <c r="AM862" s="642">
        <f t="shared" si="16"/>
        <v>7299.0749999999998</v>
      </c>
      <c r="AO862" s="289"/>
    </row>
    <row r="863" spans="1:42" s="61" customFormat="1" ht="25.5" customHeight="1" x14ac:dyDescent="0.3">
      <c r="A863" s="706"/>
      <c r="B863" s="180" t="s">
        <v>361</v>
      </c>
      <c r="C863" s="300"/>
      <c r="D863" s="173"/>
      <c r="E863" s="173"/>
      <c r="F863" s="266">
        <v>2369</v>
      </c>
      <c r="G863" s="173">
        <f>-77</f>
        <v>-77</v>
      </c>
      <c r="H863" s="173">
        <v>5</v>
      </c>
      <c r="I863" s="174"/>
      <c r="J863" s="173"/>
      <c r="K863" s="173"/>
      <c r="L863" s="266"/>
      <c r="M863" s="173"/>
      <c r="N863" s="174"/>
      <c r="O863" s="173"/>
      <c r="P863" s="173"/>
      <c r="Q863" s="173"/>
      <c r="R863" s="173"/>
      <c r="S863" s="173">
        <v>2640</v>
      </c>
      <c r="T863" s="327"/>
      <c r="U863" s="300">
        <v>103.587</v>
      </c>
      <c r="V863" s="173"/>
      <c r="W863" s="173"/>
      <c r="X863" s="173">
        <v>646</v>
      </c>
      <c r="Y863" s="173"/>
      <c r="Z863" s="173"/>
      <c r="AA863" s="173"/>
      <c r="AB863" s="173">
        <v>7</v>
      </c>
      <c r="AC863" s="173"/>
      <c r="AD863" s="173"/>
      <c r="AE863" s="173"/>
      <c r="AF863" s="173"/>
      <c r="AG863" s="173"/>
      <c r="AH863" s="173">
        <v>4515</v>
      </c>
      <c r="AI863" s="173" t="s">
        <v>482</v>
      </c>
      <c r="AJ863" s="173"/>
      <c r="AK863" s="173"/>
      <c r="AL863" s="173"/>
      <c r="AM863" s="643">
        <f t="shared" si="16"/>
        <v>10208.587</v>
      </c>
      <c r="AO863" s="289"/>
      <c r="AP863" s="97"/>
    </row>
    <row r="864" spans="1:42" s="61" customFormat="1" ht="25.5" customHeight="1" x14ac:dyDescent="0.3">
      <c r="A864" s="706"/>
      <c r="B864" s="180" t="s">
        <v>362</v>
      </c>
      <c r="C864" s="300"/>
      <c r="D864" s="173"/>
      <c r="E864" s="173"/>
      <c r="F864" s="266">
        <v>261</v>
      </c>
      <c r="G864" s="173">
        <f>1606</f>
        <v>1606</v>
      </c>
      <c r="H864" s="173">
        <v>5</v>
      </c>
      <c r="I864" s="174"/>
      <c r="J864" s="173"/>
      <c r="K864" s="173"/>
      <c r="L864" s="266"/>
      <c r="M864" s="173"/>
      <c r="N864" s="174"/>
      <c r="O864" s="173"/>
      <c r="P864" s="173"/>
      <c r="Q864" s="173"/>
      <c r="R864" s="173"/>
      <c r="S864" s="173">
        <v>11468</v>
      </c>
      <c r="T864" s="327">
        <v>15.3</v>
      </c>
      <c r="U864" s="300">
        <v>7032.0290000000005</v>
      </c>
      <c r="V864" s="173"/>
      <c r="W864" s="173"/>
      <c r="X864" s="173">
        <v>2930</v>
      </c>
      <c r="Y864" s="173"/>
      <c r="Z864" s="173"/>
      <c r="AA864" s="173"/>
      <c r="AB864" s="173"/>
      <c r="AC864" s="173">
        <v>1696</v>
      </c>
      <c r="AD864" s="173"/>
      <c r="AE864" s="173"/>
      <c r="AF864" s="173"/>
      <c r="AG864" s="173">
        <v>12</v>
      </c>
      <c r="AH864" s="173"/>
      <c r="AI864" s="173" t="s">
        <v>482</v>
      </c>
      <c r="AJ864" s="173"/>
      <c r="AK864" s="173"/>
      <c r="AL864" s="173"/>
      <c r="AM864" s="644">
        <f t="shared" si="16"/>
        <v>25025.328999999998</v>
      </c>
      <c r="AO864" s="289"/>
      <c r="AP864" s="97"/>
    </row>
    <row r="865" spans="1:42" s="61" customFormat="1" ht="22.5" customHeight="1" x14ac:dyDescent="0.3">
      <c r="A865" s="706"/>
      <c r="B865" s="115" t="s">
        <v>402</v>
      </c>
      <c r="C865" s="142">
        <v>269.85771</v>
      </c>
      <c r="D865" s="111"/>
      <c r="E865" s="111"/>
      <c r="F865" s="267">
        <v>782.1</v>
      </c>
      <c r="G865" s="111"/>
      <c r="H865" s="111"/>
      <c r="I865" s="125"/>
      <c r="J865" s="111"/>
      <c r="K865" s="111"/>
      <c r="L865" s="267"/>
      <c r="M865" s="111"/>
      <c r="N865" s="125"/>
      <c r="O865" s="111"/>
      <c r="P865" s="111"/>
      <c r="Q865" s="111"/>
      <c r="R865" s="111"/>
      <c r="S865" s="111">
        <v>3669.9996169999995</v>
      </c>
      <c r="T865" s="143"/>
      <c r="U865" s="142">
        <v>501.935</v>
      </c>
      <c r="V865" s="111"/>
      <c r="W865" s="111"/>
      <c r="X865" s="111"/>
      <c r="Y865" s="111"/>
      <c r="Z865" s="111"/>
      <c r="AA865" s="111"/>
      <c r="AB865" s="111"/>
      <c r="AC865" s="111"/>
      <c r="AD865" s="111"/>
      <c r="AE865" s="111"/>
      <c r="AF865" s="111"/>
      <c r="AG865" s="111"/>
      <c r="AH865" s="111" t="s">
        <v>482</v>
      </c>
      <c r="AI865" s="111" t="s">
        <v>482</v>
      </c>
      <c r="AJ865" s="111"/>
      <c r="AK865" s="111"/>
      <c r="AL865" s="111"/>
      <c r="AM865" s="645">
        <f t="shared" si="16"/>
        <v>5223.8923270000005</v>
      </c>
      <c r="AO865" s="289"/>
    </row>
    <row r="866" spans="1:42" s="61" customFormat="1" ht="21" customHeight="1" x14ac:dyDescent="0.3">
      <c r="A866" s="707"/>
      <c r="B866" s="181" t="s">
        <v>403</v>
      </c>
      <c r="C866" s="144">
        <v>2146.9625000000001</v>
      </c>
      <c r="D866" s="112"/>
      <c r="E866" s="112"/>
      <c r="F866" s="268">
        <v>5.4</v>
      </c>
      <c r="G866" s="112"/>
      <c r="H866" s="112"/>
      <c r="I866" s="126"/>
      <c r="J866" s="112"/>
      <c r="K866" s="112"/>
      <c r="L866" s="268"/>
      <c r="M866" s="112"/>
      <c r="N866" s="126"/>
      <c r="O866" s="112"/>
      <c r="P866" s="112"/>
      <c r="Q866" s="112"/>
      <c r="R866" s="112"/>
      <c r="S866" s="112">
        <v>4284.4964650000002</v>
      </c>
      <c r="T866" s="145"/>
      <c r="U866" s="144">
        <v>899.89300000000003</v>
      </c>
      <c r="V866" s="112"/>
      <c r="W866" s="112"/>
      <c r="X866" s="112"/>
      <c r="Y866" s="112"/>
      <c r="Z866" s="112"/>
      <c r="AA866" s="112"/>
      <c r="AB866" s="112"/>
      <c r="AC866" s="112">
        <v>3471</v>
      </c>
      <c r="AD866" s="112"/>
      <c r="AE866" s="112"/>
      <c r="AF866" s="112"/>
      <c r="AG866" s="112"/>
      <c r="AH866" s="112" t="s">
        <v>482</v>
      </c>
      <c r="AI866" s="112" t="s">
        <v>482</v>
      </c>
      <c r="AJ866" s="112"/>
      <c r="AK866" s="112"/>
      <c r="AL866" s="112"/>
      <c r="AM866" s="646">
        <f t="shared" si="16"/>
        <v>10807.751964999999</v>
      </c>
      <c r="AO866" s="289"/>
    </row>
    <row r="867" spans="1:42" s="61" customFormat="1" ht="21" customHeight="1" x14ac:dyDescent="0.3">
      <c r="A867" s="705" t="s">
        <v>197</v>
      </c>
      <c r="B867" s="179" t="s">
        <v>293</v>
      </c>
      <c r="C867" s="135">
        <v>102</v>
      </c>
      <c r="D867" s="136"/>
      <c r="E867" s="136"/>
      <c r="F867" s="262"/>
      <c r="G867" s="136">
        <v>5</v>
      </c>
      <c r="H867" s="136"/>
      <c r="I867" s="326"/>
      <c r="J867" s="136"/>
      <c r="K867" s="136"/>
      <c r="L867" s="262"/>
      <c r="M867" s="136"/>
      <c r="N867" s="326"/>
      <c r="O867" s="136"/>
      <c r="P867" s="136"/>
      <c r="Q867" s="136"/>
      <c r="R867" s="136"/>
      <c r="S867" s="136">
        <v>9.2590000000000003</v>
      </c>
      <c r="T867" s="137">
        <v>3.5</v>
      </c>
      <c r="U867" s="632"/>
      <c r="V867" s="122"/>
      <c r="W867" s="122"/>
      <c r="X867" s="122"/>
      <c r="Y867" s="122">
        <v>243</v>
      </c>
      <c r="Z867" s="122">
        <v>74</v>
      </c>
      <c r="AA867" s="122"/>
      <c r="AB867" s="122"/>
      <c r="AC867" s="122">
        <v>40</v>
      </c>
      <c r="AD867" s="122"/>
      <c r="AE867" s="122"/>
      <c r="AF867" s="122"/>
      <c r="AG867" s="122"/>
      <c r="AH867" s="122"/>
      <c r="AI867" s="122" t="s">
        <v>482</v>
      </c>
      <c r="AJ867" s="122"/>
      <c r="AK867" s="122"/>
      <c r="AL867" s="122">
        <v>13.422818791946309</v>
      </c>
      <c r="AM867" s="639">
        <f t="shared" si="16"/>
        <v>490.18181879194634</v>
      </c>
      <c r="AO867" s="289"/>
    </row>
    <row r="868" spans="1:42" s="61" customFormat="1" ht="19.5" customHeight="1" x14ac:dyDescent="0.3">
      <c r="A868" s="706"/>
      <c r="B868" s="116" t="s">
        <v>294</v>
      </c>
      <c r="C868" s="138">
        <v>84</v>
      </c>
      <c r="D868" s="109"/>
      <c r="E868" s="109"/>
      <c r="F868" s="263"/>
      <c r="G868" s="109">
        <v>6</v>
      </c>
      <c r="H868" s="109"/>
      <c r="I868" s="123"/>
      <c r="J868" s="109"/>
      <c r="K868" s="109"/>
      <c r="L868" s="263"/>
      <c r="M868" s="109"/>
      <c r="N868" s="123"/>
      <c r="O868" s="109"/>
      <c r="P868" s="109"/>
      <c r="Q868" s="109"/>
      <c r="R868" s="109"/>
      <c r="S868" s="109">
        <v>11.538</v>
      </c>
      <c r="T868" s="139">
        <v>3.6</v>
      </c>
      <c r="U868" s="138"/>
      <c r="V868" s="109"/>
      <c r="W868" s="109"/>
      <c r="X868" s="109"/>
      <c r="Y868" s="109">
        <v>160</v>
      </c>
      <c r="Z868" s="109">
        <v>10.1097</v>
      </c>
      <c r="AA868" s="109"/>
      <c r="AB868" s="109"/>
      <c r="AC868" s="109">
        <v>45</v>
      </c>
      <c r="AD868" s="109"/>
      <c r="AE868" s="109"/>
      <c r="AF868" s="109"/>
      <c r="AG868" s="109"/>
      <c r="AH868" s="109"/>
      <c r="AI868" s="109" t="s">
        <v>482</v>
      </c>
      <c r="AJ868" s="109"/>
      <c r="AK868" s="109"/>
      <c r="AL868" s="109">
        <v>15.384615384615385</v>
      </c>
      <c r="AM868" s="640">
        <f t="shared" si="16"/>
        <v>335.63231538461531</v>
      </c>
      <c r="AO868" s="289"/>
    </row>
    <row r="869" spans="1:42" s="61" customFormat="1" ht="22.5" customHeight="1" x14ac:dyDescent="0.3">
      <c r="A869" s="706"/>
      <c r="B869" s="117" t="s">
        <v>326</v>
      </c>
      <c r="C869" s="140">
        <v>88.472999999999999</v>
      </c>
      <c r="D869" s="110"/>
      <c r="E869" s="110"/>
      <c r="F869" s="264"/>
      <c r="G869" s="110">
        <v>7</v>
      </c>
      <c r="H869" s="110"/>
      <c r="I869" s="124"/>
      <c r="J869" s="110"/>
      <c r="K869" s="110"/>
      <c r="L869" s="264"/>
      <c r="M869" s="110"/>
      <c r="N869" s="124"/>
      <c r="O869" s="110"/>
      <c r="P869" s="110"/>
      <c r="Q869" s="110"/>
      <c r="R869" s="110"/>
      <c r="S869" s="110">
        <v>8</v>
      </c>
      <c r="T869" s="141"/>
      <c r="U869" s="140"/>
      <c r="V869" s="110"/>
      <c r="W869" s="110"/>
      <c r="X869" s="110"/>
      <c r="Y869" s="110">
        <v>241</v>
      </c>
      <c r="Z869" s="110">
        <v>131</v>
      </c>
      <c r="AA869" s="110"/>
      <c r="AB869" s="110"/>
      <c r="AC869" s="110"/>
      <c r="AD869" s="110">
        <v>24</v>
      </c>
      <c r="AE869" s="110"/>
      <c r="AF869" s="110"/>
      <c r="AG869" s="110"/>
      <c r="AH869" s="110"/>
      <c r="AI869" s="110" t="s">
        <v>482</v>
      </c>
      <c r="AJ869" s="110"/>
      <c r="AK869" s="110"/>
      <c r="AL869" s="110">
        <v>17.543859649122808</v>
      </c>
      <c r="AM869" s="641">
        <f t="shared" si="16"/>
        <v>517.01685964912281</v>
      </c>
      <c r="AO869" s="289"/>
      <c r="AP869" s="97"/>
    </row>
    <row r="870" spans="1:42" s="61" customFormat="1" ht="25.5" customHeight="1" x14ac:dyDescent="0.3">
      <c r="A870" s="706"/>
      <c r="B870" s="175" t="s">
        <v>327</v>
      </c>
      <c r="C870" s="176">
        <v>177.99700000000001</v>
      </c>
      <c r="D870" s="127"/>
      <c r="E870" s="127"/>
      <c r="F870" s="265"/>
      <c r="G870" s="127">
        <v>8</v>
      </c>
      <c r="H870" s="127"/>
      <c r="I870" s="178"/>
      <c r="J870" s="127"/>
      <c r="K870" s="127"/>
      <c r="L870" s="265"/>
      <c r="M870" s="127"/>
      <c r="N870" s="178"/>
      <c r="O870" s="127"/>
      <c r="P870" s="127"/>
      <c r="Q870" s="127"/>
      <c r="R870" s="127"/>
      <c r="S870" s="127">
        <v>92</v>
      </c>
      <c r="T870" s="177"/>
      <c r="U870" s="176"/>
      <c r="V870" s="127"/>
      <c r="W870" s="127">
        <v>15</v>
      </c>
      <c r="X870" s="127"/>
      <c r="Y870" s="127">
        <v>172</v>
      </c>
      <c r="Z870" s="127">
        <v>104</v>
      </c>
      <c r="AA870" s="127"/>
      <c r="AB870" s="127"/>
      <c r="AC870" s="127">
        <v>100</v>
      </c>
      <c r="AD870" s="127"/>
      <c r="AE870" s="127"/>
      <c r="AF870" s="127"/>
      <c r="AG870" s="127"/>
      <c r="AH870" s="127">
        <v>45.93</v>
      </c>
      <c r="AI870" s="127" t="s">
        <v>482</v>
      </c>
      <c r="AJ870" s="127"/>
      <c r="AK870" s="127"/>
      <c r="AL870" s="127">
        <v>15.267175572519083</v>
      </c>
      <c r="AM870" s="642">
        <f t="shared" si="16"/>
        <v>730.19417557251916</v>
      </c>
      <c r="AO870" s="289"/>
    </row>
    <row r="871" spans="1:42" s="61" customFormat="1" ht="25.5" customHeight="1" x14ac:dyDescent="0.3">
      <c r="A871" s="706"/>
      <c r="B871" s="180" t="s">
        <v>361</v>
      </c>
      <c r="C871" s="300">
        <v>217</v>
      </c>
      <c r="D871" s="173"/>
      <c r="E871" s="173"/>
      <c r="F871" s="266"/>
      <c r="G871" s="173">
        <v>4</v>
      </c>
      <c r="H871" s="173"/>
      <c r="I871" s="174"/>
      <c r="J871" s="173"/>
      <c r="K871" s="173"/>
      <c r="L871" s="266"/>
      <c r="M871" s="173"/>
      <c r="N871" s="174"/>
      <c r="O871" s="173"/>
      <c r="P871" s="173"/>
      <c r="Q871" s="173"/>
      <c r="R871" s="173"/>
      <c r="S871" s="173">
        <v>504</v>
      </c>
      <c r="T871" s="327"/>
      <c r="U871" s="300"/>
      <c r="V871" s="173"/>
      <c r="W871" s="173"/>
      <c r="X871" s="173"/>
      <c r="Y871" s="173">
        <v>312</v>
      </c>
      <c r="Z871" s="173">
        <v>91.832700000000003</v>
      </c>
      <c r="AA871" s="173"/>
      <c r="AB871" s="173">
        <v>8</v>
      </c>
      <c r="AC871" s="173">
        <f>250+100</f>
        <v>350</v>
      </c>
      <c r="AD871" s="173">
        <v>23</v>
      </c>
      <c r="AE871" s="173"/>
      <c r="AF871" s="173"/>
      <c r="AG871" s="173"/>
      <c r="AH871" s="173">
        <v>65</v>
      </c>
      <c r="AI871" s="173" t="s">
        <v>482</v>
      </c>
      <c r="AJ871" s="173"/>
      <c r="AK871" s="173"/>
      <c r="AL871" s="173">
        <v>33.057851239669418</v>
      </c>
      <c r="AM871" s="643">
        <f t="shared" si="16"/>
        <v>1607.8905512396693</v>
      </c>
      <c r="AO871" s="289"/>
      <c r="AP871" s="97"/>
    </row>
    <row r="872" spans="1:42" s="61" customFormat="1" ht="25.5" customHeight="1" x14ac:dyDescent="0.3">
      <c r="A872" s="706"/>
      <c r="B872" s="180" t="s">
        <v>362</v>
      </c>
      <c r="C872" s="300">
        <v>563.21100000000001</v>
      </c>
      <c r="D872" s="173"/>
      <c r="E872" s="173"/>
      <c r="F872" s="266"/>
      <c r="G872" s="173">
        <f>4+77</f>
        <v>81</v>
      </c>
      <c r="H872" s="173"/>
      <c r="I872" s="174"/>
      <c r="J872" s="173"/>
      <c r="K872" s="173"/>
      <c r="L872" s="266"/>
      <c r="M872" s="173"/>
      <c r="N872" s="174"/>
      <c r="O872" s="173"/>
      <c r="P872" s="173"/>
      <c r="Q872" s="173"/>
      <c r="R872" s="173"/>
      <c r="S872" s="173">
        <v>170</v>
      </c>
      <c r="T872" s="327"/>
      <c r="U872" s="300"/>
      <c r="V872" s="173">
        <v>0.221</v>
      </c>
      <c r="W872" s="173"/>
      <c r="X872" s="173"/>
      <c r="Y872" s="173">
        <v>349</v>
      </c>
      <c r="Z872" s="173">
        <v>149.893</v>
      </c>
      <c r="AA872" s="173"/>
      <c r="AB872" s="173"/>
      <c r="AC872" s="173">
        <f>500-250+50</f>
        <v>300</v>
      </c>
      <c r="AD872" s="173">
        <v>43</v>
      </c>
      <c r="AE872" s="173"/>
      <c r="AF872" s="173"/>
      <c r="AG872" s="173"/>
      <c r="AH872" s="173"/>
      <c r="AI872" s="173" t="s">
        <v>482</v>
      </c>
      <c r="AJ872" s="173"/>
      <c r="AK872" s="173"/>
      <c r="AL872" s="173">
        <v>35.714285714285708</v>
      </c>
      <c r="AM872" s="644">
        <f t="shared" si="16"/>
        <v>1692.0392857142858</v>
      </c>
      <c r="AO872" s="289"/>
      <c r="AP872" s="97"/>
    </row>
    <row r="873" spans="1:42" s="61" customFormat="1" ht="22.5" customHeight="1" x14ac:dyDescent="0.3">
      <c r="A873" s="706"/>
      <c r="B873" s="115" t="s">
        <v>402</v>
      </c>
      <c r="C873" s="142">
        <v>709.70162000000005</v>
      </c>
      <c r="D873" s="111"/>
      <c r="E873" s="111"/>
      <c r="F873" s="267"/>
      <c r="G873" s="111"/>
      <c r="H873" s="111"/>
      <c r="I873" s="125"/>
      <c r="J873" s="111"/>
      <c r="K873" s="111"/>
      <c r="L873" s="267"/>
      <c r="M873" s="111"/>
      <c r="N873" s="125"/>
      <c r="O873" s="111"/>
      <c r="P873" s="111"/>
      <c r="Q873" s="111"/>
      <c r="R873" s="111"/>
      <c r="S873" s="111">
        <v>221.02552299999999</v>
      </c>
      <c r="T873" s="143"/>
      <c r="U873" s="142"/>
      <c r="V873" s="111"/>
      <c r="W873" s="111"/>
      <c r="X873" s="111"/>
      <c r="Y873" s="111">
        <v>392.94900000000001</v>
      </c>
      <c r="Z873" s="111">
        <v>151</v>
      </c>
      <c r="AA873" s="111"/>
      <c r="AB873" s="111"/>
      <c r="AC873" s="111">
        <v>300</v>
      </c>
      <c r="AD873" s="111">
        <v>59</v>
      </c>
      <c r="AE873" s="111"/>
      <c r="AF873" s="111"/>
      <c r="AG873" s="111"/>
      <c r="AH873" s="111">
        <v>302.77</v>
      </c>
      <c r="AI873" s="111" t="s">
        <v>482</v>
      </c>
      <c r="AJ873" s="111"/>
      <c r="AK873" s="111"/>
      <c r="AL873" s="111">
        <v>35.714285714285708</v>
      </c>
      <c r="AM873" s="645">
        <f t="shared" si="16"/>
        <v>2172.1604287142859</v>
      </c>
      <c r="AO873" s="289"/>
    </row>
    <row r="874" spans="1:42" s="61" customFormat="1" ht="21" customHeight="1" x14ac:dyDescent="0.3">
      <c r="A874" s="707"/>
      <c r="B874" s="181" t="s">
        <v>403</v>
      </c>
      <c r="C874" s="144">
        <v>534.69168000000002</v>
      </c>
      <c r="D874" s="112"/>
      <c r="E874" s="112"/>
      <c r="F874" s="268"/>
      <c r="G874" s="112"/>
      <c r="H874" s="112"/>
      <c r="I874" s="126"/>
      <c r="J874" s="112"/>
      <c r="K874" s="112"/>
      <c r="L874" s="268"/>
      <c r="M874" s="112"/>
      <c r="N874" s="126"/>
      <c r="O874" s="112"/>
      <c r="P874" s="112"/>
      <c r="Q874" s="112"/>
      <c r="R874" s="112"/>
      <c r="S874" s="112">
        <v>520.75308999999993</v>
      </c>
      <c r="T874" s="145"/>
      <c r="U874" s="144"/>
      <c r="V874" s="112"/>
      <c r="W874" s="112"/>
      <c r="X874" s="112"/>
      <c r="Y874" s="112">
        <v>477.11599999999999</v>
      </c>
      <c r="Z874" s="112">
        <v>200</v>
      </c>
      <c r="AA874" s="112"/>
      <c r="AB874" s="112">
        <v>9.4</v>
      </c>
      <c r="AC874" s="112">
        <v>0</v>
      </c>
      <c r="AD874" s="112">
        <v>87</v>
      </c>
      <c r="AE874" s="112"/>
      <c r="AF874" s="112"/>
      <c r="AG874" s="112"/>
      <c r="AH874" s="112">
        <v>333.36399999999998</v>
      </c>
      <c r="AI874" s="112" t="s">
        <v>482</v>
      </c>
      <c r="AJ874" s="112"/>
      <c r="AK874" s="112"/>
      <c r="AL874" s="112">
        <v>35</v>
      </c>
      <c r="AM874" s="646">
        <f t="shared" si="16"/>
        <v>2197.3247700000002</v>
      </c>
      <c r="AO874" s="289"/>
    </row>
    <row r="875" spans="1:42" s="61" customFormat="1" ht="21" customHeight="1" x14ac:dyDescent="0.3">
      <c r="A875" s="705" t="s">
        <v>198</v>
      </c>
      <c r="B875" s="179" t="s">
        <v>293</v>
      </c>
      <c r="C875" s="135">
        <v>37.5</v>
      </c>
      <c r="D875" s="136"/>
      <c r="E875" s="136"/>
      <c r="F875" s="262"/>
      <c r="G875" s="136">
        <v>12</v>
      </c>
      <c r="H875" s="136"/>
      <c r="I875" s="326"/>
      <c r="J875" s="136"/>
      <c r="K875" s="136"/>
      <c r="L875" s="262"/>
      <c r="M875" s="136"/>
      <c r="N875" s="326"/>
      <c r="O875" s="136"/>
      <c r="P875" s="136"/>
      <c r="Q875" s="136"/>
      <c r="R875" s="136"/>
      <c r="S875" s="136">
        <v>2.8530000000000002</v>
      </c>
      <c r="T875" s="137"/>
      <c r="U875" s="632">
        <v>0.59799999999999998</v>
      </c>
      <c r="V875" s="122"/>
      <c r="W875" s="122"/>
      <c r="X875" s="122"/>
      <c r="Y875" s="122"/>
      <c r="Z875" s="122">
        <v>-1</v>
      </c>
      <c r="AA875" s="122"/>
      <c r="AB875" s="122"/>
      <c r="AC875" s="122"/>
      <c r="AD875" s="122"/>
      <c r="AE875" s="122"/>
      <c r="AF875" s="122"/>
      <c r="AG875" s="122">
        <v>1.5</v>
      </c>
      <c r="AH875" s="122"/>
      <c r="AI875" s="122" t="s">
        <v>482</v>
      </c>
      <c r="AJ875" s="122"/>
      <c r="AK875" s="122"/>
      <c r="AL875" s="122"/>
      <c r="AM875" s="639">
        <f t="shared" si="16"/>
        <v>53.451000000000001</v>
      </c>
      <c r="AO875" s="289"/>
    </row>
    <row r="876" spans="1:42" s="61" customFormat="1" ht="19.5" customHeight="1" x14ac:dyDescent="0.3">
      <c r="A876" s="706"/>
      <c r="B876" s="116" t="s">
        <v>294</v>
      </c>
      <c r="C876" s="138">
        <v>8.5</v>
      </c>
      <c r="D876" s="109"/>
      <c r="E876" s="109"/>
      <c r="F876" s="263"/>
      <c r="G876" s="109">
        <v>12</v>
      </c>
      <c r="H876" s="109"/>
      <c r="I876" s="123"/>
      <c r="J876" s="109"/>
      <c r="K876" s="109"/>
      <c r="L876" s="263"/>
      <c r="M876" s="109"/>
      <c r="N876" s="123"/>
      <c r="O876" s="109"/>
      <c r="P876" s="109"/>
      <c r="Q876" s="109"/>
      <c r="R876" s="109"/>
      <c r="S876" s="109"/>
      <c r="T876" s="139">
        <v>7.2</v>
      </c>
      <c r="U876" s="138">
        <v>0.60799999999999998</v>
      </c>
      <c r="V876" s="109"/>
      <c r="W876" s="109"/>
      <c r="X876" s="109"/>
      <c r="Y876" s="109">
        <v>3</v>
      </c>
      <c r="Z876" s="109">
        <v>44</v>
      </c>
      <c r="AA876" s="109">
        <v>28.25</v>
      </c>
      <c r="AB876" s="109"/>
      <c r="AC876" s="109"/>
      <c r="AD876" s="109"/>
      <c r="AE876" s="109"/>
      <c r="AF876" s="109"/>
      <c r="AG876" s="109">
        <v>1.5</v>
      </c>
      <c r="AH876" s="109"/>
      <c r="AI876" s="109" t="s">
        <v>482</v>
      </c>
      <c r="AJ876" s="109"/>
      <c r="AK876" s="109"/>
      <c r="AL876" s="109"/>
      <c r="AM876" s="640">
        <f t="shared" si="16"/>
        <v>105.05799999999999</v>
      </c>
      <c r="AO876" s="289"/>
    </row>
    <row r="877" spans="1:42" s="61" customFormat="1" ht="22.5" customHeight="1" x14ac:dyDescent="0.3">
      <c r="A877" s="706"/>
      <c r="B877" s="117" t="s">
        <v>326</v>
      </c>
      <c r="C877" s="140">
        <v>89.69</v>
      </c>
      <c r="D877" s="110"/>
      <c r="E877" s="110"/>
      <c r="F877" s="264"/>
      <c r="G877" s="110">
        <v>54</v>
      </c>
      <c r="H877" s="110"/>
      <c r="I877" s="124"/>
      <c r="J877" s="110"/>
      <c r="K877" s="110"/>
      <c r="L877" s="264"/>
      <c r="M877" s="110"/>
      <c r="N877" s="124"/>
      <c r="O877" s="110"/>
      <c r="P877" s="110"/>
      <c r="Q877" s="110"/>
      <c r="R877" s="110"/>
      <c r="S877" s="110">
        <v>134</v>
      </c>
      <c r="T877" s="141"/>
      <c r="U877" s="140"/>
      <c r="V877" s="110"/>
      <c r="W877" s="110"/>
      <c r="X877" s="110"/>
      <c r="Y877" s="110">
        <v>4</v>
      </c>
      <c r="Z877" s="110">
        <v>23</v>
      </c>
      <c r="AA877" s="110"/>
      <c r="AB877" s="110"/>
      <c r="AC877" s="110"/>
      <c r="AD877" s="110"/>
      <c r="AE877" s="110"/>
      <c r="AF877" s="110"/>
      <c r="AG877" s="110"/>
      <c r="AH877" s="110"/>
      <c r="AI877" s="110" t="s">
        <v>482</v>
      </c>
      <c r="AJ877" s="110"/>
      <c r="AK877" s="110"/>
      <c r="AL877" s="110"/>
      <c r="AM877" s="641">
        <f t="shared" si="16"/>
        <v>304.69</v>
      </c>
      <c r="AO877" s="289"/>
      <c r="AP877" s="97"/>
    </row>
    <row r="878" spans="1:42" s="61" customFormat="1" ht="25.5" customHeight="1" x14ac:dyDescent="0.3">
      <c r="A878" s="706"/>
      <c r="B878" s="175" t="s">
        <v>327</v>
      </c>
      <c r="C878" s="176">
        <v>281.887</v>
      </c>
      <c r="D878" s="127"/>
      <c r="E878" s="127"/>
      <c r="F878" s="265"/>
      <c r="G878" s="127">
        <v>49</v>
      </c>
      <c r="H878" s="127"/>
      <c r="I878" s="178"/>
      <c r="J878" s="127"/>
      <c r="K878" s="127"/>
      <c r="L878" s="265"/>
      <c r="M878" s="127"/>
      <c r="N878" s="178">
        <v>80.885999999999996</v>
      </c>
      <c r="O878" s="127"/>
      <c r="P878" s="127"/>
      <c r="Q878" s="127"/>
      <c r="R878" s="127"/>
      <c r="S878" s="127">
        <v>357</v>
      </c>
      <c r="T878" s="177"/>
      <c r="U878" s="176">
        <v>1.464</v>
      </c>
      <c r="V878" s="127"/>
      <c r="W878" s="127"/>
      <c r="X878" s="127"/>
      <c r="Y878" s="127">
        <v>4</v>
      </c>
      <c r="Z878" s="127">
        <v>25</v>
      </c>
      <c r="AA878" s="127">
        <v>0.42253000000000002</v>
      </c>
      <c r="AB878" s="127"/>
      <c r="AC878" s="127"/>
      <c r="AD878" s="127"/>
      <c r="AE878" s="127"/>
      <c r="AF878" s="127"/>
      <c r="AG878" s="127"/>
      <c r="AH878" s="127"/>
      <c r="AI878" s="127" t="s">
        <v>482</v>
      </c>
      <c r="AJ878" s="127"/>
      <c r="AK878" s="127"/>
      <c r="AL878" s="127"/>
      <c r="AM878" s="642">
        <f t="shared" si="16"/>
        <v>799.65953000000013</v>
      </c>
      <c r="AO878" s="289"/>
    </row>
    <row r="879" spans="1:42" s="61" customFormat="1" ht="25.5" customHeight="1" x14ac:dyDescent="0.3">
      <c r="A879" s="706"/>
      <c r="B879" s="180" t="s">
        <v>361</v>
      </c>
      <c r="C879" s="300">
        <v>163.69999999999999</v>
      </c>
      <c r="D879" s="173"/>
      <c r="E879" s="173"/>
      <c r="F879" s="266"/>
      <c r="G879" s="173">
        <f>18+1668</f>
        <v>1686</v>
      </c>
      <c r="H879" s="173"/>
      <c r="I879" s="174"/>
      <c r="J879" s="173"/>
      <c r="K879" s="173"/>
      <c r="L879" s="266"/>
      <c r="M879" s="173"/>
      <c r="N879" s="174">
        <v>-3.254</v>
      </c>
      <c r="O879" s="173"/>
      <c r="P879" s="173"/>
      <c r="Q879" s="173"/>
      <c r="R879" s="173"/>
      <c r="S879" s="173">
        <v>48</v>
      </c>
      <c r="T879" s="327"/>
      <c r="U879" s="300">
        <v>13.231999999999999</v>
      </c>
      <c r="V879" s="173"/>
      <c r="W879" s="173"/>
      <c r="X879" s="173"/>
      <c r="Y879" s="173"/>
      <c r="Z879" s="173">
        <v>46.752940000000002</v>
      </c>
      <c r="AA879" s="173"/>
      <c r="AB879" s="173"/>
      <c r="AC879" s="173"/>
      <c r="AD879" s="173"/>
      <c r="AE879" s="173"/>
      <c r="AF879" s="173"/>
      <c r="AG879" s="173"/>
      <c r="AH879" s="173">
        <v>112</v>
      </c>
      <c r="AI879" s="173">
        <v>3</v>
      </c>
      <c r="AJ879" s="173"/>
      <c r="AK879" s="173"/>
      <c r="AL879" s="173">
        <v>38.088429752066119</v>
      </c>
      <c r="AM879" s="643">
        <f t="shared" si="16"/>
        <v>2107.5193697520663</v>
      </c>
      <c r="AO879" s="289"/>
      <c r="AP879" s="97"/>
    </row>
    <row r="880" spans="1:42" s="61" customFormat="1" ht="25.5" customHeight="1" x14ac:dyDescent="0.3">
      <c r="A880" s="706"/>
      <c r="B880" s="180" t="s">
        <v>362</v>
      </c>
      <c r="C880" s="300">
        <v>59.35</v>
      </c>
      <c r="D880" s="173"/>
      <c r="E880" s="173"/>
      <c r="F880" s="266"/>
      <c r="G880" s="173">
        <v>20</v>
      </c>
      <c r="H880" s="173"/>
      <c r="I880" s="174"/>
      <c r="J880" s="173"/>
      <c r="K880" s="173"/>
      <c r="L880" s="266"/>
      <c r="M880" s="173"/>
      <c r="N880" s="174">
        <v>37.82</v>
      </c>
      <c r="O880" s="173"/>
      <c r="P880" s="173"/>
      <c r="Q880" s="173"/>
      <c r="R880" s="173"/>
      <c r="S880" s="173">
        <v>239</v>
      </c>
      <c r="T880" s="327"/>
      <c r="U880" s="300">
        <v>1.972</v>
      </c>
      <c r="V880" s="173">
        <v>1.0620000000000001</v>
      </c>
      <c r="W880" s="173"/>
      <c r="X880" s="173"/>
      <c r="Y880" s="173"/>
      <c r="Z880" s="173">
        <v>100.96250000000001</v>
      </c>
      <c r="AA880" s="173"/>
      <c r="AB880" s="173"/>
      <c r="AC880" s="173"/>
      <c r="AD880" s="173"/>
      <c r="AE880" s="173"/>
      <c r="AF880" s="173"/>
      <c r="AG880" s="173"/>
      <c r="AH880" s="173">
        <v>306</v>
      </c>
      <c r="AI880" s="173" t="s">
        <v>482</v>
      </c>
      <c r="AJ880" s="173"/>
      <c r="AK880" s="173"/>
      <c r="AL880" s="173">
        <v>196.42857142857142</v>
      </c>
      <c r="AM880" s="644">
        <f t="shared" si="16"/>
        <v>962.59507142857137</v>
      </c>
      <c r="AO880" s="289"/>
      <c r="AP880" s="97"/>
    </row>
    <row r="881" spans="1:42" s="61" customFormat="1" ht="22.5" customHeight="1" x14ac:dyDescent="0.3">
      <c r="A881" s="706"/>
      <c r="B881" s="115" t="s">
        <v>402</v>
      </c>
      <c r="C881" s="142">
        <v>123.66764000000001</v>
      </c>
      <c r="D881" s="111"/>
      <c r="E881" s="111"/>
      <c r="F881" s="267"/>
      <c r="G881" s="111">
        <v>107</v>
      </c>
      <c r="H881" s="111"/>
      <c r="I881" s="125"/>
      <c r="J881" s="111"/>
      <c r="K881" s="111"/>
      <c r="L881" s="267"/>
      <c r="M881" s="111"/>
      <c r="N881" s="125"/>
      <c r="O881" s="111"/>
      <c r="P881" s="111"/>
      <c r="Q881" s="111"/>
      <c r="R881" s="111"/>
      <c r="S881" s="111">
        <v>85.367190000000008</v>
      </c>
      <c r="T881" s="143"/>
      <c r="U881" s="142">
        <v>2.3780000000000001</v>
      </c>
      <c r="V881" s="111"/>
      <c r="W881" s="111"/>
      <c r="X881" s="111"/>
      <c r="Y881" s="111"/>
      <c r="Z881" s="111">
        <v>32</v>
      </c>
      <c r="AA881" s="111"/>
      <c r="AB881" s="111"/>
      <c r="AC881" s="111">
        <v>145</v>
      </c>
      <c r="AD881" s="111"/>
      <c r="AE881" s="111"/>
      <c r="AF881" s="111"/>
      <c r="AG881" s="111"/>
      <c r="AH881" s="111">
        <v>27.052</v>
      </c>
      <c r="AI881" s="111" t="s">
        <v>482</v>
      </c>
      <c r="AJ881" s="111"/>
      <c r="AK881" s="111"/>
      <c r="AL881" s="111"/>
      <c r="AM881" s="645">
        <f t="shared" si="16"/>
        <v>522.46483000000001</v>
      </c>
      <c r="AO881" s="289"/>
    </row>
    <row r="882" spans="1:42" s="61" customFormat="1" ht="21" customHeight="1" x14ac:dyDescent="0.3">
      <c r="A882" s="707"/>
      <c r="B882" s="181" t="s">
        <v>403</v>
      </c>
      <c r="C882" s="144">
        <v>28.170999999999999</v>
      </c>
      <c r="D882" s="112"/>
      <c r="E882" s="112"/>
      <c r="F882" s="268"/>
      <c r="G882" s="112">
        <v>-11</v>
      </c>
      <c r="H882" s="112"/>
      <c r="I882" s="126"/>
      <c r="J882" s="112"/>
      <c r="K882" s="112"/>
      <c r="L882" s="268"/>
      <c r="M882" s="112"/>
      <c r="N882" s="126"/>
      <c r="O882" s="112"/>
      <c r="P882" s="112"/>
      <c r="Q882" s="112"/>
      <c r="R882" s="112"/>
      <c r="S882" s="112">
        <v>758.43987700000002</v>
      </c>
      <c r="T882" s="145"/>
      <c r="U882" s="144">
        <v>0.96699999999999997</v>
      </c>
      <c r="V882" s="112"/>
      <c r="W882" s="112"/>
      <c r="X882" s="112"/>
      <c r="Y882" s="112"/>
      <c r="Z882" s="112">
        <v>57</v>
      </c>
      <c r="AA882" s="112"/>
      <c r="AB882" s="112"/>
      <c r="AC882" s="112">
        <v>0</v>
      </c>
      <c r="AD882" s="112"/>
      <c r="AE882" s="112"/>
      <c r="AF882" s="112"/>
      <c r="AG882" s="112"/>
      <c r="AH882" s="112" t="s">
        <v>482</v>
      </c>
      <c r="AI882" s="112" t="s">
        <v>482</v>
      </c>
      <c r="AJ882" s="112"/>
      <c r="AK882" s="112"/>
      <c r="AL882" s="112"/>
      <c r="AM882" s="646">
        <f t="shared" si="16"/>
        <v>833.57787700000006</v>
      </c>
      <c r="AO882" s="289"/>
    </row>
    <row r="883" spans="1:42" s="61" customFormat="1" ht="21" customHeight="1" x14ac:dyDescent="0.3">
      <c r="A883" s="705" t="s">
        <v>199</v>
      </c>
      <c r="B883" s="179" t="s">
        <v>293</v>
      </c>
      <c r="C883" s="135">
        <v>1569.6</v>
      </c>
      <c r="D883" s="136"/>
      <c r="E883" s="136"/>
      <c r="F883" s="262">
        <v>1125.163</v>
      </c>
      <c r="G883" s="136">
        <v>55</v>
      </c>
      <c r="H883" s="136">
        <v>5</v>
      </c>
      <c r="I883" s="326"/>
      <c r="J883" s="136">
        <v>44</v>
      </c>
      <c r="K883" s="136"/>
      <c r="L883" s="262">
        <v>806.75300000000004</v>
      </c>
      <c r="M883" s="136"/>
      <c r="N883" s="326">
        <v>97.355000000000004</v>
      </c>
      <c r="O883" s="136"/>
      <c r="P883" s="136"/>
      <c r="Q883" s="136">
        <v>21</v>
      </c>
      <c r="R883" s="136">
        <v>148.5</v>
      </c>
      <c r="S883" s="136">
        <v>844.93200000000002</v>
      </c>
      <c r="T883" s="137">
        <v>73.177999999999997</v>
      </c>
      <c r="U883" s="632"/>
      <c r="V883" s="122"/>
      <c r="W883" s="122">
        <v>802</v>
      </c>
      <c r="X883" s="122">
        <v>42</v>
      </c>
      <c r="Y883" s="122">
        <v>3948</v>
      </c>
      <c r="Z883" s="122">
        <v>3634</v>
      </c>
      <c r="AA883" s="122">
        <v>413.65620000000001</v>
      </c>
      <c r="AB883" s="122"/>
      <c r="AC883" s="122">
        <v>425.93</v>
      </c>
      <c r="AD883" s="122">
        <v>1837</v>
      </c>
      <c r="AE883" s="122"/>
      <c r="AF883" s="122"/>
      <c r="AG883" s="122">
        <v>1.9450000000000001</v>
      </c>
      <c r="AH883" s="122">
        <v>2929.57</v>
      </c>
      <c r="AI883" s="122">
        <v>4858</v>
      </c>
      <c r="AJ883" s="122"/>
      <c r="AK883" s="122"/>
      <c r="AL883" s="122">
        <v>30.649530201342284</v>
      </c>
      <c r="AM883" s="639">
        <f t="shared" si="16"/>
        <v>23713.231730201343</v>
      </c>
      <c r="AO883" s="289"/>
    </row>
    <row r="884" spans="1:42" s="61" customFormat="1" ht="19.5" customHeight="1" x14ac:dyDescent="0.3">
      <c r="A884" s="706"/>
      <c r="B884" s="116" t="s">
        <v>294</v>
      </c>
      <c r="C884" s="138">
        <v>819.2</v>
      </c>
      <c r="D884" s="109">
        <v>5</v>
      </c>
      <c r="E884" s="109"/>
      <c r="F884" s="263">
        <v>348.19900000000001</v>
      </c>
      <c r="G884" s="109">
        <v>57</v>
      </c>
      <c r="H884" s="109">
        <v>11</v>
      </c>
      <c r="I884" s="123"/>
      <c r="J884" s="109"/>
      <c r="K884" s="109">
        <f>590+60+778</f>
        <v>1428</v>
      </c>
      <c r="L884" s="263">
        <v>709.029</v>
      </c>
      <c r="M884" s="109"/>
      <c r="N884" s="123">
        <v>67.75</v>
      </c>
      <c r="O884" s="109"/>
      <c r="P884" s="109"/>
      <c r="Q884" s="109">
        <v>53</v>
      </c>
      <c r="R884" s="109">
        <v>148.5</v>
      </c>
      <c r="S884" s="109">
        <v>1000</v>
      </c>
      <c r="T884" s="139">
        <v>147.52799999999999</v>
      </c>
      <c r="U884" s="138">
        <v>350.71699999999998</v>
      </c>
      <c r="V884" s="109"/>
      <c r="W884" s="109">
        <f>2545-802</f>
        <v>1743</v>
      </c>
      <c r="X884" s="109">
        <v>55</v>
      </c>
      <c r="Y884" s="109">
        <v>4111</v>
      </c>
      <c r="Z884" s="109">
        <v>3460</v>
      </c>
      <c r="AA884" s="109">
        <v>270.72654999999997</v>
      </c>
      <c r="AB884" s="109"/>
      <c r="AC884" s="109">
        <v>925.43399999999997</v>
      </c>
      <c r="AD884" s="109">
        <v>2388</v>
      </c>
      <c r="AE884" s="109"/>
      <c r="AF884" s="109"/>
      <c r="AG884" s="109">
        <v>2.0499999999999998</v>
      </c>
      <c r="AH884" s="109">
        <v>3669.41</v>
      </c>
      <c r="AI884" s="109">
        <v>5376</v>
      </c>
      <c r="AJ884" s="109"/>
      <c r="AK884" s="109"/>
      <c r="AL884" s="109">
        <v>139.51923076923075</v>
      </c>
      <c r="AM884" s="640">
        <f t="shared" si="16"/>
        <v>27285.062780769225</v>
      </c>
      <c r="AO884" s="289"/>
    </row>
    <row r="885" spans="1:42" s="61" customFormat="1" ht="22.5" customHeight="1" x14ac:dyDescent="0.3">
      <c r="A885" s="706"/>
      <c r="B885" s="117" t="s">
        <v>326</v>
      </c>
      <c r="C885" s="140">
        <v>420.404</v>
      </c>
      <c r="D885" s="110"/>
      <c r="E885" s="110"/>
      <c r="F885" s="264">
        <v>255</v>
      </c>
      <c r="G885" s="110"/>
      <c r="H885" s="110"/>
      <c r="I885" s="124"/>
      <c r="J885" s="110"/>
      <c r="K885" s="110">
        <f>-590+14</f>
        <v>-576</v>
      </c>
      <c r="L885" s="264">
        <v>1147</v>
      </c>
      <c r="M885" s="110"/>
      <c r="N885" s="124">
        <v>74.53</v>
      </c>
      <c r="O885" s="110"/>
      <c r="P885" s="110"/>
      <c r="Q885" s="110">
        <v>32</v>
      </c>
      <c r="R885" s="110">
        <f>+(1355+339)/2</f>
        <v>847</v>
      </c>
      <c r="S885" s="110">
        <v>2872</v>
      </c>
      <c r="T885" s="141"/>
      <c r="U885" s="140">
        <v>1036.1859999999999</v>
      </c>
      <c r="V885" s="110">
        <v>20.32</v>
      </c>
      <c r="W885" s="110">
        <v>1886</v>
      </c>
      <c r="X885" s="110"/>
      <c r="Y885" s="110">
        <v>5799</v>
      </c>
      <c r="Z885" s="110">
        <v>4757</v>
      </c>
      <c r="AA885" s="110">
        <f>-112.1858+115.41165</f>
        <v>3.2258499999999941</v>
      </c>
      <c r="AB885" s="110"/>
      <c r="AC885" s="110">
        <v>1412.1559999999999</v>
      </c>
      <c r="AD885" s="110">
        <v>2199</v>
      </c>
      <c r="AE885" s="110"/>
      <c r="AF885" s="110"/>
      <c r="AG885" s="110"/>
      <c r="AH885" s="110">
        <v>4179.8047500000002</v>
      </c>
      <c r="AI885" s="110">
        <v>7803</v>
      </c>
      <c r="AJ885" s="110"/>
      <c r="AK885" s="110">
        <v>11</v>
      </c>
      <c r="AL885" s="110">
        <v>102.69736842105264</v>
      </c>
      <c r="AM885" s="641">
        <f t="shared" si="16"/>
        <v>34281.323968421049</v>
      </c>
      <c r="AO885" s="289"/>
      <c r="AP885" s="97"/>
    </row>
    <row r="886" spans="1:42" s="61" customFormat="1" ht="25.5" customHeight="1" x14ac:dyDescent="0.3">
      <c r="A886" s="706"/>
      <c r="B886" s="175" t="s">
        <v>327</v>
      </c>
      <c r="C886" s="176">
        <v>1197.481</v>
      </c>
      <c r="D886" s="127"/>
      <c r="E886" s="127"/>
      <c r="F886" s="265">
        <v>243</v>
      </c>
      <c r="G886" s="127">
        <v>114</v>
      </c>
      <c r="H886" s="127"/>
      <c r="I886" s="178"/>
      <c r="J886" s="127"/>
      <c r="K886" s="127">
        <f>39+275</f>
        <v>314</v>
      </c>
      <c r="L886" s="265">
        <v>1808</v>
      </c>
      <c r="M886" s="127"/>
      <c r="N886" s="178"/>
      <c r="O886" s="127"/>
      <c r="P886" s="127"/>
      <c r="Q886" s="127">
        <v>-1</v>
      </c>
      <c r="R886" s="127">
        <f>+(1355+339)/2</f>
        <v>847</v>
      </c>
      <c r="S886" s="127">
        <v>6744</v>
      </c>
      <c r="T886" s="177"/>
      <c r="U886" s="176">
        <v>129.08000000000001</v>
      </c>
      <c r="V886" s="127"/>
      <c r="W886" s="127">
        <f>3977+2567-1886</f>
        <v>4658</v>
      </c>
      <c r="X886" s="127"/>
      <c r="Y886" s="127">
        <v>7499</v>
      </c>
      <c r="Z886" s="127">
        <v>11519</v>
      </c>
      <c r="AA886" s="127">
        <v>1.99169</v>
      </c>
      <c r="AB886" s="127"/>
      <c r="AC886" s="127">
        <v>1589.6690000000001</v>
      </c>
      <c r="AD886" s="127">
        <v>2511</v>
      </c>
      <c r="AE886" s="127"/>
      <c r="AF886" s="127"/>
      <c r="AG886" s="127"/>
      <c r="AH886" s="127">
        <v>12110.73</v>
      </c>
      <c r="AI886" s="127">
        <v>10125</v>
      </c>
      <c r="AJ886" s="127"/>
      <c r="AK886" s="127"/>
      <c r="AL886" s="127">
        <v>294.46564885496178</v>
      </c>
      <c r="AM886" s="642">
        <f t="shared" si="16"/>
        <v>61704.417338854961</v>
      </c>
      <c r="AO886" s="289"/>
    </row>
    <row r="887" spans="1:42" s="61" customFormat="1" ht="25.5" customHeight="1" x14ac:dyDescent="0.3">
      <c r="A887" s="706"/>
      <c r="B887" s="180" t="s">
        <v>361</v>
      </c>
      <c r="C887" s="300">
        <v>5761.6059999999998</v>
      </c>
      <c r="D887" s="173"/>
      <c r="E887" s="173"/>
      <c r="F887" s="266">
        <v>2410</v>
      </c>
      <c r="G887" s="173">
        <v>57</v>
      </c>
      <c r="H887" s="173">
        <v>35</v>
      </c>
      <c r="I887" s="174"/>
      <c r="J887" s="173"/>
      <c r="K887" s="173"/>
      <c r="L887" s="266">
        <v>1948</v>
      </c>
      <c r="M887" s="173"/>
      <c r="N887" s="174"/>
      <c r="O887" s="173"/>
      <c r="P887" s="173"/>
      <c r="Q887" s="173"/>
      <c r="R887" s="173">
        <v>1420</v>
      </c>
      <c r="S887" s="173">
        <v>5968</v>
      </c>
      <c r="T887" s="327"/>
      <c r="U887" s="300">
        <v>129.56</v>
      </c>
      <c r="V887" s="173">
        <f>26005/1000</f>
        <v>26.004999999999999</v>
      </c>
      <c r="W887" s="173">
        <f>1422+2872</f>
        <v>4294</v>
      </c>
      <c r="X887" s="173"/>
      <c r="Y887" s="173">
        <v>11459</v>
      </c>
      <c r="Z887" s="173">
        <v>9835.6129700000001</v>
      </c>
      <c r="AA887" s="173">
        <f>0.69961+1.472</f>
        <v>2.1716099999999998</v>
      </c>
      <c r="AB887" s="173">
        <v>61</v>
      </c>
      <c r="AC887" s="173">
        <v>653</v>
      </c>
      <c r="AD887" s="173">
        <v>2315</v>
      </c>
      <c r="AE887" s="173"/>
      <c r="AF887" s="173"/>
      <c r="AG887" s="173"/>
      <c r="AH887" s="173">
        <v>16687</v>
      </c>
      <c r="AI887" s="173">
        <v>12178.08</v>
      </c>
      <c r="AJ887" s="173"/>
      <c r="AK887" s="173"/>
      <c r="AL887" s="173">
        <v>0</v>
      </c>
      <c r="AM887" s="643">
        <f t="shared" si="16"/>
        <v>75240.035579999996</v>
      </c>
      <c r="AO887" s="289"/>
      <c r="AP887" s="97"/>
    </row>
    <row r="888" spans="1:42" s="61" customFormat="1" ht="25.5" customHeight="1" x14ac:dyDescent="0.3">
      <c r="A888" s="706"/>
      <c r="B888" s="180" t="s">
        <v>362</v>
      </c>
      <c r="C888" s="300">
        <v>8363.7989999999991</v>
      </c>
      <c r="D888" s="173"/>
      <c r="E888" s="173"/>
      <c r="F888" s="266">
        <v>850</v>
      </c>
      <c r="G888" s="173">
        <v>59</v>
      </c>
      <c r="H888" s="173">
        <v>18</v>
      </c>
      <c r="I888" s="174"/>
      <c r="J888" s="173"/>
      <c r="K888" s="173">
        <v>1110</v>
      </c>
      <c r="L888" s="266">
        <v>2639</v>
      </c>
      <c r="M888" s="173"/>
      <c r="N888" s="174">
        <v>221.607</v>
      </c>
      <c r="O888" s="173"/>
      <c r="P888" s="173"/>
      <c r="Q888" s="173"/>
      <c r="R888" s="173">
        <f>10987-R887</f>
        <v>9567</v>
      </c>
      <c r="S888" s="173">
        <v>16719</v>
      </c>
      <c r="T888" s="327">
        <v>6.7</v>
      </c>
      <c r="U888" s="300">
        <v>2.593</v>
      </c>
      <c r="V888" s="173">
        <f>(19937+118432)/1000-V887</f>
        <v>112.364</v>
      </c>
      <c r="W888" s="173">
        <f>1867+13772</f>
        <v>15639</v>
      </c>
      <c r="X888" s="173">
        <v>32</v>
      </c>
      <c r="Y888" s="173">
        <v>11580</v>
      </c>
      <c r="Z888" s="173">
        <v>14065.19743</v>
      </c>
      <c r="AA888" s="173">
        <f>1.49165+0.49011</f>
        <v>1.98176</v>
      </c>
      <c r="AB888" s="173"/>
      <c r="AC888" s="173">
        <f>2068-653-1</f>
        <v>1414</v>
      </c>
      <c r="AD888" s="173">
        <v>2517</v>
      </c>
      <c r="AE888" s="173"/>
      <c r="AF888" s="173"/>
      <c r="AG888" s="173"/>
      <c r="AH888" s="173">
        <v>10771</v>
      </c>
      <c r="AI888" s="173">
        <v>11277.92</v>
      </c>
      <c r="AJ888" s="173"/>
      <c r="AK888" s="173">
        <v>6</v>
      </c>
      <c r="AL888" s="173">
        <v>644.86607142857133</v>
      </c>
      <c r="AM888" s="644">
        <f t="shared" si="16"/>
        <v>107618.02826142855</v>
      </c>
      <c r="AO888" s="289"/>
      <c r="AP888" s="97"/>
    </row>
    <row r="889" spans="1:42" s="61" customFormat="1" ht="22.5" customHeight="1" x14ac:dyDescent="0.3">
      <c r="A889" s="706"/>
      <c r="B889" s="115" t="s">
        <v>402</v>
      </c>
      <c r="C889" s="142">
        <v>11322.08705</v>
      </c>
      <c r="D889" s="111"/>
      <c r="E889" s="111"/>
      <c r="F889" s="267">
        <v>3920.5</v>
      </c>
      <c r="G889" s="111"/>
      <c r="H889" s="111">
        <v>16</v>
      </c>
      <c r="I889" s="125"/>
      <c r="J889" s="111"/>
      <c r="K889" s="111">
        <v>461</v>
      </c>
      <c r="L889" s="267">
        <v>5282</v>
      </c>
      <c r="M889" s="111"/>
      <c r="N889" s="125"/>
      <c r="O889" s="111"/>
      <c r="P889" s="111"/>
      <c r="Q889" s="111"/>
      <c r="R889" s="111">
        <v>-265</v>
      </c>
      <c r="S889" s="111">
        <v>20706.583374999998</v>
      </c>
      <c r="T889" s="143"/>
      <c r="U889" s="142">
        <v>165.45599999999999</v>
      </c>
      <c r="V889" s="111">
        <f>112860.3/1000</f>
        <v>112.86030000000001</v>
      </c>
      <c r="W889" s="111">
        <v>13172</v>
      </c>
      <c r="X889" s="111"/>
      <c r="Y889" s="111">
        <v>10079.587</v>
      </c>
      <c r="Z889" s="111">
        <v>7151</v>
      </c>
      <c r="AA889" s="111">
        <v>1068</v>
      </c>
      <c r="AB889" s="111"/>
      <c r="AC889" s="111">
        <v>1263</v>
      </c>
      <c r="AD889" s="111">
        <v>4608</v>
      </c>
      <c r="AE889" s="111"/>
      <c r="AF889" s="111"/>
      <c r="AG889" s="111"/>
      <c r="AH889" s="111">
        <v>14275.772999999999</v>
      </c>
      <c r="AI889" s="111">
        <v>15998</v>
      </c>
      <c r="AJ889" s="111"/>
      <c r="AK889" s="111">
        <f>6.27/1.097</f>
        <v>5.715587967183227</v>
      </c>
      <c r="AL889" s="111">
        <v>688.83928571428567</v>
      </c>
      <c r="AM889" s="645">
        <f t="shared" si="16"/>
        <v>110031.40159868146</v>
      </c>
      <c r="AO889" s="289"/>
    </row>
    <row r="890" spans="1:42" s="61" customFormat="1" ht="21" customHeight="1" x14ac:dyDescent="0.3">
      <c r="A890" s="707"/>
      <c r="B890" s="181" t="s">
        <v>403</v>
      </c>
      <c r="C890" s="144">
        <v>8550.1255199999996</v>
      </c>
      <c r="D890" s="112"/>
      <c r="E890" s="112">
        <v>7</v>
      </c>
      <c r="F890" s="268">
        <v>2175.9</v>
      </c>
      <c r="G890" s="112"/>
      <c r="H890" s="112"/>
      <c r="I890" s="126"/>
      <c r="J890" s="112"/>
      <c r="K890" s="112"/>
      <c r="L890" s="268">
        <v>1289.9000000000001</v>
      </c>
      <c r="M890" s="112"/>
      <c r="N890" s="126"/>
      <c r="O890" s="112"/>
      <c r="P890" s="112"/>
      <c r="Q890" s="112"/>
      <c r="R890" s="112">
        <f>497-R889</f>
        <v>762</v>
      </c>
      <c r="S890" s="112">
        <v>11005.262466</v>
      </c>
      <c r="T890" s="145"/>
      <c r="U890" s="144">
        <v>23.716999999999999</v>
      </c>
      <c r="V890" s="112">
        <v>0</v>
      </c>
      <c r="W890" s="112">
        <f>18072-13172</f>
        <v>4900</v>
      </c>
      <c r="X890" s="112"/>
      <c r="Y890" s="112">
        <v>11077.231</v>
      </c>
      <c r="Z890" s="112">
        <v>6939</v>
      </c>
      <c r="AA890" s="112">
        <v>35</v>
      </c>
      <c r="AB890" s="112"/>
      <c r="AC890" s="112">
        <v>1613</v>
      </c>
      <c r="AD890" s="112">
        <v>5439</v>
      </c>
      <c r="AE890" s="112"/>
      <c r="AF890" s="112"/>
      <c r="AG890" s="112"/>
      <c r="AH890" s="112">
        <v>15012.397999999999</v>
      </c>
      <c r="AI890" s="112">
        <v>15998</v>
      </c>
      <c r="AJ890" s="112"/>
      <c r="AK890" s="112"/>
      <c r="AL890" s="112">
        <v>673</v>
      </c>
      <c r="AM890" s="646">
        <f t="shared" si="16"/>
        <v>85500.533985999995</v>
      </c>
      <c r="AO890" s="289"/>
    </row>
    <row r="891" spans="1:42" s="61" customFormat="1" ht="21" customHeight="1" x14ac:dyDescent="0.3">
      <c r="A891" s="705" t="s">
        <v>200</v>
      </c>
      <c r="B891" s="179" t="s">
        <v>293</v>
      </c>
      <c r="C891" s="135">
        <v>45</v>
      </c>
      <c r="D891" s="136"/>
      <c r="E891" s="136"/>
      <c r="F891" s="262"/>
      <c r="G891" s="136"/>
      <c r="H891" s="136">
        <v>74</v>
      </c>
      <c r="I891" s="326"/>
      <c r="J891" s="136"/>
      <c r="K891" s="136"/>
      <c r="L891" s="262"/>
      <c r="M891" s="136"/>
      <c r="N891" s="326"/>
      <c r="O891" s="136"/>
      <c r="P891" s="136"/>
      <c r="Q891" s="136"/>
      <c r="R891" s="136"/>
      <c r="S891" s="136"/>
      <c r="T891" s="137"/>
      <c r="U891" s="632"/>
      <c r="V891" s="122"/>
      <c r="W891" s="122"/>
      <c r="X891" s="122"/>
      <c r="Y891" s="122"/>
      <c r="Z891" s="122"/>
      <c r="AA891" s="122"/>
      <c r="AB891" s="122"/>
      <c r="AC891" s="122"/>
      <c r="AD891" s="122"/>
      <c r="AE891" s="122">
        <v>57</v>
      </c>
      <c r="AF891" s="122"/>
      <c r="AG891" s="122"/>
      <c r="AH891" s="122"/>
      <c r="AI891" s="122" t="s">
        <v>482</v>
      </c>
      <c r="AJ891" s="122"/>
      <c r="AK891" s="122">
        <v>20.98</v>
      </c>
      <c r="AL891" s="122"/>
      <c r="AM891" s="639">
        <f t="shared" si="16"/>
        <v>196.98</v>
      </c>
      <c r="AO891" s="289"/>
    </row>
    <row r="892" spans="1:42" s="61" customFormat="1" ht="19.5" customHeight="1" x14ac:dyDescent="0.3">
      <c r="A892" s="706"/>
      <c r="B892" s="116" t="s">
        <v>294</v>
      </c>
      <c r="C892" s="138">
        <v>23.97</v>
      </c>
      <c r="D892" s="109"/>
      <c r="E892" s="109"/>
      <c r="F892" s="263"/>
      <c r="G892" s="109"/>
      <c r="H892" s="109">
        <v>68</v>
      </c>
      <c r="I892" s="123"/>
      <c r="J892" s="109"/>
      <c r="K892" s="109"/>
      <c r="L892" s="263"/>
      <c r="M892" s="109"/>
      <c r="N892" s="123"/>
      <c r="O892" s="109"/>
      <c r="P892" s="109"/>
      <c r="Q892" s="109"/>
      <c r="R892" s="109"/>
      <c r="S892" s="109"/>
      <c r="T892" s="139"/>
      <c r="U892" s="138"/>
      <c r="V892" s="109"/>
      <c r="W892" s="109"/>
      <c r="X892" s="109"/>
      <c r="Y892" s="109"/>
      <c r="Z892" s="109"/>
      <c r="AA892" s="109"/>
      <c r="AB892" s="109"/>
      <c r="AC892" s="109"/>
      <c r="AD892" s="109"/>
      <c r="AE892" s="109">
        <v>77</v>
      </c>
      <c r="AF892" s="109"/>
      <c r="AG892" s="109"/>
      <c r="AH892" s="109"/>
      <c r="AI892" s="109" t="s">
        <v>482</v>
      </c>
      <c r="AJ892" s="109"/>
      <c r="AK892" s="109">
        <v>12.46</v>
      </c>
      <c r="AL892" s="109"/>
      <c r="AM892" s="640">
        <f t="shared" si="16"/>
        <v>181.43</v>
      </c>
      <c r="AO892" s="289"/>
    </row>
    <row r="893" spans="1:42" s="61" customFormat="1" ht="22.5" customHeight="1" x14ac:dyDescent="0.3">
      <c r="A893" s="706"/>
      <c r="B893" s="117" t="s">
        <v>326</v>
      </c>
      <c r="C893" s="140"/>
      <c r="D893" s="110"/>
      <c r="E893" s="110"/>
      <c r="F893" s="264"/>
      <c r="G893" s="110"/>
      <c r="H893" s="110">
        <v>184</v>
      </c>
      <c r="I893" s="124"/>
      <c r="J893" s="110"/>
      <c r="K893" s="110"/>
      <c r="L893" s="264"/>
      <c r="M893" s="110"/>
      <c r="N893" s="124"/>
      <c r="O893" s="110"/>
      <c r="P893" s="110"/>
      <c r="Q893" s="110"/>
      <c r="R893" s="110"/>
      <c r="S893" s="110"/>
      <c r="T893" s="141"/>
      <c r="U893" s="140"/>
      <c r="V893" s="110"/>
      <c r="W893" s="110"/>
      <c r="X893" s="110"/>
      <c r="Y893" s="110"/>
      <c r="Z893" s="110"/>
      <c r="AA893" s="110"/>
      <c r="AB893" s="110"/>
      <c r="AC893" s="110"/>
      <c r="AD893" s="110"/>
      <c r="AE893" s="110">
        <v>437</v>
      </c>
      <c r="AF893" s="110"/>
      <c r="AG893" s="110"/>
      <c r="AH893" s="110"/>
      <c r="AI893" s="110" t="s">
        <v>482</v>
      </c>
      <c r="AJ893" s="110"/>
      <c r="AK893" s="110">
        <v>13</v>
      </c>
      <c r="AL893" s="110"/>
      <c r="AM893" s="641">
        <f t="shared" si="16"/>
        <v>634</v>
      </c>
      <c r="AO893" s="289"/>
      <c r="AP893" s="97"/>
    </row>
    <row r="894" spans="1:42" s="61" customFormat="1" ht="25.5" customHeight="1" x14ac:dyDescent="0.3">
      <c r="A894" s="706"/>
      <c r="B894" s="175" t="s">
        <v>327</v>
      </c>
      <c r="C894" s="176"/>
      <c r="D894" s="127"/>
      <c r="E894" s="127"/>
      <c r="F894" s="265"/>
      <c r="G894" s="127"/>
      <c r="H894" s="127">
        <v>25</v>
      </c>
      <c r="I894" s="178"/>
      <c r="J894" s="127"/>
      <c r="K894" s="127"/>
      <c r="L894" s="265"/>
      <c r="M894" s="127"/>
      <c r="N894" s="178"/>
      <c r="O894" s="127"/>
      <c r="P894" s="127"/>
      <c r="Q894" s="127"/>
      <c r="R894" s="127"/>
      <c r="S894" s="127"/>
      <c r="T894" s="177"/>
      <c r="U894" s="176"/>
      <c r="V894" s="127"/>
      <c r="W894" s="127"/>
      <c r="X894" s="127"/>
      <c r="Y894" s="127"/>
      <c r="Z894" s="127"/>
      <c r="AA894" s="127"/>
      <c r="AB894" s="127"/>
      <c r="AC894" s="127"/>
      <c r="AD894" s="127"/>
      <c r="AE894" s="127">
        <v>333</v>
      </c>
      <c r="AF894" s="127"/>
      <c r="AG894" s="127"/>
      <c r="AH894" s="127"/>
      <c r="AI894" s="127" t="s">
        <v>482</v>
      </c>
      <c r="AJ894" s="127"/>
      <c r="AK894" s="127">
        <v>11</v>
      </c>
      <c r="AL894" s="127"/>
      <c r="AM894" s="642">
        <f t="shared" si="16"/>
        <v>369</v>
      </c>
      <c r="AO894" s="289"/>
    </row>
    <row r="895" spans="1:42" s="61" customFormat="1" ht="25.5" customHeight="1" x14ac:dyDescent="0.3">
      <c r="A895" s="706"/>
      <c r="B895" s="180" t="s">
        <v>361</v>
      </c>
      <c r="C895" s="300">
        <v>94.936399999999992</v>
      </c>
      <c r="D895" s="173"/>
      <c r="E895" s="173"/>
      <c r="F895" s="266"/>
      <c r="G895" s="173"/>
      <c r="H895" s="173"/>
      <c r="I895" s="174"/>
      <c r="J895" s="173"/>
      <c r="K895" s="173"/>
      <c r="L895" s="266"/>
      <c r="M895" s="173"/>
      <c r="N895" s="174"/>
      <c r="O895" s="173"/>
      <c r="P895" s="173"/>
      <c r="Q895" s="173"/>
      <c r="R895" s="173"/>
      <c r="S895" s="173"/>
      <c r="T895" s="327"/>
      <c r="U895" s="300"/>
      <c r="V895" s="173"/>
      <c r="W895" s="173"/>
      <c r="X895" s="173"/>
      <c r="Y895" s="173"/>
      <c r="Z895" s="173"/>
      <c r="AA895" s="173"/>
      <c r="AB895" s="173"/>
      <c r="AC895" s="173"/>
      <c r="AD895" s="173"/>
      <c r="AE895" s="173">
        <v>201</v>
      </c>
      <c r="AF895" s="173">
        <v>100</v>
      </c>
      <c r="AG895" s="173"/>
      <c r="AH895" s="173"/>
      <c r="AI895" s="173" t="s">
        <v>482</v>
      </c>
      <c r="AJ895" s="173"/>
      <c r="AK895" s="173">
        <v>12</v>
      </c>
      <c r="AL895" s="173"/>
      <c r="AM895" s="643">
        <f t="shared" si="16"/>
        <v>407.93639999999999</v>
      </c>
      <c r="AO895" s="289"/>
      <c r="AP895" s="97"/>
    </row>
    <row r="896" spans="1:42" s="61" customFormat="1" ht="25.5" customHeight="1" x14ac:dyDescent="0.3">
      <c r="A896" s="706"/>
      <c r="B896" s="180" t="s">
        <v>362</v>
      </c>
      <c r="C896" s="300">
        <v>319.01764000000003</v>
      </c>
      <c r="D896" s="173"/>
      <c r="E896" s="173"/>
      <c r="F896" s="266"/>
      <c r="G896" s="173"/>
      <c r="H896" s="173">
        <v>954</v>
      </c>
      <c r="I896" s="174"/>
      <c r="J896" s="173"/>
      <c r="K896" s="173"/>
      <c r="L896" s="266"/>
      <c r="M896" s="173"/>
      <c r="N896" s="174"/>
      <c r="O896" s="173"/>
      <c r="P896" s="173"/>
      <c r="Q896" s="173"/>
      <c r="R896" s="173"/>
      <c r="S896" s="173"/>
      <c r="T896" s="327"/>
      <c r="U896" s="300"/>
      <c r="V896" s="173"/>
      <c r="W896" s="173"/>
      <c r="X896" s="173"/>
      <c r="Y896" s="173"/>
      <c r="Z896" s="173"/>
      <c r="AA896" s="173"/>
      <c r="AB896" s="173"/>
      <c r="AC896" s="173"/>
      <c r="AD896" s="173"/>
      <c r="AE896" s="173">
        <v>757</v>
      </c>
      <c r="AF896" s="173"/>
      <c r="AG896" s="173"/>
      <c r="AH896" s="173"/>
      <c r="AI896" s="173" t="s">
        <v>482</v>
      </c>
      <c r="AJ896" s="173"/>
      <c r="AK896" s="173">
        <v>25</v>
      </c>
      <c r="AL896" s="173"/>
      <c r="AM896" s="644">
        <f t="shared" si="16"/>
        <v>2055.01764</v>
      </c>
      <c r="AO896" s="289"/>
      <c r="AP896" s="97"/>
    </row>
    <row r="897" spans="1:42" s="61" customFormat="1" ht="22.5" customHeight="1" x14ac:dyDescent="0.3">
      <c r="A897" s="706"/>
      <c r="B897" s="115" t="s">
        <v>402</v>
      </c>
      <c r="C897" s="142"/>
      <c r="D897" s="111"/>
      <c r="E897" s="111"/>
      <c r="F897" s="267"/>
      <c r="G897" s="111"/>
      <c r="H897" s="111"/>
      <c r="I897" s="125"/>
      <c r="J897" s="111"/>
      <c r="K897" s="111"/>
      <c r="L897" s="267"/>
      <c r="M897" s="111"/>
      <c r="N897" s="125"/>
      <c r="O897" s="111"/>
      <c r="P897" s="111"/>
      <c r="Q897" s="111"/>
      <c r="R897" s="111"/>
      <c r="S897" s="111"/>
      <c r="T897" s="143"/>
      <c r="U897" s="142"/>
      <c r="V897" s="111"/>
      <c r="W897" s="111"/>
      <c r="X897" s="111"/>
      <c r="Y897" s="111"/>
      <c r="Z897" s="111"/>
      <c r="AA897" s="111"/>
      <c r="AB897" s="111"/>
      <c r="AC897" s="111"/>
      <c r="AD897" s="111"/>
      <c r="AE897" s="111">
        <v>645</v>
      </c>
      <c r="AF897" s="111"/>
      <c r="AG897" s="111"/>
      <c r="AH897" s="111" t="s">
        <v>482</v>
      </c>
      <c r="AI897" s="111" t="s">
        <v>482</v>
      </c>
      <c r="AJ897" s="111"/>
      <c r="AK897" s="111"/>
      <c r="AL897" s="111"/>
      <c r="AM897" s="645">
        <f t="shared" si="16"/>
        <v>645</v>
      </c>
      <c r="AO897" s="289"/>
    </row>
    <row r="898" spans="1:42" s="61" customFormat="1" ht="21" customHeight="1" x14ac:dyDescent="0.3">
      <c r="A898" s="707"/>
      <c r="B898" s="181" t="s">
        <v>403</v>
      </c>
      <c r="C898" s="144"/>
      <c r="D898" s="112"/>
      <c r="E898" s="112"/>
      <c r="F898" s="268"/>
      <c r="G898" s="112"/>
      <c r="H898" s="112">
        <v>242</v>
      </c>
      <c r="I898" s="126"/>
      <c r="J898" s="112"/>
      <c r="K898" s="112"/>
      <c r="L898" s="268"/>
      <c r="M898" s="112"/>
      <c r="N898" s="126"/>
      <c r="O898" s="112"/>
      <c r="P898" s="112"/>
      <c r="Q898" s="112"/>
      <c r="R898" s="112"/>
      <c r="S898" s="112"/>
      <c r="T898" s="145"/>
      <c r="U898" s="144"/>
      <c r="V898" s="112"/>
      <c r="W898" s="112"/>
      <c r="X898" s="112"/>
      <c r="Y898" s="112"/>
      <c r="Z898" s="112"/>
      <c r="AA898" s="112"/>
      <c r="AB898" s="112"/>
      <c r="AC898" s="112"/>
      <c r="AD898" s="112"/>
      <c r="AE898" s="112">
        <v>822</v>
      </c>
      <c r="AF898" s="112"/>
      <c r="AG898" s="112"/>
      <c r="AH898" s="112" t="s">
        <v>482</v>
      </c>
      <c r="AI898" s="112" t="s">
        <v>482</v>
      </c>
      <c r="AJ898" s="112"/>
      <c r="AK898" s="112"/>
      <c r="AL898" s="112"/>
      <c r="AM898" s="646">
        <f t="shared" si="16"/>
        <v>1064</v>
      </c>
      <c r="AO898" s="289"/>
    </row>
    <row r="899" spans="1:42" s="61" customFormat="1" ht="21" customHeight="1" x14ac:dyDescent="0.3">
      <c r="A899" s="705" t="s">
        <v>201</v>
      </c>
      <c r="B899" s="179" t="s">
        <v>293</v>
      </c>
      <c r="C899" s="135"/>
      <c r="D899" s="136"/>
      <c r="E899" s="136"/>
      <c r="F899" s="262"/>
      <c r="G899" s="136">
        <v>2</v>
      </c>
      <c r="H899" s="136"/>
      <c r="I899" s="326"/>
      <c r="J899" s="136"/>
      <c r="K899" s="136"/>
      <c r="L899" s="262">
        <v>169.18799999999999</v>
      </c>
      <c r="M899" s="136"/>
      <c r="N899" s="326"/>
      <c r="O899" s="136"/>
      <c r="P899" s="136"/>
      <c r="Q899" s="136"/>
      <c r="R899" s="136"/>
      <c r="S899" s="136">
        <v>3.2810000000000001</v>
      </c>
      <c r="T899" s="137">
        <v>4.74</v>
      </c>
      <c r="U899" s="632"/>
      <c r="V899" s="122"/>
      <c r="W899" s="122"/>
      <c r="X899" s="122"/>
      <c r="Y899" s="122"/>
      <c r="Z899" s="122">
        <v>5</v>
      </c>
      <c r="AA899" s="122"/>
      <c r="AB899" s="122"/>
      <c r="AC899" s="122"/>
      <c r="AD899" s="122"/>
      <c r="AE899" s="122"/>
      <c r="AF899" s="122"/>
      <c r="AG899" s="122"/>
      <c r="AH899" s="122">
        <v>1.52</v>
      </c>
      <c r="AI899" s="122" t="s">
        <v>482</v>
      </c>
      <c r="AJ899" s="122"/>
      <c r="AK899" s="122"/>
      <c r="AL899" s="122"/>
      <c r="AM899" s="639">
        <f t="shared" si="16"/>
        <v>185.72900000000001</v>
      </c>
      <c r="AO899" s="289"/>
    </row>
    <row r="900" spans="1:42" s="61" customFormat="1" ht="19.5" customHeight="1" x14ac:dyDescent="0.3">
      <c r="A900" s="706"/>
      <c r="B900" s="116" t="s">
        <v>294</v>
      </c>
      <c r="C900" s="138"/>
      <c r="D900" s="109"/>
      <c r="E900" s="109"/>
      <c r="F900" s="263">
        <v>75</v>
      </c>
      <c r="G900" s="109">
        <v>2</v>
      </c>
      <c r="H900" s="109"/>
      <c r="I900" s="123"/>
      <c r="J900" s="109"/>
      <c r="K900" s="109"/>
      <c r="L900" s="263"/>
      <c r="M900" s="109"/>
      <c r="N900" s="123"/>
      <c r="O900" s="109"/>
      <c r="P900" s="109"/>
      <c r="Q900" s="109"/>
      <c r="R900" s="109"/>
      <c r="S900" s="109"/>
      <c r="T900" s="139">
        <v>5.28</v>
      </c>
      <c r="U900" s="138"/>
      <c r="V900" s="109"/>
      <c r="W900" s="109"/>
      <c r="X900" s="109"/>
      <c r="Y900" s="109"/>
      <c r="Z900" s="109">
        <v>160.73356000000001</v>
      </c>
      <c r="AA900" s="109"/>
      <c r="AB900" s="109"/>
      <c r="AC900" s="109"/>
      <c r="AD900" s="109"/>
      <c r="AE900" s="109"/>
      <c r="AF900" s="109"/>
      <c r="AG900" s="109"/>
      <c r="AH900" s="109">
        <v>3.3</v>
      </c>
      <c r="AI900" s="109" t="s">
        <v>482</v>
      </c>
      <c r="AJ900" s="109"/>
      <c r="AK900" s="109"/>
      <c r="AL900" s="109"/>
      <c r="AM900" s="640">
        <f t="shared" si="16"/>
        <v>246.31356000000002</v>
      </c>
      <c r="AO900" s="289"/>
    </row>
    <row r="901" spans="1:42" s="61" customFormat="1" ht="22.5" customHeight="1" x14ac:dyDescent="0.3">
      <c r="A901" s="706"/>
      <c r="B901" s="117" t="s">
        <v>326</v>
      </c>
      <c r="C901" s="140">
        <v>241.751</v>
      </c>
      <c r="D901" s="110"/>
      <c r="E901" s="110"/>
      <c r="F901" s="264"/>
      <c r="G901" s="110">
        <v>2</v>
      </c>
      <c r="H901" s="110"/>
      <c r="I901" s="124"/>
      <c r="J901" s="110"/>
      <c r="K901" s="110"/>
      <c r="L901" s="264">
        <v>24</v>
      </c>
      <c r="M901" s="110"/>
      <c r="N901" s="124"/>
      <c r="O901" s="110"/>
      <c r="P901" s="110">
        <v>19</v>
      </c>
      <c r="Q901" s="110"/>
      <c r="R901" s="110"/>
      <c r="S901" s="110"/>
      <c r="T901" s="141"/>
      <c r="U901" s="140">
        <v>9.1999999999999998E-2</v>
      </c>
      <c r="V901" s="110"/>
      <c r="W901" s="110"/>
      <c r="X901" s="110"/>
      <c r="Y901" s="110"/>
      <c r="Z901" s="110"/>
      <c r="AA901" s="110"/>
      <c r="AB901" s="110"/>
      <c r="AC901" s="110">
        <v>4.806</v>
      </c>
      <c r="AD901" s="110"/>
      <c r="AE901" s="110"/>
      <c r="AF901" s="110"/>
      <c r="AG901" s="110"/>
      <c r="AH901" s="110">
        <v>2000</v>
      </c>
      <c r="AI901" s="110" t="s">
        <v>482</v>
      </c>
      <c r="AJ901" s="110"/>
      <c r="AK901" s="110"/>
      <c r="AL901" s="110"/>
      <c r="AM901" s="641">
        <f t="shared" si="16"/>
        <v>2291.6489999999999</v>
      </c>
      <c r="AO901" s="289"/>
      <c r="AP901" s="97"/>
    </row>
    <row r="902" spans="1:42" s="61" customFormat="1" ht="25.5" customHeight="1" x14ac:dyDescent="0.3">
      <c r="A902" s="706"/>
      <c r="B902" s="175" t="s">
        <v>327</v>
      </c>
      <c r="C902" s="176">
        <v>371.18</v>
      </c>
      <c r="D902" s="127"/>
      <c r="E902" s="127"/>
      <c r="F902" s="265">
        <v>50</v>
      </c>
      <c r="G902" s="127">
        <v>2</v>
      </c>
      <c r="H902" s="127"/>
      <c r="I902" s="178"/>
      <c r="J902" s="127"/>
      <c r="K902" s="127"/>
      <c r="L902" s="265"/>
      <c r="M902" s="127"/>
      <c r="N902" s="178"/>
      <c r="O902" s="127"/>
      <c r="P902" s="127"/>
      <c r="Q902" s="127"/>
      <c r="R902" s="127"/>
      <c r="S902" s="127">
        <v>5</v>
      </c>
      <c r="T902" s="177"/>
      <c r="U902" s="176">
        <v>9.1999999999999998E-2</v>
      </c>
      <c r="V902" s="127"/>
      <c r="W902" s="127"/>
      <c r="X902" s="127"/>
      <c r="Y902" s="127"/>
      <c r="Z902" s="127"/>
      <c r="AA902" s="127">
        <v>-39.45626</v>
      </c>
      <c r="AB902" s="127"/>
      <c r="AC902" s="127"/>
      <c r="AD902" s="127"/>
      <c r="AE902" s="127"/>
      <c r="AF902" s="127"/>
      <c r="AG902" s="127"/>
      <c r="AH902" s="127"/>
      <c r="AI902" s="127" t="s">
        <v>482</v>
      </c>
      <c r="AJ902" s="127"/>
      <c r="AK902" s="127">
        <v>1</v>
      </c>
      <c r="AL902" s="127"/>
      <c r="AM902" s="642">
        <f t="shared" si="16"/>
        <v>389.81574000000001</v>
      </c>
      <c r="AO902" s="289"/>
    </row>
    <row r="903" spans="1:42" s="61" customFormat="1" ht="25.5" customHeight="1" x14ac:dyDescent="0.3">
      <c r="A903" s="706"/>
      <c r="B903" s="180" t="s">
        <v>361</v>
      </c>
      <c r="C903" s="300">
        <v>6</v>
      </c>
      <c r="D903" s="173"/>
      <c r="E903" s="173"/>
      <c r="F903" s="266">
        <v>100</v>
      </c>
      <c r="G903" s="173"/>
      <c r="H903" s="173"/>
      <c r="I903" s="174"/>
      <c r="J903" s="173"/>
      <c r="K903" s="173"/>
      <c r="L903" s="266">
        <v>1195</v>
      </c>
      <c r="M903" s="173"/>
      <c r="N903" s="174"/>
      <c r="O903" s="173"/>
      <c r="P903" s="173"/>
      <c r="Q903" s="173"/>
      <c r="R903" s="173"/>
      <c r="S903" s="173">
        <v>20</v>
      </c>
      <c r="T903" s="327"/>
      <c r="U903" s="300">
        <v>9.1999999999999998E-2</v>
      </c>
      <c r="V903" s="173"/>
      <c r="W903" s="173"/>
      <c r="X903" s="173">
        <v>1</v>
      </c>
      <c r="Y903" s="173"/>
      <c r="Z903" s="173">
        <v>20.015259999999998</v>
      </c>
      <c r="AA903" s="173"/>
      <c r="AB903" s="173"/>
      <c r="AC903" s="173">
        <f>1+1</f>
        <v>2</v>
      </c>
      <c r="AD903" s="173"/>
      <c r="AE903" s="173"/>
      <c r="AF903" s="173"/>
      <c r="AG903" s="173"/>
      <c r="AH903" s="173"/>
      <c r="AI903" s="173" t="s">
        <v>482</v>
      </c>
      <c r="AJ903" s="173"/>
      <c r="AK903" s="173"/>
      <c r="AL903" s="173"/>
      <c r="AM903" s="643">
        <f t="shared" si="16"/>
        <v>1344.10726</v>
      </c>
      <c r="AO903" s="289"/>
      <c r="AP903" s="97"/>
    </row>
    <row r="904" spans="1:42" s="61" customFormat="1" ht="25.5" customHeight="1" x14ac:dyDescent="0.3">
      <c r="A904" s="706"/>
      <c r="B904" s="180" t="s">
        <v>362</v>
      </c>
      <c r="C904" s="300">
        <v>33.97</v>
      </c>
      <c r="D904" s="173"/>
      <c r="E904" s="173"/>
      <c r="F904" s="266">
        <v>56</v>
      </c>
      <c r="G904" s="173"/>
      <c r="H904" s="173"/>
      <c r="I904" s="174"/>
      <c r="J904" s="173"/>
      <c r="K904" s="173"/>
      <c r="L904" s="266">
        <v>1819</v>
      </c>
      <c r="M904" s="173"/>
      <c r="N904" s="174"/>
      <c r="O904" s="173">
        <v>24</v>
      </c>
      <c r="P904" s="173"/>
      <c r="Q904" s="173"/>
      <c r="R904" s="173"/>
      <c r="S904" s="173">
        <v>37</v>
      </c>
      <c r="T904" s="327">
        <v>5.0999999999999996</v>
      </c>
      <c r="U904" s="300">
        <v>0.108</v>
      </c>
      <c r="V904" s="173"/>
      <c r="W904" s="173"/>
      <c r="X904" s="173"/>
      <c r="Y904" s="173"/>
      <c r="Z904" s="173">
        <v>591.13300000000004</v>
      </c>
      <c r="AA904" s="173"/>
      <c r="AB904" s="173"/>
      <c r="AC904" s="173"/>
      <c r="AD904" s="173"/>
      <c r="AE904" s="173"/>
      <c r="AF904" s="173"/>
      <c r="AG904" s="173"/>
      <c r="AH904" s="173">
        <v>1496</v>
      </c>
      <c r="AI904" s="173" t="s">
        <v>482</v>
      </c>
      <c r="AJ904" s="173"/>
      <c r="AK904" s="173">
        <v>1</v>
      </c>
      <c r="AL904" s="173"/>
      <c r="AM904" s="644">
        <f t="shared" si="16"/>
        <v>4063.3109999999997</v>
      </c>
      <c r="AO904" s="289"/>
      <c r="AP904" s="97"/>
    </row>
    <row r="905" spans="1:42" s="61" customFormat="1" ht="22.5" customHeight="1" x14ac:dyDescent="0.3">
      <c r="A905" s="706"/>
      <c r="B905" s="115" t="s">
        <v>402</v>
      </c>
      <c r="C905" s="142"/>
      <c r="D905" s="111"/>
      <c r="E905" s="111"/>
      <c r="F905" s="267">
        <v>289.3</v>
      </c>
      <c r="G905" s="111"/>
      <c r="H905" s="111">
        <v>3</v>
      </c>
      <c r="I905" s="125"/>
      <c r="J905" s="111"/>
      <c r="K905" s="111"/>
      <c r="L905" s="267">
        <v>7188</v>
      </c>
      <c r="M905" s="111"/>
      <c r="N905" s="125"/>
      <c r="O905" s="111"/>
      <c r="P905" s="111"/>
      <c r="Q905" s="111"/>
      <c r="R905" s="111"/>
      <c r="S905" s="111">
        <v>22.526795</v>
      </c>
      <c r="T905" s="143">
        <v>4.54</v>
      </c>
      <c r="U905" s="142">
        <v>0.246</v>
      </c>
      <c r="V905" s="111"/>
      <c r="W905" s="111"/>
      <c r="X905" s="111"/>
      <c r="Y905" s="111"/>
      <c r="Z905" s="111">
        <v>4664</v>
      </c>
      <c r="AA905" s="111"/>
      <c r="AB905" s="111"/>
      <c r="AC905" s="111"/>
      <c r="AD905" s="111"/>
      <c r="AE905" s="111"/>
      <c r="AF905" s="111"/>
      <c r="AG905" s="111"/>
      <c r="AH905" s="111">
        <v>2410.7730000000001</v>
      </c>
      <c r="AI905" s="111" t="s">
        <v>482</v>
      </c>
      <c r="AJ905" s="111"/>
      <c r="AK905" s="111"/>
      <c r="AL905" s="111"/>
      <c r="AM905" s="645">
        <f t="shared" si="16"/>
        <v>14582.385795000002</v>
      </c>
      <c r="AO905" s="289"/>
    </row>
    <row r="906" spans="1:42" s="61" customFormat="1" ht="21" customHeight="1" x14ac:dyDescent="0.3">
      <c r="A906" s="707"/>
      <c r="B906" s="181" t="s">
        <v>403</v>
      </c>
      <c r="C906" s="144"/>
      <c r="D906" s="112"/>
      <c r="E906" s="112"/>
      <c r="F906" s="268">
        <v>-0.2</v>
      </c>
      <c r="G906" s="112"/>
      <c r="H906" s="112"/>
      <c r="I906" s="126"/>
      <c r="J906" s="112"/>
      <c r="K906" s="112">
        <v>53</v>
      </c>
      <c r="L906" s="268">
        <v>1841.9</v>
      </c>
      <c r="M906" s="112"/>
      <c r="N906" s="126"/>
      <c r="O906" s="112"/>
      <c r="P906" s="112"/>
      <c r="Q906" s="112"/>
      <c r="R906" s="112"/>
      <c r="S906" s="112">
        <v>-3.1960500000000001</v>
      </c>
      <c r="T906" s="145">
        <v>0</v>
      </c>
      <c r="U906" s="144">
        <v>0.52400000000000002</v>
      </c>
      <c r="V906" s="112"/>
      <c r="W906" s="112"/>
      <c r="X906" s="112"/>
      <c r="Y906" s="112"/>
      <c r="Z906" s="112">
        <v>1692</v>
      </c>
      <c r="AA906" s="112"/>
      <c r="AB906" s="112"/>
      <c r="AC906" s="112"/>
      <c r="AD906" s="112"/>
      <c r="AE906" s="112"/>
      <c r="AF906" s="112"/>
      <c r="AG906" s="112"/>
      <c r="AH906" s="112">
        <v>2288.663</v>
      </c>
      <c r="AI906" s="112" t="s">
        <v>482</v>
      </c>
      <c r="AJ906" s="112"/>
      <c r="AK906" s="112"/>
      <c r="AL906" s="112"/>
      <c r="AM906" s="646">
        <f t="shared" si="16"/>
        <v>5872.6909500000002</v>
      </c>
      <c r="AO906" s="289"/>
    </row>
    <row r="907" spans="1:42" s="61" customFormat="1" ht="21" customHeight="1" x14ac:dyDescent="0.3">
      <c r="A907" s="705" t="s">
        <v>202</v>
      </c>
      <c r="B907" s="179" t="s">
        <v>293</v>
      </c>
      <c r="C907" s="135"/>
      <c r="D907" s="136"/>
      <c r="E907" s="136"/>
      <c r="F907" s="262"/>
      <c r="G907" s="136"/>
      <c r="H907" s="136"/>
      <c r="I907" s="326"/>
      <c r="J907" s="136"/>
      <c r="K907" s="136"/>
      <c r="L907" s="262"/>
      <c r="M907" s="136"/>
      <c r="N907" s="326"/>
      <c r="O907" s="136"/>
      <c r="P907" s="136"/>
      <c r="Q907" s="136"/>
      <c r="R907" s="136"/>
      <c r="S907" s="136"/>
      <c r="T907" s="137"/>
      <c r="U907" s="632"/>
      <c r="V907" s="122"/>
      <c r="W907" s="122"/>
      <c r="X907" s="122"/>
      <c r="Y907" s="122"/>
      <c r="Z907" s="122">
        <v>-1</v>
      </c>
      <c r="AA907" s="122"/>
      <c r="AB907" s="122"/>
      <c r="AC907" s="122"/>
      <c r="AD907" s="122"/>
      <c r="AE907" s="122"/>
      <c r="AF907" s="122"/>
      <c r="AG907" s="122"/>
      <c r="AH907" s="122"/>
      <c r="AI907" s="122" t="s">
        <v>482</v>
      </c>
      <c r="AJ907" s="122"/>
      <c r="AK907" s="122"/>
      <c r="AL907" s="122"/>
      <c r="AM907" s="639">
        <f t="shared" si="16"/>
        <v>-1</v>
      </c>
      <c r="AO907" s="289"/>
    </row>
    <row r="908" spans="1:42" s="61" customFormat="1" ht="19.5" customHeight="1" x14ac:dyDescent="0.3">
      <c r="A908" s="706"/>
      <c r="B908" s="116" t="s">
        <v>294</v>
      </c>
      <c r="C908" s="138"/>
      <c r="D908" s="109"/>
      <c r="E908" s="109"/>
      <c r="F908" s="263">
        <v>363.48500000000001</v>
      </c>
      <c r="G908" s="109"/>
      <c r="H908" s="109"/>
      <c r="I908" s="123"/>
      <c r="J908" s="109"/>
      <c r="K908" s="109"/>
      <c r="L908" s="263"/>
      <c r="M908" s="109"/>
      <c r="N908" s="123"/>
      <c r="O908" s="109"/>
      <c r="P908" s="109"/>
      <c r="Q908" s="109"/>
      <c r="R908" s="109"/>
      <c r="S908" s="109"/>
      <c r="T908" s="139">
        <v>0.61599999999999999</v>
      </c>
      <c r="U908" s="138"/>
      <c r="V908" s="109"/>
      <c r="W908" s="109"/>
      <c r="X908" s="109"/>
      <c r="Y908" s="109"/>
      <c r="Z908" s="109"/>
      <c r="AA908" s="109"/>
      <c r="AB908" s="109"/>
      <c r="AC908" s="109"/>
      <c r="AD908" s="109"/>
      <c r="AE908" s="109"/>
      <c r="AF908" s="109"/>
      <c r="AG908" s="109"/>
      <c r="AH908" s="109">
        <v>1131.8499999999999</v>
      </c>
      <c r="AI908" s="109" t="s">
        <v>482</v>
      </c>
      <c r="AJ908" s="109"/>
      <c r="AK908" s="109"/>
      <c r="AL908" s="109"/>
      <c r="AM908" s="640">
        <f t="shared" si="16"/>
        <v>1495.951</v>
      </c>
      <c r="AO908" s="289"/>
    </row>
    <row r="909" spans="1:42" s="61" customFormat="1" ht="22.5" customHeight="1" x14ac:dyDescent="0.3">
      <c r="A909" s="706"/>
      <c r="B909" s="117" t="s">
        <v>326</v>
      </c>
      <c r="C909" s="140"/>
      <c r="D909" s="110"/>
      <c r="E909" s="110"/>
      <c r="F909" s="264">
        <v>403</v>
      </c>
      <c r="G909" s="110"/>
      <c r="H909" s="110"/>
      <c r="I909" s="124"/>
      <c r="J909" s="110"/>
      <c r="K909" s="110"/>
      <c r="L909" s="264"/>
      <c r="M909" s="110"/>
      <c r="N909" s="124"/>
      <c r="O909" s="110"/>
      <c r="P909" s="110"/>
      <c r="Q909" s="110"/>
      <c r="R909" s="110"/>
      <c r="S909" s="110"/>
      <c r="T909" s="141"/>
      <c r="U909" s="140">
        <v>3.6999999999999998E-2</v>
      </c>
      <c r="V909" s="110"/>
      <c r="W909" s="110"/>
      <c r="X909" s="110"/>
      <c r="Y909" s="110"/>
      <c r="Z909" s="110"/>
      <c r="AA909" s="110"/>
      <c r="AB909" s="110"/>
      <c r="AC909" s="110"/>
      <c r="AD909" s="110"/>
      <c r="AE909" s="110"/>
      <c r="AF909" s="110"/>
      <c r="AG909" s="110"/>
      <c r="AH909" s="110">
        <v>14468.608130000001</v>
      </c>
      <c r="AI909" s="110" t="s">
        <v>482</v>
      </c>
      <c r="AJ909" s="110"/>
      <c r="AK909" s="110"/>
      <c r="AL909" s="110"/>
      <c r="AM909" s="641">
        <f t="shared" ref="AM909:AM972" si="17">SUM(C909:AL909)</f>
        <v>14871.645130000001</v>
      </c>
      <c r="AO909" s="289"/>
      <c r="AP909" s="97"/>
    </row>
    <row r="910" spans="1:42" s="61" customFormat="1" ht="25.5" customHeight="1" x14ac:dyDescent="0.3">
      <c r="A910" s="706"/>
      <c r="B910" s="175" t="s">
        <v>327</v>
      </c>
      <c r="C910" s="176"/>
      <c r="D910" s="127"/>
      <c r="E910" s="127"/>
      <c r="F910" s="265"/>
      <c r="G910" s="127"/>
      <c r="H910" s="127"/>
      <c r="I910" s="178"/>
      <c r="J910" s="127"/>
      <c r="K910" s="127"/>
      <c r="L910" s="265"/>
      <c r="M910" s="127"/>
      <c r="N910" s="178"/>
      <c r="O910" s="127"/>
      <c r="P910" s="127"/>
      <c r="Q910" s="127"/>
      <c r="R910" s="127"/>
      <c r="S910" s="127">
        <v>2184</v>
      </c>
      <c r="T910" s="177"/>
      <c r="U910" s="176"/>
      <c r="V910" s="127"/>
      <c r="W910" s="127"/>
      <c r="X910" s="127"/>
      <c r="Y910" s="127"/>
      <c r="Z910" s="127">
        <v>33</v>
      </c>
      <c r="AA910" s="127"/>
      <c r="AB910" s="127"/>
      <c r="AC910" s="127"/>
      <c r="AD910" s="127"/>
      <c r="AE910" s="127"/>
      <c r="AF910" s="127"/>
      <c r="AG910" s="127"/>
      <c r="AH910" s="127">
        <v>462.88</v>
      </c>
      <c r="AI910" s="127" t="s">
        <v>482</v>
      </c>
      <c r="AJ910" s="127"/>
      <c r="AK910" s="127"/>
      <c r="AL910" s="127"/>
      <c r="AM910" s="642">
        <f t="shared" si="17"/>
        <v>2679.88</v>
      </c>
      <c r="AO910" s="289"/>
    </row>
    <row r="911" spans="1:42" s="61" customFormat="1" ht="25.5" customHeight="1" x14ac:dyDescent="0.3">
      <c r="A911" s="706"/>
      <c r="B911" s="180" t="s">
        <v>361</v>
      </c>
      <c r="C911" s="300"/>
      <c r="D911" s="173"/>
      <c r="E911" s="173"/>
      <c r="F911" s="266"/>
      <c r="G911" s="173"/>
      <c r="H911" s="173"/>
      <c r="I911" s="174"/>
      <c r="J911" s="173"/>
      <c r="K911" s="173"/>
      <c r="L911" s="266"/>
      <c r="M911" s="173"/>
      <c r="N911" s="174"/>
      <c r="O911" s="173"/>
      <c r="P911" s="173"/>
      <c r="Q911" s="173"/>
      <c r="R911" s="173"/>
      <c r="S911" s="173">
        <v>1147</v>
      </c>
      <c r="T911" s="327"/>
      <c r="U911" s="300"/>
      <c r="V911" s="173"/>
      <c r="W911" s="173"/>
      <c r="X911" s="173"/>
      <c r="Y911" s="173"/>
      <c r="Z911" s="173"/>
      <c r="AA911" s="173"/>
      <c r="AB911" s="173"/>
      <c r="AC911" s="173"/>
      <c r="AD911" s="173"/>
      <c r="AE911" s="173"/>
      <c r="AF911" s="173"/>
      <c r="AG911" s="173"/>
      <c r="AH911" s="173">
        <v>8907</v>
      </c>
      <c r="AI911" s="173" t="s">
        <v>482</v>
      </c>
      <c r="AJ911" s="173"/>
      <c r="AK911" s="173"/>
      <c r="AL911" s="173"/>
      <c r="AM911" s="643">
        <f t="shared" si="17"/>
        <v>10054</v>
      </c>
      <c r="AO911" s="289"/>
      <c r="AP911" s="97"/>
    </row>
    <row r="912" spans="1:42" s="61" customFormat="1" ht="25.5" customHeight="1" x14ac:dyDescent="0.3">
      <c r="A912" s="706"/>
      <c r="B912" s="180" t="s">
        <v>362</v>
      </c>
      <c r="C912" s="300"/>
      <c r="D912" s="173"/>
      <c r="E912" s="173"/>
      <c r="F912" s="266"/>
      <c r="G912" s="173"/>
      <c r="H912" s="173"/>
      <c r="I912" s="174"/>
      <c r="J912" s="173"/>
      <c r="K912" s="173"/>
      <c r="L912" s="266"/>
      <c r="M912" s="173"/>
      <c r="N912" s="174"/>
      <c r="O912" s="173"/>
      <c r="P912" s="173"/>
      <c r="Q912" s="173"/>
      <c r="R912" s="173"/>
      <c r="S912" s="173">
        <v>1843</v>
      </c>
      <c r="T912" s="327"/>
      <c r="U912" s="300"/>
      <c r="V912" s="173"/>
      <c r="W912" s="173"/>
      <c r="X912" s="173"/>
      <c r="Y912" s="173"/>
      <c r="Z912" s="173"/>
      <c r="AA912" s="173"/>
      <c r="AB912" s="173"/>
      <c r="AC912" s="173"/>
      <c r="AD912" s="173"/>
      <c r="AE912" s="173"/>
      <c r="AF912" s="173"/>
      <c r="AG912" s="173"/>
      <c r="AH912" s="173">
        <v>1846</v>
      </c>
      <c r="AI912" s="173" t="s">
        <v>482</v>
      </c>
      <c r="AJ912" s="173"/>
      <c r="AK912" s="173"/>
      <c r="AL912" s="173"/>
      <c r="AM912" s="644">
        <f t="shared" si="17"/>
        <v>3689</v>
      </c>
      <c r="AO912" s="289"/>
      <c r="AP912" s="97"/>
    </row>
    <row r="913" spans="1:42" s="61" customFormat="1" ht="22.5" customHeight="1" x14ac:dyDescent="0.3">
      <c r="A913" s="706"/>
      <c r="B913" s="115" t="s">
        <v>402</v>
      </c>
      <c r="C913" s="142"/>
      <c r="D913" s="111"/>
      <c r="E913" s="111"/>
      <c r="F913" s="267"/>
      <c r="G913" s="111"/>
      <c r="H913" s="111"/>
      <c r="I913" s="125"/>
      <c r="J913" s="111"/>
      <c r="K913" s="111"/>
      <c r="L913" s="267">
        <v>0</v>
      </c>
      <c r="M913" s="111"/>
      <c r="N913" s="125"/>
      <c r="O913" s="111"/>
      <c r="P913" s="111"/>
      <c r="Q913" s="111"/>
      <c r="R913" s="111"/>
      <c r="S913" s="111">
        <v>2417.9785149999998</v>
      </c>
      <c r="T913" s="143">
        <v>0</v>
      </c>
      <c r="U913" s="142">
        <v>2.6560000000000001</v>
      </c>
      <c r="V913" s="111"/>
      <c r="W913" s="111"/>
      <c r="X913" s="111"/>
      <c r="Y913" s="111"/>
      <c r="Z913" s="111"/>
      <c r="AA913" s="111"/>
      <c r="AB913" s="111"/>
      <c r="AC913" s="111"/>
      <c r="AD913" s="111"/>
      <c r="AE913" s="111"/>
      <c r="AF913" s="111"/>
      <c r="AG913" s="111"/>
      <c r="AH913" s="111">
        <v>539.46</v>
      </c>
      <c r="AI913" s="111">
        <v>25</v>
      </c>
      <c r="AJ913" s="111"/>
      <c r="AK913" s="111"/>
      <c r="AL913" s="111"/>
      <c r="AM913" s="645">
        <f t="shared" si="17"/>
        <v>2985.0945149999998</v>
      </c>
      <c r="AO913" s="289"/>
    </row>
    <row r="914" spans="1:42" s="61" customFormat="1" ht="21" customHeight="1" x14ac:dyDescent="0.3">
      <c r="A914" s="707"/>
      <c r="B914" s="181" t="s">
        <v>403</v>
      </c>
      <c r="C914" s="144"/>
      <c r="D914" s="112"/>
      <c r="E914" s="112"/>
      <c r="F914" s="268"/>
      <c r="G914" s="112"/>
      <c r="H914" s="112"/>
      <c r="I914" s="126"/>
      <c r="J914" s="112"/>
      <c r="K914" s="112"/>
      <c r="L914" s="268"/>
      <c r="M914" s="112"/>
      <c r="N914" s="126"/>
      <c r="O914" s="112"/>
      <c r="P914" s="112"/>
      <c r="Q914" s="112"/>
      <c r="R914" s="112"/>
      <c r="S914" s="112">
        <v>2547.4293399999997</v>
      </c>
      <c r="T914" s="145">
        <v>0</v>
      </c>
      <c r="U914" s="144"/>
      <c r="V914" s="112"/>
      <c r="W914" s="112"/>
      <c r="X914" s="112"/>
      <c r="Y914" s="112"/>
      <c r="Z914" s="112"/>
      <c r="AA914" s="112"/>
      <c r="AB914" s="112"/>
      <c r="AC914" s="112"/>
      <c r="AD914" s="112"/>
      <c r="AE914" s="112"/>
      <c r="AF914" s="112"/>
      <c r="AG914" s="112"/>
      <c r="AH914" s="112">
        <v>1956.654</v>
      </c>
      <c r="AI914" s="112">
        <v>25</v>
      </c>
      <c r="AJ914" s="112"/>
      <c r="AK914" s="112"/>
      <c r="AL914" s="112"/>
      <c r="AM914" s="646">
        <f t="shared" si="17"/>
        <v>4529.0833399999992</v>
      </c>
      <c r="AO914" s="289"/>
    </row>
    <row r="915" spans="1:42" s="61" customFormat="1" ht="21" customHeight="1" x14ac:dyDescent="0.3">
      <c r="A915" s="705" t="s">
        <v>203</v>
      </c>
      <c r="B915" s="179" t="s">
        <v>293</v>
      </c>
      <c r="C915" s="135">
        <v>90</v>
      </c>
      <c r="D915" s="136"/>
      <c r="E915" s="136"/>
      <c r="F915" s="262"/>
      <c r="G915" s="136">
        <v>176</v>
      </c>
      <c r="H915" s="136"/>
      <c r="I915" s="326"/>
      <c r="J915" s="136"/>
      <c r="K915" s="136"/>
      <c r="L915" s="262"/>
      <c r="M915" s="136"/>
      <c r="N915" s="326"/>
      <c r="O915" s="136"/>
      <c r="P915" s="136"/>
      <c r="Q915" s="136"/>
      <c r="R915" s="136"/>
      <c r="S915" s="136">
        <v>770</v>
      </c>
      <c r="T915" s="137"/>
      <c r="U915" s="632"/>
      <c r="V915" s="122"/>
      <c r="W915" s="122"/>
      <c r="X915" s="122">
        <v>5</v>
      </c>
      <c r="Y915" s="122">
        <v>20</v>
      </c>
      <c r="Z915" s="122">
        <v>84</v>
      </c>
      <c r="AA915" s="122"/>
      <c r="AB915" s="122"/>
      <c r="AC915" s="122">
        <v>20</v>
      </c>
      <c r="AD915" s="122">
        <v>25</v>
      </c>
      <c r="AE915" s="122"/>
      <c r="AF915" s="122"/>
      <c r="AG915" s="122"/>
      <c r="AH915" s="122">
        <v>100</v>
      </c>
      <c r="AI915" s="122">
        <v>25</v>
      </c>
      <c r="AJ915" s="122"/>
      <c r="AK915" s="122">
        <v>12.08</v>
      </c>
      <c r="AL915" s="122"/>
      <c r="AM915" s="639">
        <f t="shared" si="17"/>
        <v>1327.08</v>
      </c>
      <c r="AO915" s="289"/>
    </row>
    <row r="916" spans="1:42" s="61" customFormat="1" ht="19.5" customHeight="1" x14ac:dyDescent="0.3">
      <c r="A916" s="706"/>
      <c r="B916" s="116" t="s">
        <v>294</v>
      </c>
      <c r="C916" s="138">
        <v>10</v>
      </c>
      <c r="D916" s="109"/>
      <c r="E916" s="109"/>
      <c r="F916" s="263"/>
      <c r="G916" s="109">
        <v>178</v>
      </c>
      <c r="H916" s="109">
        <v>50</v>
      </c>
      <c r="I916" s="123"/>
      <c r="J916" s="109"/>
      <c r="K916" s="109">
        <v>13</v>
      </c>
      <c r="L916" s="263"/>
      <c r="M916" s="109"/>
      <c r="N916" s="123"/>
      <c r="O916" s="109"/>
      <c r="P916" s="109"/>
      <c r="Q916" s="109"/>
      <c r="R916" s="109"/>
      <c r="S916" s="109">
        <v>935</v>
      </c>
      <c r="T916" s="139">
        <v>30</v>
      </c>
      <c r="U916" s="138">
        <v>36.58</v>
      </c>
      <c r="V916" s="109"/>
      <c r="W916" s="109"/>
      <c r="X916" s="109"/>
      <c r="Y916" s="109">
        <v>20</v>
      </c>
      <c r="Z916" s="109"/>
      <c r="AA916" s="109"/>
      <c r="AB916" s="109"/>
      <c r="AC916" s="109">
        <v>20</v>
      </c>
      <c r="AD916" s="109">
        <v>25</v>
      </c>
      <c r="AE916" s="109"/>
      <c r="AF916" s="109"/>
      <c r="AG916" s="109"/>
      <c r="AH916" s="109"/>
      <c r="AI916" s="109">
        <v>25</v>
      </c>
      <c r="AJ916" s="109"/>
      <c r="AK916" s="109"/>
      <c r="AL916" s="109"/>
      <c r="AM916" s="640">
        <f t="shared" si="17"/>
        <v>1342.58</v>
      </c>
      <c r="AO916" s="289"/>
    </row>
    <row r="917" spans="1:42" s="61" customFormat="1" ht="22.5" customHeight="1" x14ac:dyDescent="0.3">
      <c r="A917" s="706"/>
      <c r="B917" s="117" t="s">
        <v>326</v>
      </c>
      <c r="C917" s="140">
        <v>85.147000000000006</v>
      </c>
      <c r="D917" s="110"/>
      <c r="E917" s="110"/>
      <c r="F917" s="264"/>
      <c r="G917" s="110">
        <v>168</v>
      </c>
      <c r="H917" s="110">
        <v>34</v>
      </c>
      <c r="I917" s="124"/>
      <c r="J917" s="110"/>
      <c r="K917" s="110"/>
      <c r="L917" s="264">
        <v>43</v>
      </c>
      <c r="M917" s="110"/>
      <c r="N917" s="124"/>
      <c r="O917" s="110"/>
      <c r="P917" s="110"/>
      <c r="Q917" s="110"/>
      <c r="R917" s="110"/>
      <c r="S917" s="110">
        <v>5</v>
      </c>
      <c r="T917" s="141"/>
      <c r="U917" s="140">
        <v>6.2220000000000004</v>
      </c>
      <c r="V917" s="110"/>
      <c r="W917" s="110">
        <v>400</v>
      </c>
      <c r="X917" s="110"/>
      <c r="Y917" s="110"/>
      <c r="Z917" s="110">
        <v>177</v>
      </c>
      <c r="AA917" s="110"/>
      <c r="AB917" s="110"/>
      <c r="AC917" s="110">
        <v>20</v>
      </c>
      <c r="AD917" s="110">
        <v>25</v>
      </c>
      <c r="AE917" s="110"/>
      <c r="AF917" s="110"/>
      <c r="AG917" s="110">
        <f>2/1.3</f>
        <v>1.5384615384615383</v>
      </c>
      <c r="AH917" s="110"/>
      <c r="AI917" s="110">
        <v>1025</v>
      </c>
      <c r="AJ917" s="110"/>
      <c r="AK917" s="110">
        <v>26</v>
      </c>
      <c r="AL917" s="110"/>
      <c r="AM917" s="641">
        <f t="shared" si="17"/>
        <v>2015.9074615384616</v>
      </c>
      <c r="AO917" s="289"/>
      <c r="AP917" s="97"/>
    </row>
    <row r="918" spans="1:42" s="61" customFormat="1" ht="25.5" customHeight="1" x14ac:dyDescent="0.3">
      <c r="A918" s="706"/>
      <c r="B918" s="175" t="s">
        <v>327</v>
      </c>
      <c r="C918" s="176">
        <v>50</v>
      </c>
      <c r="D918" s="127"/>
      <c r="E918" s="127"/>
      <c r="F918" s="265"/>
      <c r="G918" s="127">
        <v>171</v>
      </c>
      <c r="H918" s="127">
        <v>132</v>
      </c>
      <c r="I918" s="178"/>
      <c r="J918" s="127"/>
      <c r="K918" s="127"/>
      <c r="L918" s="265"/>
      <c r="M918" s="127"/>
      <c r="N918" s="178"/>
      <c r="O918" s="127"/>
      <c r="P918" s="127"/>
      <c r="Q918" s="127"/>
      <c r="R918" s="127"/>
      <c r="S918" s="127">
        <v>227</v>
      </c>
      <c r="T918" s="177"/>
      <c r="U918" s="176">
        <v>6.2220000000000004</v>
      </c>
      <c r="V918" s="127"/>
      <c r="W918" s="127">
        <f>600-400</f>
        <v>200</v>
      </c>
      <c r="X918" s="127"/>
      <c r="Y918" s="127"/>
      <c r="Z918" s="127">
        <v>590</v>
      </c>
      <c r="AA918" s="127"/>
      <c r="AB918" s="127"/>
      <c r="AC918" s="127">
        <v>40</v>
      </c>
      <c r="AD918" s="127">
        <v>25</v>
      </c>
      <c r="AE918" s="127"/>
      <c r="AF918" s="127"/>
      <c r="AG918" s="127"/>
      <c r="AH918" s="127">
        <v>1429.78</v>
      </c>
      <c r="AI918" s="127">
        <v>25</v>
      </c>
      <c r="AJ918" s="127"/>
      <c r="AK918" s="127">
        <v>11</v>
      </c>
      <c r="AL918" s="127"/>
      <c r="AM918" s="642">
        <f t="shared" si="17"/>
        <v>2907.002</v>
      </c>
      <c r="AO918" s="289"/>
    </row>
    <row r="919" spans="1:42" s="61" customFormat="1" ht="25.5" customHeight="1" x14ac:dyDescent="0.3">
      <c r="A919" s="706"/>
      <c r="B919" s="180" t="s">
        <v>361</v>
      </c>
      <c r="C919" s="300">
        <v>109.98</v>
      </c>
      <c r="D919" s="173"/>
      <c r="E919" s="173"/>
      <c r="F919" s="266"/>
      <c r="G919" s="173">
        <f>152+21</f>
        <v>173</v>
      </c>
      <c r="H919" s="173">
        <v>26</v>
      </c>
      <c r="I919" s="174"/>
      <c r="J919" s="173"/>
      <c r="K919" s="173"/>
      <c r="L919" s="266"/>
      <c r="M919" s="173"/>
      <c r="N919" s="174"/>
      <c r="O919" s="173"/>
      <c r="P919" s="173"/>
      <c r="Q919" s="173"/>
      <c r="R919" s="173"/>
      <c r="S919" s="173">
        <v>1337</v>
      </c>
      <c r="T919" s="327"/>
      <c r="U919" s="300"/>
      <c r="V919" s="173"/>
      <c r="W919" s="173">
        <v>200</v>
      </c>
      <c r="X919" s="173"/>
      <c r="Y919" s="173"/>
      <c r="Z919" s="173">
        <v>92.466239999999999</v>
      </c>
      <c r="AA919" s="173"/>
      <c r="AB919" s="173"/>
      <c r="AC919" s="173">
        <v>20</v>
      </c>
      <c r="AD919" s="173">
        <v>25</v>
      </c>
      <c r="AE919" s="173">
        <f>800+4000</f>
        <v>4800</v>
      </c>
      <c r="AF919" s="173"/>
      <c r="AG919" s="173"/>
      <c r="AH919" s="173">
        <v>250</v>
      </c>
      <c r="AI919" s="173">
        <v>25</v>
      </c>
      <c r="AJ919" s="173"/>
      <c r="AK919" s="173">
        <v>13</v>
      </c>
      <c r="AL919" s="173"/>
      <c r="AM919" s="643">
        <f t="shared" si="17"/>
        <v>7071.4462400000002</v>
      </c>
      <c r="AO919" s="289"/>
      <c r="AP919" s="97"/>
    </row>
    <row r="920" spans="1:42" s="61" customFormat="1" ht="25.5" customHeight="1" x14ac:dyDescent="0.3">
      <c r="A920" s="706"/>
      <c r="B920" s="180" t="s">
        <v>362</v>
      </c>
      <c r="C920" s="300">
        <v>159.965</v>
      </c>
      <c r="D920" s="173"/>
      <c r="E920" s="173">
        <v>2</v>
      </c>
      <c r="F920" s="266"/>
      <c r="G920" s="173">
        <f>157+10</f>
        <v>167</v>
      </c>
      <c r="H920" s="173">
        <v>27</v>
      </c>
      <c r="I920" s="174"/>
      <c r="J920" s="173"/>
      <c r="K920" s="173"/>
      <c r="L920" s="266"/>
      <c r="M920" s="173"/>
      <c r="N920" s="174"/>
      <c r="O920" s="173"/>
      <c r="P920" s="173"/>
      <c r="Q920" s="173"/>
      <c r="R920" s="173"/>
      <c r="S920" s="173">
        <v>1231</v>
      </c>
      <c r="T920" s="327"/>
      <c r="U920" s="300"/>
      <c r="V920" s="173"/>
      <c r="W920" s="173"/>
      <c r="X920" s="173"/>
      <c r="Y920" s="173"/>
      <c r="Z920" s="173">
        <v>235.25432000000001</v>
      </c>
      <c r="AA920" s="173"/>
      <c r="AB920" s="173"/>
      <c r="AC920" s="173"/>
      <c r="AD920" s="173"/>
      <c r="AE920" s="173">
        <f>850+4000</f>
        <v>4850</v>
      </c>
      <c r="AF920" s="173"/>
      <c r="AG920" s="173"/>
      <c r="AH920" s="173"/>
      <c r="AI920" s="173">
        <v>50</v>
      </c>
      <c r="AJ920" s="173"/>
      <c r="AK920" s="173"/>
      <c r="AL920" s="173"/>
      <c r="AM920" s="644">
        <f t="shared" si="17"/>
        <v>6722.2193200000002</v>
      </c>
      <c r="AO920" s="289"/>
      <c r="AP920" s="97"/>
    </row>
    <row r="921" spans="1:42" s="61" customFormat="1" ht="22.5" customHeight="1" x14ac:dyDescent="0.3">
      <c r="A921" s="706"/>
      <c r="B921" s="115" t="s">
        <v>402</v>
      </c>
      <c r="C921" s="142">
        <v>110</v>
      </c>
      <c r="D921" s="111"/>
      <c r="E921" s="111"/>
      <c r="F921" s="267"/>
      <c r="G921" s="111">
        <v>10</v>
      </c>
      <c r="H921" s="111"/>
      <c r="I921" s="125"/>
      <c r="J921" s="111"/>
      <c r="K921" s="111"/>
      <c r="L921" s="267">
        <v>96</v>
      </c>
      <c r="M921" s="111"/>
      <c r="N921" s="125"/>
      <c r="O921" s="111"/>
      <c r="P921" s="111"/>
      <c r="Q921" s="111"/>
      <c r="R921" s="111"/>
      <c r="S921" s="111">
        <v>1157.514997</v>
      </c>
      <c r="T921" s="143">
        <v>0</v>
      </c>
      <c r="U921" s="142">
        <v>33.027999999999999</v>
      </c>
      <c r="V921" s="111"/>
      <c r="W921" s="111"/>
      <c r="X921" s="111"/>
      <c r="Y921" s="111"/>
      <c r="Z921" s="111">
        <v>784</v>
      </c>
      <c r="AA921" s="111"/>
      <c r="AB921" s="111"/>
      <c r="AC921" s="111">
        <v>10</v>
      </c>
      <c r="AD921" s="111">
        <v>25</v>
      </c>
      <c r="AE921" s="111">
        <v>4900</v>
      </c>
      <c r="AF921" s="111"/>
      <c r="AG921" s="111"/>
      <c r="AH921" s="111">
        <v>4.2130000000000001</v>
      </c>
      <c r="AI921" s="111">
        <v>1940</v>
      </c>
      <c r="AJ921" s="111"/>
      <c r="AK921" s="111"/>
      <c r="AL921" s="111"/>
      <c r="AM921" s="645">
        <f t="shared" si="17"/>
        <v>9069.7559970000002</v>
      </c>
      <c r="AO921" s="289"/>
    </row>
    <row r="922" spans="1:42" s="61" customFormat="1" ht="21" customHeight="1" x14ac:dyDescent="0.3">
      <c r="A922" s="707"/>
      <c r="B922" s="181" t="s">
        <v>403</v>
      </c>
      <c r="C922" s="144">
        <v>244.91499999999999</v>
      </c>
      <c r="D922" s="112"/>
      <c r="E922" s="112"/>
      <c r="F922" s="268"/>
      <c r="G922" s="112"/>
      <c r="H922" s="112"/>
      <c r="I922" s="126"/>
      <c r="J922" s="112"/>
      <c r="K922" s="112"/>
      <c r="L922" s="268">
        <v>120.9</v>
      </c>
      <c r="M922" s="112"/>
      <c r="N922" s="126"/>
      <c r="O922" s="112"/>
      <c r="P922" s="112"/>
      <c r="Q922" s="112"/>
      <c r="R922" s="112"/>
      <c r="S922" s="112">
        <v>1110.2504099999999</v>
      </c>
      <c r="T922" s="145">
        <v>0</v>
      </c>
      <c r="U922" s="144">
        <v>5.9950000000000001</v>
      </c>
      <c r="V922" s="112"/>
      <c r="W922" s="112"/>
      <c r="X922" s="112"/>
      <c r="Y922" s="112"/>
      <c r="Z922" s="112">
        <v>2427</v>
      </c>
      <c r="AA922" s="112"/>
      <c r="AB922" s="112"/>
      <c r="AC922" s="112">
        <v>0</v>
      </c>
      <c r="AD922" s="112">
        <v>250</v>
      </c>
      <c r="AE922" s="112">
        <v>5100</v>
      </c>
      <c r="AF922" s="112"/>
      <c r="AG922" s="112"/>
      <c r="AH922" s="112" t="s">
        <v>482</v>
      </c>
      <c r="AI922" s="112">
        <v>1940</v>
      </c>
      <c r="AJ922" s="112"/>
      <c r="AK922" s="112">
        <f>13.082/1.001</f>
        <v>13.068931068931072</v>
      </c>
      <c r="AL922" s="112"/>
      <c r="AM922" s="646">
        <f t="shared" si="17"/>
        <v>11212.12934106893</v>
      </c>
      <c r="AO922" s="289"/>
    </row>
    <row r="923" spans="1:42" s="61" customFormat="1" ht="21" customHeight="1" x14ac:dyDescent="0.3">
      <c r="A923" s="705" t="s">
        <v>204</v>
      </c>
      <c r="B923" s="179" t="s">
        <v>293</v>
      </c>
      <c r="C923" s="135"/>
      <c r="D923" s="136"/>
      <c r="E923" s="136"/>
      <c r="F923" s="262"/>
      <c r="G923" s="136"/>
      <c r="H923" s="136"/>
      <c r="I923" s="326"/>
      <c r="J923" s="136"/>
      <c r="K923" s="136"/>
      <c r="L923" s="262"/>
      <c r="M923" s="136"/>
      <c r="N923" s="326"/>
      <c r="O923" s="136"/>
      <c r="P923" s="136"/>
      <c r="Q923" s="136"/>
      <c r="R923" s="136"/>
      <c r="S923" s="136">
        <v>7.5</v>
      </c>
      <c r="T923" s="137">
        <v>1.5</v>
      </c>
      <c r="U923" s="632"/>
      <c r="V923" s="122"/>
      <c r="W923" s="122"/>
      <c r="X923" s="122"/>
      <c r="Y923" s="122"/>
      <c r="Z923" s="122">
        <v>7.5</v>
      </c>
      <c r="AA923" s="122"/>
      <c r="AB923" s="122"/>
      <c r="AC923" s="122"/>
      <c r="AD923" s="122">
        <v>1</v>
      </c>
      <c r="AE923" s="122"/>
      <c r="AF923" s="122"/>
      <c r="AG923" s="122"/>
      <c r="AH923" s="122"/>
      <c r="AI923" s="122" t="s">
        <v>482</v>
      </c>
      <c r="AJ923" s="122"/>
      <c r="AK923" s="122">
        <v>1.1299999999999999</v>
      </c>
      <c r="AL923" s="122"/>
      <c r="AM923" s="639">
        <f t="shared" si="17"/>
        <v>18.63</v>
      </c>
      <c r="AO923" s="289"/>
    </row>
    <row r="924" spans="1:42" s="61" customFormat="1" ht="19.5" customHeight="1" x14ac:dyDescent="0.3">
      <c r="A924" s="706"/>
      <c r="B924" s="116" t="s">
        <v>294</v>
      </c>
      <c r="C924" s="138">
        <v>5</v>
      </c>
      <c r="D924" s="109"/>
      <c r="E924" s="109"/>
      <c r="F924" s="263"/>
      <c r="G924" s="109"/>
      <c r="H924" s="109">
        <v>3</v>
      </c>
      <c r="I924" s="123"/>
      <c r="J924" s="109"/>
      <c r="K924" s="109"/>
      <c r="L924" s="263"/>
      <c r="M924" s="109"/>
      <c r="N924" s="123"/>
      <c r="O924" s="109"/>
      <c r="P924" s="109"/>
      <c r="Q924" s="109"/>
      <c r="R924" s="109"/>
      <c r="S924" s="109">
        <v>10</v>
      </c>
      <c r="T924" s="139">
        <v>1.5</v>
      </c>
      <c r="U924" s="138"/>
      <c r="V924" s="109"/>
      <c r="W924" s="109"/>
      <c r="X924" s="109"/>
      <c r="Y924" s="109"/>
      <c r="Z924" s="109">
        <v>7.5</v>
      </c>
      <c r="AA924" s="109"/>
      <c r="AB924" s="109"/>
      <c r="AC924" s="109"/>
      <c r="AD924" s="109">
        <v>1</v>
      </c>
      <c r="AE924" s="109"/>
      <c r="AF924" s="109"/>
      <c r="AG924" s="109"/>
      <c r="AH924" s="109"/>
      <c r="AI924" s="109" t="s">
        <v>482</v>
      </c>
      <c r="AJ924" s="109"/>
      <c r="AK924" s="109">
        <v>1.07</v>
      </c>
      <c r="AL924" s="109"/>
      <c r="AM924" s="640">
        <f t="shared" si="17"/>
        <v>29.07</v>
      </c>
      <c r="AO924" s="289"/>
    </row>
    <row r="925" spans="1:42" s="61" customFormat="1" ht="22.5" customHeight="1" x14ac:dyDescent="0.3">
      <c r="A925" s="706"/>
      <c r="B925" s="117" t="s">
        <v>326</v>
      </c>
      <c r="C925" s="140">
        <v>7</v>
      </c>
      <c r="D925" s="110"/>
      <c r="E925" s="110"/>
      <c r="F925" s="264"/>
      <c r="G925" s="110"/>
      <c r="H925" s="110">
        <v>53</v>
      </c>
      <c r="I925" s="124"/>
      <c r="J925" s="110"/>
      <c r="K925" s="110"/>
      <c r="L925" s="264"/>
      <c r="M925" s="110"/>
      <c r="N925" s="124"/>
      <c r="O925" s="110"/>
      <c r="P925" s="110"/>
      <c r="Q925" s="110"/>
      <c r="R925" s="110"/>
      <c r="S925" s="110">
        <v>1</v>
      </c>
      <c r="T925" s="141"/>
      <c r="U925" s="140"/>
      <c r="V925" s="110"/>
      <c r="W925" s="110"/>
      <c r="X925" s="110"/>
      <c r="Y925" s="110"/>
      <c r="Z925" s="110">
        <v>13</v>
      </c>
      <c r="AA925" s="110"/>
      <c r="AB925" s="110"/>
      <c r="AC925" s="110"/>
      <c r="AD925" s="110">
        <v>1</v>
      </c>
      <c r="AE925" s="110"/>
      <c r="AF925" s="110"/>
      <c r="AG925" s="110"/>
      <c r="AH925" s="110"/>
      <c r="AI925" s="110" t="s">
        <v>482</v>
      </c>
      <c r="AJ925" s="110"/>
      <c r="AK925" s="110">
        <v>2</v>
      </c>
      <c r="AL925" s="110"/>
      <c r="AM925" s="641">
        <f t="shared" si="17"/>
        <v>77</v>
      </c>
      <c r="AO925" s="289"/>
      <c r="AP925" s="97"/>
    </row>
    <row r="926" spans="1:42" s="61" customFormat="1" ht="25.5" customHeight="1" x14ac:dyDescent="0.3">
      <c r="A926" s="706"/>
      <c r="B926" s="175" t="s">
        <v>327</v>
      </c>
      <c r="C926" s="176">
        <v>7</v>
      </c>
      <c r="D926" s="127"/>
      <c r="E926" s="127"/>
      <c r="F926" s="265"/>
      <c r="G926" s="127"/>
      <c r="H926" s="127"/>
      <c r="I926" s="178"/>
      <c r="J926" s="127"/>
      <c r="K926" s="127"/>
      <c r="L926" s="265"/>
      <c r="M926" s="127"/>
      <c r="N926" s="178"/>
      <c r="O926" s="127"/>
      <c r="P926" s="127"/>
      <c r="Q926" s="127"/>
      <c r="R926" s="127"/>
      <c r="S926" s="127">
        <v>301</v>
      </c>
      <c r="T926" s="177"/>
      <c r="U926" s="176"/>
      <c r="V926" s="127"/>
      <c r="W926" s="127"/>
      <c r="X926" s="127"/>
      <c r="Y926" s="127"/>
      <c r="Z926" s="127">
        <v>13</v>
      </c>
      <c r="AA926" s="127"/>
      <c r="AB926" s="127"/>
      <c r="AC926" s="127"/>
      <c r="AD926" s="127"/>
      <c r="AE926" s="127"/>
      <c r="AF926" s="127"/>
      <c r="AG926" s="127"/>
      <c r="AH926" s="127"/>
      <c r="AI926" s="127" t="s">
        <v>482</v>
      </c>
      <c r="AJ926" s="127"/>
      <c r="AK926" s="127">
        <v>2</v>
      </c>
      <c r="AL926" s="127"/>
      <c r="AM926" s="642">
        <f t="shared" si="17"/>
        <v>323</v>
      </c>
      <c r="AO926" s="289"/>
    </row>
    <row r="927" spans="1:42" s="61" customFormat="1" ht="25.5" customHeight="1" x14ac:dyDescent="0.3">
      <c r="A927" s="706"/>
      <c r="B927" s="180" t="s">
        <v>361</v>
      </c>
      <c r="C927" s="300">
        <v>7.5</v>
      </c>
      <c r="D927" s="173"/>
      <c r="E927" s="173"/>
      <c r="F927" s="266"/>
      <c r="G927" s="173"/>
      <c r="H927" s="173">
        <v>3</v>
      </c>
      <c r="I927" s="174"/>
      <c r="J927" s="173"/>
      <c r="K927" s="173"/>
      <c r="L927" s="266"/>
      <c r="M927" s="173"/>
      <c r="N927" s="174"/>
      <c r="O927" s="173"/>
      <c r="P927" s="173"/>
      <c r="Q927" s="173"/>
      <c r="R927" s="173"/>
      <c r="S927" s="173">
        <v>397</v>
      </c>
      <c r="T927" s="327"/>
      <c r="U927" s="300">
        <v>9.2999999999999999E-2</v>
      </c>
      <c r="V927" s="173"/>
      <c r="W927" s="173"/>
      <c r="X927" s="173"/>
      <c r="Y927" s="173"/>
      <c r="Z927" s="173"/>
      <c r="AA927" s="173"/>
      <c r="AB927" s="173"/>
      <c r="AC927" s="173"/>
      <c r="AD927" s="173"/>
      <c r="AE927" s="173"/>
      <c r="AF927" s="173"/>
      <c r="AG927" s="173"/>
      <c r="AH927" s="173"/>
      <c r="AI927" s="173" t="s">
        <v>482</v>
      </c>
      <c r="AJ927" s="173"/>
      <c r="AK927" s="173">
        <v>2</v>
      </c>
      <c r="AL927" s="173"/>
      <c r="AM927" s="643">
        <f t="shared" si="17"/>
        <v>409.59300000000002</v>
      </c>
      <c r="AO927" s="289"/>
      <c r="AP927" s="97"/>
    </row>
    <row r="928" spans="1:42" s="61" customFormat="1" ht="25.5" customHeight="1" x14ac:dyDescent="0.3">
      <c r="A928" s="706"/>
      <c r="B928" s="180" t="s">
        <v>362</v>
      </c>
      <c r="C928" s="300">
        <v>6.5</v>
      </c>
      <c r="D928" s="173"/>
      <c r="E928" s="173"/>
      <c r="F928" s="266"/>
      <c r="G928" s="173"/>
      <c r="H928" s="173">
        <v>3</v>
      </c>
      <c r="I928" s="174"/>
      <c r="J928" s="173"/>
      <c r="K928" s="173"/>
      <c r="L928" s="266"/>
      <c r="M928" s="173"/>
      <c r="N928" s="174"/>
      <c r="O928" s="173"/>
      <c r="P928" s="173"/>
      <c r="Q928" s="173"/>
      <c r="R928" s="173"/>
      <c r="S928" s="173">
        <v>425</v>
      </c>
      <c r="T928" s="327"/>
      <c r="U928" s="300">
        <v>3.1E-2</v>
      </c>
      <c r="V928" s="173"/>
      <c r="W928" s="173"/>
      <c r="X928" s="173"/>
      <c r="Y928" s="173"/>
      <c r="Z928" s="173"/>
      <c r="AA928" s="173"/>
      <c r="AB928" s="173"/>
      <c r="AC928" s="173"/>
      <c r="AD928" s="173">
        <v>1</v>
      </c>
      <c r="AE928" s="173"/>
      <c r="AF928" s="173"/>
      <c r="AG928" s="173"/>
      <c r="AH928" s="173"/>
      <c r="AI928" s="173" t="s">
        <v>482</v>
      </c>
      <c r="AJ928" s="173"/>
      <c r="AK928" s="173">
        <v>4</v>
      </c>
      <c r="AL928" s="173"/>
      <c r="AM928" s="644">
        <f t="shared" si="17"/>
        <v>439.53100000000001</v>
      </c>
      <c r="AO928" s="289"/>
      <c r="AP928" s="97"/>
    </row>
    <row r="929" spans="1:42" s="61" customFormat="1" ht="22.5" customHeight="1" x14ac:dyDescent="0.3">
      <c r="A929" s="706"/>
      <c r="B929" s="115" t="s">
        <v>402</v>
      </c>
      <c r="C929" s="142">
        <v>19</v>
      </c>
      <c r="D929" s="111"/>
      <c r="E929" s="111"/>
      <c r="F929" s="267"/>
      <c r="G929" s="111"/>
      <c r="H929" s="111">
        <v>2</v>
      </c>
      <c r="I929" s="125"/>
      <c r="J929" s="111"/>
      <c r="K929" s="111"/>
      <c r="L929" s="267"/>
      <c r="M929" s="111"/>
      <c r="N929" s="125"/>
      <c r="O929" s="111"/>
      <c r="P929" s="111"/>
      <c r="Q929" s="111"/>
      <c r="R929" s="111"/>
      <c r="S929" s="111">
        <v>15.93116</v>
      </c>
      <c r="T929" s="143"/>
      <c r="U929" s="142"/>
      <c r="V929" s="111"/>
      <c r="W929" s="111"/>
      <c r="X929" s="111"/>
      <c r="Y929" s="111"/>
      <c r="Z929" s="111"/>
      <c r="AA929" s="111"/>
      <c r="AB929" s="111"/>
      <c r="AC929" s="111"/>
      <c r="AD929" s="111">
        <v>1</v>
      </c>
      <c r="AE929" s="111"/>
      <c r="AF929" s="111"/>
      <c r="AG929" s="111"/>
      <c r="AH929" s="111" t="s">
        <v>482</v>
      </c>
      <c r="AI929" s="111" t="s">
        <v>482</v>
      </c>
      <c r="AJ929" s="111"/>
      <c r="AK929" s="111">
        <f>4.332/1.097</f>
        <v>3.948951686417502</v>
      </c>
      <c r="AL929" s="111"/>
      <c r="AM929" s="645">
        <f t="shared" si="17"/>
        <v>41.8801116864175</v>
      </c>
      <c r="AO929" s="289"/>
    </row>
    <row r="930" spans="1:42" s="61" customFormat="1" ht="21" customHeight="1" x14ac:dyDescent="0.3">
      <c r="A930" s="707"/>
      <c r="B930" s="181" t="s">
        <v>403</v>
      </c>
      <c r="C930" s="144">
        <v>49.98</v>
      </c>
      <c r="D930" s="112"/>
      <c r="E930" s="112"/>
      <c r="F930" s="268"/>
      <c r="G930" s="112"/>
      <c r="H930" s="112"/>
      <c r="I930" s="126"/>
      <c r="J930" s="112"/>
      <c r="K930" s="112"/>
      <c r="L930" s="268"/>
      <c r="M930" s="112"/>
      <c r="N930" s="126"/>
      <c r="O930" s="112"/>
      <c r="P930" s="112"/>
      <c r="Q930" s="112"/>
      <c r="R930" s="112"/>
      <c r="S930" s="112"/>
      <c r="T930" s="145"/>
      <c r="U930" s="144"/>
      <c r="V930" s="112"/>
      <c r="W930" s="112"/>
      <c r="X930" s="112"/>
      <c r="Y930" s="112"/>
      <c r="Z930" s="112"/>
      <c r="AA930" s="112"/>
      <c r="AB930" s="112"/>
      <c r="AC930" s="112">
        <v>32</v>
      </c>
      <c r="AD930" s="112">
        <v>1</v>
      </c>
      <c r="AE930" s="112"/>
      <c r="AF930" s="112"/>
      <c r="AG930" s="112"/>
      <c r="AH930" s="112" t="s">
        <v>482</v>
      </c>
      <c r="AI930" s="112" t="s">
        <v>482</v>
      </c>
      <c r="AJ930" s="112"/>
      <c r="AK930" s="112">
        <f>4.642/1.001</f>
        <v>4.6373626373626387</v>
      </c>
      <c r="AL930" s="112"/>
      <c r="AM930" s="646">
        <f t="shared" si="17"/>
        <v>87.617362637362632</v>
      </c>
      <c r="AO930" s="289"/>
    </row>
    <row r="931" spans="1:42" s="61" customFormat="1" ht="21" customHeight="1" x14ac:dyDescent="0.3">
      <c r="A931" s="705" t="s">
        <v>205</v>
      </c>
      <c r="B931" s="179" t="s">
        <v>293</v>
      </c>
      <c r="C931" s="135"/>
      <c r="D931" s="136"/>
      <c r="E931" s="136"/>
      <c r="F931" s="262"/>
      <c r="G931" s="136"/>
      <c r="H931" s="136"/>
      <c r="I931" s="326"/>
      <c r="J931" s="136"/>
      <c r="K931" s="136"/>
      <c r="L931" s="262"/>
      <c r="M931" s="136"/>
      <c r="N931" s="326"/>
      <c r="O931" s="136"/>
      <c r="P931" s="136">
        <v>117</v>
      </c>
      <c r="Q931" s="136"/>
      <c r="R931" s="136"/>
      <c r="S931" s="136"/>
      <c r="T931" s="137"/>
      <c r="U931" s="632">
        <v>50</v>
      </c>
      <c r="V931" s="122"/>
      <c r="W931" s="122"/>
      <c r="X931" s="122"/>
      <c r="Y931" s="122"/>
      <c r="Z931" s="122"/>
      <c r="AA931" s="122"/>
      <c r="AB931" s="122"/>
      <c r="AC931" s="122"/>
      <c r="AD931" s="122"/>
      <c r="AE931" s="122"/>
      <c r="AF931" s="122"/>
      <c r="AG931" s="122"/>
      <c r="AH931" s="122"/>
      <c r="AI931" s="122" t="s">
        <v>482</v>
      </c>
      <c r="AJ931" s="122"/>
      <c r="AK931" s="122"/>
      <c r="AL931" s="122"/>
      <c r="AM931" s="639">
        <f t="shared" si="17"/>
        <v>167</v>
      </c>
      <c r="AO931" s="289"/>
    </row>
    <row r="932" spans="1:42" s="61" customFormat="1" ht="19.5" customHeight="1" x14ac:dyDescent="0.3">
      <c r="A932" s="706"/>
      <c r="B932" s="116" t="s">
        <v>294</v>
      </c>
      <c r="C932" s="138"/>
      <c r="D932" s="109"/>
      <c r="E932" s="109"/>
      <c r="F932" s="263">
        <v>565.17499999999995</v>
      </c>
      <c r="G932" s="109"/>
      <c r="H932" s="109"/>
      <c r="I932" s="123"/>
      <c r="J932" s="109"/>
      <c r="K932" s="109"/>
      <c r="L932" s="263"/>
      <c r="M932" s="109"/>
      <c r="N932" s="123"/>
      <c r="O932" s="109"/>
      <c r="P932" s="109"/>
      <c r="Q932" s="109"/>
      <c r="R932" s="109"/>
      <c r="S932" s="109"/>
      <c r="T932" s="139"/>
      <c r="U932" s="138">
        <v>35.67</v>
      </c>
      <c r="V932" s="109"/>
      <c r="W932" s="109"/>
      <c r="X932" s="109"/>
      <c r="Y932" s="109"/>
      <c r="Z932" s="109">
        <v>17.399999999999999</v>
      </c>
      <c r="AA932" s="109"/>
      <c r="AB932" s="109"/>
      <c r="AC932" s="109"/>
      <c r="AD932" s="109"/>
      <c r="AE932" s="109"/>
      <c r="AF932" s="109"/>
      <c r="AG932" s="109"/>
      <c r="AH932" s="109"/>
      <c r="AI932" s="109" t="s">
        <v>482</v>
      </c>
      <c r="AJ932" s="109"/>
      <c r="AK932" s="109"/>
      <c r="AL932" s="109"/>
      <c r="AM932" s="640">
        <f t="shared" si="17"/>
        <v>618.24499999999989</v>
      </c>
      <c r="AO932" s="289"/>
    </row>
    <row r="933" spans="1:42" s="61" customFormat="1" ht="22.5" customHeight="1" x14ac:dyDescent="0.3">
      <c r="A933" s="706"/>
      <c r="B933" s="117" t="s">
        <v>326</v>
      </c>
      <c r="C933" s="140">
        <v>149.94200000000001</v>
      </c>
      <c r="D933" s="110"/>
      <c r="E933" s="110"/>
      <c r="F933" s="264"/>
      <c r="G933" s="110"/>
      <c r="H933" s="110">
        <v>20</v>
      </c>
      <c r="I933" s="124"/>
      <c r="J933" s="110"/>
      <c r="K933" s="110"/>
      <c r="L933" s="264"/>
      <c r="M933" s="110"/>
      <c r="N933" s="124"/>
      <c r="O933" s="110"/>
      <c r="P933" s="110"/>
      <c r="Q933" s="110"/>
      <c r="R933" s="110"/>
      <c r="S933" s="110"/>
      <c r="T933" s="141"/>
      <c r="U933" s="140">
        <v>71.34</v>
      </c>
      <c r="V933" s="110"/>
      <c r="W933" s="110"/>
      <c r="X933" s="110"/>
      <c r="Y933" s="110"/>
      <c r="Z933" s="110"/>
      <c r="AA933" s="110"/>
      <c r="AB933" s="110"/>
      <c r="AC933" s="110"/>
      <c r="AD933" s="110"/>
      <c r="AE933" s="110"/>
      <c r="AF933" s="110"/>
      <c r="AG933" s="110">
        <f>1</f>
        <v>1</v>
      </c>
      <c r="AH933" s="110"/>
      <c r="AI933" s="110" t="s">
        <v>482</v>
      </c>
      <c r="AJ933" s="110"/>
      <c r="AK933" s="110"/>
      <c r="AL933" s="110"/>
      <c r="AM933" s="641">
        <f t="shared" si="17"/>
        <v>242.28200000000001</v>
      </c>
      <c r="AO933" s="289"/>
      <c r="AP933" s="97"/>
    </row>
    <row r="934" spans="1:42" s="61" customFormat="1" ht="25.5" customHeight="1" x14ac:dyDescent="0.3">
      <c r="A934" s="706"/>
      <c r="B934" s="175" t="s">
        <v>327</v>
      </c>
      <c r="C934" s="176">
        <v>199.7</v>
      </c>
      <c r="D934" s="127"/>
      <c r="E934" s="127"/>
      <c r="F934" s="265"/>
      <c r="G934" s="127">
        <v>6</v>
      </c>
      <c r="H934" s="127">
        <v>20</v>
      </c>
      <c r="I934" s="178"/>
      <c r="J934" s="127"/>
      <c r="K934" s="127"/>
      <c r="L934" s="265"/>
      <c r="M934" s="127"/>
      <c r="N934" s="178"/>
      <c r="O934" s="127"/>
      <c r="P934" s="127"/>
      <c r="Q934" s="127"/>
      <c r="R934" s="127"/>
      <c r="S934" s="127">
        <v>7661</v>
      </c>
      <c r="T934" s="177"/>
      <c r="U934" s="176">
        <v>70.557000000000002</v>
      </c>
      <c r="V934" s="127"/>
      <c r="W934" s="127"/>
      <c r="X934" s="127"/>
      <c r="Y934" s="127"/>
      <c r="Z934" s="127">
        <v>2.9697900000000002</v>
      </c>
      <c r="AA934" s="127"/>
      <c r="AB934" s="127"/>
      <c r="AC934" s="127"/>
      <c r="AD934" s="127"/>
      <c r="AE934" s="127"/>
      <c r="AF934" s="127"/>
      <c r="AG934" s="127"/>
      <c r="AH934" s="127"/>
      <c r="AI934" s="127" t="s">
        <v>482</v>
      </c>
      <c r="AJ934" s="127"/>
      <c r="AK934" s="127"/>
      <c r="AL934" s="127"/>
      <c r="AM934" s="642">
        <f t="shared" si="17"/>
        <v>7960.2267899999997</v>
      </c>
      <c r="AO934" s="289"/>
    </row>
    <row r="935" spans="1:42" s="61" customFormat="1" ht="25.5" customHeight="1" x14ac:dyDescent="0.3">
      <c r="A935" s="706"/>
      <c r="B935" s="180" t="s">
        <v>361</v>
      </c>
      <c r="C935" s="300"/>
      <c r="D935" s="173"/>
      <c r="E935" s="173"/>
      <c r="F935" s="266"/>
      <c r="G935" s="173">
        <v>2</v>
      </c>
      <c r="H935" s="173"/>
      <c r="I935" s="174"/>
      <c r="J935" s="173"/>
      <c r="K935" s="173"/>
      <c r="L935" s="266"/>
      <c r="M935" s="173"/>
      <c r="N935" s="174"/>
      <c r="O935" s="173"/>
      <c r="P935" s="173"/>
      <c r="Q935" s="173"/>
      <c r="R935" s="173"/>
      <c r="S935" s="173">
        <v>14512</v>
      </c>
      <c r="T935" s="327"/>
      <c r="U935" s="300"/>
      <c r="V935" s="173"/>
      <c r="W935" s="173"/>
      <c r="X935" s="173"/>
      <c r="Y935" s="173"/>
      <c r="Z935" s="173">
        <v>18.399999999999999</v>
      </c>
      <c r="AA935" s="173"/>
      <c r="AB935" s="173"/>
      <c r="AC935" s="173"/>
      <c r="AD935" s="173"/>
      <c r="AE935" s="173"/>
      <c r="AF935" s="173"/>
      <c r="AG935" s="173"/>
      <c r="AH935" s="173"/>
      <c r="AI935" s="173" t="s">
        <v>482</v>
      </c>
      <c r="AJ935" s="173"/>
      <c r="AK935" s="173"/>
      <c r="AL935" s="173"/>
      <c r="AM935" s="643">
        <f t="shared" si="17"/>
        <v>14532.4</v>
      </c>
      <c r="AO935" s="289"/>
      <c r="AP935" s="97"/>
    </row>
    <row r="936" spans="1:42" s="61" customFormat="1" ht="25.5" customHeight="1" x14ac:dyDescent="0.3">
      <c r="A936" s="706"/>
      <c r="B936" s="180" t="s">
        <v>362</v>
      </c>
      <c r="C936" s="300"/>
      <c r="D936" s="173"/>
      <c r="E936" s="173"/>
      <c r="F936" s="266"/>
      <c r="G936" s="173"/>
      <c r="H936" s="173"/>
      <c r="I936" s="174"/>
      <c r="J936" s="173"/>
      <c r="K936" s="173"/>
      <c r="L936" s="266"/>
      <c r="M936" s="173"/>
      <c r="N936" s="174"/>
      <c r="O936" s="173"/>
      <c r="P936" s="173"/>
      <c r="Q936" s="173"/>
      <c r="R936" s="173"/>
      <c r="S936" s="173">
        <v>6226</v>
      </c>
      <c r="T936" s="327"/>
      <c r="U936" s="300">
        <v>40.405999999999999</v>
      </c>
      <c r="V936" s="173"/>
      <c r="W936" s="173"/>
      <c r="X936" s="173"/>
      <c r="Y936" s="173"/>
      <c r="Z936" s="173"/>
      <c r="AA936" s="173"/>
      <c r="AB936" s="173"/>
      <c r="AC936" s="173"/>
      <c r="AD936" s="173"/>
      <c r="AE936" s="173"/>
      <c r="AF936" s="173"/>
      <c r="AG936" s="173"/>
      <c r="AH936" s="173"/>
      <c r="AI936" s="173" t="s">
        <v>482</v>
      </c>
      <c r="AJ936" s="173"/>
      <c r="AK936" s="173"/>
      <c r="AL936" s="173"/>
      <c r="AM936" s="644">
        <f t="shared" si="17"/>
        <v>6266.4059999999999</v>
      </c>
      <c r="AO936" s="289"/>
      <c r="AP936" s="97"/>
    </row>
    <row r="937" spans="1:42" s="61" customFormat="1" ht="22.5" customHeight="1" x14ac:dyDescent="0.3">
      <c r="A937" s="706"/>
      <c r="B937" s="115" t="s">
        <v>402</v>
      </c>
      <c r="C937" s="142">
        <v>69.992019999999997</v>
      </c>
      <c r="D937" s="111"/>
      <c r="E937" s="111"/>
      <c r="F937" s="267"/>
      <c r="G937" s="111"/>
      <c r="H937" s="111"/>
      <c r="I937" s="125"/>
      <c r="J937" s="111"/>
      <c r="K937" s="111"/>
      <c r="L937" s="267"/>
      <c r="M937" s="111"/>
      <c r="N937" s="125"/>
      <c r="O937" s="111">
        <v>161</v>
      </c>
      <c r="P937" s="111"/>
      <c r="Q937" s="111"/>
      <c r="R937" s="111"/>
      <c r="S937" s="111">
        <v>-228.01242400000012</v>
      </c>
      <c r="T937" s="143"/>
      <c r="U937" s="142">
        <v>56.564</v>
      </c>
      <c r="V937" s="111"/>
      <c r="W937" s="111"/>
      <c r="X937" s="111"/>
      <c r="Y937" s="111"/>
      <c r="Z937" s="111"/>
      <c r="AA937" s="111"/>
      <c r="AB937" s="111"/>
      <c r="AC937" s="111"/>
      <c r="AD937" s="111"/>
      <c r="AE937" s="111"/>
      <c r="AF937" s="111"/>
      <c r="AG937" s="111"/>
      <c r="AH937" s="111">
        <v>176</v>
      </c>
      <c r="AI937" s="111" t="s">
        <v>482</v>
      </c>
      <c r="AJ937" s="111"/>
      <c r="AK937" s="111"/>
      <c r="AL937" s="111"/>
      <c r="AM937" s="645">
        <f t="shared" si="17"/>
        <v>235.54359599999987</v>
      </c>
      <c r="AO937" s="289"/>
    </row>
    <row r="938" spans="1:42" s="61" customFormat="1" ht="21" customHeight="1" x14ac:dyDescent="0.3">
      <c r="A938" s="707"/>
      <c r="B938" s="181" t="s">
        <v>403</v>
      </c>
      <c r="C938" s="144"/>
      <c r="D938" s="112"/>
      <c r="E938" s="112"/>
      <c r="F938" s="268"/>
      <c r="G938" s="112"/>
      <c r="H938" s="112"/>
      <c r="I938" s="126"/>
      <c r="J938" s="112"/>
      <c r="K938" s="112"/>
      <c r="L938" s="268"/>
      <c r="M938" s="112"/>
      <c r="N938" s="126"/>
      <c r="O938" s="112">
        <v>59</v>
      </c>
      <c r="P938" s="112"/>
      <c r="Q938" s="112"/>
      <c r="R938" s="112"/>
      <c r="S938" s="112">
        <v>2166.3281820000002</v>
      </c>
      <c r="T938" s="145"/>
      <c r="U938" s="144"/>
      <c r="V938" s="112"/>
      <c r="W938" s="112"/>
      <c r="X938" s="112"/>
      <c r="Y938" s="112"/>
      <c r="Z938" s="112"/>
      <c r="AA938" s="112"/>
      <c r="AB938" s="112"/>
      <c r="AC938" s="112"/>
      <c r="AD938" s="112"/>
      <c r="AE938" s="112"/>
      <c r="AF938" s="112"/>
      <c r="AG938" s="112"/>
      <c r="AH938" s="112" t="s">
        <v>482</v>
      </c>
      <c r="AI938" s="112" t="s">
        <v>482</v>
      </c>
      <c r="AJ938" s="112"/>
      <c r="AK938" s="112"/>
      <c r="AL938" s="112"/>
      <c r="AM938" s="646">
        <f t="shared" si="17"/>
        <v>2225.3281820000002</v>
      </c>
      <c r="AO938" s="289"/>
    </row>
    <row r="939" spans="1:42" s="61" customFormat="1" ht="21" customHeight="1" x14ac:dyDescent="0.3">
      <c r="A939" s="705" t="s">
        <v>206</v>
      </c>
      <c r="B939" s="179" t="s">
        <v>293</v>
      </c>
      <c r="C939" s="135">
        <v>4</v>
      </c>
      <c r="D939" s="136"/>
      <c r="E939" s="136"/>
      <c r="F939" s="262"/>
      <c r="G939" s="136">
        <v>10</v>
      </c>
      <c r="H939" s="136"/>
      <c r="I939" s="326"/>
      <c r="J939" s="136"/>
      <c r="K939" s="136"/>
      <c r="L939" s="262"/>
      <c r="M939" s="136"/>
      <c r="N939" s="326"/>
      <c r="O939" s="136"/>
      <c r="P939" s="136">
        <v>2</v>
      </c>
      <c r="Q939" s="136"/>
      <c r="R939" s="136"/>
      <c r="S939" s="136">
        <v>30</v>
      </c>
      <c r="T939" s="137"/>
      <c r="U939" s="632">
        <v>1.06</v>
      </c>
      <c r="V939" s="122"/>
      <c r="W939" s="122"/>
      <c r="X939" s="122"/>
      <c r="Y939" s="122"/>
      <c r="Z939" s="122">
        <v>5</v>
      </c>
      <c r="AA939" s="122"/>
      <c r="AB939" s="122">
        <v>1</v>
      </c>
      <c r="AC939" s="122"/>
      <c r="AD939" s="122"/>
      <c r="AE939" s="122"/>
      <c r="AF939" s="122"/>
      <c r="AG939" s="122"/>
      <c r="AH939" s="122"/>
      <c r="AI939" s="122" t="s">
        <v>482</v>
      </c>
      <c r="AJ939" s="122"/>
      <c r="AK939" s="122"/>
      <c r="AL939" s="122"/>
      <c r="AM939" s="639">
        <f t="shared" si="17"/>
        <v>53.06</v>
      </c>
      <c r="AO939" s="289"/>
    </row>
    <row r="940" spans="1:42" s="61" customFormat="1" ht="19.5" customHeight="1" x14ac:dyDescent="0.3">
      <c r="A940" s="706"/>
      <c r="B940" s="116" t="s">
        <v>294</v>
      </c>
      <c r="C940" s="138">
        <v>2</v>
      </c>
      <c r="D940" s="109"/>
      <c r="E940" s="109"/>
      <c r="F940" s="263"/>
      <c r="G940" s="109">
        <v>10</v>
      </c>
      <c r="H940" s="109">
        <v>3</v>
      </c>
      <c r="I940" s="123"/>
      <c r="J940" s="109"/>
      <c r="K940" s="109"/>
      <c r="L940" s="263"/>
      <c r="M940" s="109"/>
      <c r="N940" s="123"/>
      <c r="O940" s="109"/>
      <c r="P940" s="109"/>
      <c r="Q940" s="109"/>
      <c r="R940" s="109"/>
      <c r="S940" s="109">
        <v>25</v>
      </c>
      <c r="T940" s="139">
        <v>9</v>
      </c>
      <c r="U940" s="138">
        <v>0.51700000000000002</v>
      </c>
      <c r="V940" s="109"/>
      <c r="W940" s="109"/>
      <c r="X940" s="109"/>
      <c r="Y940" s="109"/>
      <c r="Z940" s="109">
        <v>4</v>
      </c>
      <c r="AA940" s="109"/>
      <c r="AB940" s="109">
        <v>1</v>
      </c>
      <c r="AC940" s="109">
        <v>0.251</v>
      </c>
      <c r="AD940" s="109"/>
      <c r="AE940" s="109"/>
      <c r="AF940" s="109"/>
      <c r="AG940" s="109"/>
      <c r="AH940" s="109"/>
      <c r="AI940" s="109" t="s">
        <v>482</v>
      </c>
      <c r="AJ940" s="109"/>
      <c r="AK940" s="109"/>
      <c r="AL940" s="109"/>
      <c r="AM940" s="640">
        <f t="shared" si="17"/>
        <v>54.768000000000001</v>
      </c>
      <c r="AO940" s="289"/>
    </row>
    <row r="941" spans="1:42" s="61" customFormat="1" ht="22.5" customHeight="1" x14ac:dyDescent="0.3">
      <c r="A941" s="706"/>
      <c r="B941" s="117" t="s">
        <v>326</v>
      </c>
      <c r="C941" s="140">
        <v>3.431</v>
      </c>
      <c r="D941" s="110"/>
      <c r="E941" s="110"/>
      <c r="F941" s="264"/>
      <c r="G941" s="110">
        <v>10</v>
      </c>
      <c r="H941" s="110"/>
      <c r="I941" s="124"/>
      <c r="J941" s="110"/>
      <c r="K941" s="110"/>
      <c r="L941" s="264"/>
      <c r="M941" s="110"/>
      <c r="N941" s="124"/>
      <c r="O941" s="110"/>
      <c r="P941" s="110">
        <v>3</v>
      </c>
      <c r="Q941" s="110"/>
      <c r="R941" s="110"/>
      <c r="S941" s="110">
        <v>1164</v>
      </c>
      <c r="T941" s="141"/>
      <c r="U941" s="140">
        <v>0.44700000000000001</v>
      </c>
      <c r="V941" s="110"/>
      <c r="W941" s="110"/>
      <c r="X941" s="110"/>
      <c r="Y941" s="110"/>
      <c r="Z941" s="110">
        <v>1</v>
      </c>
      <c r="AA941" s="110"/>
      <c r="AB941" s="110">
        <v>1</v>
      </c>
      <c r="AC941" s="110">
        <v>0.29599999999999999</v>
      </c>
      <c r="AD941" s="110">
        <v>12</v>
      </c>
      <c r="AE941" s="110"/>
      <c r="AF941" s="110"/>
      <c r="AG941" s="110"/>
      <c r="AH941" s="110"/>
      <c r="AI941" s="110" t="s">
        <v>482</v>
      </c>
      <c r="AJ941" s="110"/>
      <c r="AK941" s="110"/>
      <c r="AL941" s="110"/>
      <c r="AM941" s="641">
        <f t="shared" si="17"/>
        <v>1195.174</v>
      </c>
      <c r="AO941" s="289"/>
      <c r="AP941" s="97"/>
    </row>
    <row r="942" spans="1:42" s="61" customFormat="1" ht="25.5" customHeight="1" x14ac:dyDescent="0.3">
      <c r="A942" s="706"/>
      <c r="B942" s="175" t="s">
        <v>327</v>
      </c>
      <c r="C942" s="176">
        <v>1.4770000000000001</v>
      </c>
      <c r="D942" s="127"/>
      <c r="E942" s="127"/>
      <c r="F942" s="265"/>
      <c r="G942" s="127">
        <v>644</v>
      </c>
      <c r="H942" s="127">
        <v>4</v>
      </c>
      <c r="I942" s="178"/>
      <c r="J942" s="127"/>
      <c r="K942" s="127"/>
      <c r="L942" s="265"/>
      <c r="M942" s="127"/>
      <c r="N942" s="178"/>
      <c r="O942" s="127"/>
      <c r="P942" s="127"/>
      <c r="Q942" s="127"/>
      <c r="R942" s="127"/>
      <c r="S942" s="127"/>
      <c r="T942" s="177"/>
      <c r="U942" s="176">
        <v>0.42699999999999999</v>
      </c>
      <c r="V942" s="127"/>
      <c r="W942" s="127"/>
      <c r="X942" s="127"/>
      <c r="Y942" s="127"/>
      <c r="Z942" s="127">
        <v>3</v>
      </c>
      <c r="AA942" s="127"/>
      <c r="AB942" s="127">
        <v>1</v>
      </c>
      <c r="AC942" s="127">
        <v>0.30499999999999999</v>
      </c>
      <c r="AD942" s="127">
        <v>12</v>
      </c>
      <c r="AE942" s="127"/>
      <c r="AF942" s="127"/>
      <c r="AG942" s="127"/>
      <c r="AH942" s="127"/>
      <c r="AI942" s="127" t="s">
        <v>482</v>
      </c>
      <c r="AJ942" s="127"/>
      <c r="AK942" s="127"/>
      <c r="AL942" s="127"/>
      <c r="AM942" s="642">
        <f t="shared" si="17"/>
        <v>666.20899999999995</v>
      </c>
      <c r="AO942" s="289"/>
    </row>
    <row r="943" spans="1:42" s="61" customFormat="1" ht="25.5" customHeight="1" x14ac:dyDescent="0.3">
      <c r="A943" s="706"/>
      <c r="B943" s="180" t="s">
        <v>361</v>
      </c>
      <c r="C943" s="300">
        <v>2</v>
      </c>
      <c r="D943" s="173"/>
      <c r="E943" s="173"/>
      <c r="F943" s="266"/>
      <c r="G943" s="173">
        <f>131</f>
        <v>131</v>
      </c>
      <c r="H943" s="173"/>
      <c r="I943" s="174"/>
      <c r="J943" s="173"/>
      <c r="K943" s="173"/>
      <c r="L943" s="266"/>
      <c r="M943" s="173"/>
      <c r="N943" s="174">
        <v>72.388000000000005</v>
      </c>
      <c r="O943" s="173"/>
      <c r="P943" s="173"/>
      <c r="Q943" s="173"/>
      <c r="R943" s="173"/>
      <c r="S943" s="173"/>
      <c r="T943" s="327"/>
      <c r="U943" s="300"/>
      <c r="V943" s="173">
        <f>5000/1000</f>
        <v>5</v>
      </c>
      <c r="W943" s="173"/>
      <c r="X943" s="173"/>
      <c r="Y943" s="173"/>
      <c r="Z943" s="173">
        <v>0.22055000000000002</v>
      </c>
      <c r="AA943" s="173"/>
      <c r="AB943" s="173">
        <v>1</v>
      </c>
      <c r="AC943" s="173">
        <v>0.28000000000000003</v>
      </c>
      <c r="AD943" s="173"/>
      <c r="AE943" s="173"/>
      <c r="AF943" s="173"/>
      <c r="AG943" s="173"/>
      <c r="AH943" s="173"/>
      <c r="AI943" s="173">
        <v>2</v>
      </c>
      <c r="AJ943" s="173"/>
      <c r="AK943" s="173"/>
      <c r="AL943" s="173"/>
      <c r="AM943" s="643">
        <f t="shared" si="17"/>
        <v>213.88855000000001</v>
      </c>
      <c r="AO943" s="289"/>
      <c r="AP943" s="97"/>
    </row>
    <row r="944" spans="1:42" s="61" customFormat="1" ht="25.5" customHeight="1" x14ac:dyDescent="0.3">
      <c r="A944" s="706"/>
      <c r="B944" s="180" t="s">
        <v>362</v>
      </c>
      <c r="C944" s="300">
        <v>11</v>
      </c>
      <c r="D944" s="173"/>
      <c r="E944" s="173"/>
      <c r="F944" s="266"/>
      <c r="G944" s="173">
        <v>10</v>
      </c>
      <c r="H944" s="173">
        <v>6</v>
      </c>
      <c r="I944" s="174"/>
      <c r="J944" s="173"/>
      <c r="K944" s="173"/>
      <c r="L944" s="266"/>
      <c r="M944" s="173"/>
      <c r="N944" s="174">
        <v>-27.843</v>
      </c>
      <c r="O944" s="173"/>
      <c r="P944" s="173"/>
      <c r="Q944" s="173"/>
      <c r="R944" s="173"/>
      <c r="S944" s="173"/>
      <c r="T944" s="327"/>
      <c r="U944" s="300">
        <v>60.945999999999998</v>
      </c>
      <c r="V944" s="173"/>
      <c r="W944" s="173"/>
      <c r="X944" s="173"/>
      <c r="Y944" s="173"/>
      <c r="Z944" s="173"/>
      <c r="AA944" s="173"/>
      <c r="AB944" s="173"/>
      <c r="AC944" s="173"/>
      <c r="AD944" s="173"/>
      <c r="AE944" s="173"/>
      <c r="AF944" s="173"/>
      <c r="AG944" s="173"/>
      <c r="AH944" s="173"/>
      <c r="AI944" s="173" t="s">
        <v>482</v>
      </c>
      <c r="AJ944" s="173"/>
      <c r="AK944" s="173"/>
      <c r="AL944" s="173"/>
      <c r="AM944" s="644">
        <f t="shared" si="17"/>
        <v>60.102999999999994</v>
      </c>
      <c r="AO944" s="289"/>
      <c r="AP944" s="97"/>
    </row>
    <row r="945" spans="1:42" s="61" customFormat="1" ht="22.5" customHeight="1" x14ac:dyDescent="0.3">
      <c r="A945" s="706"/>
      <c r="B945" s="115" t="s">
        <v>402</v>
      </c>
      <c r="C945" s="142">
        <v>72.719409999999996</v>
      </c>
      <c r="D945" s="111"/>
      <c r="E945" s="111"/>
      <c r="F945" s="267"/>
      <c r="G945" s="111"/>
      <c r="H945" s="111">
        <v>4</v>
      </c>
      <c r="I945" s="125"/>
      <c r="J945" s="111"/>
      <c r="K945" s="111"/>
      <c r="L945" s="267"/>
      <c r="M945" s="111"/>
      <c r="N945" s="125"/>
      <c r="O945" s="111"/>
      <c r="P945" s="111"/>
      <c r="Q945" s="111"/>
      <c r="R945" s="111"/>
      <c r="S945" s="111"/>
      <c r="T945" s="143"/>
      <c r="U945" s="142"/>
      <c r="V945" s="111">
        <f>9433.96/1000</f>
        <v>9.433959999999999</v>
      </c>
      <c r="W945" s="111"/>
      <c r="X945" s="111"/>
      <c r="Y945" s="111"/>
      <c r="Z945" s="111"/>
      <c r="AA945" s="111"/>
      <c r="AB945" s="111"/>
      <c r="AC945" s="111"/>
      <c r="AD945" s="111">
        <v>32</v>
      </c>
      <c r="AE945" s="111"/>
      <c r="AF945" s="111"/>
      <c r="AG945" s="111"/>
      <c r="AH945" s="111" t="s">
        <v>482</v>
      </c>
      <c r="AI945" s="111" t="s">
        <v>482</v>
      </c>
      <c r="AJ945" s="111"/>
      <c r="AK945" s="111"/>
      <c r="AL945" s="111"/>
      <c r="AM945" s="645">
        <f t="shared" si="17"/>
        <v>118.15337</v>
      </c>
      <c r="AO945" s="289"/>
    </row>
    <row r="946" spans="1:42" s="61" customFormat="1" ht="21" customHeight="1" x14ac:dyDescent="0.3">
      <c r="A946" s="707"/>
      <c r="B946" s="181" t="s">
        <v>403</v>
      </c>
      <c r="C946" s="144">
        <v>20.45682</v>
      </c>
      <c r="D946" s="112"/>
      <c r="E946" s="112"/>
      <c r="F946" s="268"/>
      <c r="G946" s="112"/>
      <c r="H946" s="112"/>
      <c r="I946" s="126"/>
      <c r="J946" s="112"/>
      <c r="K946" s="112"/>
      <c r="L946" s="268"/>
      <c r="M946" s="112"/>
      <c r="N946" s="126"/>
      <c r="O946" s="112"/>
      <c r="P946" s="112"/>
      <c r="Q946" s="112"/>
      <c r="R946" s="112"/>
      <c r="S946" s="112"/>
      <c r="T946" s="145"/>
      <c r="U946" s="144">
        <v>2.1240000000000001</v>
      </c>
      <c r="V946" s="112">
        <f>9433.96/1000-V945</f>
        <v>0</v>
      </c>
      <c r="W946" s="112"/>
      <c r="X946" s="112"/>
      <c r="Y946" s="112">
        <v>71.429000000000002</v>
      </c>
      <c r="Z946" s="112"/>
      <c r="AA946" s="112"/>
      <c r="AB946" s="112"/>
      <c r="AC946" s="112"/>
      <c r="AD946" s="112">
        <f>60-AD945</f>
        <v>28</v>
      </c>
      <c r="AE946" s="112"/>
      <c r="AF946" s="112"/>
      <c r="AG946" s="112"/>
      <c r="AH946" s="112" t="s">
        <v>482</v>
      </c>
      <c r="AI946" s="112" t="s">
        <v>482</v>
      </c>
      <c r="AJ946" s="112"/>
      <c r="AK946" s="112"/>
      <c r="AL946" s="112"/>
      <c r="AM946" s="646">
        <f t="shared" si="17"/>
        <v>122.00982</v>
      </c>
      <c r="AO946" s="289"/>
    </row>
    <row r="947" spans="1:42" s="61" customFormat="1" ht="21" customHeight="1" x14ac:dyDescent="0.3">
      <c r="A947" s="705" t="s">
        <v>207</v>
      </c>
      <c r="B947" s="179" t="s">
        <v>293</v>
      </c>
      <c r="C947" s="135"/>
      <c r="D947" s="136"/>
      <c r="E947" s="136"/>
      <c r="F947" s="262"/>
      <c r="G947" s="136"/>
      <c r="H947" s="136"/>
      <c r="I947" s="326"/>
      <c r="J947" s="136"/>
      <c r="K947" s="136"/>
      <c r="L947" s="262"/>
      <c r="M947" s="136"/>
      <c r="N947" s="326"/>
      <c r="O947" s="136"/>
      <c r="P947" s="136"/>
      <c r="Q947" s="136"/>
      <c r="R947" s="136"/>
      <c r="S947" s="136"/>
      <c r="T947" s="137"/>
      <c r="U947" s="632"/>
      <c r="V947" s="122"/>
      <c r="W947" s="122"/>
      <c r="X947" s="122"/>
      <c r="Y947" s="122"/>
      <c r="Z947" s="122"/>
      <c r="AA947" s="122"/>
      <c r="AB947" s="122"/>
      <c r="AC947" s="122"/>
      <c r="AD947" s="122"/>
      <c r="AE947" s="122"/>
      <c r="AF947" s="122"/>
      <c r="AG947" s="122"/>
      <c r="AH947" s="122"/>
      <c r="AI947" s="122" t="s">
        <v>482</v>
      </c>
      <c r="AJ947" s="122"/>
      <c r="AK947" s="122"/>
      <c r="AL947" s="122"/>
      <c r="AM947" s="639">
        <f t="shared" si="17"/>
        <v>0</v>
      </c>
      <c r="AO947" s="289"/>
    </row>
    <row r="948" spans="1:42" s="61" customFormat="1" ht="19.5" customHeight="1" x14ac:dyDescent="0.3">
      <c r="A948" s="706"/>
      <c r="B948" s="116" t="s">
        <v>294</v>
      </c>
      <c r="C948" s="138">
        <v>5</v>
      </c>
      <c r="D948" s="109"/>
      <c r="E948" s="109"/>
      <c r="F948" s="263"/>
      <c r="G948" s="109"/>
      <c r="H948" s="109"/>
      <c r="I948" s="123"/>
      <c r="J948" s="109"/>
      <c r="K948" s="109"/>
      <c r="L948" s="263"/>
      <c r="M948" s="109"/>
      <c r="N948" s="123"/>
      <c r="O948" s="109"/>
      <c r="P948" s="109"/>
      <c r="Q948" s="109"/>
      <c r="R948" s="109"/>
      <c r="S948" s="109"/>
      <c r="T948" s="139"/>
      <c r="U948" s="138"/>
      <c r="V948" s="109"/>
      <c r="W948" s="109"/>
      <c r="X948" s="109"/>
      <c r="Y948" s="109"/>
      <c r="Z948" s="109"/>
      <c r="AA948" s="109"/>
      <c r="AB948" s="109"/>
      <c r="AC948" s="109"/>
      <c r="AD948" s="109"/>
      <c r="AE948" s="109"/>
      <c r="AF948" s="109"/>
      <c r="AG948" s="109"/>
      <c r="AH948" s="109"/>
      <c r="AI948" s="109" t="s">
        <v>482</v>
      </c>
      <c r="AJ948" s="109"/>
      <c r="AK948" s="109"/>
      <c r="AL948" s="109"/>
      <c r="AM948" s="640">
        <f t="shared" si="17"/>
        <v>5</v>
      </c>
      <c r="AO948" s="289"/>
    </row>
    <row r="949" spans="1:42" s="61" customFormat="1" ht="22.5" customHeight="1" x14ac:dyDescent="0.3">
      <c r="A949" s="706"/>
      <c r="B949" s="117" t="s">
        <v>326</v>
      </c>
      <c r="C949" s="140"/>
      <c r="D949" s="110"/>
      <c r="E949" s="110"/>
      <c r="F949" s="264"/>
      <c r="G949" s="110"/>
      <c r="H949" s="110"/>
      <c r="I949" s="124"/>
      <c r="J949" s="110"/>
      <c r="K949" s="110"/>
      <c r="L949" s="264"/>
      <c r="M949" s="110"/>
      <c r="N949" s="124"/>
      <c r="O949" s="110"/>
      <c r="P949" s="110"/>
      <c r="Q949" s="110"/>
      <c r="R949" s="110"/>
      <c r="S949" s="110"/>
      <c r="T949" s="141"/>
      <c r="U949" s="140"/>
      <c r="V949" s="110"/>
      <c r="W949" s="110"/>
      <c r="X949" s="110"/>
      <c r="Y949" s="110"/>
      <c r="Z949" s="110"/>
      <c r="AA949" s="110"/>
      <c r="AB949" s="110">
        <v>1</v>
      </c>
      <c r="AC949" s="110"/>
      <c r="AD949" s="110"/>
      <c r="AE949" s="110"/>
      <c r="AF949" s="110"/>
      <c r="AG949" s="110"/>
      <c r="AH949" s="110"/>
      <c r="AI949" s="110" t="s">
        <v>482</v>
      </c>
      <c r="AJ949" s="110"/>
      <c r="AK949" s="110"/>
      <c r="AL949" s="110"/>
      <c r="AM949" s="641">
        <f t="shared" si="17"/>
        <v>1</v>
      </c>
      <c r="AO949" s="289"/>
      <c r="AP949" s="97"/>
    </row>
    <row r="950" spans="1:42" s="61" customFormat="1" ht="25.5" customHeight="1" x14ac:dyDescent="0.3">
      <c r="A950" s="706"/>
      <c r="B950" s="175" t="s">
        <v>327</v>
      </c>
      <c r="C950" s="176"/>
      <c r="D950" s="127"/>
      <c r="E950" s="127"/>
      <c r="F950" s="265"/>
      <c r="G950" s="127"/>
      <c r="H950" s="127"/>
      <c r="I950" s="178"/>
      <c r="J950" s="127"/>
      <c r="K950" s="127"/>
      <c r="L950" s="265"/>
      <c r="M950" s="127"/>
      <c r="N950" s="178"/>
      <c r="O950" s="127"/>
      <c r="P950" s="127"/>
      <c r="Q950" s="127"/>
      <c r="R950" s="127"/>
      <c r="S950" s="127">
        <v>3</v>
      </c>
      <c r="T950" s="177"/>
      <c r="U950" s="176">
        <v>8.8999999999999996E-2</v>
      </c>
      <c r="V950" s="127"/>
      <c r="W950" s="127"/>
      <c r="X950" s="127"/>
      <c r="Y950" s="127"/>
      <c r="Z950" s="127"/>
      <c r="AA950" s="127"/>
      <c r="AB950" s="127">
        <v>1</v>
      </c>
      <c r="AC950" s="127"/>
      <c r="AD950" s="127"/>
      <c r="AE950" s="127"/>
      <c r="AF950" s="127"/>
      <c r="AG950" s="127"/>
      <c r="AH950" s="127"/>
      <c r="AI950" s="127" t="s">
        <v>482</v>
      </c>
      <c r="AJ950" s="127"/>
      <c r="AK950" s="127"/>
      <c r="AL950" s="127"/>
      <c r="AM950" s="642">
        <f t="shared" si="17"/>
        <v>4.0890000000000004</v>
      </c>
      <c r="AO950" s="289"/>
    </row>
    <row r="951" spans="1:42" s="61" customFormat="1" ht="25.5" customHeight="1" x14ac:dyDescent="0.3">
      <c r="A951" s="706"/>
      <c r="B951" s="180" t="s">
        <v>361</v>
      </c>
      <c r="C951" s="300"/>
      <c r="D951" s="173"/>
      <c r="E951" s="173"/>
      <c r="F951" s="266"/>
      <c r="G951" s="173"/>
      <c r="H951" s="173"/>
      <c r="I951" s="174"/>
      <c r="J951" s="173"/>
      <c r="K951" s="173"/>
      <c r="L951" s="266"/>
      <c r="M951" s="173"/>
      <c r="N951" s="174"/>
      <c r="O951" s="173"/>
      <c r="P951" s="173"/>
      <c r="Q951" s="173"/>
      <c r="R951" s="173"/>
      <c r="S951" s="173">
        <v>2</v>
      </c>
      <c r="T951" s="327"/>
      <c r="U951" s="300"/>
      <c r="V951" s="173"/>
      <c r="W951" s="173"/>
      <c r="X951" s="173"/>
      <c r="Y951" s="173"/>
      <c r="Z951" s="173"/>
      <c r="AA951" s="173"/>
      <c r="AB951" s="173"/>
      <c r="AC951" s="173"/>
      <c r="AD951" s="173"/>
      <c r="AE951" s="173"/>
      <c r="AF951" s="173"/>
      <c r="AG951" s="173"/>
      <c r="AH951" s="173"/>
      <c r="AI951" s="173" t="s">
        <v>482</v>
      </c>
      <c r="AJ951" s="173"/>
      <c r="AK951" s="173"/>
      <c r="AL951" s="173"/>
      <c r="AM951" s="643">
        <f t="shared" si="17"/>
        <v>2</v>
      </c>
      <c r="AO951" s="289"/>
      <c r="AP951" s="97"/>
    </row>
    <row r="952" spans="1:42" s="61" customFormat="1" ht="25.5" customHeight="1" x14ac:dyDescent="0.3">
      <c r="A952" s="706"/>
      <c r="B952" s="180" t="s">
        <v>362</v>
      </c>
      <c r="C952" s="300"/>
      <c r="D952" s="173"/>
      <c r="E952" s="173"/>
      <c r="F952" s="266"/>
      <c r="G952" s="173"/>
      <c r="H952" s="173"/>
      <c r="I952" s="174"/>
      <c r="J952" s="173"/>
      <c r="K952" s="173"/>
      <c r="L952" s="266"/>
      <c r="M952" s="173"/>
      <c r="N952" s="174"/>
      <c r="O952" s="173"/>
      <c r="P952" s="173"/>
      <c r="Q952" s="173"/>
      <c r="R952" s="173"/>
      <c r="S952" s="173">
        <v>3</v>
      </c>
      <c r="T952" s="327"/>
      <c r="U952" s="300"/>
      <c r="V952" s="173"/>
      <c r="W952" s="173"/>
      <c r="X952" s="173"/>
      <c r="Y952" s="173"/>
      <c r="Z952" s="173"/>
      <c r="AA952" s="173"/>
      <c r="AB952" s="173"/>
      <c r="AC952" s="173"/>
      <c r="AD952" s="173"/>
      <c r="AE952" s="173"/>
      <c r="AF952" s="173"/>
      <c r="AG952" s="173"/>
      <c r="AH952" s="173"/>
      <c r="AI952" s="173" t="s">
        <v>482</v>
      </c>
      <c r="AJ952" s="173"/>
      <c r="AK952" s="173"/>
      <c r="AL952" s="173"/>
      <c r="AM952" s="644">
        <f t="shared" si="17"/>
        <v>3</v>
      </c>
      <c r="AO952" s="289"/>
      <c r="AP952" s="97"/>
    </row>
    <row r="953" spans="1:42" s="61" customFormat="1" ht="22.5" customHeight="1" x14ac:dyDescent="0.3">
      <c r="A953" s="706"/>
      <c r="B953" s="115" t="s">
        <v>402</v>
      </c>
      <c r="C953" s="142"/>
      <c r="D953" s="111"/>
      <c r="E953" s="111"/>
      <c r="F953" s="267"/>
      <c r="G953" s="111"/>
      <c r="H953" s="111"/>
      <c r="I953" s="125"/>
      <c r="J953" s="111"/>
      <c r="K953" s="111"/>
      <c r="L953" s="267"/>
      <c r="M953" s="111">
        <v>6.3589399999999996</v>
      </c>
      <c r="N953" s="125"/>
      <c r="O953" s="111"/>
      <c r="P953" s="111"/>
      <c r="Q953" s="111"/>
      <c r="R953" s="111"/>
      <c r="S953" s="111">
        <v>0.95841100000000001</v>
      </c>
      <c r="T953" s="143"/>
      <c r="U953" s="142"/>
      <c r="V953" s="111"/>
      <c r="W953" s="111"/>
      <c r="X953" s="111"/>
      <c r="Y953" s="111"/>
      <c r="Z953" s="111"/>
      <c r="AA953" s="111"/>
      <c r="AB953" s="111"/>
      <c r="AC953" s="111"/>
      <c r="AD953" s="111"/>
      <c r="AE953" s="111"/>
      <c r="AF953" s="111"/>
      <c r="AG953" s="111"/>
      <c r="AH953" s="111" t="s">
        <v>482</v>
      </c>
      <c r="AI953" s="111" t="s">
        <v>482</v>
      </c>
      <c r="AJ953" s="111"/>
      <c r="AK953" s="111"/>
      <c r="AL953" s="111"/>
      <c r="AM953" s="645">
        <f t="shared" si="17"/>
        <v>7.3173509999999995</v>
      </c>
      <c r="AO953" s="289"/>
    </row>
    <row r="954" spans="1:42" s="61" customFormat="1" ht="21" customHeight="1" x14ac:dyDescent="0.3">
      <c r="A954" s="707"/>
      <c r="B954" s="181" t="s">
        <v>403</v>
      </c>
      <c r="C954" s="144"/>
      <c r="D954" s="112"/>
      <c r="E954" s="112"/>
      <c r="F954" s="268"/>
      <c r="G954" s="112"/>
      <c r="H954" s="112"/>
      <c r="I954" s="126"/>
      <c r="J954" s="112"/>
      <c r="K954" s="112"/>
      <c r="L954" s="268"/>
      <c r="M954" s="112"/>
      <c r="N954" s="126"/>
      <c r="O954" s="112"/>
      <c r="P954" s="112"/>
      <c r="Q954" s="112"/>
      <c r="R954" s="112"/>
      <c r="S954" s="112"/>
      <c r="T954" s="145"/>
      <c r="U954" s="144"/>
      <c r="V954" s="112"/>
      <c r="W954" s="112"/>
      <c r="X954" s="112"/>
      <c r="Y954" s="112"/>
      <c r="Z954" s="112"/>
      <c r="AA954" s="112"/>
      <c r="AB954" s="112"/>
      <c r="AC954" s="112"/>
      <c r="AD954" s="112"/>
      <c r="AE954" s="112"/>
      <c r="AF954" s="112"/>
      <c r="AG954" s="112"/>
      <c r="AH954" s="112" t="s">
        <v>482</v>
      </c>
      <c r="AI954" s="112" t="s">
        <v>482</v>
      </c>
      <c r="AJ954" s="112"/>
      <c r="AK954" s="112"/>
      <c r="AL954" s="112"/>
      <c r="AM954" s="646">
        <f t="shared" si="17"/>
        <v>0</v>
      </c>
      <c r="AO954" s="289"/>
    </row>
    <row r="955" spans="1:42" s="61" customFormat="1" ht="21" customHeight="1" x14ac:dyDescent="0.3">
      <c r="A955" s="705" t="s">
        <v>208</v>
      </c>
      <c r="B955" s="179" t="s">
        <v>293</v>
      </c>
      <c r="C955" s="135"/>
      <c r="D955" s="136"/>
      <c r="E955" s="136"/>
      <c r="F955" s="262">
        <v>355.48500000000001</v>
      </c>
      <c r="G955" s="136"/>
      <c r="H955" s="136"/>
      <c r="I955" s="326"/>
      <c r="J955" s="136"/>
      <c r="K955" s="136"/>
      <c r="L955" s="262"/>
      <c r="M955" s="136"/>
      <c r="N955" s="326"/>
      <c r="O955" s="136">
        <v>132</v>
      </c>
      <c r="P955" s="136"/>
      <c r="Q955" s="136"/>
      <c r="R955" s="136"/>
      <c r="S955" s="136"/>
      <c r="T955" s="137"/>
      <c r="U955" s="632"/>
      <c r="V955" s="122"/>
      <c r="W955" s="122"/>
      <c r="X955" s="122"/>
      <c r="Y955" s="122"/>
      <c r="Z955" s="122"/>
      <c r="AA955" s="122"/>
      <c r="AB955" s="122"/>
      <c r="AC955" s="122"/>
      <c r="AD955" s="122"/>
      <c r="AE955" s="122"/>
      <c r="AF955" s="122"/>
      <c r="AG955" s="122"/>
      <c r="AH955" s="122"/>
      <c r="AI955" s="122" t="s">
        <v>482</v>
      </c>
      <c r="AJ955" s="122"/>
      <c r="AK955" s="122"/>
      <c r="AL955" s="122"/>
      <c r="AM955" s="639">
        <f t="shared" si="17"/>
        <v>487.48500000000001</v>
      </c>
      <c r="AO955" s="289"/>
    </row>
    <row r="956" spans="1:42" s="61" customFormat="1" ht="19.5" customHeight="1" x14ac:dyDescent="0.3">
      <c r="A956" s="706"/>
      <c r="B956" s="116" t="s">
        <v>294</v>
      </c>
      <c r="C956" s="138"/>
      <c r="D956" s="109"/>
      <c r="E956" s="109"/>
      <c r="F956" s="263">
        <v>138.399</v>
      </c>
      <c r="G956" s="109"/>
      <c r="H956" s="109"/>
      <c r="I956" s="123"/>
      <c r="J956" s="109"/>
      <c r="K956" s="109"/>
      <c r="L956" s="263"/>
      <c r="M956" s="109"/>
      <c r="N956" s="123"/>
      <c r="O956" s="109"/>
      <c r="P956" s="109"/>
      <c r="Q956" s="109"/>
      <c r="R956" s="109"/>
      <c r="S956" s="109"/>
      <c r="T956" s="139"/>
      <c r="U956" s="138"/>
      <c r="V956" s="109"/>
      <c r="W956" s="109"/>
      <c r="X956" s="109"/>
      <c r="Y956" s="109"/>
      <c r="Z956" s="109"/>
      <c r="AA956" s="109"/>
      <c r="AB956" s="109"/>
      <c r="AC956" s="109"/>
      <c r="AD956" s="109"/>
      <c r="AE956" s="109"/>
      <c r="AF956" s="109"/>
      <c r="AG956" s="109"/>
      <c r="AH956" s="109"/>
      <c r="AI956" s="109" t="s">
        <v>482</v>
      </c>
      <c r="AJ956" s="109"/>
      <c r="AK956" s="109"/>
      <c r="AL956" s="109"/>
      <c r="AM956" s="640">
        <f t="shared" si="17"/>
        <v>138.399</v>
      </c>
      <c r="AO956" s="289"/>
    </row>
    <row r="957" spans="1:42" s="61" customFormat="1" ht="22.5" customHeight="1" x14ac:dyDescent="0.3">
      <c r="A957" s="706"/>
      <c r="B957" s="117" t="s">
        <v>326</v>
      </c>
      <c r="C957" s="140">
        <v>26.832999999999998</v>
      </c>
      <c r="D957" s="110"/>
      <c r="E957" s="110"/>
      <c r="F957" s="264">
        <v>159</v>
      </c>
      <c r="G957" s="110"/>
      <c r="H957" s="110"/>
      <c r="I957" s="124"/>
      <c r="J957" s="110"/>
      <c r="K957" s="110"/>
      <c r="L957" s="264"/>
      <c r="M957" s="110"/>
      <c r="N957" s="124"/>
      <c r="O957" s="110"/>
      <c r="P957" s="110"/>
      <c r="Q957" s="110"/>
      <c r="R957" s="110"/>
      <c r="S957" s="110">
        <v>355</v>
      </c>
      <c r="T957" s="141"/>
      <c r="U957" s="140">
        <v>1012.19</v>
      </c>
      <c r="V957" s="110"/>
      <c r="W957" s="110"/>
      <c r="X957" s="110"/>
      <c r="Y957" s="110"/>
      <c r="Z957" s="110">
        <v>22</v>
      </c>
      <c r="AA957" s="110"/>
      <c r="AB957" s="110"/>
      <c r="AC957" s="110"/>
      <c r="AD957" s="110"/>
      <c r="AE957" s="110"/>
      <c r="AF957" s="110"/>
      <c r="AG957" s="110"/>
      <c r="AH957" s="110"/>
      <c r="AI957" s="110" t="s">
        <v>482</v>
      </c>
      <c r="AJ957" s="110"/>
      <c r="AK957" s="110"/>
      <c r="AL957" s="110"/>
      <c r="AM957" s="641">
        <f t="shared" si="17"/>
        <v>1575.0230000000001</v>
      </c>
      <c r="AO957" s="289"/>
      <c r="AP957" s="97"/>
    </row>
    <row r="958" spans="1:42" s="61" customFormat="1" ht="25.5" customHeight="1" x14ac:dyDescent="0.3">
      <c r="A958" s="706"/>
      <c r="B958" s="175" t="s">
        <v>327</v>
      </c>
      <c r="C958" s="176"/>
      <c r="D958" s="127"/>
      <c r="E958" s="127"/>
      <c r="F958" s="265"/>
      <c r="G958" s="127"/>
      <c r="H958" s="127"/>
      <c r="I958" s="178"/>
      <c r="J958" s="127"/>
      <c r="K958" s="127"/>
      <c r="L958" s="265"/>
      <c r="M958" s="127"/>
      <c r="N958" s="178"/>
      <c r="O958" s="127"/>
      <c r="P958" s="127"/>
      <c r="Q958" s="127"/>
      <c r="R958" s="127"/>
      <c r="S958" s="127">
        <v>799</v>
      </c>
      <c r="T958" s="177"/>
      <c r="U958" s="176">
        <v>573.03399999999999</v>
      </c>
      <c r="V958" s="127"/>
      <c r="W958" s="127"/>
      <c r="X958" s="127"/>
      <c r="Y958" s="127"/>
      <c r="Z958" s="127"/>
      <c r="AA958" s="127"/>
      <c r="AB958" s="127"/>
      <c r="AC958" s="127"/>
      <c r="AD958" s="127"/>
      <c r="AE958" s="127"/>
      <c r="AF958" s="127"/>
      <c r="AG958" s="127"/>
      <c r="AH958" s="127"/>
      <c r="AI958" s="127" t="s">
        <v>482</v>
      </c>
      <c r="AJ958" s="127"/>
      <c r="AK958" s="127"/>
      <c r="AL958" s="127"/>
      <c r="AM958" s="642">
        <f t="shared" si="17"/>
        <v>1372.0340000000001</v>
      </c>
      <c r="AO958" s="289"/>
    </row>
    <row r="959" spans="1:42" s="61" customFormat="1" ht="25.5" customHeight="1" x14ac:dyDescent="0.3">
      <c r="A959" s="706"/>
      <c r="B959" s="180" t="s">
        <v>361</v>
      </c>
      <c r="C959" s="300"/>
      <c r="D959" s="173"/>
      <c r="E959" s="173"/>
      <c r="F959" s="266">
        <v>77</v>
      </c>
      <c r="G959" s="173"/>
      <c r="H959" s="173"/>
      <c r="I959" s="174"/>
      <c r="J959" s="173"/>
      <c r="K959" s="173"/>
      <c r="L959" s="266"/>
      <c r="M959" s="173"/>
      <c r="N959" s="174"/>
      <c r="O959" s="173"/>
      <c r="P959" s="173"/>
      <c r="Q959" s="173"/>
      <c r="R959" s="173"/>
      <c r="S959" s="173">
        <v>131</v>
      </c>
      <c r="T959" s="327"/>
      <c r="U959" s="300"/>
      <c r="V959" s="173"/>
      <c r="W959" s="173"/>
      <c r="X959" s="173"/>
      <c r="Y959" s="173"/>
      <c r="Z959" s="173"/>
      <c r="AA959" s="173"/>
      <c r="AB959" s="173"/>
      <c r="AC959" s="173"/>
      <c r="AD959" s="173"/>
      <c r="AE959" s="173"/>
      <c r="AF959" s="173"/>
      <c r="AG959" s="173"/>
      <c r="AH959" s="173">
        <v>1207</v>
      </c>
      <c r="AI959" s="173" t="s">
        <v>482</v>
      </c>
      <c r="AJ959" s="173"/>
      <c r="AK959" s="173"/>
      <c r="AL959" s="173"/>
      <c r="AM959" s="643">
        <f t="shared" si="17"/>
        <v>1415</v>
      </c>
      <c r="AO959" s="289"/>
      <c r="AP959" s="97"/>
    </row>
    <row r="960" spans="1:42" s="61" customFormat="1" ht="25.5" customHeight="1" x14ac:dyDescent="0.3">
      <c r="A960" s="706"/>
      <c r="B960" s="180" t="s">
        <v>362</v>
      </c>
      <c r="C960" s="300">
        <v>520.06966999999997</v>
      </c>
      <c r="D960" s="173"/>
      <c r="E960" s="173"/>
      <c r="F960" s="266"/>
      <c r="G960" s="173"/>
      <c r="H960" s="173"/>
      <c r="I960" s="174"/>
      <c r="J960" s="173"/>
      <c r="K960" s="173"/>
      <c r="L960" s="266"/>
      <c r="M960" s="173"/>
      <c r="N960" s="174"/>
      <c r="O960" s="173"/>
      <c r="P960" s="173"/>
      <c r="Q960" s="173"/>
      <c r="R960" s="173"/>
      <c r="S960" s="173">
        <v>851</v>
      </c>
      <c r="T960" s="327"/>
      <c r="U960" s="300"/>
      <c r="V960" s="173"/>
      <c r="W960" s="173"/>
      <c r="X960" s="173"/>
      <c r="Y960" s="173">
        <v>8</v>
      </c>
      <c r="Z960" s="173"/>
      <c r="AA960" s="173"/>
      <c r="AB960" s="173"/>
      <c r="AC960" s="173"/>
      <c r="AD960" s="173"/>
      <c r="AE960" s="173"/>
      <c r="AF960" s="173"/>
      <c r="AG960" s="173"/>
      <c r="AH960" s="173">
        <v>800</v>
      </c>
      <c r="AI960" s="173" t="s">
        <v>482</v>
      </c>
      <c r="AJ960" s="173"/>
      <c r="AK960" s="173"/>
      <c r="AL960" s="173"/>
      <c r="AM960" s="644">
        <f t="shared" si="17"/>
        <v>2179.0696699999999</v>
      </c>
      <c r="AO960" s="289"/>
      <c r="AP960" s="97"/>
    </row>
    <row r="961" spans="1:42" s="61" customFormat="1" ht="22.5" customHeight="1" x14ac:dyDescent="0.3">
      <c r="A961" s="706"/>
      <c r="B961" s="115" t="s">
        <v>402</v>
      </c>
      <c r="C961" s="142"/>
      <c r="D961" s="111"/>
      <c r="E961" s="111"/>
      <c r="F961" s="267"/>
      <c r="G961" s="111"/>
      <c r="H961" s="111"/>
      <c r="I961" s="125"/>
      <c r="J961" s="111"/>
      <c r="K961" s="111"/>
      <c r="L961" s="267"/>
      <c r="M961" s="111"/>
      <c r="N961" s="125"/>
      <c r="O961" s="111"/>
      <c r="P961" s="111"/>
      <c r="Q961" s="111"/>
      <c r="R961" s="111"/>
      <c r="S961" s="111">
        <v>941.95729299999994</v>
      </c>
      <c r="T961" s="143"/>
      <c r="U961" s="142"/>
      <c r="V961" s="111"/>
      <c r="W961" s="111"/>
      <c r="X961" s="111"/>
      <c r="Y961" s="111"/>
      <c r="Z961" s="111"/>
      <c r="AA961" s="111"/>
      <c r="AB961" s="111"/>
      <c r="AC961" s="111"/>
      <c r="AD961" s="111"/>
      <c r="AE961" s="111"/>
      <c r="AF961" s="111"/>
      <c r="AG961" s="111"/>
      <c r="AH961" s="111">
        <v>1237.4449999999999</v>
      </c>
      <c r="AI961" s="111" t="s">
        <v>482</v>
      </c>
      <c r="AJ961" s="111"/>
      <c r="AK961" s="111"/>
      <c r="AL961" s="111"/>
      <c r="AM961" s="645">
        <f t="shared" si="17"/>
        <v>2179.4022930000001</v>
      </c>
      <c r="AO961" s="289"/>
    </row>
    <row r="962" spans="1:42" s="61" customFormat="1" ht="21" customHeight="1" x14ac:dyDescent="0.3">
      <c r="A962" s="707"/>
      <c r="B962" s="181" t="s">
        <v>403</v>
      </c>
      <c r="C962" s="144"/>
      <c r="D962" s="112"/>
      <c r="E962" s="112"/>
      <c r="F962" s="268"/>
      <c r="G962" s="112"/>
      <c r="H962" s="112"/>
      <c r="I962" s="126"/>
      <c r="J962" s="112"/>
      <c r="K962" s="112"/>
      <c r="L962" s="268"/>
      <c r="M962" s="112"/>
      <c r="N962" s="126"/>
      <c r="O962" s="112"/>
      <c r="P962" s="112"/>
      <c r="Q962" s="112"/>
      <c r="R962" s="112"/>
      <c r="S962" s="112">
        <v>2.8684999999999999E-2</v>
      </c>
      <c r="T962" s="145"/>
      <c r="U962" s="144"/>
      <c r="V962" s="112"/>
      <c r="W962" s="112"/>
      <c r="X962" s="112"/>
      <c r="Y962" s="112"/>
      <c r="Z962" s="112"/>
      <c r="AA962" s="112"/>
      <c r="AB962" s="112"/>
      <c r="AC962" s="112"/>
      <c r="AD962" s="112"/>
      <c r="AE962" s="112"/>
      <c r="AF962" s="112"/>
      <c r="AG962" s="112"/>
      <c r="AH962" s="112" t="s">
        <v>482</v>
      </c>
      <c r="AI962" s="112" t="s">
        <v>482</v>
      </c>
      <c r="AJ962" s="112"/>
      <c r="AK962" s="112"/>
      <c r="AL962" s="112"/>
      <c r="AM962" s="646">
        <f t="shared" si="17"/>
        <v>2.8684999999999999E-2</v>
      </c>
      <c r="AO962" s="289"/>
    </row>
    <row r="963" spans="1:42" s="61" customFormat="1" ht="21" customHeight="1" x14ac:dyDescent="0.3">
      <c r="A963" s="705" t="s">
        <v>209</v>
      </c>
      <c r="B963" s="179" t="s">
        <v>293</v>
      </c>
      <c r="C963" s="135"/>
      <c r="D963" s="136"/>
      <c r="E963" s="136"/>
      <c r="F963" s="262"/>
      <c r="G963" s="136">
        <v>7</v>
      </c>
      <c r="H963" s="136"/>
      <c r="I963" s="326"/>
      <c r="J963" s="136"/>
      <c r="K963" s="136"/>
      <c r="L963" s="262"/>
      <c r="M963" s="136"/>
      <c r="N963" s="326"/>
      <c r="O963" s="136"/>
      <c r="P963" s="136">
        <v>51</v>
      </c>
      <c r="Q963" s="136"/>
      <c r="R963" s="136"/>
      <c r="S963" s="136">
        <v>33.433999999999997</v>
      </c>
      <c r="T963" s="137">
        <v>4.6159999999999997</v>
      </c>
      <c r="U963" s="632">
        <v>0.745</v>
      </c>
      <c r="V963" s="122"/>
      <c r="W963" s="122"/>
      <c r="X963" s="122"/>
      <c r="Y963" s="122"/>
      <c r="Z963" s="122"/>
      <c r="AA963" s="122"/>
      <c r="AB963" s="122">
        <v>1</v>
      </c>
      <c r="AC963" s="122"/>
      <c r="AD963" s="122"/>
      <c r="AE963" s="122"/>
      <c r="AF963" s="122"/>
      <c r="AG963" s="122"/>
      <c r="AH963" s="122"/>
      <c r="AI963" s="122" t="s">
        <v>482</v>
      </c>
      <c r="AJ963" s="122"/>
      <c r="AK963" s="122">
        <v>2</v>
      </c>
      <c r="AL963" s="122"/>
      <c r="AM963" s="639">
        <f t="shared" si="17"/>
        <v>99.795000000000002</v>
      </c>
      <c r="AO963" s="289"/>
    </row>
    <row r="964" spans="1:42" s="61" customFormat="1" ht="19.5" customHeight="1" x14ac:dyDescent="0.3">
      <c r="A964" s="706"/>
      <c r="B964" s="116" t="s">
        <v>294</v>
      </c>
      <c r="C964" s="138">
        <v>55</v>
      </c>
      <c r="D964" s="109"/>
      <c r="E964" s="109"/>
      <c r="F964" s="263"/>
      <c r="G964" s="109">
        <v>7</v>
      </c>
      <c r="H964" s="109">
        <v>9</v>
      </c>
      <c r="I964" s="123"/>
      <c r="J964" s="109"/>
      <c r="K964" s="109"/>
      <c r="L964" s="263"/>
      <c r="M964" s="109"/>
      <c r="N964" s="123"/>
      <c r="O964" s="109"/>
      <c r="P964" s="109"/>
      <c r="Q964" s="109"/>
      <c r="R964" s="109"/>
      <c r="S964" s="109">
        <v>30.468</v>
      </c>
      <c r="T964" s="139">
        <v>4.8</v>
      </c>
      <c r="U964" s="138"/>
      <c r="V964" s="109"/>
      <c r="W964" s="109"/>
      <c r="X964" s="109"/>
      <c r="Y964" s="109"/>
      <c r="Z964" s="109">
        <v>9.4577999999999989</v>
      </c>
      <c r="AA964" s="109"/>
      <c r="AB964" s="109"/>
      <c r="AC964" s="109"/>
      <c r="AD964" s="109"/>
      <c r="AE964" s="109"/>
      <c r="AF964" s="109"/>
      <c r="AG964" s="109"/>
      <c r="AH964" s="109"/>
      <c r="AI964" s="109" t="s">
        <v>482</v>
      </c>
      <c r="AJ964" s="109"/>
      <c r="AK964" s="109">
        <v>2.2400000000000002</v>
      </c>
      <c r="AL964" s="109"/>
      <c r="AM964" s="640">
        <f t="shared" si="17"/>
        <v>117.96579999999999</v>
      </c>
      <c r="AO964" s="289"/>
    </row>
    <row r="965" spans="1:42" s="61" customFormat="1" ht="22.5" customHeight="1" x14ac:dyDescent="0.3">
      <c r="A965" s="706"/>
      <c r="B965" s="117" t="s">
        <v>326</v>
      </c>
      <c r="C965" s="140">
        <v>5</v>
      </c>
      <c r="D965" s="110"/>
      <c r="E965" s="110"/>
      <c r="F965" s="264"/>
      <c r="G965" s="110">
        <v>7</v>
      </c>
      <c r="H965" s="110"/>
      <c r="I965" s="124"/>
      <c r="J965" s="110"/>
      <c r="K965" s="110"/>
      <c r="L965" s="264"/>
      <c r="M965" s="110"/>
      <c r="N965" s="124"/>
      <c r="O965" s="110">
        <v>26</v>
      </c>
      <c r="P965" s="110"/>
      <c r="Q965" s="110"/>
      <c r="R965" s="110"/>
      <c r="S965" s="110">
        <v>100</v>
      </c>
      <c r="T965" s="141"/>
      <c r="U965" s="140">
        <v>1.3169999999999999</v>
      </c>
      <c r="V965" s="110"/>
      <c r="W965" s="110"/>
      <c r="X965" s="110"/>
      <c r="Y965" s="110"/>
      <c r="Z965" s="110">
        <v>10</v>
      </c>
      <c r="AA965" s="110"/>
      <c r="AB965" s="110">
        <v>1</v>
      </c>
      <c r="AC965" s="110"/>
      <c r="AD965" s="110"/>
      <c r="AE965" s="110"/>
      <c r="AF965" s="110"/>
      <c r="AG965" s="110"/>
      <c r="AH965" s="110"/>
      <c r="AI965" s="110" t="s">
        <v>482</v>
      </c>
      <c r="AJ965" s="110"/>
      <c r="AK965" s="110">
        <v>4</v>
      </c>
      <c r="AL965" s="110"/>
      <c r="AM965" s="641">
        <f t="shared" si="17"/>
        <v>154.31700000000001</v>
      </c>
      <c r="AO965" s="289"/>
      <c r="AP965" s="97"/>
    </row>
    <row r="966" spans="1:42" s="61" customFormat="1" ht="25.5" customHeight="1" x14ac:dyDescent="0.3">
      <c r="A966" s="706"/>
      <c r="B966" s="175" t="s">
        <v>327</v>
      </c>
      <c r="C966" s="176"/>
      <c r="D966" s="127"/>
      <c r="E966" s="127"/>
      <c r="F966" s="265"/>
      <c r="G966" s="127">
        <v>9</v>
      </c>
      <c r="H966" s="127">
        <v>4</v>
      </c>
      <c r="I966" s="178"/>
      <c r="J966" s="127"/>
      <c r="K966" s="127"/>
      <c r="L966" s="265"/>
      <c r="M966" s="127"/>
      <c r="N966" s="178"/>
      <c r="O966" s="127"/>
      <c r="P966" s="127"/>
      <c r="Q966" s="127"/>
      <c r="R966" s="127"/>
      <c r="S966" s="127">
        <v>51</v>
      </c>
      <c r="T966" s="177"/>
      <c r="U966" s="176">
        <v>0.32500000000000001</v>
      </c>
      <c r="V966" s="127"/>
      <c r="W966" s="127"/>
      <c r="X966" s="127"/>
      <c r="Y966" s="127">
        <v>5</v>
      </c>
      <c r="Z966" s="127">
        <v>50</v>
      </c>
      <c r="AA966" s="127"/>
      <c r="AB966" s="127">
        <v>1</v>
      </c>
      <c r="AC966" s="127"/>
      <c r="AD966" s="127"/>
      <c r="AE966" s="127"/>
      <c r="AF966" s="127"/>
      <c r="AG966" s="127"/>
      <c r="AH966" s="127"/>
      <c r="AI966" s="127" t="s">
        <v>482</v>
      </c>
      <c r="AJ966" s="127"/>
      <c r="AK966" s="127">
        <v>2</v>
      </c>
      <c r="AL966" s="127"/>
      <c r="AM966" s="642">
        <f t="shared" si="17"/>
        <v>122.325</v>
      </c>
      <c r="AO966" s="289"/>
    </row>
    <row r="967" spans="1:42" s="61" customFormat="1" ht="25.5" customHeight="1" x14ac:dyDescent="0.3">
      <c r="A967" s="706"/>
      <c r="B967" s="180" t="s">
        <v>361</v>
      </c>
      <c r="C967" s="300"/>
      <c r="D967" s="173"/>
      <c r="E967" s="173"/>
      <c r="F967" s="266"/>
      <c r="G967" s="173">
        <v>9</v>
      </c>
      <c r="H967" s="173"/>
      <c r="I967" s="174"/>
      <c r="J967" s="173"/>
      <c r="K967" s="173"/>
      <c r="L967" s="266"/>
      <c r="M967" s="173"/>
      <c r="N967" s="174"/>
      <c r="O967" s="173">
        <v>200</v>
      </c>
      <c r="P967" s="173"/>
      <c r="Q967" s="173"/>
      <c r="R967" s="173"/>
      <c r="S967" s="173">
        <v>397</v>
      </c>
      <c r="T967" s="327">
        <v>17.7</v>
      </c>
      <c r="U967" s="300">
        <v>2.5720000000000001</v>
      </c>
      <c r="V967" s="173"/>
      <c r="W967" s="173"/>
      <c r="X967" s="173"/>
      <c r="Y967" s="173"/>
      <c r="Z967" s="173">
        <v>9.6214699999999986</v>
      </c>
      <c r="AA967" s="173">
        <f>0.59422-27</f>
        <v>-26.40578</v>
      </c>
      <c r="AB967" s="173">
        <v>1</v>
      </c>
      <c r="AC967" s="173"/>
      <c r="AD967" s="173"/>
      <c r="AE967" s="173"/>
      <c r="AF967" s="173"/>
      <c r="AG967" s="173"/>
      <c r="AH967" s="173"/>
      <c r="AI967" s="173">
        <v>1</v>
      </c>
      <c r="AJ967" s="173"/>
      <c r="AK967" s="173">
        <v>6</v>
      </c>
      <c r="AL967" s="173"/>
      <c r="AM967" s="643">
        <f t="shared" si="17"/>
        <v>617.48769000000004</v>
      </c>
      <c r="AO967" s="289"/>
      <c r="AP967" s="97"/>
    </row>
    <row r="968" spans="1:42" s="61" customFormat="1" ht="25.5" customHeight="1" x14ac:dyDescent="0.3">
      <c r="A968" s="706"/>
      <c r="B968" s="180" t="s">
        <v>362</v>
      </c>
      <c r="C968" s="300"/>
      <c r="D968" s="173"/>
      <c r="E968" s="173"/>
      <c r="F968" s="266"/>
      <c r="G968" s="173">
        <v>9</v>
      </c>
      <c r="H968" s="173">
        <v>3</v>
      </c>
      <c r="I968" s="174"/>
      <c r="J968" s="173"/>
      <c r="K968" s="173"/>
      <c r="L968" s="266"/>
      <c r="M968" s="173"/>
      <c r="N968" s="174"/>
      <c r="O968" s="173"/>
      <c r="P968" s="173"/>
      <c r="Q968" s="173"/>
      <c r="R968" s="173"/>
      <c r="S968" s="173">
        <v>36</v>
      </c>
      <c r="T968" s="327">
        <v>17.7</v>
      </c>
      <c r="U968" s="300">
        <v>15.545999999999999</v>
      </c>
      <c r="V968" s="173"/>
      <c r="W968" s="173"/>
      <c r="X968" s="173"/>
      <c r="Y968" s="173"/>
      <c r="Z968" s="173">
        <v>1.464E-2</v>
      </c>
      <c r="AA968" s="173"/>
      <c r="AB968" s="173"/>
      <c r="AC968" s="173"/>
      <c r="AD968" s="173"/>
      <c r="AE968" s="173"/>
      <c r="AF968" s="173"/>
      <c r="AG968" s="173"/>
      <c r="AH968" s="173"/>
      <c r="AI968" s="173" t="s">
        <v>482</v>
      </c>
      <c r="AJ968" s="173"/>
      <c r="AK968" s="173">
        <v>7</v>
      </c>
      <c r="AL968" s="173"/>
      <c r="AM968" s="644">
        <f t="shared" si="17"/>
        <v>88.260640000000009</v>
      </c>
      <c r="AO968" s="289"/>
      <c r="AP968" s="97"/>
    </row>
    <row r="969" spans="1:42" s="61" customFormat="1" ht="22.5" customHeight="1" x14ac:dyDescent="0.3">
      <c r="A969" s="706"/>
      <c r="B969" s="115" t="s">
        <v>402</v>
      </c>
      <c r="C969" s="142">
        <v>1.8409</v>
      </c>
      <c r="D969" s="111"/>
      <c r="E969" s="111"/>
      <c r="F969" s="267"/>
      <c r="G969" s="111">
        <v>152</v>
      </c>
      <c r="H969" s="111">
        <v>5</v>
      </c>
      <c r="I969" s="125"/>
      <c r="J969" s="111"/>
      <c r="K969" s="111"/>
      <c r="L969" s="267"/>
      <c r="M969" s="111"/>
      <c r="N969" s="125"/>
      <c r="O969" s="111">
        <v>201</v>
      </c>
      <c r="P969" s="111"/>
      <c r="Q969" s="111"/>
      <c r="R969" s="111"/>
      <c r="S969" s="111">
        <v>195.17738699999998</v>
      </c>
      <c r="T969" s="143">
        <v>0</v>
      </c>
      <c r="U969" s="142">
        <v>5.694</v>
      </c>
      <c r="V969" s="111"/>
      <c r="W969" s="111"/>
      <c r="X969" s="111"/>
      <c r="Y969" s="111"/>
      <c r="Z969" s="111"/>
      <c r="AA969" s="111"/>
      <c r="AB969" s="111"/>
      <c r="AC969" s="111"/>
      <c r="AD969" s="111"/>
      <c r="AE969" s="111"/>
      <c r="AF969" s="111"/>
      <c r="AG969" s="111"/>
      <c r="AH969" s="111" t="s">
        <v>482</v>
      </c>
      <c r="AI969" s="111" t="s">
        <v>482</v>
      </c>
      <c r="AJ969" s="111"/>
      <c r="AK969" s="111">
        <f>6.384/1.097</f>
        <v>5.8195077484047406</v>
      </c>
      <c r="AL969" s="111"/>
      <c r="AM969" s="645">
        <f t="shared" si="17"/>
        <v>566.53179474840465</v>
      </c>
      <c r="AO969" s="289"/>
    </row>
    <row r="970" spans="1:42" s="61" customFormat="1" ht="21" customHeight="1" x14ac:dyDescent="0.3">
      <c r="A970" s="707"/>
      <c r="B970" s="181" t="s">
        <v>403</v>
      </c>
      <c r="C970" s="144"/>
      <c r="D970" s="112"/>
      <c r="E970" s="112"/>
      <c r="F970" s="268"/>
      <c r="G970" s="112"/>
      <c r="H970" s="112">
        <v>25.2</v>
      </c>
      <c r="I970" s="126"/>
      <c r="J970" s="112"/>
      <c r="K970" s="112"/>
      <c r="L970" s="268"/>
      <c r="M970" s="112"/>
      <c r="N970" s="126"/>
      <c r="O970" s="112"/>
      <c r="P970" s="112"/>
      <c r="Q970" s="112"/>
      <c r="R970" s="112"/>
      <c r="S970" s="112">
        <v>639.87096699999995</v>
      </c>
      <c r="T970" s="145">
        <v>17.73</v>
      </c>
      <c r="U970" s="144">
        <v>0.34699999999999998</v>
      </c>
      <c r="V970" s="112"/>
      <c r="W970" s="112"/>
      <c r="X970" s="112"/>
      <c r="Y970" s="112"/>
      <c r="Z970" s="112"/>
      <c r="AA970" s="112"/>
      <c r="AB970" s="112"/>
      <c r="AC970" s="112"/>
      <c r="AD970" s="112"/>
      <c r="AE970" s="112"/>
      <c r="AF970" s="112"/>
      <c r="AG970" s="112"/>
      <c r="AH970" s="112" t="s">
        <v>482</v>
      </c>
      <c r="AI970" s="112" t="s">
        <v>482</v>
      </c>
      <c r="AJ970" s="112"/>
      <c r="AK970" s="112">
        <f>4.7475/1.001</f>
        <v>4.7427572427572429</v>
      </c>
      <c r="AL970" s="112"/>
      <c r="AM970" s="646">
        <f t="shared" si="17"/>
        <v>687.89072424275719</v>
      </c>
      <c r="AO970" s="289"/>
    </row>
    <row r="971" spans="1:42" s="61" customFormat="1" ht="21" customHeight="1" x14ac:dyDescent="0.3">
      <c r="A971" s="705" t="s">
        <v>210</v>
      </c>
      <c r="B971" s="179" t="s">
        <v>293</v>
      </c>
      <c r="C971" s="135">
        <v>265</v>
      </c>
      <c r="D971" s="136"/>
      <c r="E971" s="136"/>
      <c r="F971" s="262">
        <v>3371.5459999999998</v>
      </c>
      <c r="G971" s="136"/>
      <c r="H971" s="136">
        <v>19</v>
      </c>
      <c r="I971" s="326"/>
      <c r="J971" s="136"/>
      <c r="K971" s="136"/>
      <c r="L971" s="262"/>
      <c r="M971" s="136"/>
      <c r="N971" s="326">
        <v>33.457999999999998</v>
      </c>
      <c r="O971" s="136"/>
      <c r="P971" s="136"/>
      <c r="Q971" s="136"/>
      <c r="R971" s="136"/>
      <c r="S971" s="136">
        <v>1000</v>
      </c>
      <c r="T971" s="137">
        <v>100</v>
      </c>
      <c r="U971" s="632">
        <v>210.21299999999999</v>
      </c>
      <c r="V971" s="122"/>
      <c r="W971" s="122"/>
      <c r="X971" s="122"/>
      <c r="Y971" s="122">
        <v>100</v>
      </c>
      <c r="Z971" s="122">
        <v>1549</v>
      </c>
      <c r="AA971" s="122">
        <v>111.73183999999999</v>
      </c>
      <c r="AB971" s="122">
        <v>5</v>
      </c>
      <c r="AC971" s="122">
        <v>100</v>
      </c>
      <c r="AD971" s="122">
        <v>3</v>
      </c>
      <c r="AE971" s="122"/>
      <c r="AF971" s="122"/>
      <c r="AG971" s="122">
        <v>0.39</v>
      </c>
      <c r="AH971" s="122"/>
      <c r="AI971" s="122">
        <v>13</v>
      </c>
      <c r="AJ971" s="122"/>
      <c r="AK971" s="122">
        <v>2057.2399999999998</v>
      </c>
      <c r="AL971" s="122"/>
      <c r="AM971" s="639">
        <f t="shared" si="17"/>
        <v>8938.5788400000001</v>
      </c>
      <c r="AO971" s="289"/>
    </row>
    <row r="972" spans="1:42" s="61" customFormat="1" ht="19.5" customHeight="1" x14ac:dyDescent="0.3">
      <c r="A972" s="706"/>
      <c r="B972" s="116" t="s">
        <v>294</v>
      </c>
      <c r="C972" s="138">
        <v>102</v>
      </c>
      <c r="D972" s="109"/>
      <c r="E972" s="109"/>
      <c r="F972" s="263">
        <v>4122.8059999999996</v>
      </c>
      <c r="G972" s="109">
        <v>758</v>
      </c>
      <c r="H972" s="109">
        <v>101</v>
      </c>
      <c r="I972" s="123"/>
      <c r="J972" s="109"/>
      <c r="K972" s="109"/>
      <c r="L972" s="263"/>
      <c r="M972" s="109"/>
      <c r="N972" s="123">
        <v>26.477</v>
      </c>
      <c r="O972" s="109"/>
      <c r="P972" s="109"/>
      <c r="Q972" s="109">
        <v>10</v>
      </c>
      <c r="R972" s="109"/>
      <c r="S972" s="109"/>
      <c r="T972" s="139">
        <v>100</v>
      </c>
      <c r="U972" s="138">
        <v>671.13900000000001</v>
      </c>
      <c r="V972" s="109"/>
      <c r="W972" s="109"/>
      <c r="X972" s="109"/>
      <c r="Y972" s="109">
        <v>100</v>
      </c>
      <c r="Z972" s="109">
        <v>1117</v>
      </c>
      <c r="AA972" s="109"/>
      <c r="AB972" s="109"/>
      <c r="AC972" s="109">
        <v>169.02100000000002</v>
      </c>
      <c r="AD972" s="109"/>
      <c r="AE972" s="109"/>
      <c r="AF972" s="109"/>
      <c r="AG972" s="109"/>
      <c r="AH972" s="109"/>
      <c r="AI972" s="109">
        <v>14</v>
      </c>
      <c r="AJ972" s="109"/>
      <c r="AK972" s="109">
        <v>1606.81</v>
      </c>
      <c r="AL972" s="109"/>
      <c r="AM972" s="640">
        <f t="shared" si="17"/>
        <v>8898.2529999999988</v>
      </c>
      <c r="AO972" s="289"/>
    </row>
    <row r="973" spans="1:42" s="61" customFormat="1" ht="22.5" customHeight="1" x14ac:dyDescent="0.3">
      <c r="A973" s="706"/>
      <c r="B973" s="117" t="s">
        <v>326</v>
      </c>
      <c r="C973" s="140">
        <v>614.54300000000001</v>
      </c>
      <c r="D973" s="110"/>
      <c r="E973" s="110"/>
      <c r="F973" s="264">
        <v>5447</v>
      </c>
      <c r="G973" s="110">
        <v>777</v>
      </c>
      <c r="H973" s="110">
        <v>180</v>
      </c>
      <c r="I973" s="124"/>
      <c r="J973" s="110"/>
      <c r="K973" s="110"/>
      <c r="L973" s="264"/>
      <c r="M973" s="110"/>
      <c r="N973" s="124">
        <v>81.037999999999997</v>
      </c>
      <c r="O973" s="110"/>
      <c r="P973" s="110">
        <v>86</v>
      </c>
      <c r="Q973" s="110"/>
      <c r="R973" s="110"/>
      <c r="S973" s="110">
        <v>6515</v>
      </c>
      <c r="T973" s="141"/>
      <c r="U973" s="140">
        <v>385.24900000000002</v>
      </c>
      <c r="V973" s="110"/>
      <c r="W973" s="110">
        <v>296</v>
      </c>
      <c r="X973" s="110">
        <v>44</v>
      </c>
      <c r="Y973" s="110">
        <v>100</v>
      </c>
      <c r="Z973" s="110">
        <v>2338</v>
      </c>
      <c r="AA973" s="110">
        <f>76.92478</f>
        <v>76.924779999999998</v>
      </c>
      <c r="AB973" s="110">
        <v>10</v>
      </c>
      <c r="AC973" s="110">
        <v>100</v>
      </c>
      <c r="AD973" s="110">
        <v>10</v>
      </c>
      <c r="AE973" s="110"/>
      <c r="AF973" s="110"/>
      <c r="AG973" s="110"/>
      <c r="AH973" s="110"/>
      <c r="AI973" s="110">
        <v>13</v>
      </c>
      <c r="AJ973" s="110"/>
      <c r="AK973" s="110">
        <f>3138+1</f>
        <v>3139</v>
      </c>
      <c r="AL973" s="110"/>
      <c r="AM973" s="641">
        <f t="shared" ref="AM973:AM1036" si="18">SUM(C973:AL973)</f>
        <v>20212.754779999999</v>
      </c>
      <c r="AO973" s="289"/>
      <c r="AP973" s="97"/>
    </row>
    <row r="974" spans="1:42" s="61" customFormat="1" ht="25.5" customHeight="1" x14ac:dyDescent="0.3">
      <c r="A974" s="706"/>
      <c r="B974" s="175" t="s">
        <v>327</v>
      </c>
      <c r="C974" s="176">
        <v>4254.13</v>
      </c>
      <c r="D974" s="127"/>
      <c r="E974" s="127"/>
      <c r="F974" s="265">
        <v>1935</v>
      </c>
      <c r="G974" s="127">
        <v>832</v>
      </c>
      <c r="H974" s="127">
        <v>167</v>
      </c>
      <c r="I974" s="178"/>
      <c r="J974" s="127"/>
      <c r="K974" s="127"/>
      <c r="L974" s="265"/>
      <c r="M974" s="127"/>
      <c r="N974" s="178">
        <v>597.87199999999996</v>
      </c>
      <c r="O974" s="127"/>
      <c r="P974" s="127"/>
      <c r="Q974" s="127">
        <v>25</v>
      </c>
      <c r="R974" s="127"/>
      <c r="S974" s="127">
        <v>9583</v>
      </c>
      <c r="T974" s="177"/>
      <c r="U974" s="176">
        <v>640.61199999999997</v>
      </c>
      <c r="V974" s="127"/>
      <c r="W974" s="127">
        <f>254+377-296</f>
        <v>335</v>
      </c>
      <c r="X974" s="127"/>
      <c r="Y974" s="127">
        <v>102</v>
      </c>
      <c r="Z974" s="127">
        <v>6312</v>
      </c>
      <c r="AA974" s="127">
        <v>323.60064999999997</v>
      </c>
      <c r="AB974" s="127">
        <v>20</v>
      </c>
      <c r="AC974" s="127">
        <v>375.04700000000003</v>
      </c>
      <c r="AD974" s="127">
        <v>8</v>
      </c>
      <c r="AE974" s="127"/>
      <c r="AF974" s="127"/>
      <c r="AG974" s="127"/>
      <c r="AH974" s="127"/>
      <c r="AI974" s="127">
        <v>10</v>
      </c>
      <c r="AJ974" s="127"/>
      <c r="AK974" s="127">
        <v>237</v>
      </c>
      <c r="AL974" s="127"/>
      <c r="AM974" s="642">
        <f t="shared" si="18"/>
        <v>25757.26165</v>
      </c>
      <c r="AO974" s="289"/>
    </row>
    <row r="975" spans="1:42" s="61" customFormat="1" ht="25.5" customHeight="1" x14ac:dyDescent="0.3">
      <c r="A975" s="706"/>
      <c r="B975" s="180" t="s">
        <v>361</v>
      </c>
      <c r="C975" s="300">
        <v>661.17394999999999</v>
      </c>
      <c r="D975" s="173"/>
      <c r="E975" s="173"/>
      <c r="F975" s="266">
        <v>5259</v>
      </c>
      <c r="G975" s="173"/>
      <c r="H975" s="173">
        <v>121</v>
      </c>
      <c r="I975" s="174"/>
      <c r="J975" s="173"/>
      <c r="K975" s="173"/>
      <c r="L975" s="266"/>
      <c r="M975" s="173"/>
      <c r="N975" s="174">
        <v>782.38699999999994</v>
      </c>
      <c r="O975" s="173"/>
      <c r="P975" s="173"/>
      <c r="Q975" s="173">
        <v>822</v>
      </c>
      <c r="R975" s="173"/>
      <c r="S975" s="173">
        <v>8939</v>
      </c>
      <c r="T975" s="327">
        <v>56.8</v>
      </c>
      <c r="U975" s="300">
        <v>285.38600000000002</v>
      </c>
      <c r="V975" s="173"/>
      <c r="W975" s="173">
        <v>1070</v>
      </c>
      <c r="X975" s="173">
        <v>370</v>
      </c>
      <c r="Y975" s="173">
        <v>102</v>
      </c>
      <c r="Z975" s="173">
        <v>4602.5308800000003</v>
      </c>
      <c r="AA975" s="173">
        <v>960</v>
      </c>
      <c r="AB975" s="173">
        <v>10</v>
      </c>
      <c r="AC975" s="173">
        <f>300+891</f>
        <v>1191</v>
      </c>
      <c r="AD975" s="173">
        <v>5</v>
      </c>
      <c r="AE975" s="173"/>
      <c r="AF975" s="173"/>
      <c r="AG975" s="173"/>
      <c r="AH975" s="173"/>
      <c r="AI975" s="173">
        <v>80</v>
      </c>
      <c r="AJ975" s="173"/>
      <c r="AK975" s="173">
        <v>1022</v>
      </c>
      <c r="AL975" s="173"/>
      <c r="AM975" s="643">
        <f t="shared" si="18"/>
        <v>26339.277829999999</v>
      </c>
      <c r="AO975" s="289"/>
      <c r="AP975" s="97"/>
    </row>
    <row r="976" spans="1:42" s="61" customFormat="1" ht="25.5" customHeight="1" x14ac:dyDescent="0.3">
      <c r="A976" s="706"/>
      <c r="B976" s="180" t="s">
        <v>362</v>
      </c>
      <c r="C976" s="300">
        <v>674.17</v>
      </c>
      <c r="D976" s="173"/>
      <c r="E976" s="173"/>
      <c r="F976" s="266">
        <v>1771</v>
      </c>
      <c r="G976" s="173">
        <v>1109</v>
      </c>
      <c r="H976" s="173">
        <v>355</v>
      </c>
      <c r="I976" s="174"/>
      <c r="J976" s="173"/>
      <c r="K976" s="173"/>
      <c r="L976" s="266"/>
      <c r="M976" s="173"/>
      <c r="N976" s="174">
        <v>943.48199999999997</v>
      </c>
      <c r="O976" s="173"/>
      <c r="P976" s="173"/>
      <c r="Q976" s="173">
        <v>1506</v>
      </c>
      <c r="R976" s="173"/>
      <c r="S976" s="173">
        <v>6073</v>
      </c>
      <c r="T976" s="327"/>
      <c r="U976" s="300">
        <v>701.15800000000002</v>
      </c>
      <c r="V976" s="173"/>
      <c r="W976" s="173">
        <v>502</v>
      </c>
      <c r="X976" s="173">
        <v>226</v>
      </c>
      <c r="Y976" s="173">
        <v>103</v>
      </c>
      <c r="Z976" s="173">
        <v>5785.7888700000003</v>
      </c>
      <c r="AA976" s="173">
        <v>459</v>
      </c>
      <c r="AB976" s="173"/>
      <c r="AC976" s="173">
        <f>600-300+891-891</f>
        <v>300</v>
      </c>
      <c r="AD976" s="173"/>
      <c r="AE976" s="173"/>
      <c r="AF976" s="173"/>
      <c r="AG976" s="173"/>
      <c r="AH976" s="173"/>
      <c r="AI976" s="173">
        <v>234</v>
      </c>
      <c r="AJ976" s="173"/>
      <c r="AK976" s="173">
        <v>1243</v>
      </c>
      <c r="AL976" s="173"/>
      <c r="AM976" s="644">
        <f t="shared" si="18"/>
        <v>21985.598870000002</v>
      </c>
      <c r="AO976" s="289"/>
      <c r="AP976" s="97"/>
    </row>
    <row r="977" spans="1:42" s="61" customFormat="1" ht="22.5" customHeight="1" x14ac:dyDescent="0.3">
      <c r="A977" s="706"/>
      <c r="B977" s="115" t="s">
        <v>402</v>
      </c>
      <c r="C977" s="142">
        <v>1106.0349100000001</v>
      </c>
      <c r="D977" s="111"/>
      <c r="E977" s="111"/>
      <c r="F977" s="267">
        <v>4565</v>
      </c>
      <c r="G977" s="111"/>
      <c r="H977" s="111">
        <v>97</v>
      </c>
      <c r="I977" s="125"/>
      <c r="J977" s="111"/>
      <c r="K977" s="111"/>
      <c r="L977" s="267"/>
      <c r="M977" s="111"/>
      <c r="N977" s="125"/>
      <c r="O977" s="111">
        <v>20</v>
      </c>
      <c r="P977" s="111"/>
      <c r="Q977" s="111">
        <v>1283</v>
      </c>
      <c r="R977" s="111"/>
      <c r="S977" s="111">
        <v>11220.524126000002</v>
      </c>
      <c r="T977" s="143">
        <v>20</v>
      </c>
      <c r="U977" s="142">
        <v>1243.578</v>
      </c>
      <c r="V977" s="111"/>
      <c r="W977" s="111">
        <v>1477</v>
      </c>
      <c r="X977" s="111">
        <v>449</v>
      </c>
      <c r="Y977" s="111">
        <v>101.905</v>
      </c>
      <c r="Z977" s="111">
        <v>4927</v>
      </c>
      <c r="AA977" s="111">
        <v>709</v>
      </c>
      <c r="AB977" s="111">
        <v>102</v>
      </c>
      <c r="AC977" s="111">
        <v>300</v>
      </c>
      <c r="AD977" s="111">
        <v>5</v>
      </c>
      <c r="AE977" s="111"/>
      <c r="AF977" s="111"/>
      <c r="AG977" s="111"/>
      <c r="AH977" s="111">
        <v>50</v>
      </c>
      <c r="AI977" s="111">
        <v>6</v>
      </c>
      <c r="AJ977" s="111"/>
      <c r="AK977" s="111">
        <f>719.91/1.097</f>
        <v>656.25341841385591</v>
      </c>
      <c r="AL977" s="111"/>
      <c r="AM977" s="645">
        <f t="shared" si="18"/>
        <v>28338.295454413859</v>
      </c>
      <c r="AO977" s="289"/>
    </row>
    <row r="978" spans="1:42" s="61" customFormat="1" ht="21" customHeight="1" x14ac:dyDescent="0.3">
      <c r="A978" s="707"/>
      <c r="B978" s="181" t="s">
        <v>403</v>
      </c>
      <c r="C978" s="144">
        <v>1233.6468</v>
      </c>
      <c r="D978" s="112"/>
      <c r="E978" s="112"/>
      <c r="F978" s="268">
        <v>6114.3</v>
      </c>
      <c r="G978" s="112"/>
      <c r="H978" s="112">
        <v>227</v>
      </c>
      <c r="I978" s="126"/>
      <c r="J978" s="112"/>
      <c r="K978" s="112"/>
      <c r="L978" s="268"/>
      <c r="M978" s="112"/>
      <c r="N978" s="126"/>
      <c r="O978" s="112">
        <v>40</v>
      </c>
      <c r="P978" s="112"/>
      <c r="Q978" s="112">
        <v>1271</v>
      </c>
      <c r="R978" s="112"/>
      <c r="S978" s="112">
        <v>15018.948766999998</v>
      </c>
      <c r="T978" s="145">
        <v>42.07</v>
      </c>
      <c r="U978" s="144">
        <v>380.47500000000002</v>
      </c>
      <c r="V978" s="112"/>
      <c r="W978" s="112">
        <f>6760-1477</f>
        <v>5283</v>
      </c>
      <c r="X978" s="112">
        <v>499</v>
      </c>
      <c r="Y978" s="112">
        <v>100</v>
      </c>
      <c r="Z978" s="112">
        <v>2565</v>
      </c>
      <c r="AA978" s="112"/>
      <c r="AB978" s="112">
        <v>60</v>
      </c>
      <c r="AC978" s="112">
        <v>300</v>
      </c>
      <c r="AD978" s="112">
        <v>5</v>
      </c>
      <c r="AE978" s="112"/>
      <c r="AF978" s="112"/>
      <c r="AG978" s="112"/>
      <c r="AH978" s="112">
        <v>50</v>
      </c>
      <c r="AI978" s="112">
        <v>7</v>
      </c>
      <c r="AJ978" s="112"/>
      <c r="AK978" s="112">
        <f>912.153/1.001</f>
        <v>911.24175824175836</v>
      </c>
      <c r="AL978" s="112"/>
      <c r="AM978" s="646">
        <f t="shared" si="18"/>
        <v>34107.682325241753</v>
      </c>
      <c r="AO978" s="289"/>
    </row>
    <row r="979" spans="1:42" s="61" customFormat="1" ht="21" customHeight="1" x14ac:dyDescent="0.3">
      <c r="A979" s="705" t="s">
        <v>309</v>
      </c>
      <c r="B979" s="179" t="s">
        <v>293</v>
      </c>
      <c r="C979" s="135">
        <v>10</v>
      </c>
      <c r="D979" s="136"/>
      <c r="E979" s="136"/>
      <c r="F979" s="262"/>
      <c r="G979" s="136"/>
      <c r="H979" s="136"/>
      <c r="I979" s="326"/>
      <c r="J979" s="136"/>
      <c r="K979" s="136"/>
      <c r="L979" s="262"/>
      <c r="M979" s="136"/>
      <c r="N979" s="326"/>
      <c r="O979" s="136"/>
      <c r="P979" s="136"/>
      <c r="Q979" s="136"/>
      <c r="R979" s="136"/>
      <c r="S979" s="136"/>
      <c r="T979" s="137"/>
      <c r="U979" s="632"/>
      <c r="V979" s="122"/>
      <c r="W979" s="122"/>
      <c r="X979" s="122"/>
      <c r="Y979" s="122"/>
      <c r="Z979" s="122"/>
      <c r="AA979" s="122"/>
      <c r="AB979" s="122"/>
      <c r="AC979" s="122"/>
      <c r="AD979" s="122"/>
      <c r="AE979" s="122"/>
      <c r="AF979" s="122"/>
      <c r="AG979" s="122"/>
      <c r="AH979" s="122"/>
      <c r="AI979" s="122" t="s">
        <v>482</v>
      </c>
      <c r="AJ979" s="122"/>
      <c r="AK979" s="122"/>
      <c r="AL979" s="122"/>
      <c r="AM979" s="639">
        <f t="shared" si="18"/>
        <v>10</v>
      </c>
      <c r="AO979" s="289"/>
    </row>
    <row r="980" spans="1:42" s="61" customFormat="1" ht="19.5" customHeight="1" x14ac:dyDescent="0.3">
      <c r="A980" s="706" t="s">
        <v>339</v>
      </c>
      <c r="B980" s="116" t="s">
        <v>294</v>
      </c>
      <c r="C980" s="138">
        <v>5</v>
      </c>
      <c r="D980" s="109"/>
      <c r="E980" s="109"/>
      <c r="F980" s="263"/>
      <c r="G980" s="109"/>
      <c r="H980" s="109"/>
      <c r="I980" s="123"/>
      <c r="J980" s="109"/>
      <c r="K980" s="109"/>
      <c r="L980" s="263"/>
      <c r="M980" s="109"/>
      <c r="N980" s="123"/>
      <c r="O980" s="109"/>
      <c r="P980" s="109"/>
      <c r="Q980" s="109"/>
      <c r="R980" s="109"/>
      <c r="S980" s="109"/>
      <c r="T980" s="139"/>
      <c r="U980" s="138"/>
      <c r="V980" s="109"/>
      <c r="W980" s="109"/>
      <c r="X980" s="109"/>
      <c r="Y980" s="109"/>
      <c r="Z980" s="109"/>
      <c r="AA980" s="109"/>
      <c r="AB980" s="109"/>
      <c r="AC980" s="109"/>
      <c r="AD980" s="109"/>
      <c r="AE980" s="109"/>
      <c r="AF980" s="109"/>
      <c r="AG980" s="109"/>
      <c r="AH980" s="109"/>
      <c r="AI980" s="109" t="s">
        <v>482</v>
      </c>
      <c r="AJ980" s="109"/>
      <c r="AK980" s="109"/>
      <c r="AL980" s="109"/>
      <c r="AM980" s="640">
        <f t="shared" si="18"/>
        <v>5</v>
      </c>
      <c r="AO980" s="289"/>
    </row>
    <row r="981" spans="1:42" s="61" customFormat="1" ht="22.5" customHeight="1" x14ac:dyDescent="0.3">
      <c r="A981" s="706"/>
      <c r="B981" s="117" t="s">
        <v>326</v>
      </c>
      <c r="C981" s="140">
        <v>5</v>
      </c>
      <c r="D981" s="110"/>
      <c r="E981" s="110"/>
      <c r="F981" s="264"/>
      <c r="G981" s="110"/>
      <c r="H981" s="110"/>
      <c r="I981" s="124"/>
      <c r="J981" s="110"/>
      <c r="K981" s="110"/>
      <c r="L981" s="264"/>
      <c r="M981" s="110"/>
      <c r="N981" s="124"/>
      <c r="O981" s="110"/>
      <c r="P981" s="110"/>
      <c r="Q981" s="110"/>
      <c r="R981" s="110"/>
      <c r="S981" s="110"/>
      <c r="T981" s="141"/>
      <c r="U981" s="140"/>
      <c r="V981" s="110"/>
      <c r="W981" s="110"/>
      <c r="X981" s="110"/>
      <c r="Y981" s="110"/>
      <c r="Z981" s="110"/>
      <c r="AA981" s="110"/>
      <c r="AB981" s="110"/>
      <c r="AC981" s="110"/>
      <c r="AD981" s="110"/>
      <c r="AE981" s="110"/>
      <c r="AF981" s="110"/>
      <c r="AG981" s="110"/>
      <c r="AH981" s="110"/>
      <c r="AI981" s="110" t="s">
        <v>482</v>
      </c>
      <c r="AJ981" s="110"/>
      <c r="AK981" s="110"/>
      <c r="AL981" s="110"/>
      <c r="AM981" s="641">
        <f t="shared" si="18"/>
        <v>5</v>
      </c>
      <c r="AO981" s="289"/>
      <c r="AP981" s="97"/>
    </row>
    <row r="982" spans="1:42" s="61" customFormat="1" ht="25.5" customHeight="1" x14ac:dyDescent="0.3">
      <c r="A982" s="706"/>
      <c r="B982" s="175" t="s">
        <v>327</v>
      </c>
      <c r="C982" s="176"/>
      <c r="D982" s="127"/>
      <c r="E982" s="127"/>
      <c r="F982" s="265"/>
      <c r="G982" s="127"/>
      <c r="H982" s="127"/>
      <c r="I982" s="178"/>
      <c r="J982" s="127"/>
      <c r="K982" s="127"/>
      <c r="L982" s="265"/>
      <c r="M982" s="127"/>
      <c r="N982" s="178"/>
      <c r="O982" s="127"/>
      <c r="P982" s="127"/>
      <c r="Q982" s="127"/>
      <c r="R982" s="127"/>
      <c r="S982" s="127">
        <v>1</v>
      </c>
      <c r="T982" s="177"/>
      <c r="U982" s="176"/>
      <c r="V982" s="127"/>
      <c r="W982" s="127"/>
      <c r="X982" s="127"/>
      <c r="Y982" s="127"/>
      <c r="Z982" s="127"/>
      <c r="AA982" s="127"/>
      <c r="AB982" s="127"/>
      <c r="AC982" s="127"/>
      <c r="AD982" s="127"/>
      <c r="AE982" s="127"/>
      <c r="AF982" s="127"/>
      <c r="AG982" s="127"/>
      <c r="AH982" s="127"/>
      <c r="AI982" s="127" t="s">
        <v>482</v>
      </c>
      <c r="AJ982" s="127"/>
      <c r="AK982" s="127"/>
      <c r="AL982" s="127"/>
      <c r="AM982" s="642">
        <f t="shared" si="18"/>
        <v>1</v>
      </c>
      <c r="AO982" s="289"/>
    </row>
    <row r="983" spans="1:42" s="61" customFormat="1" ht="25.5" customHeight="1" x14ac:dyDescent="0.3">
      <c r="A983" s="706"/>
      <c r="B983" s="180" t="s">
        <v>361</v>
      </c>
      <c r="C983" s="300">
        <v>20</v>
      </c>
      <c r="D983" s="173"/>
      <c r="E983" s="173"/>
      <c r="F983" s="266"/>
      <c r="G983" s="173"/>
      <c r="H983" s="173"/>
      <c r="I983" s="174"/>
      <c r="J983" s="173"/>
      <c r="K983" s="173"/>
      <c r="L983" s="266"/>
      <c r="M983" s="173"/>
      <c r="N983" s="174"/>
      <c r="O983" s="173"/>
      <c r="P983" s="173"/>
      <c r="Q983" s="173"/>
      <c r="R983" s="173"/>
      <c r="S983" s="173">
        <v>2</v>
      </c>
      <c r="T983" s="327"/>
      <c r="U983" s="300"/>
      <c r="V983" s="173"/>
      <c r="W983" s="173"/>
      <c r="X983" s="173"/>
      <c r="Y983" s="173"/>
      <c r="Z983" s="173"/>
      <c r="AA983" s="173"/>
      <c r="AB983" s="173"/>
      <c r="AC983" s="173"/>
      <c r="AD983" s="173"/>
      <c r="AE983" s="173"/>
      <c r="AF983" s="173"/>
      <c r="AG983" s="173"/>
      <c r="AH983" s="173"/>
      <c r="AI983" s="173" t="s">
        <v>482</v>
      </c>
      <c r="AJ983" s="173"/>
      <c r="AK983" s="173"/>
      <c r="AL983" s="173"/>
      <c r="AM983" s="643">
        <f t="shared" si="18"/>
        <v>22</v>
      </c>
      <c r="AO983" s="289"/>
      <c r="AP983" s="97"/>
    </row>
    <row r="984" spans="1:42" s="61" customFormat="1" ht="25.5" customHeight="1" x14ac:dyDescent="0.3">
      <c r="A984" s="706"/>
      <c r="B984" s="180" t="s">
        <v>362</v>
      </c>
      <c r="C984" s="300"/>
      <c r="D984" s="173"/>
      <c r="E984" s="173"/>
      <c r="F984" s="266"/>
      <c r="G984" s="173"/>
      <c r="H984" s="173"/>
      <c r="I984" s="174"/>
      <c r="J984" s="173"/>
      <c r="K984" s="173"/>
      <c r="L984" s="266"/>
      <c r="M984" s="173"/>
      <c r="N984" s="174"/>
      <c r="O984" s="173"/>
      <c r="P984" s="173"/>
      <c r="Q984" s="173"/>
      <c r="R984" s="173"/>
      <c r="S984" s="173">
        <v>2</v>
      </c>
      <c r="T984" s="327"/>
      <c r="U984" s="300"/>
      <c r="V984" s="173"/>
      <c r="W984" s="173"/>
      <c r="X984" s="173"/>
      <c r="Y984" s="173"/>
      <c r="Z984" s="173"/>
      <c r="AA984" s="173"/>
      <c r="AB984" s="173"/>
      <c r="AC984" s="173"/>
      <c r="AD984" s="173"/>
      <c r="AE984" s="173"/>
      <c r="AF984" s="173"/>
      <c r="AG984" s="173"/>
      <c r="AH984" s="173"/>
      <c r="AI984" s="173" t="s">
        <v>482</v>
      </c>
      <c r="AJ984" s="173"/>
      <c r="AK984" s="173"/>
      <c r="AL984" s="173"/>
      <c r="AM984" s="644">
        <f t="shared" si="18"/>
        <v>2</v>
      </c>
      <c r="AO984" s="289"/>
      <c r="AP984" s="97"/>
    </row>
    <row r="985" spans="1:42" s="61" customFormat="1" ht="22.5" customHeight="1" x14ac:dyDescent="0.3">
      <c r="A985" s="706"/>
      <c r="B985" s="115" t="s">
        <v>402</v>
      </c>
      <c r="C985" s="142"/>
      <c r="D985" s="111"/>
      <c r="E985" s="111"/>
      <c r="F985" s="267"/>
      <c r="G985" s="111"/>
      <c r="H985" s="111"/>
      <c r="I985" s="125"/>
      <c r="J985" s="111"/>
      <c r="K985" s="111"/>
      <c r="L985" s="267"/>
      <c r="M985" s="111"/>
      <c r="N985" s="125"/>
      <c r="O985" s="111"/>
      <c r="P985" s="111"/>
      <c r="Q985" s="111"/>
      <c r="R985" s="111"/>
      <c r="S985" s="111"/>
      <c r="T985" s="143">
        <v>0</v>
      </c>
      <c r="U985" s="142"/>
      <c r="V985" s="111"/>
      <c r="W985" s="111"/>
      <c r="X985" s="111"/>
      <c r="Y985" s="111"/>
      <c r="Z985" s="111"/>
      <c r="AA985" s="111"/>
      <c r="AB985" s="111"/>
      <c r="AC985" s="111"/>
      <c r="AD985" s="111"/>
      <c r="AE985" s="111"/>
      <c r="AF985" s="111"/>
      <c r="AG985" s="111"/>
      <c r="AH985" s="111" t="s">
        <v>482</v>
      </c>
      <c r="AI985" s="111" t="s">
        <v>482</v>
      </c>
      <c r="AJ985" s="111"/>
      <c r="AK985" s="111"/>
      <c r="AL985" s="111"/>
      <c r="AM985" s="645">
        <f t="shared" si="18"/>
        <v>0</v>
      </c>
      <c r="AO985" s="289"/>
    </row>
    <row r="986" spans="1:42" s="61" customFormat="1" ht="21" customHeight="1" x14ac:dyDescent="0.3">
      <c r="A986" s="707"/>
      <c r="B986" s="181" t="s">
        <v>403</v>
      </c>
      <c r="C986" s="144">
        <v>5</v>
      </c>
      <c r="D986" s="112"/>
      <c r="E986" s="112"/>
      <c r="F986" s="268"/>
      <c r="G986" s="112"/>
      <c r="H986" s="112"/>
      <c r="I986" s="126"/>
      <c r="J986" s="112"/>
      <c r="K986" s="112"/>
      <c r="L986" s="268"/>
      <c r="M986" s="112"/>
      <c r="N986" s="126"/>
      <c r="O986" s="112"/>
      <c r="P986" s="112"/>
      <c r="Q986" s="112"/>
      <c r="R986" s="112"/>
      <c r="S986" s="112"/>
      <c r="T986" s="145">
        <v>0</v>
      </c>
      <c r="U986" s="144"/>
      <c r="V986" s="112"/>
      <c r="W986" s="112"/>
      <c r="X986" s="112"/>
      <c r="Y986" s="112"/>
      <c r="Z986" s="112"/>
      <c r="AA986" s="112"/>
      <c r="AB986" s="112"/>
      <c r="AC986" s="112"/>
      <c r="AD986" s="112"/>
      <c r="AE986" s="112"/>
      <c r="AF986" s="112"/>
      <c r="AG986" s="112"/>
      <c r="AH986" s="112" t="s">
        <v>482</v>
      </c>
      <c r="AI986" s="112" t="s">
        <v>482</v>
      </c>
      <c r="AJ986" s="112"/>
      <c r="AK986" s="112"/>
      <c r="AL986" s="112"/>
      <c r="AM986" s="646">
        <f t="shared" si="18"/>
        <v>5</v>
      </c>
      <c r="AO986" s="289"/>
    </row>
    <row r="987" spans="1:42" s="61" customFormat="1" ht="21" customHeight="1" x14ac:dyDescent="0.3">
      <c r="A987" s="705" t="s">
        <v>211</v>
      </c>
      <c r="B987" s="179" t="s">
        <v>293</v>
      </c>
      <c r="C987" s="135">
        <v>75.81</v>
      </c>
      <c r="D987" s="136"/>
      <c r="E987" s="136"/>
      <c r="F987" s="262">
        <v>199.97499999999999</v>
      </c>
      <c r="G987" s="136">
        <v>130</v>
      </c>
      <c r="H987" s="136"/>
      <c r="I987" s="326"/>
      <c r="J987" s="136"/>
      <c r="K987" s="136"/>
      <c r="L987" s="262"/>
      <c r="M987" s="136"/>
      <c r="N987" s="326"/>
      <c r="O987" s="136"/>
      <c r="P987" s="136"/>
      <c r="Q987" s="136"/>
      <c r="R987" s="136"/>
      <c r="S987" s="136"/>
      <c r="T987" s="137">
        <v>10</v>
      </c>
      <c r="U987" s="632"/>
      <c r="V987" s="122">
        <v>0.93</v>
      </c>
      <c r="W987" s="122"/>
      <c r="X987" s="122"/>
      <c r="Y987" s="122">
        <v>23</v>
      </c>
      <c r="Z987" s="122">
        <v>139</v>
      </c>
      <c r="AA987" s="122"/>
      <c r="AB987" s="122"/>
      <c r="AC987" s="122"/>
      <c r="AD987" s="122">
        <v>5</v>
      </c>
      <c r="AE987" s="122"/>
      <c r="AF987" s="122"/>
      <c r="AG987" s="122"/>
      <c r="AH987" s="122"/>
      <c r="AI987" s="122" t="s">
        <v>482</v>
      </c>
      <c r="AJ987" s="122"/>
      <c r="AK987" s="122"/>
      <c r="AL987" s="122"/>
      <c r="AM987" s="639">
        <f t="shared" si="18"/>
        <v>583.71499999999992</v>
      </c>
      <c r="AO987" s="289"/>
    </row>
    <row r="988" spans="1:42" s="61" customFormat="1" ht="19.5" customHeight="1" x14ac:dyDescent="0.3">
      <c r="A988" s="706"/>
      <c r="B988" s="116" t="s">
        <v>294</v>
      </c>
      <c r="C988" s="138">
        <v>191</v>
      </c>
      <c r="D988" s="109"/>
      <c r="E988" s="109"/>
      <c r="F988" s="263">
        <v>178.327</v>
      </c>
      <c r="G988" s="109">
        <v>166</v>
      </c>
      <c r="H988" s="109">
        <v>2</v>
      </c>
      <c r="I988" s="123"/>
      <c r="J988" s="109"/>
      <c r="K988" s="109"/>
      <c r="L988" s="263"/>
      <c r="M988" s="109"/>
      <c r="N988" s="123"/>
      <c r="O988" s="109"/>
      <c r="P988" s="109"/>
      <c r="Q988" s="109"/>
      <c r="R988" s="109"/>
      <c r="S988" s="109">
        <v>10</v>
      </c>
      <c r="T988" s="139">
        <v>12</v>
      </c>
      <c r="U988" s="138">
        <v>16.298999999999999</v>
      </c>
      <c r="V988" s="109"/>
      <c r="W988" s="109"/>
      <c r="X988" s="109"/>
      <c r="Y988" s="109">
        <v>20</v>
      </c>
      <c r="Z988" s="109">
        <v>84</v>
      </c>
      <c r="AA988" s="109"/>
      <c r="AB988" s="109">
        <v>3</v>
      </c>
      <c r="AC988" s="109">
        <v>36.432000000000002</v>
      </c>
      <c r="AD988" s="109">
        <v>5</v>
      </c>
      <c r="AE988" s="109"/>
      <c r="AF988" s="109"/>
      <c r="AG988" s="109">
        <v>3.25</v>
      </c>
      <c r="AH988" s="109">
        <v>20</v>
      </c>
      <c r="AI988" s="109">
        <v>11</v>
      </c>
      <c r="AJ988" s="109"/>
      <c r="AK988" s="109"/>
      <c r="AL988" s="109"/>
      <c r="AM988" s="640">
        <f t="shared" si="18"/>
        <v>758.30799999999999</v>
      </c>
      <c r="AO988" s="289"/>
    </row>
    <row r="989" spans="1:42" s="61" customFormat="1" ht="22.5" customHeight="1" x14ac:dyDescent="0.3">
      <c r="A989" s="706"/>
      <c r="B989" s="117" t="s">
        <v>326</v>
      </c>
      <c r="C989" s="140">
        <v>177.80699999999999</v>
      </c>
      <c r="D989" s="110"/>
      <c r="E989" s="110"/>
      <c r="F989" s="264">
        <v>20</v>
      </c>
      <c r="G989" s="110">
        <v>200</v>
      </c>
      <c r="H989" s="110"/>
      <c r="I989" s="124"/>
      <c r="J989" s="110"/>
      <c r="K989" s="110"/>
      <c r="L989" s="264"/>
      <c r="M989" s="110"/>
      <c r="N989" s="124"/>
      <c r="O989" s="110"/>
      <c r="P989" s="110"/>
      <c r="Q989" s="110"/>
      <c r="R989" s="110">
        <v>37.5</v>
      </c>
      <c r="S989" s="110">
        <v>155</v>
      </c>
      <c r="T989" s="141"/>
      <c r="U989" s="140">
        <v>8.2000000000000003E-2</v>
      </c>
      <c r="V989" s="110"/>
      <c r="W989" s="110"/>
      <c r="X989" s="110"/>
      <c r="Y989" s="110">
        <v>20</v>
      </c>
      <c r="Z989" s="110">
        <v>73</v>
      </c>
      <c r="AA989" s="110"/>
      <c r="AB989" s="110">
        <v>4</v>
      </c>
      <c r="AC989" s="110">
        <v>10</v>
      </c>
      <c r="AD989" s="110">
        <v>5</v>
      </c>
      <c r="AE989" s="110"/>
      <c r="AF989" s="110"/>
      <c r="AG989" s="110"/>
      <c r="AH989" s="110">
        <v>30</v>
      </c>
      <c r="AI989" s="110">
        <v>62</v>
      </c>
      <c r="AJ989" s="110"/>
      <c r="AK989" s="110"/>
      <c r="AL989" s="110"/>
      <c r="AM989" s="641">
        <f t="shared" si="18"/>
        <v>794.38900000000001</v>
      </c>
      <c r="AO989" s="289"/>
      <c r="AP989" s="97"/>
    </row>
    <row r="990" spans="1:42" s="61" customFormat="1" ht="25.5" customHeight="1" x14ac:dyDescent="0.3">
      <c r="A990" s="706"/>
      <c r="B990" s="175" t="s">
        <v>327</v>
      </c>
      <c r="C990" s="176">
        <v>231.929</v>
      </c>
      <c r="D990" s="127"/>
      <c r="E990" s="127"/>
      <c r="F990" s="265">
        <v>164</v>
      </c>
      <c r="G990" s="127">
        <f>218</f>
        <v>218</v>
      </c>
      <c r="H990" s="127"/>
      <c r="I990" s="178"/>
      <c r="J990" s="127"/>
      <c r="K990" s="127"/>
      <c r="L990" s="265"/>
      <c r="M990" s="127"/>
      <c r="N990" s="178"/>
      <c r="O990" s="127"/>
      <c r="P990" s="127"/>
      <c r="Q990" s="127">
        <v>30</v>
      </c>
      <c r="R990" s="127">
        <v>37.5</v>
      </c>
      <c r="S990" s="127">
        <v>203</v>
      </c>
      <c r="T990" s="177"/>
      <c r="U990" s="176">
        <v>9.1999999999999998E-2</v>
      </c>
      <c r="V990" s="127"/>
      <c r="W990" s="127"/>
      <c r="X990" s="127"/>
      <c r="Y990" s="127">
        <v>30</v>
      </c>
      <c r="Z990" s="127">
        <v>81</v>
      </c>
      <c r="AA990" s="127"/>
      <c r="AB990" s="127">
        <v>3</v>
      </c>
      <c r="AC990" s="127">
        <v>10</v>
      </c>
      <c r="AD990" s="127">
        <v>5</v>
      </c>
      <c r="AE990" s="127"/>
      <c r="AF990" s="127"/>
      <c r="AG990" s="127"/>
      <c r="AH990" s="127">
        <v>36.19</v>
      </c>
      <c r="AI990" s="127">
        <v>177</v>
      </c>
      <c r="AJ990" s="127"/>
      <c r="AK990" s="127"/>
      <c r="AL990" s="127"/>
      <c r="AM990" s="642">
        <f t="shared" si="18"/>
        <v>1226.711</v>
      </c>
      <c r="AO990" s="289"/>
    </row>
    <row r="991" spans="1:42" s="61" customFormat="1" ht="25.5" customHeight="1" x14ac:dyDescent="0.3">
      <c r="A991" s="706"/>
      <c r="B991" s="180" t="s">
        <v>361</v>
      </c>
      <c r="C991" s="300">
        <v>116</v>
      </c>
      <c r="D991" s="173"/>
      <c r="E991" s="173"/>
      <c r="F991" s="266"/>
      <c r="G991" s="173">
        <v>196</v>
      </c>
      <c r="H991" s="173"/>
      <c r="I991" s="174"/>
      <c r="J991" s="173"/>
      <c r="K991" s="173"/>
      <c r="L991" s="266"/>
      <c r="M991" s="173"/>
      <c r="N991" s="174"/>
      <c r="O991" s="173"/>
      <c r="P991" s="173"/>
      <c r="Q991" s="173"/>
      <c r="R991" s="173"/>
      <c r="S991" s="173">
        <v>435</v>
      </c>
      <c r="T991" s="327"/>
      <c r="U991" s="300">
        <v>37.78</v>
      </c>
      <c r="V991" s="173"/>
      <c r="W991" s="173">
        <v>25</v>
      </c>
      <c r="X991" s="173"/>
      <c r="Y991" s="173">
        <v>40</v>
      </c>
      <c r="Z991" s="173">
        <v>130.12047999999999</v>
      </c>
      <c r="AA991" s="173"/>
      <c r="AB991" s="173">
        <v>35</v>
      </c>
      <c r="AC991" s="173">
        <f>10+60</f>
        <v>70</v>
      </c>
      <c r="AD991" s="173">
        <v>5</v>
      </c>
      <c r="AE991" s="173"/>
      <c r="AF991" s="173"/>
      <c r="AG991" s="173"/>
      <c r="AH991" s="173">
        <v>36</v>
      </c>
      <c r="AI991" s="173">
        <v>238</v>
      </c>
      <c r="AJ991" s="173"/>
      <c r="AK991" s="173"/>
      <c r="AL991" s="173"/>
      <c r="AM991" s="643">
        <f t="shared" si="18"/>
        <v>1363.90048</v>
      </c>
      <c r="AO991" s="289"/>
      <c r="AP991" s="97"/>
    </row>
    <row r="992" spans="1:42" s="61" customFormat="1" ht="25.5" customHeight="1" x14ac:dyDescent="0.3">
      <c r="A992" s="706"/>
      <c r="B992" s="180" t="s">
        <v>362</v>
      </c>
      <c r="C992" s="300">
        <v>130</v>
      </c>
      <c r="D992" s="173"/>
      <c r="E992" s="173"/>
      <c r="F992" s="266">
        <v>241</v>
      </c>
      <c r="G992" s="173">
        <f>294</f>
        <v>294</v>
      </c>
      <c r="H992" s="173"/>
      <c r="I992" s="174"/>
      <c r="J992" s="173"/>
      <c r="K992" s="173"/>
      <c r="L992" s="266"/>
      <c r="M992" s="173"/>
      <c r="N992" s="174"/>
      <c r="O992" s="173"/>
      <c r="P992" s="173"/>
      <c r="Q992" s="173"/>
      <c r="R992" s="173"/>
      <c r="S992" s="173">
        <v>354</v>
      </c>
      <c r="T992" s="327">
        <v>687.6</v>
      </c>
      <c r="U992" s="300">
        <v>0.122</v>
      </c>
      <c r="V992" s="173">
        <f>133/1000</f>
        <v>0.13300000000000001</v>
      </c>
      <c r="W992" s="173">
        <v>27</v>
      </c>
      <c r="X992" s="173"/>
      <c r="Y992" s="173">
        <v>116</v>
      </c>
      <c r="Z992" s="173">
        <v>156.39892</v>
      </c>
      <c r="AA992" s="173"/>
      <c r="AB992" s="173">
        <v>33</v>
      </c>
      <c r="AC992" s="173">
        <f>20-10+60</f>
        <v>70</v>
      </c>
      <c r="AD992" s="173">
        <v>5</v>
      </c>
      <c r="AE992" s="173"/>
      <c r="AF992" s="173"/>
      <c r="AG992" s="173"/>
      <c r="AH992" s="173"/>
      <c r="AI992" s="173">
        <v>139</v>
      </c>
      <c r="AJ992" s="173"/>
      <c r="AK992" s="173"/>
      <c r="AL992" s="173"/>
      <c r="AM992" s="644">
        <f t="shared" si="18"/>
        <v>2253.2539200000001</v>
      </c>
      <c r="AO992" s="289"/>
      <c r="AP992" s="97"/>
    </row>
    <row r="993" spans="1:42" s="61" customFormat="1" ht="22.5" customHeight="1" x14ac:dyDescent="0.3">
      <c r="A993" s="706"/>
      <c r="B993" s="115" t="s">
        <v>402</v>
      </c>
      <c r="C993" s="142">
        <v>255.96746999999999</v>
      </c>
      <c r="D993" s="111"/>
      <c r="E993" s="111"/>
      <c r="F993" s="267"/>
      <c r="G993" s="111">
        <v>251</v>
      </c>
      <c r="H993" s="111"/>
      <c r="I993" s="125"/>
      <c r="J993" s="111"/>
      <c r="K993" s="111"/>
      <c r="L993" s="267"/>
      <c r="M993" s="111"/>
      <c r="N993" s="125"/>
      <c r="O993" s="111"/>
      <c r="P993" s="111"/>
      <c r="Q993" s="111"/>
      <c r="R993" s="111"/>
      <c r="S993" s="111">
        <v>190.14743200000001</v>
      </c>
      <c r="T993" s="143">
        <v>21.68</v>
      </c>
      <c r="U993" s="142">
        <v>166.648</v>
      </c>
      <c r="V993" s="111"/>
      <c r="W993" s="111"/>
      <c r="X993" s="111"/>
      <c r="Y993" s="111">
        <v>145.773</v>
      </c>
      <c r="Z993" s="111">
        <v>100</v>
      </c>
      <c r="AA993" s="111"/>
      <c r="AB993" s="111">
        <v>38.9</v>
      </c>
      <c r="AC993" s="111">
        <v>72</v>
      </c>
      <c r="AD993" s="111">
        <v>8</v>
      </c>
      <c r="AE993" s="111"/>
      <c r="AF993" s="111"/>
      <c r="AG993" s="111"/>
      <c r="AH993" s="111">
        <v>157.232</v>
      </c>
      <c r="AI993" s="111">
        <v>519</v>
      </c>
      <c r="AJ993" s="111"/>
      <c r="AK993" s="111"/>
      <c r="AL993" s="111"/>
      <c r="AM993" s="645">
        <f t="shared" si="18"/>
        <v>1926.347902</v>
      </c>
      <c r="AO993" s="289"/>
    </row>
    <row r="994" spans="1:42" s="61" customFormat="1" ht="21" customHeight="1" x14ac:dyDescent="0.3">
      <c r="A994" s="707"/>
      <c r="B994" s="181" t="s">
        <v>403</v>
      </c>
      <c r="C994" s="144">
        <v>277.56823000000003</v>
      </c>
      <c r="D994" s="112"/>
      <c r="E994" s="112"/>
      <c r="F994" s="268"/>
      <c r="G994" s="112">
        <v>474</v>
      </c>
      <c r="H994" s="112"/>
      <c r="I994" s="126"/>
      <c r="J994" s="112"/>
      <c r="K994" s="112"/>
      <c r="L994" s="268"/>
      <c r="M994" s="112"/>
      <c r="N994" s="126"/>
      <c r="O994" s="112"/>
      <c r="P994" s="112"/>
      <c r="Q994" s="112"/>
      <c r="R994" s="112"/>
      <c r="S994" s="112">
        <v>198.89286500000003</v>
      </c>
      <c r="T994" s="145">
        <v>27.54</v>
      </c>
      <c r="U994" s="144">
        <v>374.863</v>
      </c>
      <c r="V994" s="112"/>
      <c r="W994" s="112"/>
      <c r="X994" s="112"/>
      <c r="Y994" s="112">
        <v>157.36799999999999</v>
      </c>
      <c r="Z994" s="112">
        <v>201</v>
      </c>
      <c r="AA994" s="112"/>
      <c r="AB994" s="112">
        <v>35.1</v>
      </c>
      <c r="AC994" s="112">
        <v>77</v>
      </c>
      <c r="AD994" s="112">
        <v>9</v>
      </c>
      <c r="AE994" s="112"/>
      <c r="AF994" s="112"/>
      <c r="AG994" s="112"/>
      <c r="AH994" s="112" t="s">
        <v>482</v>
      </c>
      <c r="AI994" s="112">
        <v>519</v>
      </c>
      <c r="AJ994" s="112"/>
      <c r="AK994" s="112"/>
      <c r="AL994" s="112"/>
      <c r="AM994" s="646">
        <f t="shared" si="18"/>
        <v>2351.3320949999998</v>
      </c>
      <c r="AO994" s="289"/>
    </row>
    <row r="995" spans="1:42" s="61" customFormat="1" ht="21" customHeight="1" x14ac:dyDescent="0.3">
      <c r="A995" s="705" t="s">
        <v>212</v>
      </c>
      <c r="B995" s="179" t="s">
        <v>293</v>
      </c>
      <c r="C995" s="135">
        <v>2</v>
      </c>
      <c r="D995" s="136"/>
      <c r="E995" s="136"/>
      <c r="F995" s="262"/>
      <c r="G995" s="136"/>
      <c r="H995" s="136"/>
      <c r="I995" s="326"/>
      <c r="J995" s="136"/>
      <c r="K995" s="136"/>
      <c r="L995" s="262"/>
      <c r="M995" s="136"/>
      <c r="N995" s="326"/>
      <c r="O995" s="136"/>
      <c r="P995" s="136"/>
      <c r="Q995" s="136"/>
      <c r="R995" s="136"/>
      <c r="S995" s="136">
        <v>17</v>
      </c>
      <c r="T995" s="137">
        <v>1</v>
      </c>
      <c r="U995" s="632"/>
      <c r="V995" s="122"/>
      <c r="W995" s="122"/>
      <c r="X995" s="122"/>
      <c r="Y995" s="122"/>
      <c r="Z995" s="122">
        <v>11</v>
      </c>
      <c r="AA995" s="122"/>
      <c r="AB995" s="122"/>
      <c r="AC995" s="122"/>
      <c r="AD995" s="122"/>
      <c r="AE995" s="122"/>
      <c r="AF995" s="122"/>
      <c r="AG995" s="122"/>
      <c r="AH995" s="122"/>
      <c r="AI995" s="122" t="s">
        <v>482</v>
      </c>
      <c r="AJ995" s="122"/>
      <c r="AK995" s="122"/>
      <c r="AL995" s="122"/>
      <c r="AM995" s="639">
        <f t="shared" si="18"/>
        <v>31</v>
      </c>
      <c r="AO995" s="289"/>
    </row>
    <row r="996" spans="1:42" s="61" customFormat="1" ht="19.5" customHeight="1" x14ac:dyDescent="0.3">
      <c r="A996" s="706"/>
      <c r="B996" s="116" t="s">
        <v>294</v>
      </c>
      <c r="C996" s="138">
        <v>4</v>
      </c>
      <c r="D996" s="109"/>
      <c r="E996" s="109"/>
      <c r="F996" s="263"/>
      <c r="G996" s="109">
        <v>51</v>
      </c>
      <c r="H996" s="109"/>
      <c r="I996" s="123"/>
      <c r="J996" s="109"/>
      <c r="K996" s="109"/>
      <c r="L996" s="263"/>
      <c r="M996" s="109"/>
      <c r="N996" s="123"/>
      <c r="O996" s="109"/>
      <c r="P996" s="109"/>
      <c r="Q996" s="109"/>
      <c r="R996" s="109"/>
      <c r="S996" s="109">
        <v>13</v>
      </c>
      <c r="T996" s="139">
        <v>0.996</v>
      </c>
      <c r="U996" s="138"/>
      <c r="V996" s="109"/>
      <c r="W996" s="109"/>
      <c r="X996" s="109"/>
      <c r="Y996" s="109"/>
      <c r="Z996" s="109">
        <v>11</v>
      </c>
      <c r="AA996" s="109"/>
      <c r="AB996" s="109"/>
      <c r="AC996" s="109"/>
      <c r="AD996" s="109"/>
      <c r="AE996" s="109"/>
      <c r="AF996" s="109"/>
      <c r="AG996" s="109"/>
      <c r="AH996" s="109"/>
      <c r="AI996" s="109" t="s">
        <v>482</v>
      </c>
      <c r="AJ996" s="109"/>
      <c r="AK996" s="109"/>
      <c r="AL996" s="109"/>
      <c r="AM996" s="640">
        <f t="shared" si="18"/>
        <v>79.995999999999995</v>
      </c>
      <c r="AO996" s="289"/>
    </row>
    <row r="997" spans="1:42" s="61" customFormat="1" ht="22.5" customHeight="1" x14ac:dyDescent="0.3">
      <c r="A997" s="706"/>
      <c r="B997" s="117" t="s">
        <v>326</v>
      </c>
      <c r="C997" s="140">
        <v>1.5</v>
      </c>
      <c r="D997" s="110"/>
      <c r="E997" s="110"/>
      <c r="F997" s="264"/>
      <c r="G997" s="110">
        <v>1</v>
      </c>
      <c r="H997" s="110"/>
      <c r="I997" s="124"/>
      <c r="J997" s="110"/>
      <c r="K997" s="110"/>
      <c r="L997" s="264"/>
      <c r="M997" s="110"/>
      <c r="N997" s="124"/>
      <c r="O997" s="110"/>
      <c r="P997" s="110"/>
      <c r="Q997" s="110"/>
      <c r="R997" s="110"/>
      <c r="S997" s="110"/>
      <c r="T997" s="141"/>
      <c r="U997" s="140">
        <v>3.6999999999999998E-2</v>
      </c>
      <c r="V997" s="110"/>
      <c r="W997" s="110"/>
      <c r="X997" s="110"/>
      <c r="Y997" s="110"/>
      <c r="Z997" s="110">
        <v>11</v>
      </c>
      <c r="AA997" s="110"/>
      <c r="AB997" s="110"/>
      <c r="AC997" s="110"/>
      <c r="AD997" s="110"/>
      <c r="AE997" s="110"/>
      <c r="AF997" s="110"/>
      <c r="AG997" s="110"/>
      <c r="AH997" s="110"/>
      <c r="AI997" s="110" t="s">
        <v>482</v>
      </c>
      <c r="AJ997" s="110"/>
      <c r="AK997" s="110"/>
      <c r="AL997" s="110"/>
      <c r="AM997" s="641">
        <f t="shared" si="18"/>
        <v>13.536999999999999</v>
      </c>
      <c r="AO997" s="289"/>
      <c r="AP997" s="97"/>
    </row>
    <row r="998" spans="1:42" s="61" customFormat="1" ht="25.5" customHeight="1" x14ac:dyDescent="0.3">
      <c r="A998" s="706"/>
      <c r="B998" s="175" t="s">
        <v>327</v>
      </c>
      <c r="C998" s="176">
        <v>2</v>
      </c>
      <c r="D998" s="127"/>
      <c r="E998" s="127"/>
      <c r="F998" s="265"/>
      <c r="G998" s="127">
        <v>1</v>
      </c>
      <c r="H998" s="127">
        <v>100</v>
      </c>
      <c r="I998" s="178"/>
      <c r="J998" s="127"/>
      <c r="K998" s="127"/>
      <c r="L998" s="265"/>
      <c r="M998" s="127"/>
      <c r="N998" s="178"/>
      <c r="O998" s="127"/>
      <c r="P998" s="127"/>
      <c r="Q998" s="127"/>
      <c r="R998" s="127"/>
      <c r="S998" s="127">
        <v>34</v>
      </c>
      <c r="T998" s="177"/>
      <c r="U998" s="176"/>
      <c r="V998" s="127"/>
      <c r="W998" s="127">
        <v>40</v>
      </c>
      <c r="X998" s="127"/>
      <c r="Y998" s="127"/>
      <c r="Z998" s="127">
        <v>55</v>
      </c>
      <c r="AA998" s="127"/>
      <c r="AB998" s="127"/>
      <c r="AC998" s="127"/>
      <c r="AD998" s="127"/>
      <c r="AE998" s="127"/>
      <c r="AF998" s="127"/>
      <c r="AG998" s="127"/>
      <c r="AH998" s="127"/>
      <c r="AI998" s="127" t="s">
        <v>482</v>
      </c>
      <c r="AJ998" s="127"/>
      <c r="AK998" s="127"/>
      <c r="AL998" s="127"/>
      <c r="AM998" s="642">
        <f t="shared" si="18"/>
        <v>232</v>
      </c>
      <c r="AO998" s="289"/>
    </row>
    <row r="999" spans="1:42" s="61" customFormat="1" ht="25.5" customHeight="1" x14ac:dyDescent="0.3">
      <c r="A999" s="706"/>
      <c r="B999" s="180" t="s">
        <v>361</v>
      </c>
      <c r="C999" s="300">
        <v>11.5</v>
      </c>
      <c r="D999" s="173"/>
      <c r="E999" s="173"/>
      <c r="F999" s="266"/>
      <c r="G999" s="173">
        <v>1</v>
      </c>
      <c r="H999" s="173"/>
      <c r="I999" s="174"/>
      <c r="J999" s="173"/>
      <c r="K999" s="173"/>
      <c r="L999" s="266"/>
      <c r="M999" s="173"/>
      <c r="N999" s="174"/>
      <c r="O999" s="173"/>
      <c r="P999" s="173"/>
      <c r="Q999" s="173"/>
      <c r="R999" s="173"/>
      <c r="S999" s="173">
        <v>31</v>
      </c>
      <c r="T999" s="327"/>
      <c r="U999" s="300">
        <v>0.1</v>
      </c>
      <c r="V999" s="173"/>
      <c r="W999" s="173"/>
      <c r="X999" s="173"/>
      <c r="Y999" s="173"/>
      <c r="Z999" s="173">
        <v>518.97799999999995</v>
      </c>
      <c r="AA999" s="173"/>
      <c r="AB999" s="173"/>
      <c r="AC999" s="173"/>
      <c r="AD999" s="173"/>
      <c r="AE999" s="173"/>
      <c r="AF999" s="173"/>
      <c r="AG999" s="173"/>
      <c r="AH999" s="173"/>
      <c r="AI999" s="173" t="s">
        <v>482</v>
      </c>
      <c r="AJ999" s="173"/>
      <c r="AK999" s="173"/>
      <c r="AL999" s="173"/>
      <c r="AM999" s="643">
        <f t="shared" si="18"/>
        <v>562.57799999999997</v>
      </c>
      <c r="AO999" s="289"/>
      <c r="AP999" s="97"/>
    </row>
    <row r="1000" spans="1:42" s="61" customFormat="1" ht="25.5" customHeight="1" x14ac:dyDescent="0.3">
      <c r="A1000" s="706"/>
      <c r="B1000" s="180" t="s">
        <v>362</v>
      </c>
      <c r="C1000" s="300">
        <v>38.361499999999999</v>
      </c>
      <c r="D1000" s="173"/>
      <c r="E1000" s="173"/>
      <c r="F1000" s="266"/>
      <c r="G1000" s="173">
        <v>1</v>
      </c>
      <c r="H1000" s="173"/>
      <c r="I1000" s="174"/>
      <c r="J1000" s="173"/>
      <c r="K1000" s="173"/>
      <c r="L1000" s="266"/>
      <c r="M1000" s="173"/>
      <c r="N1000" s="174"/>
      <c r="O1000" s="173"/>
      <c r="P1000" s="173"/>
      <c r="Q1000" s="173"/>
      <c r="R1000" s="173"/>
      <c r="S1000" s="173">
        <v>63</v>
      </c>
      <c r="T1000" s="327"/>
      <c r="U1000" s="300">
        <v>0.1</v>
      </c>
      <c r="V1000" s="173"/>
      <c r="W1000" s="173"/>
      <c r="X1000" s="173"/>
      <c r="Y1000" s="173"/>
      <c r="Z1000" s="173">
        <v>22</v>
      </c>
      <c r="AA1000" s="173"/>
      <c r="AB1000" s="173"/>
      <c r="AC1000" s="173"/>
      <c r="AD1000" s="173"/>
      <c r="AE1000" s="173">
        <v>33</v>
      </c>
      <c r="AF1000" s="173"/>
      <c r="AG1000" s="173"/>
      <c r="AH1000" s="173"/>
      <c r="AI1000" s="173" t="s">
        <v>482</v>
      </c>
      <c r="AJ1000" s="173"/>
      <c r="AK1000" s="173"/>
      <c r="AL1000" s="173"/>
      <c r="AM1000" s="644">
        <f t="shared" si="18"/>
        <v>157.4615</v>
      </c>
      <c r="AO1000" s="289"/>
      <c r="AP1000" s="97"/>
    </row>
    <row r="1001" spans="1:42" s="61" customFormat="1" ht="22.5" customHeight="1" x14ac:dyDescent="0.3">
      <c r="A1001" s="706"/>
      <c r="B1001" s="115" t="s">
        <v>402</v>
      </c>
      <c r="C1001" s="142">
        <v>20</v>
      </c>
      <c r="D1001" s="111"/>
      <c r="E1001" s="111"/>
      <c r="F1001" s="267"/>
      <c r="G1001" s="111"/>
      <c r="H1001" s="111"/>
      <c r="I1001" s="125"/>
      <c r="J1001" s="111"/>
      <c r="K1001" s="111"/>
      <c r="L1001" s="267"/>
      <c r="M1001" s="111"/>
      <c r="N1001" s="125"/>
      <c r="O1001" s="111"/>
      <c r="P1001" s="111"/>
      <c r="Q1001" s="111"/>
      <c r="R1001" s="111"/>
      <c r="S1001" s="111">
        <v>54.732104000000007</v>
      </c>
      <c r="T1001" s="143"/>
      <c r="U1001" s="142"/>
      <c r="V1001" s="111"/>
      <c r="W1001" s="111"/>
      <c r="X1001" s="111"/>
      <c r="Y1001" s="111"/>
      <c r="Z1001" s="111">
        <v>477</v>
      </c>
      <c r="AA1001" s="111"/>
      <c r="AB1001" s="111"/>
      <c r="AC1001" s="111"/>
      <c r="AD1001" s="111"/>
      <c r="AE1001" s="111">
        <v>20</v>
      </c>
      <c r="AF1001" s="111"/>
      <c r="AG1001" s="111"/>
      <c r="AH1001" s="111" t="s">
        <v>482</v>
      </c>
      <c r="AI1001" s="111" t="s">
        <v>482</v>
      </c>
      <c r="AJ1001" s="111"/>
      <c r="AK1001" s="111"/>
      <c r="AL1001" s="111"/>
      <c r="AM1001" s="645">
        <f t="shared" si="18"/>
        <v>571.73210400000005</v>
      </c>
      <c r="AO1001" s="289"/>
    </row>
    <row r="1002" spans="1:42" s="61" customFormat="1" ht="21" customHeight="1" x14ac:dyDescent="0.3">
      <c r="A1002" s="707"/>
      <c r="B1002" s="181" t="s">
        <v>403</v>
      </c>
      <c r="C1002" s="144">
        <v>15</v>
      </c>
      <c r="D1002" s="112"/>
      <c r="E1002" s="112"/>
      <c r="F1002" s="268"/>
      <c r="G1002" s="112"/>
      <c r="H1002" s="112"/>
      <c r="I1002" s="126"/>
      <c r="J1002" s="112"/>
      <c r="K1002" s="112"/>
      <c r="L1002" s="268"/>
      <c r="M1002" s="112"/>
      <c r="N1002" s="126"/>
      <c r="O1002" s="112"/>
      <c r="P1002" s="112"/>
      <c r="Q1002" s="112"/>
      <c r="R1002" s="112"/>
      <c r="S1002" s="112">
        <v>100.45617299999999</v>
      </c>
      <c r="T1002" s="145"/>
      <c r="U1002" s="144"/>
      <c r="V1002" s="112"/>
      <c r="W1002" s="112"/>
      <c r="X1002" s="112"/>
      <c r="Y1002" s="112"/>
      <c r="Z1002" s="112"/>
      <c r="AA1002" s="112"/>
      <c r="AB1002" s="112"/>
      <c r="AC1002" s="112"/>
      <c r="AD1002" s="112"/>
      <c r="AE1002" s="112">
        <v>58</v>
      </c>
      <c r="AF1002" s="112"/>
      <c r="AG1002" s="112"/>
      <c r="AH1002" s="112" t="s">
        <v>482</v>
      </c>
      <c r="AI1002" s="112" t="s">
        <v>482</v>
      </c>
      <c r="AJ1002" s="112"/>
      <c r="AK1002" s="112"/>
      <c r="AL1002" s="112"/>
      <c r="AM1002" s="646">
        <f t="shared" si="18"/>
        <v>173.45617299999998</v>
      </c>
      <c r="AO1002" s="289"/>
    </row>
    <row r="1003" spans="1:42" s="61" customFormat="1" ht="21" customHeight="1" x14ac:dyDescent="0.3">
      <c r="A1003" s="705" t="s">
        <v>571</v>
      </c>
      <c r="B1003" s="179" t="s">
        <v>293</v>
      </c>
      <c r="C1003" s="135"/>
      <c r="D1003" s="136"/>
      <c r="E1003" s="136"/>
      <c r="F1003" s="262"/>
      <c r="G1003" s="136"/>
      <c r="H1003" s="136"/>
      <c r="I1003" s="326"/>
      <c r="J1003" s="136"/>
      <c r="K1003" s="136"/>
      <c r="L1003" s="262"/>
      <c r="M1003" s="136"/>
      <c r="N1003" s="326"/>
      <c r="O1003" s="136"/>
      <c r="P1003" s="136"/>
      <c r="Q1003" s="136"/>
      <c r="R1003" s="136"/>
      <c r="S1003" s="136"/>
      <c r="T1003" s="137"/>
      <c r="U1003" s="632"/>
      <c r="V1003" s="122"/>
      <c r="W1003" s="122"/>
      <c r="X1003" s="122"/>
      <c r="Y1003" s="122"/>
      <c r="Z1003" s="122"/>
      <c r="AA1003" s="122"/>
      <c r="AB1003" s="122"/>
      <c r="AC1003" s="122"/>
      <c r="AD1003" s="122"/>
      <c r="AE1003" s="122"/>
      <c r="AF1003" s="122"/>
      <c r="AG1003" s="122"/>
      <c r="AH1003" s="122"/>
      <c r="AI1003" s="122" t="s">
        <v>482</v>
      </c>
      <c r="AJ1003" s="122"/>
      <c r="AK1003" s="122"/>
      <c r="AL1003" s="122"/>
      <c r="AM1003" s="639">
        <f t="shared" si="18"/>
        <v>0</v>
      </c>
      <c r="AO1003" s="289"/>
    </row>
    <row r="1004" spans="1:42" s="61" customFormat="1" ht="19.5" customHeight="1" x14ac:dyDescent="0.3">
      <c r="A1004" s="706"/>
      <c r="B1004" s="116" t="s">
        <v>294</v>
      </c>
      <c r="C1004" s="138"/>
      <c r="D1004" s="109"/>
      <c r="E1004" s="109"/>
      <c r="F1004" s="263"/>
      <c r="G1004" s="109"/>
      <c r="H1004" s="109"/>
      <c r="I1004" s="123"/>
      <c r="J1004" s="109"/>
      <c r="K1004" s="109"/>
      <c r="L1004" s="263"/>
      <c r="M1004" s="109"/>
      <c r="N1004" s="123"/>
      <c r="O1004" s="109"/>
      <c r="P1004" s="109"/>
      <c r="Q1004" s="109"/>
      <c r="R1004" s="109"/>
      <c r="S1004" s="109"/>
      <c r="T1004" s="139"/>
      <c r="U1004" s="138"/>
      <c r="V1004" s="109"/>
      <c r="W1004" s="109"/>
      <c r="X1004" s="109"/>
      <c r="Y1004" s="109"/>
      <c r="Z1004" s="109"/>
      <c r="AA1004" s="109"/>
      <c r="AB1004" s="109"/>
      <c r="AC1004" s="109"/>
      <c r="AD1004" s="109"/>
      <c r="AE1004" s="109"/>
      <c r="AF1004" s="109"/>
      <c r="AG1004" s="109"/>
      <c r="AH1004" s="109"/>
      <c r="AI1004" s="109" t="s">
        <v>482</v>
      </c>
      <c r="AJ1004" s="109"/>
      <c r="AK1004" s="109"/>
      <c r="AL1004" s="109"/>
      <c r="AM1004" s="640">
        <f t="shared" si="18"/>
        <v>0</v>
      </c>
      <c r="AO1004" s="289"/>
    </row>
    <row r="1005" spans="1:42" s="61" customFormat="1" ht="22.5" customHeight="1" x14ac:dyDescent="0.3">
      <c r="A1005" s="706"/>
      <c r="B1005" s="117" t="s">
        <v>326</v>
      </c>
      <c r="C1005" s="140"/>
      <c r="D1005" s="110"/>
      <c r="E1005" s="110"/>
      <c r="F1005" s="264"/>
      <c r="G1005" s="110"/>
      <c r="H1005" s="110"/>
      <c r="I1005" s="124"/>
      <c r="J1005" s="110"/>
      <c r="K1005" s="110"/>
      <c r="L1005" s="264"/>
      <c r="M1005" s="110"/>
      <c r="N1005" s="124"/>
      <c r="O1005" s="110"/>
      <c r="P1005" s="110"/>
      <c r="Q1005" s="110"/>
      <c r="R1005" s="110"/>
      <c r="S1005" s="110"/>
      <c r="T1005" s="141"/>
      <c r="U1005" s="140"/>
      <c r="V1005" s="110"/>
      <c r="W1005" s="110"/>
      <c r="X1005" s="110"/>
      <c r="Y1005" s="110"/>
      <c r="Z1005" s="110"/>
      <c r="AA1005" s="110"/>
      <c r="AB1005" s="110"/>
      <c r="AC1005" s="110"/>
      <c r="AD1005" s="110"/>
      <c r="AE1005" s="110"/>
      <c r="AF1005" s="110"/>
      <c r="AG1005" s="110"/>
      <c r="AH1005" s="110"/>
      <c r="AI1005" s="110" t="s">
        <v>482</v>
      </c>
      <c r="AJ1005" s="110"/>
      <c r="AK1005" s="110"/>
      <c r="AL1005" s="110"/>
      <c r="AM1005" s="641">
        <f t="shared" si="18"/>
        <v>0</v>
      </c>
      <c r="AO1005" s="289"/>
      <c r="AP1005" s="97"/>
    </row>
    <row r="1006" spans="1:42" s="61" customFormat="1" ht="25.5" customHeight="1" x14ac:dyDescent="0.3">
      <c r="A1006" s="706"/>
      <c r="B1006" s="175" t="s">
        <v>327</v>
      </c>
      <c r="C1006" s="176"/>
      <c r="D1006" s="127"/>
      <c r="E1006" s="127"/>
      <c r="F1006" s="265"/>
      <c r="G1006" s="127"/>
      <c r="H1006" s="127"/>
      <c r="I1006" s="178"/>
      <c r="J1006" s="127"/>
      <c r="K1006" s="127"/>
      <c r="L1006" s="265"/>
      <c r="M1006" s="127"/>
      <c r="N1006" s="178"/>
      <c r="O1006" s="127"/>
      <c r="P1006" s="127"/>
      <c r="Q1006" s="127"/>
      <c r="R1006" s="127"/>
      <c r="S1006" s="127"/>
      <c r="T1006" s="177"/>
      <c r="U1006" s="176"/>
      <c r="V1006" s="127"/>
      <c r="W1006" s="127"/>
      <c r="X1006" s="127"/>
      <c r="Y1006" s="127"/>
      <c r="Z1006" s="127"/>
      <c r="AA1006" s="127"/>
      <c r="AB1006" s="127"/>
      <c r="AC1006" s="127"/>
      <c r="AD1006" s="127"/>
      <c r="AE1006" s="127"/>
      <c r="AF1006" s="127"/>
      <c r="AG1006" s="127"/>
      <c r="AH1006" s="127"/>
      <c r="AI1006" s="127" t="s">
        <v>482</v>
      </c>
      <c r="AJ1006" s="127"/>
      <c r="AK1006" s="127"/>
      <c r="AL1006" s="127"/>
      <c r="AM1006" s="642">
        <f t="shared" si="18"/>
        <v>0</v>
      </c>
      <c r="AO1006" s="289"/>
    </row>
    <row r="1007" spans="1:42" s="61" customFormat="1" ht="25.5" customHeight="1" x14ac:dyDescent="0.3">
      <c r="A1007" s="706"/>
      <c r="B1007" s="180" t="s">
        <v>361</v>
      </c>
      <c r="C1007" s="300"/>
      <c r="D1007" s="173"/>
      <c r="E1007" s="173"/>
      <c r="F1007" s="266"/>
      <c r="G1007" s="173"/>
      <c r="H1007" s="173"/>
      <c r="I1007" s="174"/>
      <c r="J1007" s="173"/>
      <c r="K1007" s="173"/>
      <c r="L1007" s="266"/>
      <c r="M1007" s="173"/>
      <c r="N1007" s="174"/>
      <c r="O1007" s="173"/>
      <c r="P1007" s="173"/>
      <c r="Q1007" s="173"/>
      <c r="R1007" s="173"/>
      <c r="S1007" s="173"/>
      <c r="T1007" s="327"/>
      <c r="U1007" s="300"/>
      <c r="V1007" s="173"/>
      <c r="W1007" s="173"/>
      <c r="X1007" s="173"/>
      <c r="Y1007" s="173"/>
      <c r="Z1007" s="173"/>
      <c r="AA1007" s="173"/>
      <c r="AB1007" s="173"/>
      <c r="AC1007" s="173"/>
      <c r="AD1007" s="173"/>
      <c r="AE1007" s="173"/>
      <c r="AF1007" s="173"/>
      <c r="AG1007" s="173"/>
      <c r="AH1007" s="173"/>
      <c r="AI1007" s="173" t="s">
        <v>482</v>
      </c>
      <c r="AJ1007" s="173"/>
      <c r="AK1007" s="173"/>
      <c r="AL1007" s="173"/>
      <c r="AM1007" s="643">
        <f t="shared" si="18"/>
        <v>0</v>
      </c>
      <c r="AO1007" s="289"/>
      <c r="AP1007" s="97"/>
    </row>
    <row r="1008" spans="1:42" s="61" customFormat="1" ht="25.5" customHeight="1" x14ac:dyDescent="0.3">
      <c r="A1008" s="706"/>
      <c r="B1008" s="180" t="s">
        <v>362</v>
      </c>
      <c r="C1008" s="300"/>
      <c r="D1008" s="173"/>
      <c r="E1008" s="173"/>
      <c r="F1008" s="266"/>
      <c r="G1008" s="173"/>
      <c r="H1008" s="173"/>
      <c r="I1008" s="174"/>
      <c r="J1008" s="173"/>
      <c r="K1008" s="173"/>
      <c r="L1008" s="266"/>
      <c r="M1008" s="173"/>
      <c r="N1008" s="174"/>
      <c r="O1008" s="173"/>
      <c r="P1008" s="173"/>
      <c r="Q1008" s="173"/>
      <c r="R1008" s="173"/>
      <c r="S1008" s="173">
        <v>112</v>
      </c>
      <c r="T1008" s="327"/>
      <c r="U1008" s="300"/>
      <c r="V1008" s="173"/>
      <c r="W1008" s="173"/>
      <c r="X1008" s="173"/>
      <c r="Y1008" s="173"/>
      <c r="Z1008" s="173"/>
      <c r="AA1008" s="173"/>
      <c r="AB1008" s="173"/>
      <c r="AC1008" s="173"/>
      <c r="AD1008" s="173"/>
      <c r="AE1008" s="173"/>
      <c r="AF1008" s="173"/>
      <c r="AG1008" s="173"/>
      <c r="AH1008" s="173"/>
      <c r="AI1008" s="173" t="s">
        <v>482</v>
      </c>
      <c r="AJ1008" s="173"/>
      <c r="AK1008" s="173"/>
      <c r="AL1008" s="173"/>
      <c r="AM1008" s="644">
        <f t="shared" si="18"/>
        <v>112</v>
      </c>
      <c r="AO1008" s="289"/>
      <c r="AP1008" s="97"/>
    </row>
    <row r="1009" spans="1:42" s="61" customFormat="1" ht="22.5" customHeight="1" x14ac:dyDescent="0.3">
      <c r="A1009" s="706"/>
      <c r="B1009" s="115" t="s">
        <v>402</v>
      </c>
      <c r="C1009" s="142">
        <v>14.64052</v>
      </c>
      <c r="D1009" s="111"/>
      <c r="E1009" s="111"/>
      <c r="F1009" s="267"/>
      <c r="G1009" s="111">
        <v>46</v>
      </c>
      <c r="H1009" s="111"/>
      <c r="I1009" s="125"/>
      <c r="J1009" s="111"/>
      <c r="K1009" s="111"/>
      <c r="L1009" s="267"/>
      <c r="M1009" s="111"/>
      <c r="N1009" s="125"/>
      <c r="O1009" s="111"/>
      <c r="P1009" s="111"/>
      <c r="Q1009" s="111"/>
      <c r="R1009" s="111"/>
      <c r="S1009" s="111"/>
      <c r="T1009" s="143"/>
      <c r="U1009" s="142">
        <v>9.4E-2</v>
      </c>
      <c r="V1009" s="111"/>
      <c r="W1009" s="111"/>
      <c r="X1009" s="111"/>
      <c r="Y1009" s="111">
        <v>5</v>
      </c>
      <c r="Z1009" s="111"/>
      <c r="AA1009" s="111"/>
      <c r="AB1009" s="111"/>
      <c r="AC1009" s="111"/>
      <c r="AD1009" s="111"/>
      <c r="AE1009" s="111"/>
      <c r="AF1009" s="111"/>
      <c r="AG1009" s="111"/>
      <c r="AH1009" s="111" t="s">
        <v>482</v>
      </c>
      <c r="AI1009" s="111" t="s">
        <v>482</v>
      </c>
      <c r="AJ1009" s="111"/>
      <c r="AK1009" s="111"/>
      <c r="AL1009" s="111"/>
      <c r="AM1009" s="645">
        <f t="shared" si="18"/>
        <v>65.734520000000003</v>
      </c>
      <c r="AO1009" s="289"/>
    </row>
    <row r="1010" spans="1:42" s="61" customFormat="1" ht="21" customHeight="1" x14ac:dyDescent="0.3">
      <c r="A1010" s="707"/>
      <c r="B1010" s="181" t="s">
        <v>403</v>
      </c>
      <c r="C1010" s="144">
        <v>5.0490000000000004</v>
      </c>
      <c r="D1010" s="112"/>
      <c r="E1010" s="112"/>
      <c r="F1010" s="268"/>
      <c r="G1010" s="112"/>
      <c r="H1010" s="112"/>
      <c r="I1010" s="126"/>
      <c r="J1010" s="112"/>
      <c r="K1010" s="112"/>
      <c r="L1010" s="268"/>
      <c r="M1010" s="112"/>
      <c r="N1010" s="126"/>
      <c r="O1010" s="112"/>
      <c r="P1010" s="112"/>
      <c r="Q1010" s="112"/>
      <c r="R1010" s="112"/>
      <c r="S1010" s="112"/>
      <c r="T1010" s="145"/>
      <c r="U1010" s="144">
        <v>3.3000000000000002E-2</v>
      </c>
      <c r="V1010" s="112"/>
      <c r="W1010" s="112"/>
      <c r="X1010" s="112"/>
      <c r="Y1010" s="112"/>
      <c r="Z1010" s="112"/>
      <c r="AA1010" s="112"/>
      <c r="AB1010" s="112"/>
      <c r="AC1010" s="112"/>
      <c r="AD1010" s="112"/>
      <c r="AE1010" s="112"/>
      <c r="AF1010" s="112"/>
      <c r="AG1010" s="112"/>
      <c r="AH1010" s="112" t="s">
        <v>482</v>
      </c>
      <c r="AI1010" s="112" t="s">
        <v>482</v>
      </c>
      <c r="AJ1010" s="112"/>
      <c r="AK1010" s="112"/>
      <c r="AL1010" s="112"/>
      <c r="AM1010" s="646">
        <f t="shared" si="18"/>
        <v>5.0820000000000007</v>
      </c>
      <c r="AO1010" s="289"/>
    </row>
    <row r="1011" spans="1:42" s="61" customFormat="1" ht="21" customHeight="1" x14ac:dyDescent="0.3">
      <c r="A1011" s="705" t="s">
        <v>213</v>
      </c>
      <c r="B1011" s="179" t="s">
        <v>293</v>
      </c>
      <c r="C1011" s="135">
        <v>9</v>
      </c>
      <c r="D1011" s="136">
        <v>1021</v>
      </c>
      <c r="E1011" s="136"/>
      <c r="F1011" s="262"/>
      <c r="G1011" s="136">
        <v>31</v>
      </c>
      <c r="H1011" s="136"/>
      <c r="I1011" s="326"/>
      <c r="J1011" s="136"/>
      <c r="K1011" s="136"/>
      <c r="L1011" s="262"/>
      <c r="M1011" s="136"/>
      <c r="N1011" s="326"/>
      <c r="O1011" s="136"/>
      <c r="P1011" s="136"/>
      <c r="Q1011" s="136"/>
      <c r="R1011" s="136"/>
      <c r="S1011" s="136"/>
      <c r="T1011" s="137">
        <v>7.9749999999999996</v>
      </c>
      <c r="U1011" s="632">
        <v>1.2849999999999999</v>
      </c>
      <c r="V1011" s="122"/>
      <c r="W1011" s="122"/>
      <c r="X1011" s="122">
        <v>3</v>
      </c>
      <c r="Y1011" s="122"/>
      <c r="Z1011" s="122">
        <v>543</v>
      </c>
      <c r="AA1011" s="122"/>
      <c r="AB1011" s="122">
        <v>4</v>
      </c>
      <c r="AC1011" s="122">
        <v>4.9749999999999996</v>
      </c>
      <c r="AD1011" s="122">
        <v>22</v>
      </c>
      <c r="AE1011" s="122"/>
      <c r="AF1011" s="122"/>
      <c r="AG1011" s="122">
        <v>1.329</v>
      </c>
      <c r="AH1011" s="122">
        <v>293.08</v>
      </c>
      <c r="AI1011" s="122" t="s">
        <v>482</v>
      </c>
      <c r="AJ1011" s="122"/>
      <c r="AK1011" s="122"/>
      <c r="AL1011" s="122"/>
      <c r="AM1011" s="639">
        <f t="shared" si="18"/>
        <v>1941.6439999999998</v>
      </c>
      <c r="AO1011" s="289"/>
    </row>
    <row r="1012" spans="1:42" s="61" customFormat="1" ht="19.5" customHeight="1" x14ac:dyDescent="0.3">
      <c r="A1012" s="706"/>
      <c r="B1012" s="116" t="s">
        <v>294</v>
      </c>
      <c r="C1012" s="138">
        <v>4</v>
      </c>
      <c r="D1012" s="109">
        <v>2050</v>
      </c>
      <c r="E1012" s="109"/>
      <c r="F1012" s="263">
        <v>1779.2950000000001</v>
      </c>
      <c r="G1012" s="109">
        <v>32</v>
      </c>
      <c r="H1012" s="109"/>
      <c r="I1012" s="123"/>
      <c r="J1012" s="109"/>
      <c r="K1012" s="109"/>
      <c r="L1012" s="263"/>
      <c r="M1012" s="109"/>
      <c r="N1012" s="123"/>
      <c r="O1012" s="109"/>
      <c r="P1012" s="109"/>
      <c r="Q1012" s="109"/>
      <c r="R1012" s="109"/>
      <c r="S1012" s="109">
        <v>163.24600000000001</v>
      </c>
      <c r="T1012" s="139"/>
      <c r="U1012" s="138">
        <v>1727.8710000000001</v>
      </c>
      <c r="V1012" s="109"/>
      <c r="W1012" s="109"/>
      <c r="X1012" s="109">
        <v>3</v>
      </c>
      <c r="Y1012" s="109">
        <v>100</v>
      </c>
      <c r="Z1012" s="109">
        <v>173</v>
      </c>
      <c r="AA1012" s="109"/>
      <c r="AB1012" s="109">
        <v>4</v>
      </c>
      <c r="AC1012" s="109">
        <v>2</v>
      </c>
      <c r="AD1012" s="109">
        <v>24</v>
      </c>
      <c r="AE1012" s="109"/>
      <c r="AF1012" s="109"/>
      <c r="AG1012" s="109">
        <v>8.83</v>
      </c>
      <c r="AH1012" s="109">
        <v>361.52</v>
      </c>
      <c r="AI1012" s="109" t="s">
        <v>482</v>
      </c>
      <c r="AJ1012" s="109"/>
      <c r="AK1012" s="109"/>
      <c r="AL1012" s="109"/>
      <c r="AM1012" s="640">
        <f t="shared" si="18"/>
        <v>6432.7620000000006</v>
      </c>
      <c r="AO1012" s="289"/>
    </row>
    <row r="1013" spans="1:42" s="61" customFormat="1" ht="22.5" customHeight="1" x14ac:dyDescent="0.3">
      <c r="A1013" s="706"/>
      <c r="B1013" s="117" t="s">
        <v>326</v>
      </c>
      <c r="C1013" s="140">
        <v>19.975000000000001</v>
      </c>
      <c r="D1013" s="110">
        <v>2554.33</v>
      </c>
      <c r="E1013" s="110"/>
      <c r="F1013" s="264">
        <v>845</v>
      </c>
      <c r="G1013" s="110">
        <v>31</v>
      </c>
      <c r="H1013" s="110"/>
      <c r="I1013" s="124"/>
      <c r="J1013" s="110"/>
      <c r="K1013" s="110"/>
      <c r="L1013" s="264"/>
      <c r="M1013" s="110"/>
      <c r="N1013" s="124"/>
      <c r="O1013" s="110"/>
      <c r="P1013" s="110">
        <v>10</v>
      </c>
      <c r="Q1013" s="110"/>
      <c r="R1013" s="110"/>
      <c r="S1013" s="110">
        <v>3882</v>
      </c>
      <c r="T1013" s="141"/>
      <c r="U1013" s="140">
        <v>1.2729999999999999</v>
      </c>
      <c r="V1013" s="110"/>
      <c r="W1013" s="110">
        <v>574</v>
      </c>
      <c r="X1013" s="110"/>
      <c r="Y1013" s="110">
        <v>50</v>
      </c>
      <c r="Z1013" s="110">
        <v>285</v>
      </c>
      <c r="AA1013" s="110"/>
      <c r="AB1013" s="110"/>
      <c r="AC1013" s="110">
        <v>8</v>
      </c>
      <c r="AD1013" s="110"/>
      <c r="AE1013" s="110"/>
      <c r="AF1013" s="110"/>
      <c r="AG1013" s="110"/>
      <c r="AH1013" s="110">
        <v>2.15347</v>
      </c>
      <c r="AI1013" s="110" t="s">
        <v>482</v>
      </c>
      <c r="AJ1013" s="110"/>
      <c r="AK1013" s="110"/>
      <c r="AL1013" s="110"/>
      <c r="AM1013" s="641">
        <f t="shared" si="18"/>
        <v>8262.7314700000006</v>
      </c>
      <c r="AO1013" s="289"/>
      <c r="AP1013" s="97"/>
    </row>
    <row r="1014" spans="1:42" s="61" customFormat="1" ht="25.5" customHeight="1" x14ac:dyDescent="0.3">
      <c r="A1014" s="706"/>
      <c r="B1014" s="175" t="s">
        <v>327</v>
      </c>
      <c r="C1014" s="176">
        <v>24</v>
      </c>
      <c r="D1014" s="127">
        <v>3277.078</v>
      </c>
      <c r="E1014" s="127"/>
      <c r="F1014" s="265">
        <v>334</v>
      </c>
      <c r="G1014" s="127">
        <v>35</v>
      </c>
      <c r="H1014" s="127"/>
      <c r="I1014" s="178"/>
      <c r="J1014" s="127"/>
      <c r="K1014" s="127"/>
      <c r="L1014" s="265"/>
      <c r="M1014" s="127"/>
      <c r="N1014" s="178"/>
      <c r="O1014" s="127"/>
      <c r="P1014" s="127"/>
      <c r="Q1014" s="127"/>
      <c r="R1014" s="127"/>
      <c r="S1014" s="127">
        <v>3736</v>
      </c>
      <c r="T1014" s="177"/>
      <c r="U1014" s="176">
        <v>1.4339999999999999</v>
      </c>
      <c r="V1014" s="127"/>
      <c r="W1014" s="127">
        <f>744-574</f>
        <v>170</v>
      </c>
      <c r="X1014" s="127"/>
      <c r="Y1014" s="127">
        <v>75</v>
      </c>
      <c r="Z1014" s="127">
        <v>1134</v>
      </c>
      <c r="AA1014" s="127"/>
      <c r="AB1014" s="127">
        <v>3</v>
      </c>
      <c r="AC1014" s="127">
        <v>3</v>
      </c>
      <c r="AD1014" s="127"/>
      <c r="AE1014" s="127"/>
      <c r="AF1014" s="127"/>
      <c r="AG1014" s="127">
        <f>3/1.3</f>
        <v>2.3076923076923075</v>
      </c>
      <c r="AH1014" s="127"/>
      <c r="AI1014" s="127" t="s">
        <v>482</v>
      </c>
      <c r="AJ1014" s="127"/>
      <c r="AK1014" s="127"/>
      <c r="AL1014" s="127"/>
      <c r="AM1014" s="642">
        <f t="shared" si="18"/>
        <v>8794.8196923076903</v>
      </c>
      <c r="AO1014" s="289"/>
    </row>
    <row r="1015" spans="1:42" s="61" customFormat="1" ht="25.5" customHeight="1" x14ac:dyDescent="0.3">
      <c r="A1015" s="706"/>
      <c r="B1015" s="180" t="s">
        <v>361</v>
      </c>
      <c r="C1015" s="300">
        <v>36</v>
      </c>
      <c r="D1015" s="173">
        <v>3131</v>
      </c>
      <c r="E1015" s="173"/>
      <c r="F1015" s="266">
        <v>45</v>
      </c>
      <c r="G1015" s="173">
        <f>2</f>
        <v>2</v>
      </c>
      <c r="H1015" s="173"/>
      <c r="I1015" s="174"/>
      <c r="J1015" s="173"/>
      <c r="K1015" s="173"/>
      <c r="L1015" s="266"/>
      <c r="M1015" s="173"/>
      <c r="N1015" s="174">
        <v>10</v>
      </c>
      <c r="O1015" s="173"/>
      <c r="P1015" s="173"/>
      <c r="Q1015" s="173"/>
      <c r="R1015" s="173"/>
      <c r="S1015" s="173">
        <v>4998</v>
      </c>
      <c r="T1015" s="327"/>
      <c r="U1015" s="300"/>
      <c r="V1015" s="173"/>
      <c r="W1015" s="173">
        <v>1345</v>
      </c>
      <c r="X1015" s="173"/>
      <c r="Y1015" s="173">
        <v>75</v>
      </c>
      <c r="Z1015" s="173">
        <v>229.81489000000002</v>
      </c>
      <c r="AA1015" s="173"/>
      <c r="AB1015" s="173"/>
      <c r="AC1015" s="173">
        <f>6+6</f>
        <v>12</v>
      </c>
      <c r="AD1015" s="173">
        <v>23</v>
      </c>
      <c r="AE1015" s="173"/>
      <c r="AF1015" s="173"/>
      <c r="AG1015" s="173">
        <v>3</v>
      </c>
      <c r="AH1015" s="173">
        <v>38</v>
      </c>
      <c r="AI1015" s="173" t="s">
        <v>482</v>
      </c>
      <c r="AJ1015" s="173"/>
      <c r="AK1015" s="173"/>
      <c r="AL1015" s="173"/>
      <c r="AM1015" s="643">
        <f t="shared" si="18"/>
        <v>9947.8148899999997</v>
      </c>
      <c r="AO1015" s="289"/>
      <c r="AP1015" s="97"/>
    </row>
    <row r="1016" spans="1:42" s="61" customFormat="1" ht="25.5" customHeight="1" x14ac:dyDescent="0.3">
      <c r="A1016" s="706"/>
      <c r="B1016" s="180" t="s">
        <v>362</v>
      </c>
      <c r="C1016" s="300">
        <v>198.5</v>
      </c>
      <c r="D1016" s="173">
        <v>2302</v>
      </c>
      <c r="E1016" s="173">
        <v>4</v>
      </c>
      <c r="F1016" s="266">
        <v>294</v>
      </c>
      <c r="G1016" s="173"/>
      <c r="H1016" s="173"/>
      <c r="I1016" s="174"/>
      <c r="J1016" s="173"/>
      <c r="K1016" s="173"/>
      <c r="L1016" s="266"/>
      <c r="M1016" s="173"/>
      <c r="N1016" s="174"/>
      <c r="O1016" s="173"/>
      <c r="P1016" s="173">
        <v>300</v>
      </c>
      <c r="Q1016" s="173"/>
      <c r="R1016" s="173"/>
      <c r="S1016" s="173">
        <v>6701</v>
      </c>
      <c r="T1016" s="327"/>
      <c r="U1016" s="300">
        <v>3.21</v>
      </c>
      <c r="V1016" s="173"/>
      <c r="W1016" s="173">
        <v>95</v>
      </c>
      <c r="X1016" s="173">
        <v>148</v>
      </c>
      <c r="Y1016" s="173">
        <v>75</v>
      </c>
      <c r="Z1016" s="173">
        <v>515.50963999999999</v>
      </c>
      <c r="AA1016" s="173"/>
      <c r="AB1016" s="173">
        <v>3</v>
      </c>
      <c r="AC1016" s="173">
        <f>9-6+2</f>
        <v>5</v>
      </c>
      <c r="AD1016" s="173">
        <v>53</v>
      </c>
      <c r="AE1016" s="173"/>
      <c r="AF1016" s="173"/>
      <c r="AG1016" s="173">
        <v>38</v>
      </c>
      <c r="AH1016" s="173"/>
      <c r="AI1016" s="173" t="s">
        <v>482</v>
      </c>
      <c r="AJ1016" s="173"/>
      <c r="AK1016" s="173"/>
      <c r="AL1016" s="173"/>
      <c r="AM1016" s="644">
        <f t="shared" si="18"/>
        <v>10735.219639999999</v>
      </c>
      <c r="AO1016" s="289"/>
      <c r="AP1016" s="97"/>
    </row>
    <row r="1017" spans="1:42" s="61" customFormat="1" ht="22.5" customHeight="1" x14ac:dyDescent="0.3">
      <c r="A1017" s="706"/>
      <c r="B1017" s="115" t="s">
        <v>402</v>
      </c>
      <c r="C1017" s="142">
        <v>1043.9974</v>
      </c>
      <c r="D1017" s="111">
        <v>2406</v>
      </c>
      <c r="E1017" s="111"/>
      <c r="F1017" s="267">
        <v>105.4</v>
      </c>
      <c r="G1017" s="111"/>
      <c r="H1017" s="111"/>
      <c r="I1017" s="125"/>
      <c r="J1017" s="111"/>
      <c r="K1017" s="111"/>
      <c r="L1017" s="267"/>
      <c r="M1017" s="111"/>
      <c r="N1017" s="125"/>
      <c r="O1017" s="111"/>
      <c r="P1017" s="111"/>
      <c r="Q1017" s="111"/>
      <c r="R1017" s="111"/>
      <c r="S1017" s="111">
        <v>5930.629124</v>
      </c>
      <c r="T1017" s="143"/>
      <c r="U1017" s="142">
        <v>13.778</v>
      </c>
      <c r="V1017" s="111"/>
      <c r="W1017" s="111">
        <v>1110</v>
      </c>
      <c r="X1017" s="111">
        <v>409</v>
      </c>
      <c r="Y1017" s="111">
        <v>500</v>
      </c>
      <c r="Z1017" s="111">
        <v>221</v>
      </c>
      <c r="AA1017" s="111">
        <v>135</v>
      </c>
      <c r="AB1017" s="111">
        <v>3</v>
      </c>
      <c r="AC1017" s="111">
        <v>5</v>
      </c>
      <c r="AD1017" s="111">
        <v>0</v>
      </c>
      <c r="AE1017" s="111"/>
      <c r="AF1017" s="111"/>
      <c r="AG1017" s="111"/>
      <c r="AH1017" s="111" t="s">
        <v>482</v>
      </c>
      <c r="AI1017" s="111">
        <v>75</v>
      </c>
      <c r="AJ1017" s="111"/>
      <c r="AK1017" s="111"/>
      <c r="AL1017" s="111"/>
      <c r="AM1017" s="645">
        <f t="shared" si="18"/>
        <v>11957.804524000001</v>
      </c>
      <c r="AO1017" s="289"/>
    </row>
    <row r="1018" spans="1:42" s="61" customFormat="1" ht="21" customHeight="1" x14ac:dyDescent="0.3">
      <c r="A1018" s="707"/>
      <c r="B1018" s="181" t="s">
        <v>403</v>
      </c>
      <c r="C1018" s="144">
        <v>1533.98</v>
      </c>
      <c r="D1018" s="112">
        <v>2495</v>
      </c>
      <c r="E1018" s="112"/>
      <c r="F1018" s="268"/>
      <c r="G1018" s="112"/>
      <c r="H1018" s="112"/>
      <c r="I1018" s="126"/>
      <c r="J1018" s="112"/>
      <c r="K1018" s="112">
        <v>57</v>
      </c>
      <c r="L1018" s="268"/>
      <c r="M1018" s="112"/>
      <c r="N1018" s="126"/>
      <c r="O1018" s="112"/>
      <c r="P1018" s="112"/>
      <c r="Q1018" s="112"/>
      <c r="R1018" s="112"/>
      <c r="S1018" s="112">
        <v>13211.096070999998</v>
      </c>
      <c r="T1018" s="145"/>
      <c r="U1018" s="144">
        <v>2.65</v>
      </c>
      <c r="V1018" s="112"/>
      <c r="W1018" s="112">
        <f>2056-1110</f>
        <v>946</v>
      </c>
      <c r="X1018" s="112">
        <v>254</v>
      </c>
      <c r="Y1018" s="112">
        <v>500</v>
      </c>
      <c r="Z1018" s="112">
        <v>265</v>
      </c>
      <c r="AA1018" s="112">
        <v>65</v>
      </c>
      <c r="AB1018" s="112">
        <v>6</v>
      </c>
      <c r="AC1018" s="112">
        <v>8</v>
      </c>
      <c r="AD1018" s="112">
        <v>89</v>
      </c>
      <c r="AE1018" s="112"/>
      <c r="AF1018" s="112"/>
      <c r="AG1018" s="112"/>
      <c r="AH1018" s="112" t="s">
        <v>482</v>
      </c>
      <c r="AI1018" s="112">
        <v>75</v>
      </c>
      <c r="AJ1018" s="112"/>
      <c r="AK1018" s="112"/>
      <c r="AL1018" s="112"/>
      <c r="AM1018" s="646">
        <f t="shared" si="18"/>
        <v>19507.726071000001</v>
      </c>
      <c r="AO1018" s="289"/>
    </row>
    <row r="1019" spans="1:42" s="61" customFormat="1" ht="21" customHeight="1" x14ac:dyDescent="0.3">
      <c r="A1019" s="705" t="s">
        <v>214</v>
      </c>
      <c r="B1019" s="179" t="s">
        <v>293</v>
      </c>
      <c r="C1019" s="135">
        <v>22</v>
      </c>
      <c r="D1019" s="136"/>
      <c r="E1019" s="136"/>
      <c r="F1019" s="262">
        <v>194.77799999999999</v>
      </c>
      <c r="G1019" s="136"/>
      <c r="H1019" s="136"/>
      <c r="I1019" s="326"/>
      <c r="J1019" s="136"/>
      <c r="K1019" s="136"/>
      <c r="L1019" s="262"/>
      <c r="M1019" s="136"/>
      <c r="N1019" s="326"/>
      <c r="O1019" s="136"/>
      <c r="P1019" s="136"/>
      <c r="Q1019" s="136"/>
      <c r="R1019" s="136"/>
      <c r="S1019" s="136"/>
      <c r="T1019" s="137">
        <v>0.6</v>
      </c>
      <c r="U1019" s="632"/>
      <c r="V1019" s="122"/>
      <c r="W1019" s="122"/>
      <c r="X1019" s="122"/>
      <c r="Y1019" s="122"/>
      <c r="Z1019" s="122"/>
      <c r="AA1019" s="122"/>
      <c r="AB1019" s="122"/>
      <c r="AC1019" s="122"/>
      <c r="AD1019" s="122"/>
      <c r="AE1019" s="122"/>
      <c r="AF1019" s="122"/>
      <c r="AG1019" s="122"/>
      <c r="AH1019" s="122"/>
      <c r="AI1019" s="122" t="s">
        <v>482</v>
      </c>
      <c r="AJ1019" s="122"/>
      <c r="AK1019" s="122"/>
      <c r="AL1019" s="122"/>
      <c r="AM1019" s="639">
        <f t="shared" si="18"/>
        <v>217.37799999999999</v>
      </c>
      <c r="AO1019" s="289"/>
    </row>
    <row r="1020" spans="1:42" s="61" customFormat="1" ht="19.5" customHeight="1" x14ac:dyDescent="0.3">
      <c r="A1020" s="706"/>
      <c r="B1020" s="116" t="s">
        <v>294</v>
      </c>
      <c r="C1020" s="138">
        <v>33</v>
      </c>
      <c r="D1020" s="109"/>
      <c r="E1020" s="109"/>
      <c r="F1020" s="263">
        <v>3084.9740000000002</v>
      </c>
      <c r="G1020" s="109"/>
      <c r="H1020" s="109"/>
      <c r="I1020" s="123"/>
      <c r="J1020" s="109"/>
      <c r="K1020" s="109"/>
      <c r="L1020" s="263"/>
      <c r="M1020" s="109"/>
      <c r="N1020" s="123"/>
      <c r="O1020" s="109"/>
      <c r="P1020" s="109"/>
      <c r="Q1020" s="109"/>
      <c r="R1020" s="109"/>
      <c r="S1020" s="109"/>
      <c r="T1020" s="139">
        <v>0.6</v>
      </c>
      <c r="U1020" s="138"/>
      <c r="V1020" s="109"/>
      <c r="W1020" s="109"/>
      <c r="X1020" s="109"/>
      <c r="Y1020" s="109"/>
      <c r="Z1020" s="109"/>
      <c r="AA1020" s="109"/>
      <c r="AB1020" s="109"/>
      <c r="AC1020" s="109">
        <v>33</v>
      </c>
      <c r="AD1020" s="109"/>
      <c r="AE1020" s="109"/>
      <c r="AF1020" s="109"/>
      <c r="AG1020" s="109"/>
      <c r="AH1020" s="109"/>
      <c r="AI1020" s="109" t="s">
        <v>482</v>
      </c>
      <c r="AJ1020" s="109"/>
      <c r="AK1020" s="109"/>
      <c r="AL1020" s="109"/>
      <c r="AM1020" s="640">
        <f t="shared" si="18"/>
        <v>3151.5740000000001</v>
      </c>
      <c r="AO1020" s="289"/>
    </row>
    <row r="1021" spans="1:42" s="61" customFormat="1" ht="22.5" customHeight="1" x14ac:dyDescent="0.3">
      <c r="A1021" s="706"/>
      <c r="B1021" s="117" t="s">
        <v>326</v>
      </c>
      <c r="C1021" s="140">
        <v>2</v>
      </c>
      <c r="D1021" s="110"/>
      <c r="E1021" s="110"/>
      <c r="F1021" s="264">
        <v>1969</v>
      </c>
      <c r="G1021" s="110"/>
      <c r="H1021" s="110"/>
      <c r="I1021" s="124"/>
      <c r="J1021" s="110"/>
      <c r="K1021" s="110"/>
      <c r="L1021" s="264"/>
      <c r="M1021" s="110"/>
      <c r="N1021" s="124"/>
      <c r="O1021" s="110"/>
      <c r="P1021" s="110"/>
      <c r="Q1021" s="110"/>
      <c r="R1021" s="110"/>
      <c r="S1021" s="110">
        <v>181</v>
      </c>
      <c r="T1021" s="141"/>
      <c r="U1021" s="140"/>
      <c r="V1021" s="110"/>
      <c r="W1021" s="110"/>
      <c r="X1021" s="110"/>
      <c r="Y1021" s="110"/>
      <c r="Z1021" s="110"/>
      <c r="AA1021" s="110"/>
      <c r="AB1021" s="110"/>
      <c r="AC1021" s="110"/>
      <c r="AD1021" s="110"/>
      <c r="AE1021" s="110"/>
      <c r="AF1021" s="110"/>
      <c r="AG1021" s="110"/>
      <c r="AH1021" s="110"/>
      <c r="AI1021" s="110" t="s">
        <v>482</v>
      </c>
      <c r="AJ1021" s="110"/>
      <c r="AK1021" s="110"/>
      <c r="AL1021" s="110"/>
      <c r="AM1021" s="641">
        <f t="shared" si="18"/>
        <v>2152</v>
      </c>
      <c r="AO1021" s="289"/>
      <c r="AP1021" s="97"/>
    </row>
    <row r="1022" spans="1:42" s="61" customFormat="1" ht="25.5" customHeight="1" x14ac:dyDescent="0.3">
      <c r="A1022" s="706"/>
      <c r="B1022" s="175" t="s">
        <v>327</v>
      </c>
      <c r="C1022" s="176"/>
      <c r="D1022" s="127"/>
      <c r="E1022" s="127"/>
      <c r="F1022" s="265">
        <v>1692</v>
      </c>
      <c r="G1022" s="127"/>
      <c r="H1022" s="127"/>
      <c r="I1022" s="178"/>
      <c r="J1022" s="127"/>
      <c r="K1022" s="127"/>
      <c r="L1022" s="265"/>
      <c r="M1022" s="127"/>
      <c r="N1022" s="178"/>
      <c r="O1022" s="127"/>
      <c r="P1022" s="127"/>
      <c r="Q1022" s="127"/>
      <c r="R1022" s="127"/>
      <c r="S1022" s="127">
        <v>366</v>
      </c>
      <c r="T1022" s="177"/>
      <c r="U1022" s="176">
        <v>8.8999999999999996E-2</v>
      </c>
      <c r="V1022" s="127"/>
      <c r="W1022" s="127"/>
      <c r="X1022" s="127"/>
      <c r="Y1022" s="127"/>
      <c r="Z1022" s="127"/>
      <c r="AA1022" s="127"/>
      <c r="AB1022" s="127"/>
      <c r="AC1022" s="127"/>
      <c r="AD1022" s="127"/>
      <c r="AE1022" s="127"/>
      <c r="AF1022" s="127"/>
      <c r="AG1022" s="127"/>
      <c r="AH1022" s="127"/>
      <c r="AI1022" s="127" t="s">
        <v>482</v>
      </c>
      <c r="AJ1022" s="127"/>
      <c r="AK1022" s="127"/>
      <c r="AL1022" s="127"/>
      <c r="AM1022" s="642">
        <f t="shared" si="18"/>
        <v>2058.0889999999999</v>
      </c>
      <c r="AO1022" s="289"/>
    </row>
    <row r="1023" spans="1:42" s="61" customFormat="1" ht="25.5" customHeight="1" x14ac:dyDescent="0.3">
      <c r="A1023" s="706"/>
      <c r="B1023" s="180" t="s">
        <v>361</v>
      </c>
      <c r="C1023" s="300"/>
      <c r="D1023" s="173"/>
      <c r="E1023" s="173"/>
      <c r="F1023" s="266">
        <v>1837</v>
      </c>
      <c r="G1023" s="173"/>
      <c r="H1023" s="173">
        <v>66</v>
      </c>
      <c r="I1023" s="174"/>
      <c r="J1023" s="173"/>
      <c r="K1023" s="173"/>
      <c r="L1023" s="266"/>
      <c r="M1023" s="173"/>
      <c r="N1023" s="174"/>
      <c r="O1023" s="173"/>
      <c r="P1023" s="173"/>
      <c r="Q1023" s="173"/>
      <c r="R1023" s="173"/>
      <c r="S1023" s="173">
        <v>217</v>
      </c>
      <c r="T1023" s="327"/>
      <c r="U1023" s="300">
        <v>1.0309999999999999</v>
      </c>
      <c r="V1023" s="173"/>
      <c r="W1023" s="173"/>
      <c r="X1023" s="173"/>
      <c r="Y1023" s="173"/>
      <c r="Z1023" s="173">
        <v>2</v>
      </c>
      <c r="AA1023" s="173"/>
      <c r="AB1023" s="173"/>
      <c r="AC1023" s="173"/>
      <c r="AD1023" s="173"/>
      <c r="AE1023" s="173"/>
      <c r="AF1023" s="173"/>
      <c r="AG1023" s="173"/>
      <c r="AH1023" s="173"/>
      <c r="AI1023" s="173" t="s">
        <v>482</v>
      </c>
      <c r="AJ1023" s="173"/>
      <c r="AK1023" s="173"/>
      <c r="AL1023" s="173"/>
      <c r="AM1023" s="643">
        <f t="shared" si="18"/>
        <v>2123.0309999999999</v>
      </c>
      <c r="AO1023" s="289"/>
      <c r="AP1023" s="97"/>
    </row>
    <row r="1024" spans="1:42" s="61" customFormat="1" ht="25.5" customHeight="1" x14ac:dyDescent="0.3">
      <c r="A1024" s="706"/>
      <c r="B1024" s="180" t="s">
        <v>362</v>
      </c>
      <c r="C1024" s="300"/>
      <c r="D1024" s="173"/>
      <c r="E1024" s="173"/>
      <c r="F1024" s="266">
        <v>818</v>
      </c>
      <c r="G1024" s="173"/>
      <c r="H1024" s="173"/>
      <c r="I1024" s="174"/>
      <c r="J1024" s="173"/>
      <c r="K1024" s="173"/>
      <c r="L1024" s="266"/>
      <c r="M1024" s="173"/>
      <c r="N1024" s="174"/>
      <c r="O1024" s="173"/>
      <c r="P1024" s="173"/>
      <c r="Q1024" s="173"/>
      <c r="R1024" s="173"/>
      <c r="S1024" s="173">
        <v>234</v>
      </c>
      <c r="T1024" s="327"/>
      <c r="U1024" s="300">
        <v>9.6349999999999998</v>
      </c>
      <c r="V1024" s="173"/>
      <c r="W1024" s="173"/>
      <c r="X1024" s="173"/>
      <c r="Y1024" s="173"/>
      <c r="Z1024" s="173">
        <v>2</v>
      </c>
      <c r="AA1024" s="173"/>
      <c r="AB1024" s="173"/>
      <c r="AC1024" s="173"/>
      <c r="AD1024" s="173"/>
      <c r="AE1024" s="173"/>
      <c r="AF1024" s="173"/>
      <c r="AG1024" s="173"/>
      <c r="AH1024" s="173">
        <v>148</v>
      </c>
      <c r="AI1024" s="173" t="s">
        <v>482</v>
      </c>
      <c r="AJ1024" s="173"/>
      <c r="AK1024" s="173"/>
      <c r="AL1024" s="173"/>
      <c r="AM1024" s="644">
        <f t="shared" si="18"/>
        <v>1211.635</v>
      </c>
      <c r="AO1024" s="289"/>
      <c r="AP1024" s="97"/>
    </row>
    <row r="1025" spans="1:42" s="61" customFormat="1" ht="22.5" customHeight="1" x14ac:dyDescent="0.3">
      <c r="A1025" s="706"/>
      <c r="B1025" s="115" t="s">
        <v>402</v>
      </c>
      <c r="C1025" s="142"/>
      <c r="D1025" s="111"/>
      <c r="E1025" s="111"/>
      <c r="F1025" s="267">
        <v>235.3</v>
      </c>
      <c r="G1025" s="111"/>
      <c r="H1025" s="111"/>
      <c r="I1025" s="125"/>
      <c r="J1025" s="111"/>
      <c r="K1025" s="111"/>
      <c r="L1025" s="267"/>
      <c r="M1025" s="111"/>
      <c r="N1025" s="125"/>
      <c r="O1025" s="111"/>
      <c r="P1025" s="111"/>
      <c r="Q1025" s="111"/>
      <c r="R1025" s="111"/>
      <c r="S1025" s="111"/>
      <c r="T1025" s="143"/>
      <c r="U1025" s="142"/>
      <c r="V1025" s="111"/>
      <c r="W1025" s="111"/>
      <c r="X1025" s="111"/>
      <c r="Y1025" s="111"/>
      <c r="Z1025" s="111"/>
      <c r="AA1025" s="111"/>
      <c r="AB1025" s="111"/>
      <c r="AC1025" s="111"/>
      <c r="AD1025" s="111"/>
      <c r="AE1025" s="111"/>
      <c r="AF1025" s="111"/>
      <c r="AG1025" s="111"/>
      <c r="AH1025" s="111">
        <v>105.048</v>
      </c>
      <c r="AI1025" s="111" t="s">
        <v>482</v>
      </c>
      <c r="AJ1025" s="111"/>
      <c r="AK1025" s="111"/>
      <c r="AL1025" s="111"/>
      <c r="AM1025" s="645">
        <f t="shared" si="18"/>
        <v>340.34800000000001</v>
      </c>
      <c r="AO1025" s="289"/>
    </row>
    <row r="1026" spans="1:42" s="61" customFormat="1" ht="21" customHeight="1" x14ac:dyDescent="0.3">
      <c r="A1026" s="707"/>
      <c r="B1026" s="181" t="s">
        <v>403</v>
      </c>
      <c r="C1026" s="144">
        <v>2</v>
      </c>
      <c r="D1026" s="112"/>
      <c r="E1026" s="112"/>
      <c r="F1026" s="268">
        <v>51.4</v>
      </c>
      <c r="G1026" s="112"/>
      <c r="H1026" s="112"/>
      <c r="I1026" s="126"/>
      <c r="J1026" s="112"/>
      <c r="K1026" s="112"/>
      <c r="L1026" s="268"/>
      <c r="M1026" s="112"/>
      <c r="N1026" s="126"/>
      <c r="O1026" s="112"/>
      <c r="P1026" s="112"/>
      <c r="Q1026" s="112"/>
      <c r="R1026" s="112">
        <v>199</v>
      </c>
      <c r="S1026" s="112">
        <v>3.3E-4</v>
      </c>
      <c r="T1026" s="145">
        <v>12.5</v>
      </c>
      <c r="U1026" s="144"/>
      <c r="V1026" s="112"/>
      <c r="W1026" s="112"/>
      <c r="X1026" s="112"/>
      <c r="Y1026" s="112"/>
      <c r="Z1026" s="112"/>
      <c r="AA1026" s="112"/>
      <c r="AB1026" s="112"/>
      <c r="AC1026" s="112"/>
      <c r="AD1026" s="112"/>
      <c r="AE1026" s="112"/>
      <c r="AF1026" s="112"/>
      <c r="AG1026" s="112"/>
      <c r="AH1026" s="112" t="s">
        <v>482</v>
      </c>
      <c r="AI1026" s="112" t="s">
        <v>482</v>
      </c>
      <c r="AJ1026" s="112"/>
      <c r="AK1026" s="112"/>
      <c r="AL1026" s="112"/>
      <c r="AM1026" s="646">
        <f t="shared" si="18"/>
        <v>264.90033</v>
      </c>
      <c r="AO1026" s="289"/>
    </row>
    <row r="1027" spans="1:42" s="61" customFormat="1" ht="21" customHeight="1" x14ac:dyDescent="0.3">
      <c r="A1027" s="705" t="s">
        <v>215</v>
      </c>
      <c r="B1027" s="179" t="s">
        <v>293</v>
      </c>
      <c r="C1027" s="135">
        <v>1</v>
      </c>
      <c r="D1027" s="136"/>
      <c r="E1027" s="136"/>
      <c r="F1027" s="262"/>
      <c r="G1027" s="136">
        <v>7</v>
      </c>
      <c r="H1027" s="136"/>
      <c r="I1027" s="326"/>
      <c r="J1027" s="136"/>
      <c r="K1027" s="136"/>
      <c r="L1027" s="262"/>
      <c r="M1027" s="136"/>
      <c r="N1027" s="326"/>
      <c r="O1027" s="136"/>
      <c r="P1027" s="136"/>
      <c r="Q1027" s="136"/>
      <c r="R1027" s="136"/>
      <c r="S1027" s="136"/>
      <c r="T1027" s="137">
        <v>1</v>
      </c>
      <c r="U1027" s="632"/>
      <c r="V1027" s="122"/>
      <c r="W1027" s="122"/>
      <c r="X1027" s="122"/>
      <c r="Y1027" s="122"/>
      <c r="Z1027" s="122">
        <v>3.45607</v>
      </c>
      <c r="AA1027" s="122">
        <v>0.57655000000000001</v>
      </c>
      <c r="AB1027" s="122"/>
      <c r="AC1027" s="122"/>
      <c r="AD1027" s="122"/>
      <c r="AE1027" s="122"/>
      <c r="AF1027" s="122"/>
      <c r="AG1027" s="122"/>
      <c r="AH1027" s="122"/>
      <c r="AI1027" s="122" t="s">
        <v>482</v>
      </c>
      <c r="AJ1027" s="122"/>
      <c r="AK1027" s="122"/>
      <c r="AL1027" s="122"/>
      <c r="AM1027" s="639">
        <f t="shared" si="18"/>
        <v>13.03262</v>
      </c>
      <c r="AO1027" s="289"/>
    </row>
    <row r="1028" spans="1:42" s="61" customFormat="1" ht="19.5" customHeight="1" x14ac:dyDescent="0.3">
      <c r="A1028" s="706"/>
      <c r="B1028" s="116" t="s">
        <v>294</v>
      </c>
      <c r="C1028" s="138"/>
      <c r="D1028" s="109"/>
      <c r="E1028" s="109"/>
      <c r="F1028" s="263"/>
      <c r="G1028" s="109"/>
      <c r="H1028" s="109"/>
      <c r="I1028" s="123"/>
      <c r="J1028" s="109"/>
      <c r="K1028" s="109"/>
      <c r="L1028" s="263"/>
      <c r="M1028" s="109"/>
      <c r="N1028" s="123"/>
      <c r="O1028" s="109"/>
      <c r="P1028" s="109"/>
      <c r="Q1028" s="109"/>
      <c r="R1028" s="109"/>
      <c r="S1028" s="109">
        <v>0.08</v>
      </c>
      <c r="T1028" s="139">
        <v>1</v>
      </c>
      <c r="U1028" s="138"/>
      <c r="V1028" s="109"/>
      <c r="W1028" s="109"/>
      <c r="X1028" s="109"/>
      <c r="Y1028" s="109"/>
      <c r="Z1028" s="109">
        <v>1.93329</v>
      </c>
      <c r="AA1028" s="109"/>
      <c r="AB1028" s="109"/>
      <c r="AC1028" s="109"/>
      <c r="AD1028" s="109"/>
      <c r="AE1028" s="109"/>
      <c r="AF1028" s="109"/>
      <c r="AG1028" s="109"/>
      <c r="AH1028" s="109"/>
      <c r="AI1028" s="109" t="s">
        <v>482</v>
      </c>
      <c r="AJ1028" s="109"/>
      <c r="AK1028" s="109"/>
      <c r="AL1028" s="109"/>
      <c r="AM1028" s="640">
        <f t="shared" si="18"/>
        <v>3.01329</v>
      </c>
      <c r="AO1028" s="289"/>
    </row>
    <row r="1029" spans="1:42" s="61" customFormat="1" ht="22.5" customHeight="1" x14ac:dyDescent="0.3">
      <c r="A1029" s="706"/>
      <c r="B1029" s="117" t="s">
        <v>326</v>
      </c>
      <c r="C1029" s="140">
        <v>2</v>
      </c>
      <c r="D1029" s="110"/>
      <c r="E1029" s="110"/>
      <c r="F1029" s="264"/>
      <c r="G1029" s="110">
        <v>7</v>
      </c>
      <c r="H1029" s="110"/>
      <c r="I1029" s="124"/>
      <c r="J1029" s="110"/>
      <c r="K1029" s="110"/>
      <c r="L1029" s="264"/>
      <c r="M1029" s="110"/>
      <c r="N1029" s="124"/>
      <c r="O1029" s="110"/>
      <c r="P1029" s="110"/>
      <c r="Q1029" s="110"/>
      <c r="R1029" s="110"/>
      <c r="S1029" s="110"/>
      <c r="T1029" s="141"/>
      <c r="U1029" s="140"/>
      <c r="V1029" s="110"/>
      <c r="W1029" s="110"/>
      <c r="X1029" s="110"/>
      <c r="Y1029" s="110"/>
      <c r="Z1029" s="110">
        <v>2</v>
      </c>
      <c r="AA1029" s="110"/>
      <c r="AB1029" s="110"/>
      <c r="AC1029" s="110">
        <v>7.3719999999999999</v>
      </c>
      <c r="AD1029" s="110"/>
      <c r="AE1029" s="110"/>
      <c r="AF1029" s="110"/>
      <c r="AG1029" s="110"/>
      <c r="AH1029" s="110"/>
      <c r="AI1029" s="110" t="s">
        <v>482</v>
      </c>
      <c r="AJ1029" s="110"/>
      <c r="AK1029" s="110"/>
      <c r="AL1029" s="110"/>
      <c r="AM1029" s="641">
        <f t="shared" si="18"/>
        <v>18.372</v>
      </c>
      <c r="AO1029" s="289"/>
      <c r="AP1029" s="97"/>
    </row>
    <row r="1030" spans="1:42" s="61" customFormat="1" ht="25.5" customHeight="1" x14ac:dyDescent="0.3">
      <c r="A1030" s="706"/>
      <c r="B1030" s="175" t="s">
        <v>327</v>
      </c>
      <c r="C1030" s="176">
        <v>5.8520000000000003</v>
      </c>
      <c r="D1030" s="127"/>
      <c r="E1030" s="127"/>
      <c r="F1030" s="265"/>
      <c r="G1030" s="127"/>
      <c r="H1030" s="127"/>
      <c r="I1030" s="178"/>
      <c r="J1030" s="127"/>
      <c r="K1030" s="127"/>
      <c r="L1030" s="265"/>
      <c r="M1030" s="127"/>
      <c r="N1030" s="178"/>
      <c r="O1030" s="127"/>
      <c r="P1030" s="127"/>
      <c r="Q1030" s="127"/>
      <c r="R1030" s="127"/>
      <c r="S1030" s="127">
        <v>191</v>
      </c>
      <c r="T1030" s="177"/>
      <c r="U1030" s="176"/>
      <c r="V1030" s="127"/>
      <c r="W1030" s="127"/>
      <c r="X1030" s="127"/>
      <c r="Y1030" s="127"/>
      <c r="Z1030" s="127"/>
      <c r="AA1030" s="127"/>
      <c r="AB1030" s="127"/>
      <c r="AC1030" s="127">
        <v>7.2949999999999999</v>
      </c>
      <c r="AD1030" s="127"/>
      <c r="AE1030" s="127"/>
      <c r="AF1030" s="127"/>
      <c r="AG1030" s="127"/>
      <c r="AH1030" s="127"/>
      <c r="AI1030" s="127" t="s">
        <v>482</v>
      </c>
      <c r="AJ1030" s="127"/>
      <c r="AK1030" s="127"/>
      <c r="AL1030" s="127"/>
      <c r="AM1030" s="642">
        <f t="shared" si="18"/>
        <v>204.14699999999999</v>
      </c>
      <c r="AO1030" s="289"/>
    </row>
    <row r="1031" spans="1:42" s="61" customFormat="1" ht="25.5" customHeight="1" x14ac:dyDescent="0.3">
      <c r="A1031" s="706"/>
      <c r="B1031" s="180" t="s">
        <v>361</v>
      </c>
      <c r="C1031" s="300">
        <v>4.9441199999999998</v>
      </c>
      <c r="D1031" s="173"/>
      <c r="E1031" s="173"/>
      <c r="F1031" s="266">
        <v>2636</v>
      </c>
      <c r="G1031" s="173">
        <v>8</v>
      </c>
      <c r="H1031" s="173"/>
      <c r="I1031" s="174"/>
      <c r="J1031" s="173"/>
      <c r="K1031" s="173"/>
      <c r="L1031" s="266"/>
      <c r="M1031" s="173"/>
      <c r="N1031" s="174"/>
      <c r="O1031" s="173"/>
      <c r="P1031" s="173"/>
      <c r="Q1031" s="173"/>
      <c r="R1031" s="173"/>
      <c r="S1031" s="173">
        <v>468</v>
      </c>
      <c r="T1031" s="327"/>
      <c r="U1031" s="300"/>
      <c r="V1031" s="173"/>
      <c r="W1031" s="173"/>
      <c r="X1031" s="173"/>
      <c r="Y1031" s="173"/>
      <c r="Z1031" s="173">
        <v>2.7320100000000003</v>
      </c>
      <c r="AA1031" s="173"/>
      <c r="AB1031" s="173"/>
      <c r="AC1031" s="173"/>
      <c r="AD1031" s="173"/>
      <c r="AE1031" s="173"/>
      <c r="AF1031" s="173"/>
      <c r="AG1031" s="173"/>
      <c r="AH1031" s="173"/>
      <c r="AI1031" s="173">
        <v>1</v>
      </c>
      <c r="AJ1031" s="173"/>
      <c r="AK1031" s="173"/>
      <c r="AL1031" s="173"/>
      <c r="AM1031" s="643">
        <f t="shared" si="18"/>
        <v>3120.6761300000003</v>
      </c>
      <c r="AO1031" s="289"/>
      <c r="AP1031" s="97"/>
    </row>
    <row r="1032" spans="1:42" s="61" customFormat="1" ht="25.5" customHeight="1" x14ac:dyDescent="0.3">
      <c r="A1032" s="706"/>
      <c r="B1032" s="180" t="s">
        <v>362</v>
      </c>
      <c r="C1032" s="300">
        <v>4.9645400000000004</v>
      </c>
      <c r="D1032" s="173"/>
      <c r="E1032" s="173"/>
      <c r="F1032" s="266"/>
      <c r="G1032" s="173">
        <v>8</v>
      </c>
      <c r="H1032" s="173"/>
      <c r="I1032" s="174"/>
      <c r="J1032" s="173"/>
      <c r="K1032" s="173"/>
      <c r="L1032" s="266"/>
      <c r="M1032" s="173"/>
      <c r="N1032" s="174"/>
      <c r="O1032" s="173"/>
      <c r="P1032" s="173"/>
      <c r="Q1032" s="173"/>
      <c r="R1032" s="173"/>
      <c r="S1032" s="173">
        <v>164</v>
      </c>
      <c r="T1032" s="327"/>
      <c r="U1032" s="300">
        <v>1.9510000000000001</v>
      </c>
      <c r="V1032" s="173"/>
      <c r="W1032" s="173"/>
      <c r="X1032" s="173"/>
      <c r="Y1032" s="173"/>
      <c r="Z1032" s="173">
        <v>1.2464600000000001</v>
      </c>
      <c r="AA1032" s="173"/>
      <c r="AB1032" s="173"/>
      <c r="AC1032" s="173"/>
      <c r="AD1032" s="173"/>
      <c r="AE1032" s="173"/>
      <c r="AF1032" s="173"/>
      <c r="AG1032" s="173"/>
      <c r="AH1032" s="173"/>
      <c r="AI1032" s="173" t="s">
        <v>482</v>
      </c>
      <c r="AJ1032" s="173"/>
      <c r="AK1032" s="173"/>
      <c r="AL1032" s="173"/>
      <c r="AM1032" s="644">
        <f t="shared" si="18"/>
        <v>180.16200000000001</v>
      </c>
      <c r="AO1032" s="289"/>
      <c r="AP1032" s="97"/>
    </row>
    <row r="1033" spans="1:42" s="61" customFormat="1" ht="22.5" customHeight="1" x14ac:dyDescent="0.3">
      <c r="A1033" s="706"/>
      <c r="B1033" s="115" t="s">
        <v>402</v>
      </c>
      <c r="C1033" s="142"/>
      <c r="D1033" s="111"/>
      <c r="E1033" s="111"/>
      <c r="F1033" s="267">
        <v>2253</v>
      </c>
      <c r="G1033" s="111"/>
      <c r="H1033" s="111"/>
      <c r="I1033" s="125"/>
      <c r="J1033" s="111"/>
      <c r="K1033" s="111"/>
      <c r="L1033" s="267"/>
      <c r="M1033" s="111"/>
      <c r="N1033" s="125"/>
      <c r="O1033" s="111"/>
      <c r="P1033" s="111"/>
      <c r="Q1033" s="111"/>
      <c r="R1033" s="111"/>
      <c r="S1033" s="111"/>
      <c r="T1033" s="143"/>
      <c r="U1033" s="142"/>
      <c r="V1033" s="111"/>
      <c r="W1033" s="111"/>
      <c r="X1033" s="111"/>
      <c r="Y1033" s="111"/>
      <c r="Z1033" s="111"/>
      <c r="AA1033" s="111"/>
      <c r="AB1033" s="111"/>
      <c r="AC1033" s="111"/>
      <c r="AD1033" s="111"/>
      <c r="AE1033" s="111"/>
      <c r="AF1033" s="111"/>
      <c r="AG1033" s="111"/>
      <c r="AH1033" s="111" t="s">
        <v>482</v>
      </c>
      <c r="AI1033" s="111" t="s">
        <v>482</v>
      </c>
      <c r="AJ1033" s="111"/>
      <c r="AK1033" s="111">
        <f>1.026/1.097</f>
        <v>0.93527803099361906</v>
      </c>
      <c r="AL1033" s="111"/>
      <c r="AM1033" s="645">
        <f t="shared" si="18"/>
        <v>2253.9352780309937</v>
      </c>
      <c r="AO1033" s="289"/>
    </row>
    <row r="1034" spans="1:42" s="61" customFormat="1" ht="21" customHeight="1" x14ac:dyDescent="0.3">
      <c r="A1034" s="707"/>
      <c r="B1034" s="181" t="s">
        <v>403</v>
      </c>
      <c r="C1034" s="144">
        <v>10</v>
      </c>
      <c r="D1034" s="112"/>
      <c r="E1034" s="112"/>
      <c r="F1034" s="268"/>
      <c r="G1034" s="112"/>
      <c r="H1034" s="112"/>
      <c r="I1034" s="126"/>
      <c r="J1034" s="112"/>
      <c r="K1034" s="112"/>
      <c r="L1034" s="268"/>
      <c r="M1034" s="112"/>
      <c r="N1034" s="126"/>
      <c r="O1034" s="112"/>
      <c r="P1034" s="112"/>
      <c r="Q1034" s="112"/>
      <c r="R1034" s="112"/>
      <c r="S1034" s="112"/>
      <c r="T1034" s="145"/>
      <c r="U1034" s="144">
        <v>0.499</v>
      </c>
      <c r="V1034" s="112"/>
      <c r="W1034" s="112"/>
      <c r="X1034" s="112"/>
      <c r="Y1034" s="112"/>
      <c r="Z1034" s="112"/>
      <c r="AA1034" s="112"/>
      <c r="AB1034" s="112"/>
      <c r="AC1034" s="112"/>
      <c r="AD1034" s="112"/>
      <c r="AE1034" s="112"/>
      <c r="AF1034" s="112"/>
      <c r="AG1034" s="112"/>
      <c r="AH1034" s="112" t="s">
        <v>482</v>
      </c>
      <c r="AI1034" s="112" t="s">
        <v>482</v>
      </c>
      <c r="AJ1034" s="112"/>
      <c r="AK1034" s="112"/>
      <c r="AL1034" s="112"/>
      <c r="AM1034" s="646">
        <f t="shared" si="18"/>
        <v>10.499000000000001</v>
      </c>
      <c r="AO1034" s="289"/>
    </row>
    <row r="1035" spans="1:42" s="61" customFormat="1" ht="21" customHeight="1" x14ac:dyDescent="0.3">
      <c r="A1035" s="705" t="s">
        <v>216</v>
      </c>
      <c r="B1035" s="179" t="s">
        <v>293</v>
      </c>
      <c r="C1035" s="135"/>
      <c r="D1035" s="136"/>
      <c r="E1035" s="136"/>
      <c r="F1035" s="262">
        <v>449.49200000000002</v>
      </c>
      <c r="G1035" s="136">
        <v>5</v>
      </c>
      <c r="H1035" s="136"/>
      <c r="I1035" s="326"/>
      <c r="J1035" s="136"/>
      <c r="K1035" s="136"/>
      <c r="L1035" s="262"/>
      <c r="M1035" s="136"/>
      <c r="N1035" s="326"/>
      <c r="O1035" s="136"/>
      <c r="P1035" s="136"/>
      <c r="Q1035" s="136"/>
      <c r="R1035" s="136"/>
      <c r="S1035" s="136">
        <v>101.523</v>
      </c>
      <c r="T1035" s="137"/>
      <c r="U1035" s="632"/>
      <c r="V1035" s="122"/>
      <c r="W1035" s="122"/>
      <c r="X1035" s="122"/>
      <c r="Y1035" s="122"/>
      <c r="Z1035" s="122">
        <v>1</v>
      </c>
      <c r="AA1035" s="122"/>
      <c r="AB1035" s="122"/>
      <c r="AC1035" s="122"/>
      <c r="AD1035" s="122"/>
      <c r="AE1035" s="122"/>
      <c r="AF1035" s="122"/>
      <c r="AG1035" s="122"/>
      <c r="AH1035" s="122"/>
      <c r="AI1035" s="122" t="s">
        <v>482</v>
      </c>
      <c r="AJ1035" s="122"/>
      <c r="AK1035" s="122"/>
      <c r="AL1035" s="122"/>
      <c r="AM1035" s="639">
        <f t="shared" si="18"/>
        <v>557.01499999999999</v>
      </c>
      <c r="AO1035" s="289"/>
    </row>
    <row r="1036" spans="1:42" s="61" customFormat="1" ht="19.5" customHeight="1" x14ac:dyDescent="0.3">
      <c r="A1036" s="706"/>
      <c r="B1036" s="116" t="s">
        <v>294</v>
      </c>
      <c r="C1036" s="138">
        <v>2</v>
      </c>
      <c r="D1036" s="109"/>
      <c r="E1036" s="109"/>
      <c r="F1036" s="263">
        <v>960.09400000000005</v>
      </c>
      <c r="G1036" s="109">
        <v>5</v>
      </c>
      <c r="H1036" s="109"/>
      <c r="I1036" s="123"/>
      <c r="J1036" s="109"/>
      <c r="K1036" s="109"/>
      <c r="L1036" s="263"/>
      <c r="M1036" s="109"/>
      <c r="N1036" s="123"/>
      <c r="O1036" s="109"/>
      <c r="P1036" s="109"/>
      <c r="Q1036" s="109"/>
      <c r="R1036" s="109"/>
      <c r="S1036" s="109"/>
      <c r="T1036" s="139"/>
      <c r="U1036" s="138"/>
      <c r="V1036" s="109"/>
      <c r="W1036" s="109"/>
      <c r="X1036" s="109"/>
      <c r="Y1036" s="109"/>
      <c r="Z1036" s="109">
        <v>98</v>
      </c>
      <c r="AA1036" s="109"/>
      <c r="AB1036" s="109"/>
      <c r="AC1036" s="109"/>
      <c r="AD1036" s="109"/>
      <c r="AE1036" s="109"/>
      <c r="AF1036" s="109"/>
      <c r="AG1036" s="109"/>
      <c r="AH1036" s="109"/>
      <c r="AI1036" s="109" t="s">
        <v>482</v>
      </c>
      <c r="AJ1036" s="109"/>
      <c r="AK1036" s="109"/>
      <c r="AL1036" s="109"/>
      <c r="AM1036" s="640">
        <f t="shared" si="18"/>
        <v>1065.0940000000001</v>
      </c>
      <c r="AO1036" s="289"/>
    </row>
    <row r="1037" spans="1:42" s="61" customFormat="1" ht="22.5" customHeight="1" x14ac:dyDescent="0.3">
      <c r="A1037" s="706"/>
      <c r="B1037" s="117" t="s">
        <v>326</v>
      </c>
      <c r="C1037" s="140">
        <v>239.583</v>
      </c>
      <c r="D1037" s="110"/>
      <c r="E1037" s="110"/>
      <c r="F1037" s="264">
        <v>1154</v>
      </c>
      <c r="G1037" s="110">
        <v>5</v>
      </c>
      <c r="H1037" s="110"/>
      <c r="I1037" s="124"/>
      <c r="J1037" s="110"/>
      <c r="K1037" s="110"/>
      <c r="L1037" s="264"/>
      <c r="M1037" s="110"/>
      <c r="N1037" s="124"/>
      <c r="O1037" s="110"/>
      <c r="P1037" s="110">
        <v>95</v>
      </c>
      <c r="Q1037" s="110"/>
      <c r="R1037" s="110"/>
      <c r="S1037" s="110">
        <v>905</v>
      </c>
      <c r="T1037" s="141"/>
      <c r="U1037" s="140">
        <v>56.412999999999997</v>
      </c>
      <c r="V1037" s="110"/>
      <c r="W1037" s="110"/>
      <c r="X1037" s="110"/>
      <c r="Y1037" s="110"/>
      <c r="Z1037" s="110">
        <v>119</v>
      </c>
      <c r="AA1037" s="110"/>
      <c r="AB1037" s="110">
        <v>1</v>
      </c>
      <c r="AC1037" s="110"/>
      <c r="AD1037" s="110">
        <v>2</v>
      </c>
      <c r="AE1037" s="110"/>
      <c r="AF1037" s="110"/>
      <c r="AG1037" s="110"/>
      <c r="AH1037" s="110"/>
      <c r="AI1037" s="110" t="s">
        <v>482</v>
      </c>
      <c r="AJ1037" s="110"/>
      <c r="AK1037" s="110"/>
      <c r="AL1037" s="110"/>
      <c r="AM1037" s="641">
        <f t="shared" ref="AM1037:AM1100" si="19">SUM(C1037:AL1037)</f>
        <v>2576.9960000000001</v>
      </c>
      <c r="AO1037" s="289"/>
      <c r="AP1037" s="97"/>
    </row>
    <row r="1038" spans="1:42" s="61" customFormat="1" ht="25.5" customHeight="1" x14ac:dyDescent="0.3">
      <c r="A1038" s="706"/>
      <c r="B1038" s="175" t="s">
        <v>327</v>
      </c>
      <c r="C1038" s="176">
        <v>231.26</v>
      </c>
      <c r="D1038" s="127"/>
      <c r="E1038" s="127"/>
      <c r="F1038" s="265">
        <v>673</v>
      </c>
      <c r="G1038" s="127">
        <v>5</v>
      </c>
      <c r="H1038" s="127"/>
      <c r="I1038" s="178"/>
      <c r="J1038" s="127"/>
      <c r="K1038" s="127"/>
      <c r="L1038" s="265"/>
      <c r="M1038" s="127"/>
      <c r="N1038" s="178"/>
      <c r="O1038" s="127"/>
      <c r="P1038" s="127"/>
      <c r="Q1038" s="127"/>
      <c r="R1038" s="127"/>
      <c r="S1038" s="127">
        <v>898</v>
      </c>
      <c r="T1038" s="177"/>
      <c r="U1038" s="176">
        <v>0.183</v>
      </c>
      <c r="V1038" s="127"/>
      <c r="W1038" s="127"/>
      <c r="X1038" s="127">
        <v>1</v>
      </c>
      <c r="Y1038" s="127"/>
      <c r="Z1038" s="127">
        <v>4</v>
      </c>
      <c r="AA1038" s="127"/>
      <c r="AB1038" s="127">
        <v>1</v>
      </c>
      <c r="AC1038" s="127"/>
      <c r="AD1038" s="127">
        <v>1</v>
      </c>
      <c r="AE1038" s="127"/>
      <c r="AF1038" s="127"/>
      <c r="AG1038" s="127"/>
      <c r="AH1038" s="127">
        <v>2</v>
      </c>
      <c r="AI1038" s="127" t="s">
        <v>482</v>
      </c>
      <c r="AJ1038" s="127"/>
      <c r="AK1038" s="127"/>
      <c r="AL1038" s="127"/>
      <c r="AM1038" s="642">
        <f t="shared" si="19"/>
        <v>1816.443</v>
      </c>
      <c r="AO1038" s="289"/>
    </row>
    <row r="1039" spans="1:42" s="61" customFormat="1" ht="25.5" customHeight="1" x14ac:dyDescent="0.3">
      <c r="A1039" s="706"/>
      <c r="B1039" s="180" t="s">
        <v>361</v>
      </c>
      <c r="C1039" s="300">
        <v>157.35300000000001</v>
      </c>
      <c r="D1039" s="173"/>
      <c r="E1039" s="173"/>
      <c r="F1039" s="266">
        <v>317</v>
      </c>
      <c r="G1039" s="173">
        <f>5+0</f>
        <v>5</v>
      </c>
      <c r="H1039" s="173"/>
      <c r="I1039" s="174"/>
      <c r="J1039" s="173"/>
      <c r="K1039" s="173"/>
      <c r="L1039" s="266"/>
      <c r="M1039" s="173"/>
      <c r="N1039" s="174"/>
      <c r="O1039" s="173"/>
      <c r="P1039" s="173"/>
      <c r="Q1039" s="173"/>
      <c r="R1039" s="173"/>
      <c r="S1039" s="173">
        <v>864</v>
      </c>
      <c r="T1039" s="327"/>
      <c r="U1039" s="300"/>
      <c r="V1039" s="173"/>
      <c r="W1039" s="173"/>
      <c r="X1039" s="173"/>
      <c r="Y1039" s="173"/>
      <c r="Z1039" s="173">
        <v>1.05189</v>
      </c>
      <c r="AA1039" s="173">
        <v>0.44729999999999998</v>
      </c>
      <c r="AB1039" s="173"/>
      <c r="AC1039" s="173"/>
      <c r="AD1039" s="173"/>
      <c r="AE1039" s="173"/>
      <c r="AF1039" s="173"/>
      <c r="AG1039" s="173"/>
      <c r="AH1039" s="173"/>
      <c r="AI1039" s="173" t="s">
        <v>482</v>
      </c>
      <c r="AJ1039" s="173"/>
      <c r="AK1039" s="173"/>
      <c r="AL1039" s="173"/>
      <c r="AM1039" s="643">
        <f t="shared" si="19"/>
        <v>1344.8521900000001</v>
      </c>
      <c r="AO1039" s="289"/>
      <c r="AP1039" s="97"/>
    </row>
    <row r="1040" spans="1:42" s="61" customFormat="1" ht="25.5" customHeight="1" x14ac:dyDescent="0.3">
      <c r="A1040" s="706"/>
      <c r="B1040" s="180" t="s">
        <v>362</v>
      </c>
      <c r="C1040" s="300">
        <v>176.28</v>
      </c>
      <c r="D1040" s="173"/>
      <c r="E1040" s="173"/>
      <c r="F1040" s="266">
        <v>150</v>
      </c>
      <c r="G1040" s="173">
        <v>5</v>
      </c>
      <c r="H1040" s="173"/>
      <c r="I1040" s="174"/>
      <c r="J1040" s="173"/>
      <c r="K1040" s="173"/>
      <c r="L1040" s="266"/>
      <c r="M1040" s="173"/>
      <c r="N1040" s="174"/>
      <c r="O1040" s="173"/>
      <c r="P1040" s="173"/>
      <c r="Q1040" s="173"/>
      <c r="R1040" s="173"/>
      <c r="S1040" s="173">
        <v>952</v>
      </c>
      <c r="T1040" s="327"/>
      <c r="U1040" s="300">
        <v>116.538</v>
      </c>
      <c r="V1040" s="173"/>
      <c r="W1040" s="173"/>
      <c r="X1040" s="173"/>
      <c r="Y1040" s="173"/>
      <c r="Z1040" s="173">
        <v>1.5</v>
      </c>
      <c r="AA1040" s="173"/>
      <c r="AB1040" s="173"/>
      <c r="AC1040" s="173"/>
      <c r="AD1040" s="173"/>
      <c r="AE1040" s="173"/>
      <c r="AF1040" s="173"/>
      <c r="AG1040" s="173"/>
      <c r="AH1040" s="173"/>
      <c r="AI1040" s="173" t="s">
        <v>482</v>
      </c>
      <c r="AJ1040" s="173"/>
      <c r="AK1040" s="173"/>
      <c r="AL1040" s="173"/>
      <c r="AM1040" s="644">
        <f t="shared" si="19"/>
        <v>1401.318</v>
      </c>
      <c r="AO1040" s="289"/>
      <c r="AP1040" s="97"/>
    </row>
    <row r="1041" spans="1:42" s="61" customFormat="1" ht="22.5" customHeight="1" x14ac:dyDescent="0.3">
      <c r="A1041" s="706"/>
      <c r="B1041" s="115" t="s">
        <v>402</v>
      </c>
      <c r="C1041" s="142">
        <v>200</v>
      </c>
      <c r="D1041" s="111"/>
      <c r="E1041" s="111"/>
      <c r="F1041" s="267">
        <v>45</v>
      </c>
      <c r="G1041" s="111"/>
      <c r="H1041" s="111">
        <v>300</v>
      </c>
      <c r="I1041" s="125"/>
      <c r="J1041" s="111"/>
      <c r="K1041" s="111"/>
      <c r="L1041" s="267"/>
      <c r="M1041" s="111"/>
      <c r="N1041" s="125"/>
      <c r="O1041" s="111"/>
      <c r="P1041" s="111"/>
      <c r="Q1041" s="111"/>
      <c r="R1041" s="111"/>
      <c r="S1041" s="111">
        <v>115.74453</v>
      </c>
      <c r="T1041" s="143">
        <v>11.84</v>
      </c>
      <c r="U1041" s="142">
        <v>2.5</v>
      </c>
      <c r="V1041" s="111"/>
      <c r="W1041" s="111"/>
      <c r="X1041" s="111"/>
      <c r="Y1041" s="111"/>
      <c r="Z1041" s="111">
        <v>192</v>
      </c>
      <c r="AA1041" s="111"/>
      <c r="AB1041" s="111"/>
      <c r="AC1041" s="111">
        <v>180</v>
      </c>
      <c r="AD1041" s="111"/>
      <c r="AE1041" s="111"/>
      <c r="AF1041" s="111"/>
      <c r="AG1041" s="111"/>
      <c r="AH1041" s="111" t="s">
        <v>482</v>
      </c>
      <c r="AI1041" s="111" t="s">
        <v>482</v>
      </c>
      <c r="AJ1041" s="111"/>
      <c r="AK1041" s="111"/>
      <c r="AL1041" s="111"/>
      <c r="AM1041" s="645">
        <f t="shared" si="19"/>
        <v>1047.0845300000001</v>
      </c>
      <c r="AO1041" s="289"/>
    </row>
    <row r="1042" spans="1:42" s="61" customFormat="1" ht="21" customHeight="1" x14ac:dyDescent="0.3">
      <c r="A1042" s="707"/>
      <c r="B1042" s="181" t="s">
        <v>403</v>
      </c>
      <c r="C1042" s="144">
        <v>3</v>
      </c>
      <c r="D1042" s="112"/>
      <c r="E1042" s="112"/>
      <c r="F1042" s="268">
        <v>237.7</v>
      </c>
      <c r="G1042" s="112"/>
      <c r="H1042" s="112">
        <v>1405.463</v>
      </c>
      <c r="I1042" s="126"/>
      <c r="J1042" s="112"/>
      <c r="K1042" s="112"/>
      <c r="L1042" s="268"/>
      <c r="M1042" s="112"/>
      <c r="N1042" s="126"/>
      <c r="O1042" s="112"/>
      <c r="P1042" s="112"/>
      <c r="Q1042" s="112"/>
      <c r="R1042" s="112"/>
      <c r="S1042" s="112">
        <v>153.99963</v>
      </c>
      <c r="T1042" s="145"/>
      <c r="U1042" s="144">
        <v>0.189</v>
      </c>
      <c r="V1042" s="112"/>
      <c r="W1042" s="112"/>
      <c r="X1042" s="112"/>
      <c r="Y1042" s="112"/>
      <c r="Z1042" s="112"/>
      <c r="AA1042" s="112"/>
      <c r="AB1042" s="112"/>
      <c r="AC1042" s="112">
        <v>100</v>
      </c>
      <c r="AD1042" s="112"/>
      <c r="AE1042" s="112"/>
      <c r="AF1042" s="112"/>
      <c r="AG1042" s="112"/>
      <c r="AH1042" s="112" t="s">
        <v>482</v>
      </c>
      <c r="AI1042" s="112" t="s">
        <v>482</v>
      </c>
      <c r="AJ1042" s="112"/>
      <c r="AK1042" s="112">
        <f>10.0225/1.001</f>
        <v>10.012487512487514</v>
      </c>
      <c r="AL1042" s="112"/>
      <c r="AM1042" s="646">
        <f t="shared" si="19"/>
        <v>1910.3641175124876</v>
      </c>
      <c r="AO1042" s="289"/>
    </row>
    <row r="1043" spans="1:42" s="61" customFormat="1" ht="21" customHeight="1" x14ac:dyDescent="0.3">
      <c r="A1043" s="705" t="s">
        <v>217</v>
      </c>
      <c r="B1043" s="179" t="s">
        <v>293</v>
      </c>
      <c r="C1043" s="135"/>
      <c r="D1043" s="136"/>
      <c r="E1043" s="136"/>
      <c r="F1043" s="262"/>
      <c r="G1043" s="136"/>
      <c r="H1043" s="136"/>
      <c r="I1043" s="326"/>
      <c r="J1043" s="136"/>
      <c r="K1043" s="136"/>
      <c r="L1043" s="262"/>
      <c r="M1043" s="136"/>
      <c r="N1043" s="326"/>
      <c r="O1043" s="136"/>
      <c r="P1043" s="136"/>
      <c r="Q1043" s="136"/>
      <c r="R1043" s="136"/>
      <c r="S1043" s="136"/>
      <c r="T1043" s="137"/>
      <c r="U1043" s="632"/>
      <c r="V1043" s="122"/>
      <c r="W1043" s="122"/>
      <c r="X1043" s="122"/>
      <c r="Y1043" s="122"/>
      <c r="Z1043" s="122"/>
      <c r="AA1043" s="122"/>
      <c r="AB1043" s="122"/>
      <c r="AC1043" s="122"/>
      <c r="AD1043" s="122"/>
      <c r="AE1043" s="122"/>
      <c r="AF1043" s="122"/>
      <c r="AG1043" s="122"/>
      <c r="AH1043" s="122"/>
      <c r="AI1043" s="122" t="s">
        <v>482</v>
      </c>
      <c r="AJ1043" s="122"/>
      <c r="AK1043" s="122"/>
      <c r="AL1043" s="122"/>
      <c r="AM1043" s="639">
        <f t="shared" si="19"/>
        <v>0</v>
      </c>
      <c r="AO1043" s="289"/>
    </row>
    <row r="1044" spans="1:42" s="61" customFormat="1" ht="19.5" customHeight="1" x14ac:dyDescent="0.3">
      <c r="A1044" s="706"/>
      <c r="B1044" s="116" t="s">
        <v>294</v>
      </c>
      <c r="C1044" s="138"/>
      <c r="D1044" s="109"/>
      <c r="E1044" s="109"/>
      <c r="F1044" s="263"/>
      <c r="G1044" s="109"/>
      <c r="H1044" s="109"/>
      <c r="I1044" s="123"/>
      <c r="J1044" s="109"/>
      <c r="K1044" s="109"/>
      <c r="L1044" s="263"/>
      <c r="M1044" s="109"/>
      <c r="N1044" s="123"/>
      <c r="O1044" s="109"/>
      <c r="P1044" s="109"/>
      <c r="Q1044" s="109"/>
      <c r="R1044" s="109"/>
      <c r="S1044" s="109"/>
      <c r="T1044" s="139"/>
      <c r="U1044" s="138"/>
      <c r="V1044" s="109"/>
      <c r="W1044" s="109"/>
      <c r="X1044" s="109"/>
      <c r="Y1044" s="109"/>
      <c r="Z1044" s="109"/>
      <c r="AA1044" s="109"/>
      <c r="AB1044" s="109"/>
      <c r="AC1044" s="109"/>
      <c r="AD1044" s="109"/>
      <c r="AE1044" s="109"/>
      <c r="AF1044" s="109"/>
      <c r="AG1044" s="109"/>
      <c r="AH1044" s="109"/>
      <c r="AI1044" s="109" t="s">
        <v>482</v>
      </c>
      <c r="AJ1044" s="109"/>
      <c r="AK1044" s="109"/>
      <c r="AL1044" s="109"/>
      <c r="AM1044" s="640">
        <f t="shared" si="19"/>
        <v>0</v>
      </c>
      <c r="AO1044" s="289"/>
    </row>
    <row r="1045" spans="1:42" s="61" customFormat="1" ht="22.5" customHeight="1" x14ac:dyDescent="0.3">
      <c r="A1045" s="706"/>
      <c r="B1045" s="117" t="s">
        <v>326</v>
      </c>
      <c r="C1045" s="140"/>
      <c r="D1045" s="110"/>
      <c r="E1045" s="110"/>
      <c r="F1045" s="264"/>
      <c r="G1045" s="110"/>
      <c r="H1045" s="110"/>
      <c r="I1045" s="124"/>
      <c r="J1045" s="110"/>
      <c r="K1045" s="110"/>
      <c r="L1045" s="264"/>
      <c r="M1045" s="110"/>
      <c r="N1045" s="124"/>
      <c r="O1045" s="110"/>
      <c r="P1045" s="110"/>
      <c r="Q1045" s="110"/>
      <c r="R1045" s="110"/>
      <c r="S1045" s="110"/>
      <c r="T1045" s="141"/>
      <c r="U1045" s="140"/>
      <c r="V1045" s="110"/>
      <c r="W1045" s="110"/>
      <c r="X1045" s="110"/>
      <c r="Y1045" s="110"/>
      <c r="Z1045" s="110"/>
      <c r="AA1045" s="110"/>
      <c r="AB1045" s="110"/>
      <c r="AC1045" s="110"/>
      <c r="AD1045" s="110"/>
      <c r="AE1045" s="110"/>
      <c r="AF1045" s="110"/>
      <c r="AG1045" s="110"/>
      <c r="AH1045" s="110"/>
      <c r="AI1045" s="110" t="s">
        <v>482</v>
      </c>
      <c r="AJ1045" s="110"/>
      <c r="AK1045" s="110"/>
      <c r="AL1045" s="110"/>
      <c r="AM1045" s="641">
        <f t="shared" si="19"/>
        <v>0</v>
      </c>
      <c r="AO1045" s="289"/>
      <c r="AP1045" s="97"/>
    </row>
    <row r="1046" spans="1:42" s="61" customFormat="1" ht="25.5" customHeight="1" x14ac:dyDescent="0.3">
      <c r="A1046" s="706"/>
      <c r="B1046" s="175" t="s">
        <v>327</v>
      </c>
      <c r="C1046" s="176"/>
      <c r="D1046" s="127"/>
      <c r="E1046" s="127"/>
      <c r="F1046" s="265"/>
      <c r="G1046" s="127"/>
      <c r="H1046" s="127"/>
      <c r="I1046" s="178"/>
      <c r="J1046" s="127"/>
      <c r="K1046" s="127"/>
      <c r="L1046" s="265"/>
      <c r="M1046" s="127"/>
      <c r="N1046" s="178"/>
      <c r="O1046" s="127"/>
      <c r="P1046" s="127"/>
      <c r="Q1046" s="127"/>
      <c r="R1046" s="127"/>
      <c r="S1046" s="127"/>
      <c r="T1046" s="177"/>
      <c r="U1046" s="176"/>
      <c r="V1046" s="127"/>
      <c r="W1046" s="127"/>
      <c r="X1046" s="127"/>
      <c r="Y1046" s="127"/>
      <c r="Z1046" s="127"/>
      <c r="AA1046" s="127"/>
      <c r="AB1046" s="127"/>
      <c r="AC1046" s="127"/>
      <c r="AD1046" s="127"/>
      <c r="AE1046" s="127"/>
      <c r="AF1046" s="127"/>
      <c r="AG1046" s="127"/>
      <c r="AH1046" s="127"/>
      <c r="AI1046" s="127" t="s">
        <v>482</v>
      </c>
      <c r="AJ1046" s="127"/>
      <c r="AK1046" s="127"/>
      <c r="AL1046" s="127"/>
      <c r="AM1046" s="642">
        <f t="shared" si="19"/>
        <v>0</v>
      </c>
      <c r="AO1046" s="289"/>
    </row>
    <row r="1047" spans="1:42" s="61" customFormat="1" ht="25.5" customHeight="1" x14ac:dyDescent="0.3">
      <c r="A1047" s="706"/>
      <c r="B1047" s="180" t="s">
        <v>361</v>
      </c>
      <c r="C1047" s="300"/>
      <c r="D1047" s="173"/>
      <c r="E1047" s="173"/>
      <c r="F1047" s="266"/>
      <c r="G1047" s="173"/>
      <c r="H1047" s="173"/>
      <c r="I1047" s="174"/>
      <c r="J1047" s="173"/>
      <c r="K1047" s="173"/>
      <c r="L1047" s="266"/>
      <c r="M1047" s="173"/>
      <c r="N1047" s="174"/>
      <c r="O1047" s="173"/>
      <c r="P1047" s="173"/>
      <c r="Q1047" s="173"/>
      <c r="R1047" s="173"/>
      <c r="S1047" s="173"/>
      <c r="T1047" s="327"/>
      <c r="U1047" s="300"/>
      <c r="V1047" s="173"/>
      <c r="W1047" s="173"/>
      <c r="X1047" s="173"/>
      <c r="Y1047" s="173"/>
      <c r="Z1047" s="173"/>
      <c r="AA1047" s="173"/>
      <c r="AB1047" s="173"/>
      <c r="AC1047" s="173"/>
      <c r="AD1047" s="173"/>
      <c r="AE1047" s="173"/>
      <c r="AF1047" s="173"/>
      <c r="AG1047" s="173"/>
      <c r="AH1047" s="173"/>
      <c r="AI1047" s="173" t="s">
        <v>482</v>
      </c>
      <c r="AJ1047" s="173"/>
      <c r="AK1047" s="173"/>
      <c r="AL1047" s="173"/>
      <c r="AM1047" s="643">
        <f t="shared" si="19"/>
        <v>0</v>
      </c>
      <c r="AO1047" s="289"/>
      <c r="AP1047" s="97"/>
    </row>
    <row r="1048" spans="1:42" s="61" customFormat="1" ht="25.5" customHeight="1" x14ac:dyDescent="0.3">
      <c r="A1048" s="706"/>
      <c r="B1048" s="180" t="s">
        <v>362</v>
      </c>
      <c r="C1048" s="300"/>
      <c r="D1048" s="173"/>
      <c r="E1048" s="173"/>
      <c r="F1048" s="266"/>
      <c r="G1048" s="173"/>
      <c r="H1048" s="173"/>
      <c r="I1048" s="174"/>
      <c r="J1048" s="173"/>
      <c r="K1048" s="173"/>
      <c r="L1048" s="266"/>
      <c r="M1048" s="173"/>
      <c r="N1048" s="174"/>
      <c r="O1048" s="173"/>
      <c r="P1048" s="173"/>
      <c r="Q1048" s="173"/>
      <c r="R1048" s="173"/>
      <c r="S1048" s="173"/>
      <c r="T1048" s="327"/>
      <c r="U1048" s="300"/>
      <c r="V1048" s="173"/>
      <c r="W1048" s="173"/>
      <c r="X1048" s="173"/>
      <c r="Y1048" s="173"/>
      <c r="Z1048" s="173"/>
      <c r="AA1048" s="173"/>
      <c r="AB1048" s="173"/>
      <c r="AC1048" s="173"/>
      <c r="AD1048" s="173"/>
      <c r="AE1048" s="173"/>
      <c r="AF1048" s="173"/>
      <c r="AG1048" s="173"/>
      <c r="AH1048" s="173"/>
      <c r="AI1048" s="173" t="s">
        <v>482</v>
      </c>
      <c r="AJ1048" s="173"/>
      <c r="AK1048" s="173"/>
      <c r="AL1048" s="173"/>
      <c r="AM1048" s="644">
        <f t="shared" si="19"/>
        <v>0</v>
      </c>
      <c r="AO1048" s="289"/>
      <c r="AP1048" s="97"/>
    </row>
    <row r="1049" spans="1:42" s="61" customFormat="1" ht="22.5" customHeight="1" x14ac:dyDescent="0.3">
      <c r="A1049" s="706"/>
      <c r="B1049" s="115" t="s">
        <v>402</v>
      </c>
      <c r="C1049" s="142"/>
      <c r="D1049" s="111"/>
      <c r="E1049" s="111"/>
      <c r="F1049" s="267"/>
      <c r="G1049" s="111"/>
      <c r="H1049" s="111"/>
      <c r="I1049" s="125"/>
      <c r="J1049" s="111"/>
      <c r="K1049" s="111"/>
      <c r="L1049" s="267"/>
      <c r="M1049" s="111"/>
      <c r="N1049" s="125"/>
      <c r="O1049" s="111"/>
      <c r="P1049" s="111"/>
      <c r="Q1049" s="111"/>
      <c r="R1049" s="111"/>
      <c r="S1049" s="111">
        <v>30.691220000000001</v>
      </c>
      <c r="T1049" s="143"/>
      <c r="U1049" s="142"/>
      <c r="V1049" s="111"/>
      <c r="W1049" s="111"/>
      <c r="X1049" s="111"/>
      <c r="Y1049" s="111"/>
      <c r="Z1049" s="111"/>
      <c r="AA1049" s="111"/>
      <c r="AB1049" s="111"/>
      <c r="AC1049" s="111"/>
      <c r="AD1049" s="111"/>
      <c r="AE1049" s="111"/>
      <c r="AF1049" s="111"/>
      <c r="AG1049" s="111"/>
      <c r="AH1049" s="111" t="s">
        <v>482</v>
      </c>
      <c r="AI1049" s="111" t="s">
        <v>482</v>
      </c>
      <c r="AJ1049" s="111"/>
      <c r="AK1049" s="111"/>
      <c r="AL1049" s="111"/>
      <c r="AM1049" s="645">
        <f t="shared" si="19"/>
        <v>30.691220000000001</v>
      </c>
      <c r="AO1049" s="289"/>
    </row>
    <row r="1050" spans="1:42" s="61" customFormat="1" ht="21" customHeight="1" x14ac:dyDescent="0.3">
      <c r="A1050" s="707"/>
      <c r="B1050" s="181" t="s">
        <v>403</v>
      </c>
      <c r="C1050" s="144"/>
      <c r="D1050" s="112"/>
      <c r="E1050" s="112"/>
      <c r="F1050" s="268"/>
      <c r="G1050" s="112"/>
      <c r="H1050" s="112"/>
      <c r="I1050" s="126"/>
      <c r="J1050" s="112"/>
      <c r="K1050" s="112"/>
      <c r="L1050" s="268"/>
      <c r="M1050" s="112"/>
      <c r="N1050" s="126"/>
      <c r="O1050" s="112"/>
      <c r="P1050" s="112"/>
      <c r="Q1050" s="112"/>
      <c r="R1050" s="112"/>
      <c r="S1050" s="112">
        <v>211.6936</v>
      </c>
      <c r="T1050" s="145"/>
      <c r="U1050" s="144"/>
      <c r="V1050" s="112"/>
      <c r="W1050" s="112"/>
      <c r="X1050" s="112"/>
      <c r="Y1050" s="112"/>
      <c r="Z1050" s="112"/>
      <c r="AA1050" s="112"/>
      <c r="AB1050" s="112"/>
      <c r="AC1050" s="112"/>
      <c r="AD1050" s="112"/>
      <c r="AE1050" s="112"/>
      <c r="AF1050" s="112"/>
      <c r="AG1050" s="112"/>
      <c r="AH1050" s="112" t="s">
        <v>482</v>
      </c>
      <c r="AI1050" s="112" t="s">
        <v>482</v>
      </c>
      <c r="AJ1050" s="112"/>
      <c r="AK1050" s="112"/>
      <c r="AL1050" s="112"/>
      <c r="AM1050" s="646">
        <f t="shared" si="19"/>
        <v>211.6936</v>
      </c>
      <c r="AO1050" s="289"/>
    </row>
    <row r="1051" spans="1:42" s="61" customFormat="1" ht="21" customHeight="1" x14ac:dyDescent="0.3">
      <c r="A1051" s="705" t="s">
        <v>218</v>
      </c>
      <c r="B1051" s="179" t="s">
        <v>293</v>
      </c>
      <c r="C1051" s="135">
        <v>8.9600000000000009</v>
      </c>
      <c r="D1051" s="136"/>
      <c r="E1051" s="136"/>
      <c r="F1051" s="262">
        <v>-69.671999999999997</v>
      </c>
      <c r="G1051" s="136"/>
      <c r="H1051" s="136"/>
      <c r="I1051" s="326"/>
      <c r="J1051" s="136"/>
      <c r="K1051" s="136"/>
      <c r="L1051" s="262"/>
      <c r="M1051" s="136"/>
      <c r="N1051" s="326"/>
      <c r="O1051" s="136"/>
      <c r="P1051" s="136"/>
      <c r="Q1051" s="136"/>
      <c r="R1051" s="136"/>
      <c r="S1051" s="136">
        <v>80</v>
      </c>
      <c r="T1051" s="137"/>
      <c r="U1051" s="632"/>
      <c r="V1051" s="122"/>
      <c r="W1051" s="122"/>
      <c r="X1051" s="122"/>
      <c r="Y1051" s="122"/>
      <c r="Z1051" s="122"/>
      <c r="AA1051" s="122"/>
      <c r="AB1051" s="122"/>
      <c r="AC1051" s="122"/>
      <c r="AD1051" s="122"/>
      <c r="AE1051" s="122"/>
      <c r="AF1051" s="122"/>
      <c r="AG1051" s="122">
        <v>0.9</v>
      </c>
      <c r="AH1051" s="122">
        <v>100</v>
      </c>
      <c r="AI1051" s="122" t="s">
        <v>482</v>
      </c>
      <c r="AJ1051" s="122"/>
      <c r="AK1051" s="122"/>
      <c r="AL1051" s="122"/>
      <c r="AM1051" s="639">
        <f t="shared" si="19"/>
        <v>120.188</v>
      </c>
      <c r="AO1051" s="289"/>
    </row>
    <row r="1052" spans="1:42" s="61" customFormat="1" ht="19.5" customHeight="1" x14ac:dyDescent="0.3">
      <c r="A1052" s="706"/>
      <c r="B1052" s="116" t="s">
        <v>294</v>
      </c>
      <c r="C1052" s="138"/>
      <c r="D1052" s="109"/>
      <c r="E1052" s="109"/>
      <c r="F1052" s="263">
        <v>182.07499999999999</v>
      </c>
      <c r="G1052" s="109"/>
      <c r="H1052" s="109"/>
      <c r="I1052" s="123"/>
      <c r="J1052" s="109"/>
      <c r="K1052" s="109"/>
      <c r="L1052" s="263"/>
      <c r="M1052" s="109"/>
      <c r="N1052" s="123"/>
      <c r="O1052" s="109"/>
      <c r="P1052" s="109"/>
      <c r="Q1052" s="109"/>
      <c r="R1052" s="109"/>
      <c r="S1052" s="109"/>
      <c r="T1052" s="139"/>
      <c r="U1052" s="138"/>
      <c r="V1052" s="109"/>
      <c r="W1052" s="109"/>
      <c r="X1052" s="109"/>
      <c r="Y1052" s="109"/>
      <c r="Z1052" s="109"/>
      <c r="AA1052" s="109"/>
      <c r="AB1052" s="109"/>
      <c r="AC1052" s="109"/>
      <c r="AD1052" s="109"/>
      <c r="AE1052" s="109"/>
      <c r="AF1052" s="109"/>
      <c r="AG1052" s="109"/>
      <c r="AH1052" s="109">
        <v>100.82</v>
      </c>
      <c r="AI1052" s="109" t="s">
        <v>482</v>
      </c>
      <c r="AJ1052" s="109"/>
      <c r="AK1052" s="109"/>
      <c r="AL1052" s="109"/>
      <c r="AM1052" s="640">
        <f t="shared" si="19"/>
        <v>282.89499999999998</v>
      </c>
      <c r="AO1052" s="289"/>
    </row>
    <row r="1053" spans="1:42" s="61" customFormat="1" ht="22.5" customHeight="1" x14ac:dyDescent="0.3">
      <c r="A1053" s="706"/>
      <c r="B1053" s="117" t="s">
        <v>326</v>
      </c>
      <c r="C1053" s="140">
        <v>18</v>
      </c>
      <c r="D1053" s="110"/>
      <c r="E1053" s="110"/>
      <c r="F1053" s="264">
        <v>469</v>
      </c>
      <c r="G1053" s="110"/>
      <c r="H1053" s="110">
        <v>255</v>
      </c>
      <c r="I1053" s="124"/>
      <c r="J1053" s="110"/>
      <c r="K1053" s="110"/>
      <c r="L1053" s="264"/>
      <c r="M1053" s="110"/>
      <c r="N1053" s="124"/>
      <c r="O1053" s="110"/>
      <c r="P1053" s="110"/>
      <c r="Q1053" s="110"/>
      <c r="R1053" s="110"/>
      <c r="S1053" s="110">
        <v>1</v>
      </c>
      <c r="T1053" s="141"/>
      <c r="U1053" s="140">
        <v>0.26500000000000001</v>
      </c>
      <c r="V1053" s="110"/>
      <c r="W1053" s="110"/>
      <c r="X1053" s="110"/>
      <c r="Y1053" s="110"/>
      <c r="Z1053" s="110">
        <v>15</v>
      </c>
      <c r="AA1053" s="110"/>
      <c r="AB1053" s="110"/>
      <c r="AC1053" s="110"/>
      <c r="AD1053" s="110"/>
      <c r="AE1053" s="110"/>
      <c r="AF1053" s="110"/>
      <c r="AG1053" s="110"/>
      <c r="AH1053" s="110">
        <v>-99855.808860000005</v>
      </c>
      <c r="AI1053" s="110" t="s">
        <v>482</v>
      </c>
      <c r="AJ1053" s="110"/>
      <c r="AK1053" s="110"/>
      <c r="AL1053" s="110"/>
      <c r="AM1053" s="641">
        <f t="shared" si="19"/>
        <v>-99097.543860000005</v>
      </c>
      <c r="AO1053" s="289"/>
      <c r="AP1053" s="97"/>
    </row>
    <row r="1054" spans="1:42" s="61" customFormat="1" ht="25.5" customHeight="1" x14ac:dyDescent="0.3">
      <c r="A1054" s="706"/>
      <c r="B1054" s="175" t="s">
        <v>327</v>
      </c>
      <c r="C1054" s="176">
        <v>14.964</v>
      </c>
      <c r="D1054" s="127"/>
      <c r="E1054" s="127"/>
      <c r="F1054" s="265">
        <v>209</v>
      </c>
      <c r="G1054" s="127"/>
      <c r="H1054" s="127">
        <v>23</v>
      </c>
      <c r="I1054" s="178"/>
      <c r="J1054" s="127"/>
      <c r="K1054" s="127"/>
      <c r="L1054" s="265"/>
      <c r="M1054" s="127"/>
      <c r="N1054" s="178"/>
      <c r="O1054" s="127"/>
      <c r="P1054" s="127"/>
      <c r="Q1054" s="127"/>
      <c r="R1054" s="127"/>
      <c r="S1054" s="127">
        <v>1011</v>
      </c>
      <c r="T1054" s="177"/>
      <c r="U1054" s="176"/>
      <c r="V1054" s="127"/>
      <c r="W1054" s="127"/>
      <c r="X1054" s="127"/>
      <c r="Y1054" s="127"/>
      <c r="Z1054" s="127">
        <v>1.04667</v>
      </c>
      <c r="AA1054" s="127"/>
      <c r="AB1054" s="127"/>
      <c r="AC1054" s="127"/>
      <c r="AD1054" s="127"/>
      <c r="AE1054" s="127"/>
      <c r="AF1054" s="127"/>
      <c r="AG1054" s="127"/>
      <c r="AH1054" s="127">
        <v>149.12</v>
      </c>
      <c r="AI1054" s="127" t="s">
        <v>482</v>
      </c>
      <c r="AJ1054" s="127"/>
      <c r="AK1054" s="127"/>
      <c r="AL1054" s="127"/>
      <c r="AM1054" s="642">
        <f t="shared" si="19"/>
        <v>1408.13067</v>
      </c>
      <c r="AO1054" s="289"/>
    </row>
    <row r="1055" spans="1:42" s="61" customFormat="1" ht="25.5" customHeight="1" x14ac:dyDescent="0.3">
      <c r="A1055" s="706"/>
      <c r="B1055" s="180" t="s">
        <v>361</v>
      </c>
      <c r="C1055" s="300"/>
      <c r="D1055" s="173"/>
      <c r="E1055" s="173"/>
      <c r="F1055" s="266">
        <v>1336</v>
      </c>
      <c r="G1055" s="173"/>
      <c r="H1055" s="173"/>
      <c r="I1055" s="174"/>
      <c r="J1055" s="173"/>
      <c r="K1055" s="173"/>
      <c r="L1055" s="266"/>
      <c r="M1055" s="173"/>
      <c r="N1055" s="174"/>
      <c r="O1055" s="173"/>
      <c r="P1055" s="173"/>
      <c r="Q1055" s="173"/>
      <c r="R1055" s="173"/>
      <c r="S1055" s="173">
        <v>1633</v>
      </c>
      <c r="T1055" s="327"/>
      <c r="U1055" s="300">
        <v>0.24399999999999999</v>
      </c>
      <c r="V1055" s="173"/>
      <c r="W1055" s="173"/>
      <c r="X1055" s="173"/>
      <c r="Y1055" s="173"/>
      <c r="Z1055" s="173">
        <v>15</v>
      </c>
      <c r="AA1055" s="173"/>
      <c r="AB1055" s="173"/>
      <c r="AC1055" s="173"/>
      <c r="AD1055" s="173"/>
      <c r="AE1055" s="173"/>
      <c r="AF1055" s="173"/>
      <c r="AG1055" s="173"/>
      <c r="AH1055" s="173">
        <v>100</v>
      </c>
      <c r="AI1055" s="173" t="s">
        <v>482</v>
      </c>
      <c r="AJ1055" s="173"/>
      <c r="AK1055" s="173"/>
      <c r="AL1055" s="173"/>
      <c r="AM1055" s="643">
        <f t="shared" si="19"/>
        <v>3084.2440000000001</v>
      </c>
      <c r="AO1055" s="289"/>
      <c r="AP1055" s="97"/>
    </row>
    <row r="1056" spans="1:42" s="61" customFormat="1" ht="25.5" customHeight="1" x14ac:dyDescent="0.3">
      <c r="A1056" s="706"/>
      <c r="B1056" s="180" t="s">
        <v>362</v>
      </c>
      <c r="C1056" s="300">
        <v>161</v>
      </c>
      <c r="D1056" s="173"/>
      <c r="E1056" s="173"/>
      <c r="F1056" s="266">
        <v>841</v>
      </c>
      <c r="G1056" s="173"/>
      <c r="H1056" s="173"/>
      <c r="I1056" s="174"/>
      <c r="J1056" s="173"/>
      <c r="K1056" s="173"/>
      <c r="L1056" s="266"/>
      <c r="M1056" s="173"/>
      <c r="N1056" s="174"/>
      <c r="O1056" s="173"/>
      <c r="P1056" s="173"/>
      <c r="Q1056" s="173"/>
      <c r="R1056" s="173"/>
      <c r="S1056" s="173">
        <v>447</v>
      </c>
      <c r="T1056" s="327"/>
      <c r="U1056" s="300">
        <v>9.1999999999999998E-2</v>
      </c>
      <c r="V1056" s="173"/>
      <c r="W1056" s="173"/>
      <c r="X1056" s="173"/>
      <c r="Y1056" s="173"/>
      <c r="Z1056" s="173"/>
      <c r="AA1056" s="173"/>
      <c r="AB1056" s="173"/>
      <c r="AC1056" s="173"/>
      <c r="AD1056" s="173"/>
      <c r="AE1056" s="173"/>
      <c r="AF1056" s="173"/>
      <c r="AG1056" s="173"/>
      <c r="AH1056" s="173">
        <v>4</v>
      </c>
      <c r="AI1056" s="173">
        <v>229</v>
      </c>
      <c r="AJ1056" s="173"/>
      <c r="AK1056" s="173"/>
      <c r="AL1056" s="173"/>
      <c r="AM1056" s="644">
        <f t="shared" si="19"/>
        <v>1682.0920000000001</v>
      </c>
      <c r="AO1056" s="289"/>
      <c r="AP1056" s="97"/>
    </row>
    <row r="1057" spans="1:42" s="61" customFormat="1" ht="22.5" customHeight="1" x14ac:dyDescent="0.3">
      <c r="A1057" s="706"/>
      <c r="B1057" s="115" t="s">
        <v>402</v>
      </c>
      <c r="C1057" s="142">
        <v>55.128</v>
      </c>
      <c r="D1057" s="111"/>
      <c r="E1057" s="111"/>
      <c r="F1057" s="267">
        <v>1135.8</v>
      </c>
      <c r="G1057" s="111"/>
      <c r="H1057" s="111">
        <v>6</v>
      </c>
      <c r="I1057" s="125"/>
      <c r="J1057" s="111"/>
      <c r="K1057" s="111"/>
      <c r="L1057" s="267"/>
      <c r="M1057" s="111"/>
      <c r="N1057" s="125"/>
      <c r="O1057" s="111"/>
      <c r="P1057" s="111"/>
      <c r="Q1057" s="111"/>
      <c r="R1057" s="111"/>
      <c r="S1057" s="111"/>
      <c r="T1057" s="143"/>
      <c r="U1057" s="142"/>
      <c r="V1057" s="111"/>
      <c r="W1057" s="111"/>
      <c r="X1057" s="111"/>
      <c r="Y1057" s="111"/>
      <c r="Z1057" s="111">
        <v>156</v>
      </c>
      <c r="AA1057" s="111"/>
      <c r="AB1057" s="111"/>
      <c r="AC1057" s="111"/>
      <c r="AD1057" s="111"/>
      <c r="AE1057" s="111"/>
      <c r="AF1057" s="111"/>
      <c r="AG1057" s="111"/>
      <c r="AH1057" s="111">
        <v>16273.879000000001</v>
      </c>
      <c r="AI1057" s="111">
        <v>678</v>
      </c>
      <c r="AJ1057" s="111"/>
      <c r="AK1057" s="111"/>
      <c r="AL1057" s="111"/>
      <c r="AM1057" s="645">
        <f t="shared" si="19"/>
        <v>18304.807000000001</v>
      </c>
      <c r="AO1057" s="289"/>
    </row>
    <row r="1058" spans="1:42" s="61" customFormat="1" ht="21" customHeight="1" x14ac:dyDescent="0.3">
      <c r="A1058" s="707"/>
      <c r="B1058" s="181" t="s">
        <v>403</v>
      </c>
      <c r="C1058" s="144"/>
      <c r="D1058" s="112"/>
      <c r="E1058" s="112"/>
      <c r="F1058" s="268">
        <v>1276.4000000000001</v>
      </c>
      <c r="G1058" s="112"/>
      <c r="H1058" s="112">
        <v>10.775</v>
      </c>
      <c r="I1058" s="126"/>
      <c r="J1058" s="112"/>
      <c r="K1058" s="112"/>
      <c r="L1058" s="268"/>
      <c r="M1058" s="112"/>
      <c r="N1058" s="126"/>
      <c r="O1058" s="112"/>
      <c r="P1058" s="112"/>
      <c r="Q1058" s="112"/>
      <c r="R1058" s="112"/>
      <c r="S1058" s="112"/>
      <c r="T1058" s="145"/>
      <c r="U1058" s="144"/>
      <c r="V1058" s="112"/>
      <c r="W1058" s="112"/>
      <c r="X1058" s="112"/>
      <c r="Y1058" s="112"/>
      <c r="Z1058" s="112">
        <v>89</v>
      </c>
      <c r="AA1058" s="112"/>
      <c r="AB1058" s="112"/>
      <c r="AC1058" s="112"/>
      <c r="AD1058" s="112"/>
      <c r="AE1058" s="112"/>
      <c r="AF1058" s="112"/>
      <c r="AG1058" s="112"/>
      <c r="AH1058" s="112" t="s">
        <v>482</v>
      </c>
      <c r="AI1058" s="112">
        <v>678</v>
      </c>
      <c r="AJ1058" s="112"/>
      <c r="AK1058" s="112"/>
      <c r="AL1058" s="112"/>
      <c r="AM1058" s="646">
        <f t="shared" si="19"/>
        <v>2054.1750000000002</v>
      </c>
      <c r="AO1058" s="289"/>
    </row>
    <row r="1059" spans="1:42" s="61" customFormat="1" ht="21" customHeight="1" x14ac:dyDescent="0.3">
      <c r="A1059" s="705" t="s">
        <v>219</v>
      </c>
      <c r="B1059" s="179" t="s">
        <v>293</v>
      </c>
      <c r="C1059" s="135">
        <v>23239.716</v>
      </c>
      <c r="D1059" s="136"/>
      <c r="E1059" s="136"/>
      <c r="F1059" s="262">
        <v>52643.732000000004</v>
      </c>
      <c r="G1059" s="136">
        <v>1909</v>
      </c>
      <c r="H1059" s="136">
        <v>144</v>
      </c>
      <c r="I1059" s="326"/>
      <c r="J1059" s="136">
        <v>120</v>
      </c>
      <c r="K1059" s="136">
        <f>603+155+299+1817</f>
        <v>2874</v>
      </c>
      <c r="L1059" s="262">
        <v>17448.699000000001</v>
      </c>
      <c r="M1059" s="136"/>
      <c r="N1059" s="326">
        <v>7091.652</v>
      </c>
      <c r="O1059" s="136">
        <v>1324.8</v>
      </c>
      <c r="P1059" s="136"/>
      <c r="Q1059" s="136">
        <v>1044</v>
      </c>
      <c r="R1059" s="136">
        <f>+(48+255+567)/2</f>
        <v>435</v>
      </c>
      <c r="S1059" s="136">
        <v>70130.619000000006</v>
      </c>
      <c r="T1059" s="137">
        <v>4682.1040000000003</v>
      </c>
      <c r="U1059" s="632">
        <v>5561.9040000000005</v>
      </c>
      <c r="V1059" s="122">
        <f>327025/1000</f>
        <v>327.02499999999998</v>
      </c>
      <c r="W1059" s="122">
        <v>956</v>
      </c>
      <c r="X1059" s="122">
        <v>4325</v>
      </c>
      <c r="Y1059" s="122">
        <v>61211</v>
      </c>
      <c r="Z1059" s="122">
        <v>118225</v>
      </c>
      <c r="AA1059" s="122">
        <v>66.456890000000016</v>
      </c>
      <c r="AB1059" s="122"/>
      <c r="AC1059" s="122">
        <v>551.86699999999996</v>
      </c>
      <c r="AD1059" s="122">
        <v>14105</v>
      </c>
      <c r="AE1059" s="122">
        <v>951</v>
      </c>
      <c r="AF1059" s="122"/>
      <c r="AG1059" s="122">
        <v>3.391</v>
      </c>
      <c r="AH1059" s="122">
        <v>56456.4</v>
      </c>
      <c r="AI1059" s="122">
        <v>34568</v>
      </c>
      <c r="AJ1059" s="122"/>
      <c r="AK1059" s="122">
        <v>131.69999999999999</v>
      </c>
      <c r="AL1059" s="122">
        <v>1362.0503959731543</v>
      </c>
      <c r="AM1059" s="639">
        <f t="shared" si="19"/>
        <v>481889.11628597317</v>
      </c>
      <c r="AO1059" s="289"/>
    </row>
    <row r="1060" spans="1:42" s="61" customFormat="1" ht="19.5" customHeight="1" x14ac:dyDescent="0.3">
      <c r="A1060" s="706"/>
      <c r="B1060" s="116" t="s">
        <v>294</v>
      </c>
      <c r="C1060" s="138">
        <v>26350.080000000002</v>
      </c>
      <c r="D1060" s="109"/>
      <c r="E1060" s="109"/>
      <c r="F1060" s="263">
        <v>14126.951999999999</v>
      </c>
      <c r="G1060" s="109">
        <v>1424</v>
      </c>
      <c r="H1060" s="109">
        <v>170</v>
      </c>
      <c r="I1060" s="123"/>
      <c r="J1060" s="109"/>
      <c r="K1060" s="109">
        <f>-2+522+409+2159</f>
        <v>3088</v>
      </c>
      <c r="L1060" s="263">
        <v>18060.819</v>
      </c>
      <c r="M1060" s="109"/>
      <c r="N1060" s="123">
        <v>14531.91</v>
      </c>
      <c r="O1060" s="109">
        <v>2102</v>
      </c>
      <c r="P1060" s="109"/>
      <c r="Q1060" s="109">
        <v>685</v>
      </c>
      <c r="R1060" s="109">
        <f>+(48+255+567)/2</f>
        <v>435</v>
      </c>
      <c r="S1060" s="109">
        <v>85878.803</v>
      </c>
      <c r="T1060" s="139">
        <v>4661.8580000000002</v>
      </c>
      <c r="U1060" s="138">
        <v>2896.9319999999998</v>
      </c>
      <c r="V1060" s="109">
        <f>438575/1000-V1059</f>
        <v>111.55000000000001</v>
      </c>
      <c r="W1060" s="109">
        <f>2675-956</f>
        <v>1719</v>
      </c>
      <c r="X1060" s="109">
        <v>6628</v>
      </c>
      <c r="Y1060" s="109">
        <v>56691</v>
      </c>
      <c r="Z1060" s="109">
        <v>119207</v>
      </c>
      <c r="AA1060" s="109">
        <v>240.32336000000001</v>
      </c>
      <c r="AB1060" s="109"/>
      <c r="AC1060" s="109">
        <v>3379.5509999999999</v>
      </c>
      <c r="AD1060" s="109">
        <v>14325</v>
      </c>
      <c r="AE1060" s="109">
        <v>1054</v>
      </c>
      <c r="AF1060" s="109"/>
      <c r="AG1060" s="109">
        <v>78.166999999999987</v>
      </c>
      <c r="AH1060" s="109">
        <v>47191.83</v>
      </c>
      <c r="AI1060" s="109">
        <v>44074</v>
      </c>
      <c r="AJ1060" s="109"/>
      <c r="AK1060" s="109">
        <v>191.35</v>
      </c>
      <c r="AL1060" s="109">
        <v>687.24692307692305</v>
      </c>
      <c r="AM1060" s="640">
        <f t="shared" si="19"/>
        <v>469989.37228307687</v>
      </c>
      <c r="AO1060" s="289"/>
    </row>
    <row r="1061" spans="1:42" s="61" customFormat="1" ht="22.5" customHeight="1" x14ac:dyDescent="0.3">
      <c r="A1061" s="706"/>
      <c r="B1061" s="117" t="s">
        <v>326</v>
      </c>
      <c r="C1061" s="140">
        <v>20531.208999999999</v>
      </c>
      <c r="D1061" s="110"/>
      <c r="E1061" s="110"/>
      <c r="F1061" s="264">
        <v>30348</v>
      </c>
      <c r="G1061" s="110">
        <v>2102</v>
      </c>
      <c r="H1061" s="110">
        <v>101</v>
      </c>
      <c r="I1061" s="124"/>
      <c r="J1061" s="110">
        <v>13</v>
      </c>
      <c r="K1061" s="110">
        <f>731+243+1444</f>
        <v>2418</v>
      </c>
      <c r="L1061" s="264">
        <v>16975</v>
      </c>
      <c r="M1061" s="110"/>
      <c r="N1061" s="124">
        <v>17376.397000000001</v>
      </c>
      <c r="O1061" s="110">
        <v>2180</v>
      </c>
      <c r="P1061" s="110"/>
      <c r="Q1061" s="110">
        <v>673</v>
      </c>
      <c r="R1061" s="110">
        <v>69.5</v>
      </c>
      <c r="S1061" s="110">
        <v>47561</v>
      </c>
      <c r="T1061" s="141"/>
      <c r="U1061" s="140">
        <v>2215.3130000000001</v>
      </c>
      <c r="V1061" s="110">
        <f>(50000+173231)/1000</f>
        <v>223.23099999999999</v>
      </c>
      <c r="W1061" s="110">
        <f>750+5213</f>
        <v>5963</v>
      </c>
      <c r="X1061" s="110">
        <v>8032</v>
      </c>
      <c r="Y1061" s="110">
        <v>78980</v>
      </c>
      <c r="Z1061" s="110">
        <v>180084</v>
      </c>
      <c r="AA1061" s="110">
        <v>392.28007000000002</v>
      </c>
      <c r="AB1061" s="110"/>
      <c r="AC1061" s="110"/>
      <c r="AD1061" s="110">
        <v>18038</v>
      </c>
      <c r="AE1061" s="110">
        <v>1529</v>
      </c>
      <c r="AF1061" s="110"/>
      <c r="AG1061" s="110"/>
      <c r="AH1061" s="110">
        <v>73706.317079999993</v>
      </c>
      <c r="AI1061" s="110">
        <v>40735</v>
      </c>
      <c r="AJ1061" s="110"/>
      <c r="AK1061" s="110">
        <f>406+1</f>
        <v>407</v>
      </c>
      <c r="AL1061" s="110">
        <v>1046.8605263157895</v>
      </c>
      <c r="AM1061" s="641">
        <f t="shared" si="19"/>
        <v>551700.1076763157</v>
      </c>
      <c r="AO1061" s="289"/>
      <c r="AP1061" s="97"/>
    </row>
    <row r="1062" spans="1:42" s="61" customFormat="1" ht="25.5" customHeight="1" x14ac:dyDescent="0.3">
      <c r="A1062" s="706"/>
      <c r="B1062" s="175" t="s">
        <v>327</v>
      </c>
      <c r="C1062" s="176">
        <v>29518.116999999998</v>
      </c>
      <c r="D1062" s="127"/>
      <c r="E1062" s="127">
        <v>193</v>
      </c>
      <c r="F1062" s="265">
        <v>24182</v>
      </c>
      <c r="G1062" s="127">
        <v>1609</v>
      </c>
      <c r="H1062" s="127">
        <v>83</v>
      </c>
      <c r="I1062" s="178"/>
      <c r="J1062" s="127"/>
      <c r="K1062" s="127">
        <f>17-137+317</f>
        <v>197</v>
      </c>
      <c r="L1062" s="265">
        <v>14921</v>
      </c>
      <c r="M1062" s="127">
        <f>123910/1000</f>
        <v>123.91</v>
      </c>
      <c r="N1062" s="178">
        <v>26258.563999999998</v>
      </c>
      <c r="O1062" s="127">
        <v>2526</v>
      </c>
      <c r="P1062" s="127">
        <v>220</v>
      </c>
      <c r="Q1062" s="127">
        <v>1785</v>
      </c>
      <c r="R1062" s="127">
        <v>69.5</v>
      </c>
      <c r="S1062" s="127">
        <v>77999</v>
      </c>
      <c r="T1062" s="177"/>
      <c r="U1062" s="176">
        <v>3362.62</v>
      </c>
      <c r="V1062" s="127">
        <f>(50000+806560)/1000-V1061</f>
        <v>633.32899999999995</v>
      </c>
      <c r="W1062" s="127">
        <f>5442+10185-5963</f>
        <v>9664</v>
      </c>
      <c r="X1062" s="127">
        <v>13546</v>
      </c>
      <c r="Y1062" s="127">
        <v>76476</v>
      </c>
      <c r="Z1062" s="127">
        <v>201847</v>
      </c>
      <c r="AA1062" s="127">
        <v>843.77560000000005</v>
      </c>
      <c r="AB1062" s="127"/>
      <c r="AC1062" s="127">
        <v>2621.7750000000001</v>
      </c>
      <c r="AD1062" s="127">
        <v>22634</v>
      </c>
      <c r="AE1062" s="127">
        <v>1373</v>
      </c>
      <c r="AF1062" s="127"/>
      <c r="AG1062" s="127"/>
      <c r="AH1062" s="127">
        <v>109667.3</v>
      </c>
      <c r="AI1062" s="127">
        <v>29595</v>
      </c>
      <c r="AJ1062" s="127"/>
      <c r="AK1062" s="127">
        <v>178</v>
      </c>
      <c r="AL1062" s="127">
        <v>2103.3198473282441</v>
      </c>
      <c r="AM1062" s="642">
        <f t="shared" si="19"/>
        <v>654230.21044732828</v>
      </c>
      <c r="AO1062" s="289"/>
    </row>
    <row r="1063" spans="1:42" s="61" customFormat="1" ht="25.5" customHeight="1" x14ac:dyDescent="0.3">
      <c r="A1063" s="706"/>
      <c r="B1063" s="180" t="s">
        <v>361</v>
      </c>
      <c r="C1063" s="300">
        <v>91119.400720000005</v>
      </c>
      <c r="D1063" s="173"/>
      <c r="E1063" s="173">
        <v>74</v>
      </c>
      <c r="F1063" s="266">
        <v>15082</v>
      </c>
      <c r="G1063" s="173">
        <f>1263+429</f>
        <v>1692</v>
      </c>
      <c r="H1063" s="173"/>
      <c r="I1063" s="174"/>
      <c r="J1063" s="173"/>
      <c r="K1063" s="173">
        <v>1938</v>
      </c>
      <c r="L1063" s="266">
        <v>9047</v>
      </c>
      <c r="M1063" s="173"/>
      <c r="N1063" s="174">
        <v>28891.467000000001</v>
      </c>
      <c r="O1063" s="173">
        <v>3929</v>
      </c>
      <c r="P1063" s="173">
        <v>60</v>
      </c>
      <c r="Q1063" s="173">
        <v>-128</v>
      </c>
      <c r="R1063" s="173"/>
      <c r="S1063" s="173">
        <v>58378</v>
      </c>
      <c r="T1063" s="327">
        <v>544.20000000000005</v>
      </c>
      <c r="U1063" s="300">
        <v>3959.3339999999998</v>
      </c>
      <c r="V1063" s="173">
        <f>474666/1000</f>
        <v>474.666</v>
      </c>
      <c r="W1063" s="173">
        <f>2750+4167</f>
        <v>6917</v>
      </c>
      <c r="X1063" s="173">
        <v>12895</v>
      </c>
      <c r="Y1063" s="173">
        <v>66672</v>
      </c>
      <c r="Z1063" s="173">
        <v>206686.54256999999</v>
      </c>
      <c r="AA1063" s="173">
        <v>447</v>
      </c>
      <c r="AB1063" s="173">
        <v>13</v>
      </c>
      <c r="AC1063" s="173">
        <f>3690+1372</f>
        <v>5062</v>
      </c>
      <c r="AD1063" s="173">
        <v>18186</v>
      </c>
      <c r="AE1063" s="173">
        <v>2268</v>
      </c>
      <c r="AF1063" s="173"/>
      <c r="AG1063" s="173">
        <v>29</v>
      </c>
      <c r="AH1063" s="173">
        <v>74970</v>
      </c>
      <c r="AI1063" s="173">
        <v>35137.839999999997</v>
      </c>
      <c r="AJ1063" s="173"/>
      <c r="AK1063" s="173">
        <v>91</v>
      </c>
      <c r="AL1063" s="173">
        <v>2365.1644628099175</v>
      </c>
      <c r="AM1063" s="643">
        <f t="shared" si="19"/>
        <v>646800.61475280987</v>
      </c>
      <c r="AO1063" s="289"/>
      <c r="AP1063" s="97"/>
    </row>
    <row r="1064" spans="1:42" s="61" customFormat="1" ht="25.5" customHeight="1" x14ac:dyDescent="0.3">
      <c r="A1064" s="706"/>
      <c r="B1064" s="180" t="s">
        <v>362</v>
      </c>
      <c r="C1064" s="300">
        <v>93877.447239999994</v>
      </c>
      <c r="D1064" s="173"/>
      <c r="E1064" s="173"/>
      <c r="F1064" s="266">
        <v>13879</v>
      </c>
      <c r="G1064" s="173">
        <f>1304+30</f>
        <v>1334</v>
      </c>
      <c r="H1064" s="173">
        <v>36</v>
      </c>
      <c r="I1064" s="174"/>
      <c r="J1064" s="173"/>
      <c r="K1064" s="173">
        <v>637</v>
      </c>
      <c r="L1064" s="266">
        <v>9208</v>
      </c>
      <c r="M1064" s="173">
        <v>133.83000000000001</v>
      </c>
      <c r="N1064" s="174">
        <v>25807.41</v>
      </c>
      <c r="O1064" s="173">
        <v>3270</v>
      </c>
      <c r="P1064" s="173">
        <v>31</v>
      </c>
      <c r="Q1064" s="173"/>
      <c r="R1064" s="173">
        <v>44</v>
      </c>
      <c r="S1064" s="173">
        <v>96403</v>
      </c>
      <c r="T1064" s="327">
        <v>3047.8</v>
      </c>
      <c r="U1064" s="300">
        <v>15594.759</v>
      </c>
      <c r="V1064" s="173">
        <f>(68080+907769)/1000-V1063</f>
        <v>501.18300000000005</v>
      </c>
      <c r="W1064" s="173">
        <v>2676</v>
      </c>
      <c r="X1064" s="173">
        <v>12757</v>
      </c>
      <c r="Y1064" s="173">
        <v>74170</v>
      </c>
      <c r="Z1064" s="173">
        <v>238556.43416</v>
      </c>
      <c r="AA1064" s="173">
        <f>-75.96522+195</f>
        <v>119.03478</v>
      </c>
      <c r="AB1064" s="173">
        <v>16</v>
      </c>
      <c r="AC1064" s="173">
        <f>11856-3690+1427</f>
        <v>9593</v>
      </c>
      <c r="AD1064" s="173">
        <v>21106</v>
      </c>
      <c r="AE1064" s="173">
        <f>27+3279</f>
        <v>3306</v>
      </c>
      <c r="AF1064" s="173"/>
      <c r="AG1064" s="173"/>
      <c r="AH1064" s="173">
        <v>69862</v>
      </c>
      <c r="AI1064" s="173">
        <v>30984.16</v>
      </c>
      <c r="AJ1064" s="173"/>
      <c r="AK1064" s="173">
        <v>384</v>
      </c>
      <c r="AL1064" s="173">
        <v>2004.7758928571427</v>
      </c>
      <c r="AM1064" s="644">
        <f t="shared" si="19"/>
        <v>729338.83407285716</v>
      </c>
      <c r="AO1064" s="289"/>
      <c r="AP1064" s="97"/>
    </row>
    <row r="1065" spans="1:42" s="61" customFormat="1" ht="22.5" customHeight="1" x14ac:dyDescent="0.3">
      <c r="A1065" s="706"/>
      <c r="B1065" s="115" t="s">
        <v>402</v>
      </c>
      <c r="C1065" s="142">
        <v>140319.60813000001</v>
      </c>
      <c r="D1065" s="111"/>
      <c r="E1065" s="111"/>
      <c r="F1065" s="267">
        <v>15510.2</v>
      </c>
      <c r="G1065" s="111">
        <v>384</v>
      </c>
      <c r="H1065" s="111">
        <v>32</v>
      </c>
      <c r="I1065" s="125"/>
      <c r="J1065" s="111"/>
      <c r="K1065" s="111">
        <v>510</v>
      </c>
      <c r="L1065" s="267">
        <v>15426</v>
      </c>
      <c r="M1065" s="111">
        <v>50</v>
      </c>
      <c r="N1065" s="125"/>
      <c r="O1065" s="111">
        <v>4318</v>
      </c>
      <c r="P1065" s="111">
        <v>65</v>
      </c>
      <c r="Q1065" s="111"/>
      <c r="R1065" s="111">
        <v>313</v>
      </c>
      <c r="S1065" s="111">
        <v>95511.139395000006</v>
      </c>
      <c r="T1065" s="143">
        <v>1129.19</v>
      </c>
      <c r="U1065" s="142">
        <v>19395.315999999999</v>
      </c>
      <c r="V1065" s="111">
        <f>1184331.8/1000</f>
        <v>1184.3318000000002</v>
      </c>
      <c r="W1065" s="111">
        <v>8159</v>
      </c>
      <c r="X1065" s="111">
        <v>2860</v>
      </c>
      <c r="Y1065" s="111">
        <v>85493.929000000004</v>
      </c>
      <c r="Z1065" s="111">
        <v>162845</v>
      </c>
      <c r="AA1065" s="111">
        <v>-58</v>
      </c>
      <c r="AB1065" s="111"/>
      <c r="AC1065" s="111">
        <v>9505</v>
      </c>
      <c r="AD1065" s="111">
        <v>31343</v>
      </c>
      <c r="AE1065" s="111">
        <v>3453</v>
      </c>
      <c r="AF1065" s="111"/>
      <c r="AG1065" s="111"/>
      <c r="AH1065" s="111">
        <v>117435.477</v>
      </c>
      <c r="AI1065" s="111">
        <v>40803</v>
      </c>
      <c r="AJ1065" s="111"/>
      <c r="AK1065" s="111">
        <f>537.738/1.097</f>
        <v>490.18960802187792</v>
      </c>
      <c r="AL1065" s="111">
        <v>3209.0107142857141</v>
      </c>
      <c r="AM1065" s="645">
        <f t="shared" si="19"/>
        <v>759686.39164730755</v>
      </c>
      <c r="AO1065" s="289"/>
    </row>
    <row r="1066" spans="1:42" s="61" customFormat="1" ht="21" customHeight="1" x14ac:dyDescent="0.3">
      <c r="A1066" s="707"/>
      <c r="B1066" s="181" t="s">
        <v>403</v>
      </c>
      <c r="C1066" s="144">
        <v>123303.92384</v>
      </c>
      <c r="D1066" s="112"/>
      <c r="E1066" s="112"/>
      <c r="F1066" s="268">
        <v>15052.1</v>
      </c>
      <c r="G1066" s="112">
        <v>591</v>
      </c>
      <c r="H1066" s="112"/>
      <c r="I1066" s="126"/>
      <c r="J1066" s="112">
        <v>68</v>
      </c>
      <c r="K1066" s="112">
        <v>4486</v>
      </c>
      <c r="L1066" s="268">
        <v>26563.200000000001</v>
      </c>
      <c r="M1066" s="112">
        <v>122.38061</v>
      </c>
      <c r="N1066" s="126"/>
      <c r="O1066" s="112">
        <v>3970</v>
      </c>
      <c r="P1066" s="112">
        <v>0</v>
      </c>
      <c r="Q1066" s="112">
        <v>644</v>
      </c>
      <c r="R1066" s="112">
        <f>570-R1065</f>
        <v>257</v>
      </c>
      <c r="S1066" s="112">
        <v>141975.201504</v>
      </c>
      <c r="T1066" s="145">
        <v>3561.46</v>
      </c>
      <c r="U1066" s="144">
        <v>20377.78</v>
      </c>
      <c r="V1066" s="112">
        <f>(550314+2295357)/1000-V1065</f>
        <v>1661.3391999999997</v>
      </c>
      <c r="W1066" s="112">
        <f>13864-8159</f>
        <v>5705</v>
      </c>
      <c r="X1066" s="112">
        <v>8332</v>
      </c>
      <c r="Y1066" s="112">
        <v>80617.231</v>
      </c>
      <c r="Z1066" s="112">
        <v>165993</v>
      </c>
      <c r="AA1066" s="112">
        <v>16</v>
      </c>
      <c r="AB1066" s="112"/>
      <c r="AC1066" s="112">
        <v>9044</v>
      </c>
      <c r="AD1066" s="112">
        <v>28725</v>
      </c>
      <c r="AE1066" s="112">
        <v>3380</v>
      </c>
      <c r="AF1066" s="112"/>
      <c r="AG1066" s="112"/>
      <c r="AH1066" s="112">
        <v>77593.798999999999</v>
      </c>
      <c r="AI1066" s="112">
        <v>40804</v>
      </c>
      <c r="AJ1066" s="112"/>
      <c r="AK1066" s="112">
        <f>422.9495/1.001</f>
        <v>422.52697302697305</v>
      </c>
      <c r="AL1066" s="112">
        <v>1760</v>
      </c>
      <c r="AM1066" s="646">
        <f t="shared" si="19"/>
        <v>765025.94212702685</v>
      </c>
      <c r="AO1066" s="289"/>
    </row>
    <row r="1067" spans="1:42" s="61" customFormat="1" ht="21" customHeight="1" x14ac:dyDescent="0.3">
      <c r="A1067" s="705" t="s">
        <v>220</v>
      </c>
      <c r="B1067" s="179" t="s">
        <v>293</v>
      </c>
      <c r="C1067" s="135"/>
      <c r="D1067" s="136"/>
      <c r="E1067" s="136"/>
      <c r="F1067" s="262"/>
      <c r="G1067" s="136"/>
      <c r="H1067" s="136"/>
      <c r="I1067" s="326"/>
      <c r="J1067" s="136"/>
      <c r="K1067" s="136"/>
      <c r="L1067" s="262"/>
      <c r="M1067" s="136"/>
      <c r="N1067" s="326"/>
      <c r="O1067" s="136"/>
      <c r="P1067" s="136"/>
      <c r="Q1067" s="136">
        <v>100</v>
      </c>
      <c r="R1067" s="136"/>
      <c r="S1067" s="136"/>
      <c r="T1067" s="137"/>
      <c r="U1067" s="632"/>
      <c r="V1067" s="122"/>
      <c r="W1067" s="122"/>
      <c r="X1067" s="122"/>
      <c r="Y1067" s="122"/>
      <c r="Z1067" s="122"/>
      <c r="AA1067" s="122"/>
      <c r="AB1067" s="122"/>
      <c r="AC1067" s="122"/>
      <c r="AD1067" s="122"/>
      <c r="AE1067" s="122"/>
      <c r="AF1067" s="122"/>
      <c r="AG1067" s="122"/>
      <c r="AH1067" s="122"/>
      <c r="AI1067" s="122" t="s">
        <v>482</v>
      </c>
      <c r="AJ1067" s="122"/>
      <c r="AK1067" s="122"/>
      <c r="AL1067" s="122"/>
      <c r="AM1067" s="639">
        <f t="shared" si="19"/>
        <v>100</v>
      </c>
      <c r="AO1067" s="289"/>
    </row>
    <row r="1068" spans="1:42" s="61" customFormat="1" ht="19.5" customHeight="1" x14ac:dyDescent="0.3">
      <c r="A1068" s="706"/>
      <c r="B1068" s="116" t="s">
        <v>294</v>
      </c>
      <c r="C1068" s="138"/>
      <c r="D1068" s="109"/>
      <c r="E1068" s="109"/>
      <c r="F1068" s="263"/>
      <c r="G1068" s="109"/>
      <c r="H1068" s="109"/>
      <c r="I1068" s="123"/>
      <c r="J1068" s="109"/>
      <c r="K1068" s="109"/>
      <c r="L1068" s="263"/>
      <c r="M1068" s="109"/>
      <c r="N1068" s="123"/>
      <c r="O1068" s="109"/>
      <c r="P1068" s="109"/>
      <c r="Q1068" s="109">
        <v>100</v>
      </c>
      <c r="R1068" s="109"/>
      <c r="S1068" s="109"/>
      <c r="T1068" s="139"/>
      <c r="U1068" s="138"/>
      <c r="V1068" s="109"/>
      <c r="W1068" s="109"/>
      <c r="X1068" s="109"/>
      <c r="Y1068" s="109"/>
      <c r="Z1068" s="109"/>
      <c r="AA1068" s="109"/>
      <c r="AB1068" s="109"/>
      <c r="AC1068" s="109"/>
      <c r="AD1068" s="109"/>
      <c r="AE1068" s="109"/>
      <c r="AF1068" s="109"/>
      <c r="AG1068" s="109"/>
      <c r="AH1068" s="109"/>
      <c r="AI1068" s="109" t="s">
        <v>482</v>
      </c>
      <c r="AJ1068" s="109"/>
      <c r="AK1068" s="109"/>
      <c r="AL1068" s="109"/>
      <c r="AM1068" s="640">
        <f t="shared" si="19"/>
        <v>100</v>
      </c>
      <c r="AO1068" s="289"/>
    </row>
    <row r="1069" spans="1:42" s="61" customFormat="1" ht="22.5" customHeight="1" x14ac:dyDescent="0.3">
      <c r="A1069" s="706"/>
      <c r="B1069" s="117" t="s">
        <v>326</v>
      </c>
      <c r="C1069" s="140"/>
      <c r="D1069" s="110"/>
      <c r="E1069" s="110"/>
      <c r="F1069" s="264"/>
      <c r="G1069" s="110"/>
      <c r="H1069" s="110"/>
      <c r="I1069" s="124"/>
      <c r="J1069" s="110"/>
      <c r="K1069" s="110"/>
      <c r="L1069" s="264"/>
      <c r="M1069" s="110"/>
      <c r="N1069" s="124"/>
      <c r="O1069" s="110"/>
      <c r="P1069" s="110"/>
      <c r="Q1069" s="110"/>
      <c r="R1069" s="110"/>
      <c r="S1069" s="110"/>
      <c r="T1069" s="141"/>
      <c r="U1069" s="140"/>
      <c r="V1069" s="110"/>
      <c r="W1069" s="110"/>
      <c r="X1069" s="110"/>
      <c r="Y1069" s="110"/>
      <c r="Z1069" s="110"/>
      <c r="AA1069" s="110"/>
      <c r="AB1069" s="110"/>
      <c r="AC1069" s="110"/>
      <c r="AD1069" s="110"/>
      <c r="AE1069" s="110"/>
      <c r="AF1069" s="110"/>
      <c r="AG1069" s="110"/>
      <c r="AH1069" s="110"/>
      <c r="AI1069" s="110" t="s">
        <v>482</v>
      </c>
      <c r="AJ1069" s="110"/>
      <c r="AK1069" s="110"/>
      <c r="AL1069" s="110"/>
      <c r="AM1069" s="641">
        <f t="shared" si="19"/>
        <v>0</v>
      </c>
      <c r="AO1069" s="289"/>
      <c r="AP1069" s="97"/>
    </row>
    <row r="1070" spans="1:42" s="61" customFormat="1" ht="25.5" customHeight="1" x14ac:dyDescent="0.3">
      <c r="A1070" s="706"/>
      <c r="B1070" s="175" t="s">
        <v>327</v>
      </c>
      <c r="C1070" s="176"/>
      <c r="D1070" s="127"/>
      <c r="E1070" s="127"/>
      <c r="F1070" s="265"/>
      <c r="G1070" s="127"/>
      <c r="H1070" s="127"/>
      <c r="I1070" s="178"/>
      <c r="J1070" s="127"/>
      <c r="K1070" s="127"/>
      <c r="L1070" s="265"/>
      <c r="M1070" s="127"/>
      <c r="N1070" s="178"/>
      <c r="O1070" s="127"/>
      <c r="P1070" s="127"/>
      <c r="Q1070" s="127"/>
      <c r="R1070" s="127"/>
      <c r="S1070" s="127"/>
      <c r="T1070" s="177"/>
      <c r="U1070" s="176"/>
      <c r="V1070" s="127"/>
      <c r="W1070" s="127"/>
      <c r="X1070" s="127"/>
      <c r="Y1070" s="127"/>
      <c r="Z1070" s="127"/>
      <c r="AA1070" s="127"/>
      <c r="AB1070" s="127"/>
      <c r="AC1070" s="127"/>
      <c r="AD1070" s="127"/>
      <c r="AE1070" s="127"/>
      <c r="AF1070" s="127"/>
      <c r="AG1070" s="127"/>
      <c r="AH1070" s="127"/>
      <c r="AI1070" s="127" t="s">
        <v>482</v>
      </c>
      <c r="AJ1070" s="127"/>
      <c r="AK1070" s="127"/>
      <c r="AL1070" s="127"/>
      <c r="AM1070" s="642">
        <f t="shared" si="19"/>
        <v>0</v>
      </c>
      <c r="AO1070" s="289"/>
    </row>
    <row r="1071" spans="1:42" s="61" customFormat="1" ht="25.5" customHeight="1" x14ac:dyDescent="0.3">
      <c r="A1071" s="706"/>
      <c r="B1071" s="180" t="s">
        <v>361</v>
      </c>
      <c r="C1071" s="300"/>
      <c r="D1071" s="173"/>
      <c r="E1071" s="173"/>
      <c r="F1071" s="266">
        <v>15779</v>
      </c>
      <c r="G1071" s="173"/>
      <c r="H1071" s="173"/>
      <c r="I1071" s="174"/>
      <c r="J1071" s="173"/>
      <c r="K1071" s="173"/>
      <c r="L1071" s="266"/>
      <c r="M1071" s="173"/>
      <c r="N1071" s="174"/>
      <c r="O1071" s="173"/>
      <c r="P1071" s="173"/>
      <c r="Q1071" s="173"/>
      <c r="R1071" s="173"/>
      <c r="S1071" s="173"/>
      <c r="T1071" s="327"/>
      <c r="U1071" s="300"/>
      <c r="V1071" s="173"/>
      <c r="W1071" s="173"/>
      <c r="X1071" s="173"/>
      <c r="Y1071" s="173"/>
      <c r="Z1071" s="173"/>
      <c r="AA1071" s="173"/>
      <c r="AB1071" s="173"/>
      <c r="AC1071" s="173"/>
      <c r="AD1071" s="173"/>
      <c r="AE1071" s="173"/>
      <c r="AF1071" s="173"/>
      <c r="AG1071" s="173"/>
      <c r="AH1071" s="173"/>
      <c r="AI1071" s="173" t="s">
        <v>482</v>
      </c>
      <c r="AJ1071" s="173"/>
      <c r="AK1071" s="173"/>
      <c r="AL1071" s="173"/>
      <c r="AM1071" s="643">
        <f t="shared" si="19"/>
        <v>15779</v>
      </c>
      <c r="AO1071" s="289"/>
      <c r="AP1071" s="97"/>
    </row>
    <row r="1072" spans="1:42" s="61" customFormat="1" ht="25.5" customHeight="1" x14ac:dyDescent="0.3">
      <c r="A1072" s="706"/>
      <c r="B1072" s="180" t="s">
        <v>362</v>
      </c>
      <c r="C1072" s="300"/>
      <c r="D1072" s="173"/>
      <c r="E1072" s="173"/>
      <c r="F1072" s="266"/>
      <c r="G1072" s="173"/>
      <c r="H1072" s="173"/>
      <c r="I1072" s="174"/>
      <c r="J1072" s="173"/>
      <c r="K1072" s="173"/>
      <c r="L1072" s="266"/>
      <c r="M1072" s="173"/>
      <c r="N1072" s="174"/>
      <c r="O1072" s="173"/>
      <c r="P1072" s="173"/>
      <c r="Q1072" s="173">
        <v>-32</v>
      </c>
      <c r="R1072" s="173"/>
      <c r="S1072" s="173"/>
      <c r="T1072" s="327"/>
      <c r="U1072" s="300"/>
      <c r="V1072" s="173"/>
      <c r="W1072" s="173"/>
      <c r="X1072" s="173"/>
      <c r="Y1072" s="173"/>
      <c r="Z1072" s="173"/>
      <c r="AA1072" s="173"/>
      <c r="AB1072" s="173"/>
      <c r="AC1072" s="173"/>
      <c r="AD1072" s="173"/>
      <c r="AE1072" s="173"/>
      <c r="AF1072" s="173"/>
      <c r="AG1072" s="173"/>
      <c r="AH1072" s="173"/>
      <c r="AI1072" s="173" t="s">
        <v>482</v>
      </c>
      <c r="AJ1072" s="173"/>
      <c r="AK1072" s="173"/>
      <c r="AL1072" s="173"/>
      <c r="AM1072" s="644">
        <f t="shared" si="19"/>
        <v>-32</v>
      </c>
      <c r="AO1072" s="289"/>
      <c r="AP1072" s="97"/>
    </row>
    <row r="1073" spans="1:42" s="61" customFormat="1" ht="22.5" customHeight="1" x14ac:dyDescent="0.3">
      <c r="A1073" s="706"/>
      <c r="B1073" s="115" t="s">
        <v>402</v>
      </c>
      <c r="C1073" s="142"/>
      <c r="D1073" s="111"/>
      <c r="E1073" s="111"/>
      <c r="F1073" s="267"/>
      <c r="G1073" s="111"/>
      <c r="H1073" s="111"/>
      <c r="I1073" s="125"/>
      <c r="J1073" s="111"/>
      <c r="K1073" s="111"/>
      <c r="L1073" s="267">
        <v>0</v>
      </c>
      <c r="M1073" s="111">
        <v>3.2177500000000001</v>
      </c>
      <c r="N1073" s="125"/>
      <c r="O1073" s="111"/>
      <c r="P1073" s="111"/>
      <c r="Q1073" s="111"/>
      <c r="R1073" s="111"/>
      <c r="S1073" s="111">
        <v>7.7018399999999998</v>
      </c>
      <c r="T1073" s="143">
        <v>0</v>
      </c>
      <c r="U1073" s="142"/>
      <c r="V1073" s="111"/>
      <c r="W1073" s="111"/>
      <c r="X1073" s="111"/>
      <c r="Y1073" s="111"/>
      <c r="Z1073" s="111"/>
      <c r="AA1073" s="111"/>
      <c r="AB1073" s="111"/>
      <c r="AC1073" s="111"/>
      <c r="AD1073" s="111"/>
      <c r="AE1073" s="111"/>
      <c r="AF1073" s="111"/>
      <c r="AG1073" s="111"/>
      <c r="AH1073" s="111" t="s">
        <v>482</v>
      </c>
      <c r="AI1073" s="111" t="s">
        <v>482</v>
      </c>
      <c r="AJ1073" s="111"/>
      <c r="AK1073" s="111"/>
      <c r="AL1073" s="111"/>
      <c r="AM1073" s="645">
        <f t="shared" si="19"/>
        <v>10.919589999999999</v>
      </c>
      <c r="AO1073" s="289"/>
    </row>
    <row r="1074" spans="1:42" s="61" customFormat="1" ht="21" customHeight="1" x14ac:dyDescent="0.3">
      <c r="A1074" s="707"/>
      <c r="B1074" s="181" t="s">
        <v>403</v>
      </c>
      <c r="C1074" s="144"/>
      <c r="D1074" s="112"/>
      <c r="E1074" s="112"/>
      <c r="F1074" s="268"/>
      <c r="G1074" s="112"/>
      <c r="H1074" s="112"/>
      <c r="I1074" s="126"/>
      <c r="J1074" s="112"/>
      <c r="K1074" s="112"/>
      <c r="L1074" s="268"/>
      <c r="M1074" s="112"/>
      <c r="N1074" s="126"/>
      <c r="O1074" s="112"/>
      <c r="P1074" s="112"/>
      <c r="Q1074" s="112"/>
      <c r="R1074" s="112"/>
      <c r="S1074" s="112">
        <v>1.3024899999999999</v>
      </c>
      <c r="T1074" s="145">
        <v>0</v>
      </c>
      <c r="U1074" s="144"/>
      <c r="V1074" s="112"/>
      <c r="W1074" s="112"/>
      <c r="X1074" s="112"/>
      <c r="Y1074" s="112"/>
      <c r="Z1074" s="112"/>
      <c r="AA1074" s="112"/>
      <c r="AB1074" s="112"/>
      <c r="AC1074" s="112"/>
      <c r="AD1074" s="112"/>
      <c r="AE1074" s="112"/>
      <c r="AF1074" s="112"/>
      <c r="AG1074" s="112"/>
      <c r="AH1074" s="112" t="s">
        <v>482</v>
      </c>
      <c r="AI1074" s="112" t="s">
        <v>482</v>
      </c>
      <c r="AJ1074" s="112"/>
      <c r="AK1074" s="112">
        <f>87.4595/1.001</f>
        <v>87.372127872127891</v>
      </c>
      <c r="AL1074" s="112"/>
      <c r="AM1074" s="646">
        <f t="shared" si="19"/>
        <v>88.674617872127897</v>
      </c>
      <c r="AO1074" s="289"/>
    </row>
    <row r="1075" spans="1:42" s="61" customFormat="1" ht="21" customHeight="1" x14ac:dyDescent="0.3">
      <c r="A1075" s="705" t="s">
        <v>221</v>
      </c>
      <c r="B1075" s="179" t="s">
        <v>293</v>
      </c>
      <c r="C1075" s="135">
        <v>7.96</v>
      </c>
      <c r="D1075" s="136"/>
      <c r="E1075" s="136"/>
      <c r="F1075" s="262"/>
      <c r="G1075" s="136"/>
      <c r="H1075" s="136"/>
      <c r="I1075" s="326"/>
      <c r="J1075" s="136"/>
      <c r="K1075" s="136"/>
      <c r="L1075" s="262"/>
      <c r="M1075" s="136"/>
      <c r="N1075" s="326"/>
      <c r="O1075" s="136"/>
      <c r="P1075" s="136"/>
      <c r="Q1075" s="136"/>
      <c r="R1075" s="136"/>
      <c r="S1075" s="136"/>
      <c r="T1075" s="137"/>
      <c r="U1075" s="632"/>
      <c r="V1075" s="122"/>
      <c r="W1075" s="122"/>
      <c r="X1075" s="122"/>
      <c r="Y1075" s="122"/>
      <c r="Z1075" s="122"/>
      <c r="AA1075" s="122"/>
      <c r="AB1075" s="122"/>
      <c r="AC1075" s="122"/>
      <c r="AD1075" s="122"/>
      <c r="AE1075" s="122"/>
      <c r="AF1075" s="122"/>
      <c r="AG1075" s="122"/>
      <c r="AH1075" s="122"/>
      <c r="AI1075" s="122" t="s">
        <v>482</v>
      </c>
      <c r="AJ1075" s="122"/>
      <c r="AK1075" s="122"/>
      <c r="AL1075" s="122"/>
      <c r="AM1075" s="639">
        <f t="shared" si="19"/>
        <v>7.96</v>
      </c>
      <c r="AO1075" s="289"/>
    </row>
    <row r="1076" spans="1:42" s="61" customFormat="1" ht="19.5" customHeight="1" x14ac:dyDescent="0.3">
      <c r="A1076" s="706"/>
      <c r="B1076" s="116" t="s">
        <v>294</v>
      </c>
      <c r="C1076" s="138"/>
      <c r="D1076" s="109"/>
      <c r="E1076" s="109"/>
      <c r="F1076" s="263"/>
      <c r="G1076" s="109"/>
      <c r="H1076" s="109"/>
      <c r="I1076" s="123"/>
      <c r="J1076" s="109"/>
      <c r="K1076" s="109"/>
      <c r="L1076" s="263"/>
      <c r="M1076" s="109"/>
      <c r="N1076" s="123"/>
      <c r="O1076" s="109"/>
      <c r="P1076" s="109"/>
      <c r="Q1076" s="109"/>
      <c r="R1076" s="109"/>
      <c r="S1076" s="109"/>
      <c r="T1076" s="139"/>
      <c r="U1076" s="138"/>
      <c r="V1076" s="109"/>
      <c r="W1076" s="109"/>
      <c r="X1076" s="109"/>
      <c r="Y1076" s="109"/>
      <c r="Z1076" s="109"/>
      <c r="AA1076" s="109"/>
      <c r="AB1076" s="109"/>
      <c r="AC1076" s="109"/>
      <c r="AD1076" s="109"/>
      <c r="AE1076" s="109"/>
      <c r="AF1076" s="109"/>
      <c r="AG1076" s="109">
        <v>2.7370000000000001</v>
      </c>
      <c r="AH1076" s="109"/>
      <c r="AI1076" s="109" t="s">
        <v>482</v>
      </c>
      <c r="AJ1076" s="109"/>
      <c r="AK1076" s="109"/>
      <c r="AL1076" s="109"/>
      <c r="AM1076" s="640">
        <f t="shared" si="19"/>
        <v>2.7370000000000001</v>
      </c>
      <c r="AO1076" s="289"/>
    </row>
    <row r="1077" spans="1:42" s="61" customFormat="1" ht="22.5" customHeight="1" x14ac:dyDescent="0.3">
      <c r="A1077" s="706"/>
      <c r="B1077" s="117" t="s">
        <v>326</v>
      </c>
      <c r="C1077" s="140"/>
      <c r="D1077" s="110"/>
      <c r="E1077" s="110"/>
      <c r="F1077" s="264"/>
      <c r="G1077" s="110"/>
      <c r="H1077" s="110"/>
      <c r="I1077" s="124"/>
      <c r="J1077" s="110"/>
      <c r="K1077" s="110"/>
      <c r="L1077" s="264"/>
      <c r="M1077" s="110"/>
      <c r="N1077" s="124"/>
      <c r="O1077" s="110"/>
      <c r="P1077" s="110"/>
      <c r="Q1077" s="110"/>
      <c r="R1077" s="110"/>
      <c r="S1077" s="110"/>
      <c r="T1077" s="141"/>
      <c r="U1077" s="140"/>
      <c r="V1077" s="110"/>
      <c r="W1077" s="110"/>
      <c r="X1077" s="110"/>
      <c r="Y1077" s="110"/>
      <c r="Z1077" s="110"/>
      <c r="AA1077" s="110"/>
      <c r="AB1077" s="110"/>
      <c r="AC1077" s="110"/>
      <c r="AD1077" s="110"/>
      <c r="AE1077" s="110"/>
      <c r="AF1077" s="110"/>
      <c r="AG1077" s="110"/>
      <c r="AH1077" s="110"/>
      <c r="AI1077" s="110" t="s">
        <v>482</v>
      </c>
      <c r="AJ1077" s="110"/>
      <c r="AK1077" s="110"/>
      <c r="AL1077" s="110"/>
      <c r="AM1077" s="641">
        <f t="shared" si="19"/>
        <v>0</v>
      </c>
      <c r="AO1077" s="289"/>
      <c r="AP1077" s="97"/>
    </row>
    <row r="1078" spans="1:42" s="61" customFormat="1" ht="25.5" customHeight="1" x14ac:dyDescent="0.3">
      <c r="A1078" s="706"/>
      <c r="B1078" s="175" t="s">
        <v>327</v>
      </c>
      <c r="C1078" s="176"/>
      <c r="D1078" s="127"/>
      <c r="E1078" s="127"/>
      <c r="F1078" s="265"/>
      <c r="G1078" s="127"/>
      <c r="H1078" s="127"/>
      <c r="I1078" s="178"/>
      <c r="J1078" s="127"/>
      <c r="K1078" s="127"/>
      <c r="L1078" s="265"/>
      <c r="M1078" s="127"/>
      <c r="N1078" s="178"/>
      <c r="O1078" s="127"/>
      <c r="P1078" s="127"/>
      <c r="Q1078" s="127"/>
      <c r="R1078" s="127"/>
      <c r="S1078" s="127"/>
      <c r="T1078" s="177"/>
      <c r="U1078" s="176"/>
      <c r="V1078" s="127"/>
      <c r="W1078" s="127"/>
      <c r="X1078" s="127"/>
      <c r="Y1078" s="127"/>
      <c r="Z1078" s="127"/>
      <c r="AA1078" s="127"/>
      <c r="AB1078" s="127"/>
      <c r="AC1078" s="127"/>
      <c r="AD1078" s="127"/>
      <c r="AE1078" s="127"/>
      <c r="AF1078" s="127"/>
      <c r="AG1078" s="127"/>
      <c r="AH1078" s="127"/>
      <c r="AI1078" s="127" t="s">
        <v>482</v>
      </c>
      <c r="AJ1078" s="127"/>
      <c r="AK1078" s="127"/>
      <c r="AL1078" s="127"/>
      <c r="AM1078" s="642">
        <f t="shared" si="19"/>
        <v>0</v>
      </c>
      <c r="AO1078" s="289"/>
    </row>
    <row r="1079" spans="1:42" s="61" customFormat="1" ht="25.5" customHeight="1" x14ac:dyDescent="0.3">
      <c r="A1079" s="706"/>
      <c r="B1079" s="180" t="s">
        <v>361</v>
      </c>
      <c r="C1079" s="300">
        <v>5.3150500000000003</v>
      </c>
      <c r="D1079" s="173"/>
      <c r="E1079" s="173"/>
      <c r="F1079" s="266"/>
      <c r="G1079" s="173"/>
      <c r="H1079" s="173"/>
      <c r="I1079" s="174"/>
      <c r="J1079" s="173"/>
      <c r="K1079" s="173"/>
      <c r="L1079" s="266"/>
      <c r="M1079" s="173"/>
      <c r="N1079" s="174"/>
      <c r="O1079" s="173"/>
      <c r="P1079" s="173"/>
      <c r="Q1079" s="173"/>
      <c r="R1079" s="173"/>
      <c r="S1079" s="173">
        <v>30</v>
      </c>
      <c r="T1079" s="327"/>
      <c r="U1079" s="300"/>
      <c r="V1079" s="173"/>
      <c r="W1079" s="173"/>
      <c r="X1079" s="173"/>
      <c r="Y1079" s="173"/>
      <c r="Z1079" s="173"/>
      <c r="AA1079" s="173"/>
      <c r="AB1079" s="173"/>
      <c r="AC1079" s="173"/>
      <c r="AD1079" s="173"/>
      <c r="AE1079" s="173"/>
      <c r="AF1079" s="173"/>
      <c r="AG1079" s="173"/>
      <c r="AH1079" s="173"/>
      <c r="AI1079" s="173" t="s">
        <v>482</v>
      </c>
      <c r="AJ1079" s="173"/>
      <c r="AK1079" s="173"/>
      <c r="AL1079" s="173"/>
      <c r="AM1079" s="643">
        <f t="shared" si="19"/>
        <v>35.315049999999999</v>
      </c>
      <c r="AO1079" s="289"/>
      <c r="AP1079" s="97"/>
    </row>
    <row r="1080" spans="1:42" s="61" customFormat="1" ht="25.5" customHeight="1" x14ac:dyDescent="0.3">
      <c r="A1080" s="706"/>
      <c r="B1080" s="180" t="s">
        <v>362</v>
      </c>
      <c r="C1080" s="300">
        <v>5.5226899999999999</v>
      </c>
      <c r="D1080" s="173"/>
      <c r="E1080" s="173"/>
      <c r="F1080" s="266"/>
      <c r="G1080" s="173"/>
      <c r="H1080" s="173"/>
      <c r="I1080" s="174"/>
      <c r="J1080" s="173"/>
      <c r="K1080" s="173"/>
      <c r="L1080" s="266"/>
      <c r="M1080" s="173"/>
      <c r="N1080" s="174"/>
      <c r="O1080" s="173"/>
      <c r="P1080" s="173"/>
      <c r="Q1080" s="173"/>
      <c r="R1080" s="173"/>
      <c r="S1080" s="173"/>
      <c r="T1080" s="327"/>
      <c r="U1080" s="300"/>
      <c r="V1080" s="173"/>
      <c r="W1080" s="173"/>
      <c r="X1080" s="173"/>
      <c r="Y1080" s="173"/>
      <c r="Z1080" s="173"/>
      <c r="AA1080" s="173"/>
      <c r="AB1080" s="173"/>
      <c r="AC1080" s="173"/>
      <c r="AD1080" s="173"/>
      <c r="AE1080" s="173"/>
      <c r="AF1080" s="173"/>
      <c r="AG1080" s="173"/>
      <c r="AH1080" s="173"/>
      <c r="AI1080" s="173" t="s">
        <v>482</v>
      </c>
      <c r="AJ1080" s="173"/>
      <c r="AK1080" s="173"/>
      <c r="AL1080" s="173"/>
      <c r="AM1080" s="644">
        <f t="shared" si="19"/>
        <v>5.5226899999999999</v>
      </c>
      <c r="AO1080" s="289"/>
      <c r="AP1080" s="97"/>
    </row>
    <row r="1081" spans="1:42" s="61" customFormat="1" ht="22.5" customHeight="1" x14ac:dyDescent="0.3">
      <c r="A1081" s="706"/>
      <c r="B1081" s="115" t="s">
        <v>402</v>
      </c>
      <c r="C1081" s="142">
        <v>6.5129400000000004</v>
      </c>
      <c r="D1081" s="111"/>
      <c r="E1081" s="111"/>
      <c r="F1081" s="267"/>
      <c r="G1081" s="111"/>
      <c r="H1081" s="111"/>
      <c r="I1081" s="125"/>
      <c r="J1081" s="111"/>
      <c r="K1081" s="111"/>
      <c r="L1081" s="267"/>
      <c r="M1081" s="111"/>
      <c r="N1081" s="125"/>
      <c r="O1081" s="111"/>
      <c r="P1081" s="111"/>
      <c r="Q1081" s="111"/>
      <c r="R1081" s="111"/>
      <c r="S1081" s="111">
        <v>6.62E-3</v>
      </c>
      <c r="T1081" s="143">
        <v>0</v>
      </c>
      <c r="U1081" s="142"/>
      <c r="V1081" s="111"/>
      <c r="W1081" s="111"/>
      <c r="X1081" s="111"/>
      <c r="Y1081" s="111"/>
      <c r="Z1081" s="111"/>
      <c r="AA1081" s="111"/>
      <c r="AB1081" s="111"/>
      <c r="AC1081" s="111"/>
      <c r="AD1081" s="111"/>
      <c r="AE1081" s="111"/>
      <c r="AF1081" s="111"/>
      <c r="AG1081" s="111"/>
      <c r="AH1081" s="111" t="s">
        <v>482</v>
      </c>
      <c r="AI1081" s="111" t="s">
        <v>482</v>
      </c>
      <c r="AJ1081" s="111"/>
      <c r="AK1081" s="111"/>
      <c r="AL1081" s="111"/>
      <c r="AM1081" s="645">
        <f t="shared" si="19"/>
        <v>6.5195600000000002</v>
      </c>
      <c r="AO1081" s="289"/>
    </row>
    <row r="1082" spans="1:42" s="61" customFormat="1" ht="21" customHeight="1" x14ac:dyDescent="0.3">
      <c r="A1082" s="707"/>
      <c r="B1082" s="181" t="s">
        <v>403</v>
      </c>
      <c r="C1082" s="144">
        <v>5.7418199999999997</v>
      </c>
      <c r="D1082" s="112"/>
      <c r="E1082" s="112"/>
      <c r="F1082" s="268"/>
      <c r="G1082" s="112"/>
      <c r="H1082" s="112"/>
      <c r="I1082" s="126"/>
      <c r="J1082" s="112"/>
      <c r="K1082" s="112"/>
      <c r="L1082" s="268"/>
      <c r="M1082" s="112"/>
      <c r="N1082" s="126"/>
      <c r="O1082" s="112"/>
      <c r="P1082" s="112"/>
      <c r="Q1082" s="112"/>
      <c r="R1082" s="112"/>
      <c r="S1082" s="112">
        <v>1.6374E-2</v>
      </c>
      <c r="T1082" s="145">
        <v>0</v>
      </c>
      <c r="U1082" s="144"/>
      <c r="V1082" s="112"/>
      <c r="W1082" s="112"/>
      <c r="X1082" s="112"/>
      <c r="Y1082" s="112"/>
      <c r="Z1082" s="112"/>
      <c r="AA1082" s="112"/>
      <c r="AB1082" s="112"/>
      <c r="AC1082" s="112"/>
      <c r="AD1082" s="112"/>
      <c r="AE1082" s="112"/>
      <c r="AF1082" s="112"/>
      <c r="AG1082" s="112"/>
      <c r="AH1082" s="112" t="s">
        <v>482</v>
      </c>
      <c r="AI1082" s="112" t="s">
        <v>482</v>
      </c>
      <c r="AJ1082" s="112"/>
      <c r="AK1082" s="112"/>
      <c r="AL1082" s="112"/>
      <c r="AM1082" s="646">
        <f t="shared" si="19"/>
        <v>5.7581939999999996</v>
      </c>
      <c r="AO1082" s="289"/>
    </row>
    <row r="1083" spans="1:42" s="61" customFormat="1" ht="21" customHeight="1" x14ac:dyDescent="0.3">
      <c r="A1083" s="705" t="s">
        <v>222</v>
      </c>
      <c r="B1083" s="179" t="s">
        <v>293</v>
      </c>
      <c r="C1083" s="135">
        <v>1084.1199999999999</v>
      </c>
      <c r="D1083" s="136"/>
      <c r="E1083" s="136"/>
      <c r="F1083" s="262"/>
      <c r="G1083" s="136">
        <v>17</v>
      </c>
      <c r="H1083" s="136">
        <v>20</v>
      </c>
      <c r="I1083" s="326"/>
      <c r="J1083" s="136"/>
      <c r="K1083" s="136"/>
      <c r="L1083" s="262"/>
      <c r="M1083" s="136"/>
      <c r="N1083" s="326"/>
      <c r="O1083" s="136"/>
      <c r="P1083" s="136"/>
      <c r="Q1083" s="136"/>
      <c r="R1083" s="136">
        <v>111.5</v>
      </c>
      <c r="S1083" s="136">
        <v>2605.8090000000002</v>
      </c>
      <c r="T1083" s="137">
        <v>145.80000000000001</v>
      </c>
      <c r="U1083" s="632">
        <v>706.23699999999997</v>
      </c>
      <c r="V1083" s="122">
        <v>10</v>
      </c>
      <c r="W1083" s="122">
        <v>410</v>
      </c>
      <c r="X1083" s="122"/>
      <c r="Y1083" s="122">
        <v>1251</v>
      </c>
      <c r="Z1083" s="122">
        <v>2926</v>
      </c>
      <c r="AA1083" s="122">
        <v>1.306</v>
      </c>
      <c r="AB1083" s="122"/>
      <c r="AC1083" s="122">
        <v>42.002000000000002</v>
      </c>
      <c r="AD1083" s="122">
        <v>292</v>
      </c>
      <c r="AE1083" s="122"/>
      <c r="AF1083" s="122"/>
      <c r="AG1083" s="122">
        <v>3</v>
      </c>
      <c r="AH1083" s="122">
        <v>745.4</v>
      </c>
      <c r="AI1083" s="122">
        <v>184</v>
      </c>
      <c r="AJ1083" s="122"/>
      <c r="AK1083" s="122">
        <v>22.29</v>
      </c>
      <c r="AL1083" s="122">
        <v>236.1026845637584</v>
      </c>
      <c r="AM1083" s="639">
        <f t="shared" si="19"/>
        <v>10813.566684563761</v>
      </c>
      <c r="AO1083" s="289"/>
    </row>
    <row r="1084" spans="1:42" s="61" customFormat="1" ht="19.5" customHeight="1" x14ac:dyDescent="0.3">
      <c r="A1084" s="706"/>
      <c r="B1084" s="116" t="s">
        <v>294</v>
      </c>
      <c r="C1084" s="138">
        <v>1736</v>
      </c>
      <c r="D1084" s="109"/>
      <c r="E1084" s="109"/>
      <c r="F1084" s="263"/>
      <c r="G1084" s="109">
        <v>14</v>
      </c>
      <c r="H1084" s="109">
        <v>20</v>
      </c>
      <c r="I1084" s="123"/>
      <c r="J1084" s="109"/>
      <c r="K1084" s="109"/>
      <c r="L1084" s="263"/>
      <c r="M1084" s="109"/>
      <c r="N1084" s="123">
        <v>239.899</v>
      </c>
      <c r="O1084" s="109"/>
      <c r="P1084" s="109"/>
      <c r="Q1084" s="109"/>
      <c r="R1084" s="109">
        <v>111.5</v>
      </c>
      <c r="S1084" s="109">
        <v>3431.694</v>
      </c>
      <c r="T1084" s="139"/>
      <c r="U1084" s="138">
        <v>476.89299999999997</v>
      </c>
      <c r="V1084" s="109">
        <f>(44957+19982)/1000-V1083</f>
        <v>54.938999999999993</v>
      </c>
      <c r="W1084" s="109">
        <f>752-410</f>
        <v>342</v>
      </c>
      <c r="X1084" s="109"/>
      <c r="Y1084" s="109">
        <v>1278</v>
      </c>
      <c r="Z1084" s="109">
        <v>5030</v>
      </c>
      <c r="AA1084" s="109">
        <v>0.54736000000000007</v>
      </c>
      <c r="AB1084" s="109"/>
      <c r="AC1084" s="109">
        <v>55.74</v>
      </c>
      <c r="AD1084" s="109">
        <v>398</v>
      </c>
      <c r="AE1084" s="109"/>
      <c r="AF1084" s="109"/>
      <c r="AG1084" s="109">
        <v>6.72</v>
      </c>
      <c r="AH1084" s="109">
        <v>2320.27</v>
      </c>
      <c r="AI1084" s="109">
        <v>1141</v>
      </c>
      <c r="AJ1084" s="109"/>
      <c r="AK1084" s="109">
        <v>28</v>
      </c>
      <c r="AL1084" s="109">
        <v>0</v>
      </c>
      <c r="AM1084" s="640">
        <f t="shared" si="19"/>
        <v>16685.202359999999</v>
      </c>
      <c r="AO1084" s="289"/>
    </row>
    <row r="1085" spans="1:42" s="61" customFormat="1" ht="22.5" customHeight="1" x14ac:dyDescent="0.3">
      <c r="A1085" s="706"/>
      <c r="B1085" s="117" t="s">
        <v>326</v>
      </c>
      <c r="C1085" s="140">
        <v>978.07</v>
      </c>
      <c r="D1085" s="110"/>
      <c r="E1085" s="110"/>
      <c r="F1085" s="264">
        <v>290</v>
      </c>
      <c r="G1085" s="110">
        <v>26</v>
      </c>
      <c r="H1085" s="110">
        <v>25</v>
      </c>
      <c r="I1085" s="124"/>
      <c r="J1085" s="110"/>
      <c r="K1085" s="110"/>
      <c r="L1085" s="264"/>
      <c r="M1085" s="110"/>
      <c r="N1085" s="124">
        <v>985.83600000000001</v>
      </c>
      <c r="O1085" s="110"/>
      <c r="P1085" s="110"/>
      <c r="Q1085" s="110"/>
      <c r="R1085" s="110"/>
      <c r="S1085" s="110">
        <v>6929</v>
      </c>
      <c r="T1085" s="141"/>
      <c r="U1085" s="140">
        <v>233.15799999999999</v>
      </c>
      <c r="V1085" s="110">
        <f>(19975+22950)/1000</f>
        <v>42.924999999999997</v>
      </c>
      <c r="W1085" s="110">
        <f>622+1159</f>
        <v>1781</v>
      </c>
      <c r="X1085" s="110"/>
      <c r="Y1085" s="110">
        <v>3067</v>
      </c>
      <c r="Z1085" s="110">
        <v>6761</v>
      </c>
      <c r="AA1085" s="110"/>
      <c r="AB1085" s="110"/>
      <c r="AC1085" s="110">
        <v>71.204999999999998</v>
      </c>
      <c r="AD1085" s="110">
        <v>721</v>
      </c>
      <c r="AE1085" s="110"/>
      <c r="AF1085" s="110"/>
      <c r="AG1085" s="110"/>
      <c r="AH1085" s="110">
        <v>2094.7606900000001</v>
      </c>
      <c r="AI1085" s="110">
        <v>715</v>
      </c>
      <c r="AJ1085" s="110"/>
      <c r="AK1085" s="110">
        <v>26</v>
      </c>
      <c r="AL1085" s="110">
        <v>171.71052631578951</v>
      </c>
      <c r="AM1085" s="641">
        <f t="shared" si="19"/>
        <v>24918.665216315789</v>
      </c>
      <c r="AO1085" s="289"/>
      <c r="AP1085" s="97"/>
    </row>
    <row r="1086" spans="1:42" s="61" customFormat="1" ht="25.5" customHeight="1" x14ac:dyDescent="0.3">
      <c r="A1086" s="706"/>
      <c r="B1086" s="175" t="s">
        <v>327</v>
      </c>
      <c r="C1086" s="176">
        <v>3682.0250000000001</v>
      </c>
      <c r="D1086" s="127"/>
      <c r="E1086" s="127"/>
      <c r="F1086" s="265">
        <v>597</v>
      </c>
      <c r="G1086" s="127">
        <v>35</v>
      </c>
      <c r="H1086" s="127">
        <v>125</v>
      </c>
      <c r="I1086" s="178"/>
      <c r="J1086" s="127"/>
      <c r="K1086" s="127"/>
      <c r="L1086" s="265">
        <v>886</v>
      </c>
      <c r="M1086" s="127"/>
      <c r="N1086" s="178">
        <v>2174.547</v>
      </c>
      <c r="O1086" s="127">
        <v>30</v>
      </c>
      <c r="P1086" s="127"/>
      <c r="Q1086" s="127"/>
      <c r="R1086" s="127"/>
      <c r="S1086" s="127">
        <v>12668</v>
      </c>
      <c r="T1086" s="177"/>
      <c r="U1086" s="176">
        <v>581.03499999999997</v>
      </c>
      <c r="V1086" s="127">
        <f>(19975+226205)/1000-V1085</f>
        <v>203.255</v>
      </c>
      <c r="W1086" s="127">
        <f>1900+2196-1781</f>
        <v>2315</v>
      </c>
      <c r="X1086" s="127">
        <v>376</v>
      </c>
      <c r="Y1086" s="127">
        <v>4108</v>
      </c>
      <c r="Z1086" s="127">
        <v>6668</v>
      </c>
      <c r="AA1086" s="127"/>
      <c r="AB1086" s="127"/>
      <c r="AC1086" s="127">
        <v>68.635000000000005</v>
      </c>
      <c r="AD1086" s="127">
        <v>214</v>
      </c>
      <c r="AE1086" s="127"/>
      <c r="AF1086" s="127"/>
      <c r="AG1086" s="127"/>
      <c r="AH1086" s="127">
        <v>10238.879999999999</v>
      </c>
      <c r="AI1086" s="127">
        <v>626</v>
      </c>
      <c r="AJ1086" s="127"/>
      <c r="AK1086" s="127">
        <v>13</v>
      </c>
      <c r="AL1086" s="127">
        <v>163.93129770992365</v>
      </c>
      <c r="AM1086" s="642">
        <f t="shared" si="19"/>
        <v>45773.308297709926</v>
      </c>
      <c r="AO1086" s="289"/>
    </row>
    <row r="1087" spans="1:42" s="61" customFormat="1" ht="25.5" customHeight="1" x14ac:dyDescent="0.3">
      <c r="A1087" s="706"/>
      <c r="B1087" s="180" t="s">
        <v>361</v>
      </c>
      <c r="C1087" s="300">
        <v>2366</v>
      </c>
      <c r="D1087" s="173"/>
      <c r="E1087" s="173"/>
      <c r="F1087" s="266">
        <v>691</v>
      </c>
      <c r="G1087" s="173">
        <v>36</v>
      </c>
      <c r="H1087" s="173">
        <v>25</v>
      </c>
      <c r="I1087" s="174"/>
      <c r="J1087" s="173"/>
      <c r="K1087" s="173"/>
      <c r="L1087" s="266">
        <v>139</v>
      </c>
      <c r="M1087" s="173"/>
      <c r="N1087" s="174">
        <v>1095.9000000000001</v>
      </c>
      <c r="O1087" s="173">
        <v>5</v>
      </c>
      <c r="P1087" s="173"/>
      <c r="Q1087" s="173"/>
      <c r="R1087" s="173">
        <v>157</v>
      </c>
      <c r="S1087" s="173">
        <v>11150</v>
      </c>
      <c r="T1087" s="327"/>
      <c r="U1087" s="300">
        <v>793.96699999999998</v>
      </c>
      <c r="V1087" s="173">
        <f>(62180+104950)/1000</f>
        <v>167.13</v>
      </c>
      <c r="W1087" s="173">
        <v>1957</v>
      </c>
      <c r="X1087" s="173"/>
      <c r="Y1087" s="173">
        <v>2471</v>
      </c>
      <c r="Z1087" s="173">
        <v>7520.4749800000009</v>
      </c>
      <c r="AA1087" s="173"/>
      <c r="AB1087" s="173"/>
      <c r="AC1087" s="173">
        <v>66</v>
      </c>
      <c r="AD1087" s="173">
        <v>702</v>
      </c>
      <c r="AE1087" s="173"/>
      <c r="AF1087" s="173"/>
      <c r="AG1087" s="173"/>
      <c r="AH1087" s="173">
        <v>4958</v>
      </c>
      <c r="AI1087" s="173">
        <v>1432.84</v>
      </c>
      <c r="AJ1087" s="173"/>
      <c r="AK1087" s="173">
        <v>26</v>
      </c>
      <c r="AL1087" s="173">
        <v>0</v>
      </c>
      <c r="AM1087" s="643">
        <f t="shared" si="19"/>
        <v>35759.311979999999</v>
      </c>
      <c r="AO1087" s="289"/>
      <c r="AP1087" s="97"/>
    </row>
    <row r="1088" spans="1:42" s="61" customFormat="1" ht="25.5" customHeight="1" x14ac:dyDescent="0.3">
      <c r="A1088" s="706"/>
      <c r="B1088" s="180" t="s">
        <v>362</v>
      </c>
      <c r="C1088" s="300">
        <v>4720</v>
      </c>
      <c r="D1088" s="173"/>
      <c r="E1088" s="173">
        <v>19</v>
      </c>
      <c r="F1088" s="266">
        <v>991</v>
      </c>
      <c r="G1088" s="173">
        <f>41</f>
        <v>41</v>
      </c>
      <c r="H1088" s="173">
        <f>25+25</f>
        <v>50</v>
      </c>
      <c r="I1088" s="174"/>
      <c r="J1088" s="173"/>
      <c r="K1088" s="173"/>
      <c r="L1088" s="266">
        <v>700</v>
      </c>
      <c r="M1088" s="173"/>
      <c r="N1088" s="174">
        <v>724.37599999999998</v>
      </c>
      <c r="O1088" s="173">
        <v>315</v>
      </c>
      <c r="P1088" s="173"/>
      <c r="Q1088" s="173"/>
      <c r="R1088" s="173">
        <f>350-R1087</f>
        <v>193</v>
      </c>
      <c r="S1088" s="173">
        <v>7668</v>
      </c>
      <c r="T1088" s="327">
        <v>60.7</v>
      </c>
      <c r="U1088" s="300">
        <v>1523.6990000000001</v>
      </c>
      <c r="V1088" s="173">
        <f>(134780+232264)/1000-V1087</f>
        <v>199.91399999999999</v>
      </c>
      <c r="W1088" s="173">
        <f>649+1786</f>
        <v>2435</v>
      </c>
      <c r="X1088" s="173"/>
      <c r="Y1088" s="173">
        <v>5248</v>
      </c>
      <c r="Z1088" s="173">
        <v>7126.1311799999985</v>
      </c>
      <c r="AA1088" s="173">
        <v>3.6191599999999999</v>
      </c>
      <c r="AB1088" s="173"/>
      <c r="AC1088" s="173">
        <f>138-66+141</f>
        <v>213</v>
      </c>
      <c r="AD1088" s="173">
        <v>1444</v>
      </c>
      <c r="AE1088" s="173"/>
      <c r="AF1088" s="173"/>
      <c r="AG1088" s="173"/>
      <c r="AH1088" s="173">
        <v>4888</v>
      </c>
      <c r="AI1088" s="173">
        <v>958.16</v>
      </c>
      <c r="AJ1088" s="173"/>
      <c r="AK1088" s="173"/>
      <c r="AL1088" s="173">
        <v>209.33035714285714</v>
      </c>
      <c r="AM1088" s="644">
        <f t="shared" si="19"/>
        <v>39730.929697142856</v>
      </c>
      <c r="AO1088" s="289"/>
      <c r="AP1088" s="97"/>
    </row>
    <row r="1089" spans="1:42" s="61" customFormat="1" ht="22.5" customHeight="1" x14ac:dyDescent="0.3">
      <c r="A1089" s="706"/>
      <c r="B1089" s="115" t="s">
        <v>402</v>
      </c>
      <c r="C1089" s="142">
        <v>7580.8226500000001</v>
      </c>
      <c r="D1089" s="111"/>
      <c r="E1089" s="111">
        <v>19</v>
      </c>
      <c r="F1089" s="267">
        <v>1184.0999999999999</v>
      </c>
      <c r="G1089" s="111">
        <v>22</v>
      </c>
      <c r="H1089" s="111">
        <v>161</v>
      </c>
      <c r="I1089" s="125"/>
      <c r="J1089" s="111"/>
      <c r="K1089" s="111"/>
      <c r="L1089" s="267">
        <v>517</v>
      </c>
      <c r="M1089" s="111"/>
      <c r="N1089" s="125"/>
      <c r="O1089" s="111">
        <v>193</v>
      </c>
      <c r="P1089" s="111"/>
      <c r="Q1089" s="111"/>
      <c r="R1089" s="111"/>
      <c r="S1089" s="111">
        <v>6112.0970650000008</v>
      </c>
      <c r="T1089" s="143">
        <v>223.31</v>
      </c>
      <c r="U1089" s="142">
        <v>903.44799999999998</v>
      </c>
      <c r="V1089" s="111">
        <f>281399.3/1000</f>
        <v>281.39929999999998</v>
      </c>
      <c r="W1089" s="111">
        <v>858</v>
      </c>
      <c r="X1089" s="111"/>
      <c r="Y1089" s="111">
        <v>4546.2039999999997</v>
      </c>
      <c r="Z1089" s="111">
        <v>3917</v>
      </c>
      <c r="AA1089" s="111">
        <v>2</v>
      </c>
      <c r="AB1089" s="111"/>
      <c r="AC1089" s="111">
        <v>191</v>
      </c>
      <c r="AD1089" s="111">
        <v>1178</v>
      </c>
      <c r="AE1089" s="111"/>
      <c r="AF1089" s="111"/>
      <c r="AG1089" s="111"/>
      <c r="AH1089" s="111">
        <v>14069.125</v>
      </c>
      <c r="AI1089" s="111">
        <v>1840</v>
      </c>
      <c r="AJ1089" s="111"/>
      <c r="AK1089" s="111">
        <f>34.086/1.097</f>
        <v>31.072014585232452</v>
      </c>
      <c r="AL1089" s="111">
        <v>0</v>
      </c>
      <c r="AM1089" s="645">
        <f t="shared" si="19"/>
        <v>43829.578029585231</v>
      </c>
      <c r="AO1089" s="289"/>
    </row>
    <row r="1090" spans="1:42" s="61" customFormat="1" ht="21" customHeight="1" x14ac:dyDescent="0.3">
      <c r="A1090" s="707"/>
      <c r="B1090" s="181" t="s">
        <v>403</v>
      </c>
      <c r="C1090" s="144">
        <v>7448.6367399999999</v>
      </c>
      <c r="D1090" s="112"/>
      <c r="E1090" s="112">
        <v>19</v>
      </c>
      <c r="F1090" s="268">
        <v>817.7</v>
      </c>
      <c r="G1090" s="112">
        <v>80</v>
      </c>
      <c r="H1090" s="112"/>
      <c r="I1090" s="126"/>
      <c r="J1090" s="112"/>
      <c r="K1090" s="112"/>
      <c r="L1090" s="268">
        <v>185.7</v>
      </c>
      <c r="M1090" s="112"/>
      <c r="N1090" s="126"/>
      <c r="O1090" s="112">
        <v>146</v>
      </c>
      <c r="P1090" s="112"/>
      <c r="Q1090" s="112"/>
      <c r="R1090" s="112">
        <v>195</v>
      </c>
      <c r="S1090" s="112">
        <v>5771.1619659999997</v>
      </c>
      <c r="T1090" s="145"/>
      <c r="U1090" s="144">
        <v>513.25099999999998</v>
      </c>
      <c r="V1090" s="112">
        <f>(417955+264791)/1000-V1089</f>
        <v>401.3467</v>
      </c>
      <c r="W1090" s="112">
        <f>1878-858</f>
        <v>1020</v>
      </c>
      <c r="X1090" s="112"/>
      <c r="Y1090" s="112">
        <v>3500.5830000000001</v>
      </c>
      <c r="Z1090" s="112">
        <v>3692</v>
      </c>
      <c r="AA1090" s="112"/>
      <c r="AB1090" s="112"/>
      <c r="AC1090" s="112">
        <v>51</v>
      </c>
      <c r="AD1090" s="112">
        <v>576</v>
      </c>
      <c r="AE1090" s="112"/>
      <c r="AF1090" s="112"/>
      <c r="AG1090" s="112"/>
      <c r="AH1090" s="112">
        <v>3734.732</v>
      </c>
      <c r="AI1090" s="112">
        <v>1840</v>
      </c>
      <c r="AJ1090" s="112"/>
      <c r="AK1090" s="112">
        <f>16.458/1.001</f>
        <v>16.441558441558442</v>
      </c>
      <c r="AL1090" s="112">
        <v>0</v>
      </c>
      <c r="AM1090" s="646">
        <f t="shared" si="19"/>
        <v>30008.552964441558</v>
      </c>
      <c r="AO1090" s="289"/>
    </row>
    <row r="1091" spans="1:42" s="61" customFormat="1" ht="21" customHeight="1" x14ac:dyDescent="0.3">
      <c r="A1091" s="705" t="s">
        <v>223</v>
      </c>
      <c r="B1091" s="179" t="s">
        <v>293</v>
      </c>
      <c r="C1091" s="135">
        <v>10</v>
      </c>
      <c r="D1091" s="136"/>
      <c r="E1091" s="136"/>
      <c r="F1091" s="262">
        <v>424.45699999999999</v>
      </c>
      <c r="G1091" s="136">
        <v>1</v>
      </c>
      <c r="H1091" s="136"/>
      <c r="I1091" s="326"/>
      <c r="J1091" s="136"/>
      <c r="K1091" s="136"/>
      <c r="L1091" s="262"/>
      <c r="M1091" s="136"/>
      <c r="N1091" s="326"/>
      <c r="O1091" s="136"/>
      <c r="P1091" s="136"/>
      <c r="Q1091" s="136"/>
      <c r="R1091" s="136"/>
      <c r="S1091" s="136"/>
      <c r="T1091" s="137"/>
      <c r="U1091" s="632"/>
      <c r="V1091" s="122"/>
      <c r="W1091" s="122"/>
      <c r="X1091" s="122"/>
      <c r="Y1091" s="122"/>
      <c r="Z1091" s="122">
        <v>129.56215</v>
      </c>
      <c r="AA1091" s="122"/>
      <c r="AB1091" s="122"/>
      <c r="AC1091" s="122"/>
      <c r="AD1091" s="122"/>
      <c r="AE1091" s="122"/>
      <c r="AF1091" s="122"/>
      <c r="AG1091" s="122"/>
      <c r="AH1091" s="122">
        <v>2.5</v>
      </c>
      <c r="AI1091" s="122" t="s">
        <v>482</v>
      </c>
      <c r="AJ1091" s="122"/>
      <c r="AK1091" s="122"/>
      <c r="AL1091" s="122"/>
      <c r="AM1091" s="639">
        <f t="shared" si="19"/>
        <v>567.51914999999997</v>
      </c>
      <c r="AO1091" s="289"/>
    </row>
    <row r="1092" spans="1:42" s="61" customFormat="1" ht="19.5" customHeight="1" x14ac:dyDescent="0.3">
      <c r="A1092" s="706"/>
      <c r="B1092" s="116" t="s">
        <v>294</v>
      </c>
      <c r="C1092" s="138">
        <v>80</v>
      </c>
      <c r="D1092" s="109"/>
      <c r="E1092" s="109"/>
      <c r="F1092" s="263">
        <v>92.986000000000004</v>
      </c>
      <c r="G1092" s="109">
        <v>28</v>
      </c>
      <c r="H1092" s="109"/>
      <c r="I1092" s="123"/>
      <c r="J1092" s="109"/>
      <c r="K1092" s="109"/>
      <c r="L1092" s="263"/>
      <c r="M1092" s="109"/>
      <c r="N1092" s="123">
        <v>5</v>
      </c>
      <c r="O1092" s="109"/>
      <c r="P1092" s="109"/>
      <c r="Q1092" s="109"/>
      <c r="R1092" s="109"/>
      <c r="S1092" s="109">
        <v>10</v>
      </c>
      <c r="T1092" s="139"/>
      <c r="U1092" s="138"/>
      <c r="V1092" s="109"/>
      <c r="W1092" s="109"/>
      <c r="X1092" s="109"/>
      <c r="Y1092" s="109"/>
      <c r="Z1092" s="109">
        <v>8</v>
      </c>
      <c r="AA1092" s="109"/>
      <c r="AB1092" s="109"/>
      <c r="AC1092" s="109"/>
      <c r="AD1092" s="109"/>
      <c r="AE1092" s="109"/>
      <c r="AF1092" s="109"/>
      <c r="AG1092" s="109">
        <v>0.55000000000000004</v>
      </c>
      <c r="AH1092" s="109">
        <v>18.88</v>
      </c>
      <c r="AI1092" s="109" t="s">
        <v>482</v>
      </c>
      <c r="AJ1092" s="109"/>
      <c r="AK1092" s="109"/>
      <c r="AL1092" s="109"/>
      <c r="AM1092" s="640">
        <f t="shared" si="19"/>
        <v>243.416</v>
      </c>
      <c r="AO1092" s="289"/>
    </row>
    <row r="1093" spans="1:42" s="61" customFormat="1" ht="22.5" customHeight="1" x14ac:dyDescent="0.3">
      <c r="A1093" s="706"/>
      <c r="B1093" s="117" t="s">
        <v>326</v>
      </c>
      <c r="C1093" s="140">
        <v>48.273000000000003</v>
      </c>
      <c r="D1093" s="110"/>
      <c r="E1093" s="110"/>
      <c r="F1093" s="264"/>
      <c r="G1093" s="110">
        <v>1</v>
      </c>
      <c r="H1093" s="110"/>
      <c r="I1093" s="124"/>
      <c r="J1093" s="110"/>
      <c r="K1093" s="110"/>
      <c r="L1093" s="264"/>
      <c r="M1093" s="110"/>
      <c r="N1093" s="124"/>
      <c r="O1093" s="110"/>
      <c r="P1093" s="110"/>
      <c r="Q1093" s="110"/>
      <c r="R1093" s="110"/>
      <c r="S1093" s="110">
        <v>10831</v>
      </c>
      <c r="T1093" s="141"/>
      <c r="U1093" s="140"/>
      <c r="V1093" s="110"/>
      <c r="W1093" s="110"/>
      <c r="X1093" s="110"/>
      <c r="Y1093" s="110"/>
      <c r="Z1093" s="110">
        <v>4</v>
      </c>
      <c r="AA1093" s="110"/>
      <c r="AB1093" s="110"/>
      <c r="AC1093" s="110"/>
      <c r="AD1093" s="110"/>
      <c r="AE1093" s="110"/>
      <c r="AF1093" s="110"/>
      <c r="AG1093" s="110"/>
      <c r="AH1093" s="110">
        <v>1327.95225</v>
      </c>
      <c r="AI1093" s="110" t="s">
        <v>482</v>
      </c>
      <c r="AJ1093" s="110"/>
      <c r="AK1093" s="110"/>
      <c r="AL1093" s="110"/>
      <c r="AM1093" s="641">
        <f t="shared" si="19"/>
        <v>12212.22525</v>
      </c>
      <c r="AO1093" s="289"/>
      <c r="AP1093" s="97"/>
    </row>
    <row r="1094" spans="1:42" s="61" customFormat="1" ht="25.5" customHeight="1" x14ac:dyDescent="0.3">
      <c r="A1094" s="706"/>
      <c r="B1094" s="175" t="s">
        <v>327</v>
      </c>
      <c r="C1094" s="176">
        <v>5</v>
      </c>
      <c r="D1094" s="127"/>
      <c r="E1094" s="127"/>
      <c r="F1094" s="265">
        <v>-31</v>
      </c>
      <c r="G1094" s="127"/>
      <c r="H1094" s="127"/>
      <c r="I1094" s="178"/>
      <c r="J1094" s="127"/>
      <c r="K1094" s="127"/>
      <c r="L1094" s="265"/>
      <c r="M1094" s="127"/>
      <c r="N1094" s="178"/>
      <c r="O1094" s="127"/>
      <c r="P1094" s="127"/>
      <c r="Q1094" s="127"/>
      <c r="R1094" s="127"/>
      <c r="S1094" s="127">
        <v>17738</v>
      </c>
      <c r="T1094" s="177"/>
      <c r="U1094" s="176"/>
      <c r="V1094" s="127"/>
      <c r="W1094" s="127"/>
      <c r="X1094" s="127"/>
      <c r="Y1094" s="127"/>
      <c r="Z1094" s="127">
        <v>8</v>
      </c>
      <c r="AA1094" s="127"/>
      <c r="AB1094" s="127"/>
      <c r="AC1094" s="127"/>
      <c r="AD1094" s="127"/>
      <c r="AE1094" s="127"/>
      <c r="AF1094" s="127"/>
      <c r="AG1094" s="127"/>
      <c r="AH1094" s="127"/>
      <c r="AI1094" s="127" t="s">
        <v>482</v>
      </c>
      <c r="AJ1094" s="127"/>
      <c r="AK1094" s="127"/>
      <c r="AL1094" s="127"/>
      <c r="AM1094" s="642">
        <f t="shared" si="19"/>
        <v>17720</v>
      </c>
      <c r="AO1094" s="289"/>
    </row>
    <row r="1095" spans="1:42" s="61" customFormat="1" ht="25.5" customHeight="1" x14ac:dyDescent="0.3">
      <c r="A1095" s="706"/>
      <c r="B1095" s="180" t="s">
        <v>361</v>
      </c>
      <c r="C1095" s="300">
        <v>28.4465</v>
      </c>
      <c r="D1095" s="173"/>
      <c r="E1095" s="173"/>
      <c r="F1095" s="266">
        <v>460</v>
      </c>
      <c r="G1095" s="173">
        <f>1+0</f>
        <v>1</v>
      </c>
      <c r="H1095" s="173"/>
      <c r="I1095" s="174"/>
      <c r="J1095" s="173"/>
      <c r="K1095" s="173"/>
      <c r="L1095" s="266"/>
      <c r="M1095" s="173"/>
      <c r="N1095" s="174">
        <v>10.039999999999999</v>
      </c>
      <c r="O1095" s="173"/>
      <c r="P1095" s="173"/>
      <c r="Q1095" s="173"/>
      <c r="R1095" s="173"/>
      <c r="S1095" s="173">
        <v>11486</v>
      </c>
      <c r="T1095" s="327"/>
      <c r="U1095" s="300">
        <v>34.685000000000002</v>
      </c>
      <c r="V1095" s="173"/>
      <c r="W1095" s="173"/>
      <c r="X1095" s="173"/>
      <c r="Y1095" s="173"/>
      <c r="Z1095" s="173">
        <v>7.5748899999999999</v>
      </c>
      <c r="AA1095" s="173"/>
      <c r="AB1095" s="173"/>
      <c r="AC1095" s="173"/>
      <c r="AD1095" s="173"/>
      <c r="AE1095" s="173"/>
      <c r="AF1095" s="173"/>
      <c r="AG1095" s="173"/>
      <c r="AH1095" s="173"/>
      <c r="AI1095" s="173" t="s">
        <v>482</v>
      </c>
      <c r="AJ1095" s="173"/>
      <c r="AK1095" s="173"/>
      <c r="AL1095" s="173"/>
      <c r="AM1095" s="643">
        <f t="shared" si="19"/>
        <v>12027.74639</v>
      </c>
      <c r="AO1095" s="289"/>
      <c r="AP1095" s="97"/>
    </row>
    <row r="1096" spans="1:42" s="61" customFormat="1" ht="25.5" customHeight="1" x14ac:dyDescent="0.3">
      <c r="A1096" s="706"/>
      <c r="B1096" s="180" t="s">
        <v>362</v>
      </c>
      <c r="C1096" s="300">
        <v>8</v>
      </c>
      <c r="D1096" s="173"/>
      <c r="E1096" s="173"/>
      <c r="F1096" s="266">
        <v>413</v>
      </c>
      <c r="G1096" s="173">
        <v>1</v>
      </c>
      <c r="H1096" s="173"/>
      <c r="I1096" s="174"/>
      <c r="J1096" s="173"/>
      <c r="K1096" s="173"/>
      <c r="L1096" s="266"/>
      <c r="M1096" s="173"/>
      <c r="N1096" s="174">
        <v>5</v>
      </c>
      <c r="O1096" s="173"/>
      <c r="P1096" s="173"/>
      <c r="Q1096" s="173"/>
      <c r="R1096" s="173"/>
      <c r="S1096" s="173">
        <v>5436</v>
      </c>
      <c r="T1096" s="327"/>
      <c r="U1096" s="300">
        <v>20.370999999999999</v>
      </c>
      <c r="V1096" s="173"/>
      <c r="W1096" s="173"/>
      <c r="X1096" s="173"/>
      <c r="Y1096" s="173"/>
      <c r="Z1096" s="173">
        <v>1.6748800000000001</v>
      </c>
      <c r="AA1096" s="173"/>
      <c r="AB1096" s="173"/>
      <c r="AC1096" s="173"/>
      <c r="AD1096" s="173"/>
      <c r="AE1096" s="173"/>
      <c r="AF1096" s="173"/>
      <c r="AG1096" s="173"/>
      <c r="AH1096" s="173"/>
      <c r="AI1096" s="173" t="s">
        <v>482</v>
      </c>
      <c r="AJ1096" s="173"/>
      <c r="AK1096" s="173"/>
      <c r="AL1096" s="173"/>
      <c r="AM1096" s="644">
        <f t="shared" si="19"/>
        <v>5885.0458799999997</v>
      </c>
      <c r="AO1096" s="289"/>
      <c r="AP1096" s="97"/>
    </row>
    <row r="1097" spans="1:42" s="61" customFormat="1" ht="22.5" customHeight="1" x14ac:dyDescent="0.3">
      <c r="A1097" s="706"/>
      <c r="B1097" s="115" t="s">
        <v>402</v>
      </c>
      <c r="C1097" s="142">
        <v>151.6</v>
      </c>
      <c r="D1097" s="111"/>
      <c r="E1097" s="111"/>
      <c r="F1097" s="267">
        <v>-13.4</v>
      </c>
      <c r="G1097" s="111"/>
      <c r="H1097" s="111">
        <v>350</v>
      </c>
      <c r="I1097" s="125"/>
      <c r="J1097" s="111"/>
      <c r="K1097" s="111"/>
      <c r="L1097" s="267"/>
      <c r="M1097" s="111"/>
      <c r="N1097" s="125"/>
      <c r="O1097" s="111"/>
      <c r="P1097" s="111"/>
      <c r="Q1097" s="111"/>
      <c r="R1097" s="111"/>
      <c r="S1097" s="111">
        <v>3662.1782289999996</v>
      </c>
      <c r="T1097" s="143"/>
      <c r="U1097" s="142">
        <v>19.98</v>
      </c>
      <c r="V1097" s="111"/>
      <c r="W1097" s="111"/>
      <c r="X1097" s="111"/>
      <c r="Y1097" s="111"/>
      <c r="Z1097" s="111">
        <v>1</v>
      </c>
      <c r="AA1097" s="111"/>
      <c r="AB1097" s="111"/>
      <c r="AC1097" s="111"/>
      <c r="AD1097" s="111"/>
      <c r="AE1097" s="111"/>
      <c r="AF1097" s="111"/>
      <c r="AG1097" s="111"/>
      <c r="AH1097" s="111">
        <v>25</v>
      </c>
      <c r="AI1097" s="111">
        <v>25</v>
      </c>
      <c r="AJ1097" s="111"/>
      <c r="AK1097" s="111"/>
      <c r="AL1097" s="111"/>
      <c r="AM1097" s="645">
        <f t="shared" si="19"/>
        <v>4221.3582289999995</v>
      </c>
      <c r="AO1097" s="289"/>
    </row>
    <row r="1098" spans="1:42" s="61" customFormat="1" ht="21" customHeight="1" x14ac:dyDescent="0.3">
      <c r="A1098" s="707"/>
      <c r="B1098" s="181" t="s">
        <v>403</v>
      </c>
      <c r="C1098" s="144">
        <v>88.3</v>
      </c>
      <c r="D1098" s="112"/>
      <c r="E1098" s="112"/>
      <c r="F1098" s="268"/>
      <c r="G1098" s="112"/>
      <c r="H1098" s="112"/>
      <c r="I1098" s="126"/>
      <c r="J1098" s="112"/>
      <c r="K1098" s="112"/>
      <c r="L1098" s="268"/>
      <c r="M1098" s="112"/>
      <c r="N1098" s="126"/>
      <c r="O1098" s="112"/>
      <c r="P1098" s="112"/>
      <c r="Q1098" s="112"/>
      <c r="R1098" s="112"/>
      <c r="S1098" s="112">
        <v>4863.4911730000003</v>
      </c>
      <c r="T1098" s="145"/>
      <c r="U1098" s="144"/>
      <c r="V1098" s="112"/>
      <c r="W1098" s="112"/>
      <c r="X1098" s="112"/>
      <c r="Y1098" s="112"/>
      <c r="Z1098" s="112">
        <v>2</v>
      </c>
      <c r="AA1098" s="112"/>
      <c r="AB1098" s="112"/>
      <c r="AC1098" s="112"/>
      <c r="AD1098" s="112"/>
      <c r="AE1098" s="112"/>
      <c r="AF1098" s="112"/>
      <c r="AG1098" s="112"/>
      <c r="AH1098" s="112">
        <v>24</v>
      </c>
      <c r="AI1098" s="112">
        <v>25</v>
      </c>
      <c r="AJ1098" s="112"/>
      <c r="AK1098" s="112"/>
      <c r="AL1098" s="112"/>
      <c r="AM1098" s="646">
        <f t="shared" si="19"/>
        <v>5002.7911730000005</v>
      </c>
      <c r="AO1098" s="289"/>
    </row>
    <row r="1099" spans="1:42" s="61" customFormat="1" ht="21" customHeight="1" x14ac:dyDescent="0.3">
      <c r="A1099" s="705" t="s">
        <v>224</v>
      </c>
      <c r="B1099" s="179" t="s">
        <v>293</v>
      </c>
      <c r="C1099" s="135"/>
      <c r="D1099" s="136"/>
      <c r="E1099" s="136"/>
      <c r="F1099" s="262"/>
      <c r="G1099" s="136"/>
      <c r="H1099" s="136"/>
      <c r="I1099" s="326"/>
      <c r="J1099" s="136"/>
      <c r="K1099" s="136"/>
      <c r="L1099" s="262"/>
      <c r="M1099" s="136"/>
      <c r="N1099" s="326"/>
      <c r="O1099" s="136"/>
      <c r="P1099" s="136"/>
      <c r="Q1099" s="136"/>
      <c r="R1099" s="136"/>
      <c r="S1099" s="136"/>
      <c r="T1099" s="137"/>
      <c r="U1099" s="632">
        <v>85.287000000000006</v>
      </c>
      <c r="V1099" s="122"/>
      <c r="W1099" s="122"/>
      <c r="X1099" s="122"/>
      <c r="Y1099" s="122"/>
      <c r="Z1099" s="122"/>
      <c r="AA1099" s="122"/>
      <c r="AB1099" s="122"/>
      <c r="AC1099" s="122"/>
      <c r="AD1099" s="122"/>
      <c r="AE1099" s="122"/>
      <c r="AF1099" s="122"/>
      <c r="AG1099" s="122"/>
      <c r="AH1099" s="122"/>
      <c r="AI1099" s="122" t="s">
        <v>482</v>
      </c>
      <c r="AJ1099" s="122"/>
      <c r="AK1099" s="122"/>
      <c r="AL1099" s="122"/>
      <c r="AM1099" s="639">
        <f t="shared" si="19"/>
        <v>85.287000000000006</v>
      </c>
      <c r="AO1099" s="289"/>
    </row>
    <row r="1100" spans="1:42" s="61" customFormat="1" ht="19.5" customHeight="1" x14ac:dyDescent="0.3">
      <c r="A1100" s="706"/>
      <c r="B1100" s="116" t="s">
        <v>294</v>
      </c>
      <c r="C1100" s="138"/>
      <c r="D1100" s="109"/>
      <c r="E1100" s="109"/>
      <c r="F1100" s="263"/>
      <c r="G1100" s="109"/>
      <c r="H1100" s="109"/>
      <c r="I1100" s="123"/>
      <c r="J1100" s="109"/>
      <c r="K1100" s="109"/>
      <c r="L1100" s="263"/>
      <c r="M1100" s="109"/>
      <c r="N1100" s="123"/>
      <c r="O1100" s="109"/>
      <c r="P1100" s="109"/>
      <c r="Q1100" s="109"/>
      <c r="R1100" s="109"/>
      <c r="S1100" s="109">
        <v>-10.145</v>
      </c>
      <c r="T1100" s="139"/>
      <c r="U1100" s="138">
        <v>77.58</v>
      </c>
      <c r="V1100" s="109"/>
      <c r="W1100" s="109"/>
      <c r="X1100" s="109"/>
      <c r="Y1100" s="109"/>
      <c r="Z1100" s="109"/>
      <c r="AA1100" s="109"/>
      <c r="AB1100" s="109"/>
      <c r="AC1100" s="109"/>
      <c r="AD1100" s="109"/>
      <c r="AE1100" s="109"/>
      <c r="AF1100" s="109"/>
      <c r="AG1100" s="109"/>
      <c r="AH1100" s="109"/>
      <c r="AI1100" s="109" t="s">
        <v>482</v>
      </c>
      <c r="AJ1100" s="109"/>
      <c r="AK1100" s="109"/>
      <c r="AL1100" s="109"/>
      <c r="AM1100" s="640">
        <f t="shared" si="19"/>
        <v>67.435000000000002</v>
      </c>
      <c r="AO1100" s="289"/>
    </row>
    <row r="1101" spans="1:42" s="61" customFormat="1" ht="22.5" customHeight="1" x14ac:dyDescent="0.3">
      <c r="A1101" s="706"/>
      <c r="B1101" s="117" t="s">
        <v>326</v>
      </c>
      <c r="C1101" s="140"/>
      <c r="D1101" s="110"/>
      <c r="E1101" s="110"/>
      <c r="F1101" s="264"/>
      <c r="G1101" s="110"/>
      <c r="H1101" s="110"/>
      <c r="I1101" s="124"/>
      <c r="J1101" s="110"/>
      <c r="K1101" s="110"/>
      <c r="L1101" s="264"/>
      <c r="M1101" s="110"/>
      <c r="N1101" s="124"/>
      <c r="O1101" s="110"/>
      <c r="P1101" s="110"/>
      <c r="Q1101" s="110"/>
      <c r="R1101" s="110"/>
      <c r="S1101" s="110"/>
      <c r="T1101" s="141"/>
      <c r="U1101" s="140">
        <v>63.972000000000001</v>
      </c>
      <c r="V1101" s="110"/>
      <c r="W1101" s="110"/>
      <c r="X1101" s="110"/>
      <c r="Y1101" s="110"/>
      <c r="Z1101" s="110"/>
      <c r="AA1101" s="110"/>
      <c r="AB1101" s="110"/>
      <c r="AC1101" s="110"/>
      <c r="AD1101" s="110"/>
      <c r="AE1101" s="110"/>
      <c r="AF1101" s="110"/>
      <c r="AG1101" s="110"/>
      <c r="AH1101" s="110"/>
      <c r="AI1101" s="110" t="s">
        <v>482</v>
      </c>
      <c r="AJ1101" s="110"/>
      <c r="AK1101" s="110"/>
      <c r="AL1101" s="110"/>
      <c r="AM1101" s="641">
        <f t="shared" ref="AM1101:AM1172" si="20">SUM(C1101:AL1101)</f>
        <v>63.972000000000001</v>
      </c>
      <c r="AO1101" s="289"/>
      <c r="AP1101" s="97"/>
    </row>
    <row r="1102" spans="1:42" s="61" customFormat="1" ht="25.5" customHeight="1" x14ac:dyDescent="0.3">
      <c r="A1102" s="706"/>
      <c r="B1102" s="175" t="s">
        <v>327</v>
      </c>
      <c r="C1102" s="176"/>
      <c r="D1102" s="127"/>
      <c r="E1102" s="127"/>
      <c r="F1102" s="265"/>
      <c r="G1102" s="127">
        <v>1</v>
      </c>
      <c r="H1102" s="127"/>
      <c r="I1102" s="178"/>
      <c r="J1102" s="127"/>
      <c r="K1102" s="127"/>
      <c r="L1102" s="265"/>
      <c r="M1102" s="127"/>
      <c r="N1102" s="178"/>
      <c r="O1102" s="127"/>
      <c r="P1102" s="127"/>
      <c r="Q1102" s="127"/>
      <c r="R1102" s="127"/>
      <c r="S1102" s="127">
        <v>101</v>
      </c>
      <c r="T1102" s="177"/>
      <c r="U1102" s="176">
        <v>0.309</v>
      </c>
      <c r="V1102" s="127"/>
      <c r="W1102" s="127"/>
      <c r="X1102" s="127"/>
      <c r="Y1102" s="127"/>
      <c r="Z1102" s="127"/>
      <c r="AA1102" s="127"/>
      <c r="AB1102" s="127"/>
      <c r="AC1102" s="127"/>
      <c r="AD1102" s="127"/>
      <c r="AE1102" s="127"/>
      <c r="AF1102" s="127"/>
      <c r="AG1102" s="127"/>
      <c r="AH1102" s="127"/>
      <c r="AI1102" s="127" t="s">
        <v>482</v>
      </c>
      <c r="AJ1102" s="127"/>
      <c r="AK1102" s="127">
        <v>8</v>
      </c>
      <c r="AL1102" s="127"/>
      <c r="AM1102" s="642">
        <f t="shared" si="20"/>
        <v>110.309</v>
      </c>
      <c r="AO1102" s="289"/>
    </row>
    <row r="1103" spans="1:42" s="61" customFormat="1" ht="25.5" customHeight="1" x14ac:dyDescent="0.3">
      <c r="A1103" s="706"/>
      <c r="B1103" s="180" t="s">
        <v>361</v>
      </c>
      <c r="C1103" s="300"/>
      <c r="D1103" s="173"/>
      <c r="E1103" s="173"/>
      <c r="F1103" s="266"/>
      <c r="G1103" s="173">
        <v>1</v>
      </c>
      <c r="H1103" s="173">
        <v>6</v>
      </c>
      <c r="I1103" s="174"/>
      <c r="J1103" s="173"/>
      <c r="K1103" s="173"/>
      <c r="L1103" s="266"/>
      <c r="M1103" s="173"/>
      <c r="N1103" s="174"/>
      <c r="O1103" s="173"/>
      <c r="P1103" s="173"/>
      <c r="Q1103" s="173"/>
      <c r="R1103" s="173"/>
      <c r="S1103" s="173">
        <v>145</v>
      </c>
      <c r="T1103" s="327"/>
      <c r="U1103" s="300">
        <v>36.75</v>
      </c>
      <c r="V1103" s="173"/>
      <c r="W1103" s="173"/>
      <c r="X1103" s="173"/>
      <c r="Y1103" s="173"/>
      <c r="Z1103" s="173"/>
      <c r="AA1103" s="173"/>
      <c r="AB1103" s="173"/>
      <c r="AC1103" s="173"/>
      <c r="AD1103" s="173"/>
      <c r="AE1103" s="173"/>
      <c r="AF1103" s="173"/>
      <c r="AG1103" s="173"/>
      <c r="AH1103" s="173"/>
      <c r="AI1103" s="173" t="s">
        <v>482</v>
      </c>
      <c r="AJ1103" s="173"/>
      <c r="AK1103" s="173">
        <v>65</v>
      </c>
      <c r="AL1103" s="173"/>
      <c r="AM1103" s="643">
        <f t="shared" si="20"/>
        <v>253.75</v>
      </c>
      <c r="AO1103" s="289"/>
      <c r="AP1103" s="97"/>
    </row>
    <row r="1104" spans="1:42" s="61" customFormat="1" ht="25.5" customHeight="1" x14ac:dyDescent="0.3">
      <c r="A1104" s="706"/>
      <c r="B1104" s="180" t="s">
        <v>362</v>
      </c>
      <c r="C1104" s="300"/>
      <c r="D1104" s="173"/>
      <c r="E1104" s="173"/>
      <c r="F1104" s="266"/>
      <c r="G1104" s="173">
        <v>1</v>
      </c>
      <c r="H1104" s="173">
        <v>5</v>
      </c>
      <c r="I1104" s="174"/>
      <c r="J1104" s="173"/>
      <c r="K1104" s="173"/>
      <c r="L1104" s="266"/>
      <c r="M1104" s="173"/>
      <c r="N1104" s="174"/>
      <c r="O1104" s="173"/>
      <c r="P1104" s="173"/>
      <c r="Q1104" s="173"/>
      <c r="R1104" s="173"/>
      <c r="S1104" s="173">
        <v>126</v>
      </c>
      <c r="T1104" s="327"/>
      <c r="U1104" s="300">
        <v>33.481000000000002</v>
      </c>
      <c r="V1104" s="173"/>
      <c r="W1104" s="173"/>
      <c r="X1104" s="173"/>
      <c r="Y1104" s="173"/>
      <c r="Z1104" s="173">
        <v>60</v>
      </c>
      <c r="AA1104" s="173"/>
      <c r="AB1104" s="173"/>
      <c r="AC1104" s="173"/>
      <c r="AD1104" s="173"/>
      <c r="AE1104" s="173"/>
      <c r="AF1104" s="173"/>
      <c r="AG1104" s="173"/>
      <c r="AH1104" s="173"/>
      <c r="AI1104" s="173" t="s">
        <v>482</v>
      </c>
      <c r="AJ1104" s="173"/>
      <c r="AK1104" s="173"/>
      <c r="AL1104" s="173"/>
      <c r="AM1104" s="644">
        <f t="shared" si="20"/>
        <v>225.48099999999999</v>
      </c>
      <c r="AO1104" s="289"/>
      <c r="AP1104" s="97"/>
    </row>
    <row r="1105" spans="1:42" s="61" customFormat="1" ht="22.5" customHeight="1" x14ac:dyDescent="0.3">
      <c r="A1105" s="706"/>
      <c r="B1105" s="115" t="s">
        <v>402</v>
      </c>
      <c r="C1105" s="142"/>
      <c r="D1105" s="111"/>
      <c r="E1105" s="111"/>
      <c r="F1105" s="267"/>
      <c r="G1105" s="111"/>
      <c r="H1105" s="111"/>
      <c r="I1105" s="125"/>
      <c r="J1105" s="111"/>
      <c r="K1105" s="111"/>
      <c r="L1105" s="267"/>
      <c r="M1105" s="111"/>
      <c r="N1105" s="125"/>
      <c r="O1105" s="111"/>
      <c r="P1105" s="111"/>
      <c r="Q1105" s="111"/>
      <c r="R1105" s="111"/>
      <c r="S1105" s="111">
        <v>34.139125</v>
      </c>
      <c r="T1105" s="143"/>
      <c r="U1105" s="142">
        <v>7.0000000000000007E-2</v>
      </c>
      <c r="V1105" s="111"/>
      <c r="W1105" s="111"/>
      <c r="X1105" s="111"/>
      <c r="Y1105" s="111"/>
      <c r="Z1105" s="111"/>
      <c r="AA1105" s="111"/>
      <c r="AB1105" s="111"/>
      <c r="AC1105" s="111"/>
      <c r="AD1105" s="111"/>
      <c r="AE1105" s="111"/>
      <c r="AF1105" s="111"/>
      <c r="AG1105" s="111"/>
      <c r="AH1105" s="111" t="s">
        <v>482</v>
      </c>
      <c r="AI1105" s="111" t="s">
        <v>482</v>
      </c>
      <c r="AJ1105" s="111"/>
      <c r="AK1105" s="111"/>
      <c r="AL1105" s="111"/>
      <c r="AM1105" s="645">
        <f t="shared" si="20"/>
        <v>34.209125</v>
      </c>
      <c r="AO1105" s="289"/>
    </row>
    <row r="1106" spans="1:42" s="61" customFormat="1" ht="21" customHeight="1" x14ac:dyDescent="0.3">
      <c r="A1106" s="707"/>
      <c r="B1106" s="181" t="s">
        <v>403</v>
      </c>
      <c r="C1106" s="144"/>
      <c r="D1106" s="112"/>
      <c r="E1106" s="112"/>
      <c r="F1106" s="268"/>
      <c r="G1106" s="112"/>
      <c r="H1106" s="112"/>
      <c r="I1106" s="126"/>
      <c r="J1106" s="112"/>
      <c r="K1106" s="112"/>
      <c r="L1106" s="268"/>
      <c r="M1106" s="112"/>
      <c r="N1106" s="126"/>
      <c r="O1106" s="112"/>
      <c r="P1106" s="112"/>
      <c r="Q1106" s="112"/>
      <c r="R1106" s="112"/>
      <c r="S1106" s="112">
        <v>48.659829999999999</v>
      </c>
      <c r="T1106" s="145"/>
      <c r="U1106" s="144"/>
      <c r="V1106" s="112"/>
      <c r="W1106" s="112"/>
      <c r="X1106" s="112"/>
      <c r="Y1106" s="112"/>
      <c r="Z1106" s="112"/>
      <c r="AA1106" s="112"/>
      <c r="AB1106" s="112"/>
      <c r="AC1106" s="112"/>
      <c r="AD1106" s="112"/>
      <c r="AE1106" s="112"/>
      <c r="AF1106" s="112"/>
      <c r="AG1106" s="112"/>
      <c r="AH1106" s="112" t="s">
        <v>482</v>
      </c>
      <c r="AI1106" s="112" t="s">
        <v>482</v>
      </c>
      <c r="AJ1106" s="112"/>
      <c r="AK1106" s="112"/>
      <c r="AL1106" s="112"/>
      <c r="AM1106" s="646">
        <f t="shared" si="20"/>
        <v>48.659829999999999</v>
      </c>
      <c r="AO1106" s="289"/>
    </row>
    <row r="1107" spans="1:42" s="61" customFormat="1" ht="21" customHeight="1" x14ac:dyDescent="0.3">
      <c r="A1107" s="705" t="s">
        <v>225</v>
      </c>
      <c r="B1107" s="179" t="s">
        <v>293</v>
      </c>
      <c r="C1107" s="135"/>
      <c r="D1107" s="136"/>
      <c r="E1107" s="136"/>
      <c r="F1107" s="262">
        <v>-45.716999999999999</v>
      </c>
      <c r="G1107" s="136">
        <v>43</v>
      </c>
      <c r="H1107" s="136"/>
      <c r="I1107" s="326"/>
      <c r="J1107" s="136"/>
      <c r="K1107" s="136"/>
      <c r="L1107" s="262"/>
      <c r="M1107" s="136"/>
      <c r="N1107" s="326"/>
      <c r="O1107" s="136"/>
      <c r="P1107" s="136"/>
      <c r="Q1107" s="136"/>
      <c r="R1107" s="136"/>
      <c r="S1107" s="136"/>
      <c r="T1107" s="137"/>
      <c r="U1107" s="632"/>
      <c r="V1107" s="122"/>
      <c r="W1107" s="122"/>
      <c r="X1107" s="122"/>
      <c r="Y1107" s="122">
        <v>38</v>
      </c>
      <c r="Z1107" s="122">
        <v>317</v>
      </c>
      <c r="AA1107" s="122">
        <v>-254.19322</v>
      </c>
      <c r="AB1107" s="122"/>
      <c r="AC1107" s="122"/>
      <c r="AD1107" s="122"/>
      <c r="AE1107" s="122"/>
      <c r="AF1107" s="122"/>
      <c r="AG1107" s="122">
        <v>0.26</v>
      </c>
      <c r="AH1107" s="122"/>
      <c r="AI1107" s="122" t="s">
        <v>482</v>
      </c>
      <c r="AJ1107" s="122"/>
      <c r="AK1107" s="122"/>
      <c r="AL1107" s="122"/>
      <c r="AM1107" s="639">
        <f t="shared" si="20"/>
        <v>98.349780000000024</v>
      </c>
      <c r="AO1107" s="289"/>
    </row>
    <row r="1108" spans="1:42" s="61" customFormat="1" ht="19.5" customHeight="1" x14ac:dyDescent="0.3">
      <c r="A1108" s="706"/>
      <c r="B1108" s="116" t="s">
        <v>294</v>
      </c>
      <c r="C1108" s="138">
        <v>1250</v>
      </c>
      <c r="D1108" s="109"/>
      <c r="E1108" s="109"/>
      <c r="F1108" s="263"/>
      <c r="G1108" s="109">
        <v>440</v>
      </c>
      <c r="H1108" s="109"/>
      <c r="I1108" s="123"/>
      <c r="J1108" s="109"/>
      <c r="K1108" s="109"/>
      <c r="L1108" s="263"/>
      <c r="M1108" s="109"/>
      <c r="N1108" s="123"/>
      <c r="O1108" s="109"/>
      <c r="P1108" s="109"/>
      <c r="Q1108" s="109"/>
      <c r="R1108" s="109"/>
      <c r="S1108" s="109"/>
      <c r="T1108" s="139"/>
      <c r="U1108" s="138">
        <v>7.0789999999999997</v>
      </c>
      <c r="V1108" s="109"/>
      <c r="W1108" s="109"/>
      <c r="X1108" s="109"/>
      <c r="Y1108" s="109"/>
      <c r="Z1108" s="109">
        <v>283</v>
      </c>
      <c r="AA1108" s="109">
        <v>2500.0707499999999</v>
      </c>
      <c r="AB1108" s="109">
        <v>18</v>
      </c>
      <c r="AC1108" s="109">
        <v>1966.2190000000001</v>
      </c>
      <c r="AD1108" s="109"/>
      <c r="AE1108" s="109"/>
      <c r="AF1108" s="109"/>
      <c r="AG1108" s="109"/>
      <c r="AH1108" s="109"/>
      <c r="AI1108" s="109" t="s">
        <v>482</v>
      </c>
      <c r="AJ1108" s="109"/>
      <c r="AK1108" s="109">
        <v>-4.62</v>
      </c>
      <c r="AL1108" s="109"/>
      <c r="AM1108" s="640">
        <f t="shared" si="20"/>
        <v>6459.7487499999997</v>
      </c>
      <c r="AO1108" s="289"/>
    </row>
    <row r="1109" spans="1:42" s="61" customFormat="1" ht="22.5" customHeight="1" x14ac:dyDescent="0.3">
      <c r="A1109" s="706"/>
      <c r="B1109" s="117" t="s">
        <v>326</v>
      </c>
      <c r="C1109" s="140">
        <v>1754.982</v>
      </c>
      <c r="D1109" s="110"/>
      <c r="E1109" s="110"/>
      <c r="F1109" s="264">
        <v>6131</v>
      </c>
      <c r="G1109" s="110">
        <v>59</v>
      </c>
      <c r="H1109" s="110">
        <v>234</v>
      </c>
      <c r="I1109" s="124"/>
      <c r="J1109" s="110"/>
      <c r="K1109" s="110"/>
      <c r="L1109" s="264"/>
      <c r="M1109" s="110"/>
      <c r="N1109" s="124"/>
      <c r="O1109" s="110"/>
      <c r="P1109" s="110"/>
      <c r="Q1109" s="110"/>
      <c r="R1109" s="110"/>
      <c r="S1109" s="110">
        <v>565</v>
      </c>
      <c r="T1109" s="141"/>
      <c r="U1109" s="140">
        <v>478.702</v>
      </c>
      <c r="V1109" s="110"/>
      <c r="W1109" s="110"/>
      <c r="X1109" s="110">
        <v>200</v>
      </c>
      <c r="Y1109" s="110"/>
      <c r="Z1109" s="110">
        <v>315</v>
      </c>
      <c r="AA1109" s="110">
        <f>772.68267+243.34091</f>
        <v>1016.02358</v>
      </c>
      <c r="AB1109" s="110">
        <v>13</v>
      </c>
      <c r="AC1109" s="110"/>
      <c r="AD1109" s="110"/>
      <c r="AE1109" s="110"/>
      <c r="AF1109" s="110"/>
      <c r="AG1109" s="110">
        <f>7/1.3</f>
        <v>5.3846153846153841</v>
      </c>
      <c r="AH1109" s="110"/>
      <c r="AI1109" s="110" t="s">
        <v>482</v>
      </c>
      <c r="AJ1109" s="110"/>
      <c r="AK1109" s="110">
        <v>83</v>
      </c>
      <c r="AL1109" s="110"/>
      <c r="AM1109" s="641">
        <f t="shared" si="20"/>
        <v>10855.092195384614</v>
      </c>
      <c r="AO1109" s="289"/>
      <c r="AP1109" s="97"/>
    </row>
    <row r="1110" spans="1:42" s="61" customFormat="1" ht="25.5" customHeight="1" x14ac:dyDescent="0.3">
      <c r="A1110" s="706"/>
      <c r="B1110" s="175" t="s">
        <v>327</v>
      </c>
      <c r="C1110" s="176">
        <v>8954.982</v>
      </c>
      <c r="D1110" s="127"/>
      <c r="E1110" s="127"/>
      <c r="F1110" s="265">
        <v>2084</v>
      </c>
      <c r="G1110" s="127">
        <v>131</v>
      </c>
      <c r="H1110" s="127">
        <v>707</v>
      </c>
      <c r="I1110" s="178"/>
      <c r="J1110" s="127"/>
      <c r="K1110" s="127"/>
      <c r="L1110" s="265">
        <v>72</v>
      </c>
      <c r="M1110" s="127"/>
      <c r="N1110" s="178"/>
      <c r="O1110" s="127"/>
      <c r="P1110" s="127"/>
      <c r="Q1110" s="127"/>
      <c r="R1110" s="127"/>
      <c r="S1110" s="127">
        <v>9399</v>
      </c>
      <c r="T1110" s="177"/>
      <c r="U1110" s="176">
        <v>1884.5640000000001</v>
      </c>
      <c r="V1110" s="127"/>
      <c r="W1110" s="127">
        <v>746</v>
      </c>
      <c r="X1110" s="127"/>
      <c r="Y1110" s="127">
        <v>76</v>
      </c>
      <c r="Z1110" s="127">
        <v>690</v>
      </c>
      <c r="AA1110" s="127"/>
      <c r="AB1110" s="127">
        <v>17</v>
      </c>
      <c r="AC1110" s="127"/>
      <c r="AD1110" s="127"/>
      <c r="AE1110" s="127"/>
      <c r="AF1110" s="127"/>
      <c r="AG1110" s="127"/>
      <c r="AH1110" s="127">
        <v>33.380000000000003</v>
      </c>
      <c r="AI1110" s="127" t="s">
        <v>482</v>
      </c>
      <c r="AJ1110" s="127"/>
      <c r="AK1110" s="127"/>
      <c r="AL1110" s="127"/>
      <c r="AM1110" s="642">
        <f t="shared" si="20"/>
        <v>24794.925999999999</v>
      </c>
      <c r="AO1110" s="289"/>
    </row>
    <row r="1111" spans="1:42" s="61" customFormat="1" ht="25.5" customHeight="1" x14ac:dyDescent="0.3">
      <c r="A1111" s="706"/>
      <c r="B1111" s="180" t="s">
        <v>361</v>
      </c>
      <c r="C1111" s="300">
        <v>105</v>
      </c>
      <c r="D1111" s="173"/>
      <c r="E1111" s="173"/>
      <c r="F1111" s="266">
        <v>8273</v>
      </c>
      <c r="G1111" s="173">
        <v>3</v>
      </c>
      <c r="H1111" s="173">
        <f>49+6</f>
        <v>55</v>
      </c>
      <c r="I1111" s="174"/>
      <c r="J1111" s="173"/>
      <c r="K1111" s="173"/>
      <c r="L1111" s="266"/>
      <c r="M1111" s="173"/>
      <c r="N1111" s="174"/>
      <c r="O1111" s="173"/>
      <c r="P1111" s="173"/>
      <c r="Q1111" s="173"/>
      <c r="R1111" s="173"/>
      <c r="S1111" s="173">
        <v>22461</v>
      </c>
      <c r="T1111" s="327"/>
      <c r="U1111" s="300">
        <v>1812.6110000000001</v>
      </c>
      <c r="V1111" s="173"/>
      <c r="W1111" s="173">
        <v>514</v>
      </c>
      <c r="X1111" s="173"/>
      <c r="Y1111" s="173"/>
      <c r="Z1111" s="173">
        <v>1135.4586499999998</v>
      </c>
      <c r="AA1111" s="173"/>
      <c r="AB1111" s="173">
        <v>251</v>
      </c>
      <c r="AC1111" s="173">
        <v>124</v>
      </c>
      <c r="AD1111" s="173"/>
      <c r="AE1111" s="173"/>
      <c r="AF1111" s="173"/>
      <c r="AG1111" s="173"/>
      <c r="AH1111" s="173">
        <v>201</v>
      </c>
      <c r="AI1111" s="173">
        <v>73</v>
      </c>
      <c r="AJ1111" s="173"/>
      <c r="AK1111" s="173"/>
      <c r="AL1111" s="173"/>
      <c r="AM1111" s="643">
        <f t="shared" si="20"/>
        <v>35008.069650000005</v>
      </c>
      <c r="AO1111" s="289"/>
      <c r="AP1111" s="97"/>
    </row>
    <row r="1112" spans="1:42" s="61" customFormat="1" ht="25.5" customHeight="1" x14ac:dyDescent="0.3">
      <c r="A1112" s="706"/>
      <c r="B1112" s="180" t="s">
        <v>362</v>
      </c>
      <c r="C1112" s="300"/>
      <c r="D1112" s="173"/>
      <c r="E1112" s="173"/>
      <c r="F1112" s="266">
        <v>2248</v>
      </c>
      <c r="G1112" s="173">
        <f>177</f>
        <v>177</v>
      </c>
      <c r="H1112" s="173">
        <f>174+3+50</f>
        <v>227</v>
      </c>
      <c r="I1112" s="174"/>
      <c r="J1112" s="173"/>
      <c r="K1112" s="173"/>
      <c r="L1112" s="266"/>
      <c r="M1112" s="173"/>
      <c r="N1112" s="174"/>
      <c r="O1112" s="173"/>
      <c r="P1112" s="173"/>
      <c r="Q1112" s="173"/>
      <c r="R1112" s="173"/>
      <c r="S1112" s="173">
        <v>4480</v>
      </c>
      <c r="T1112" s="327"/>
      <c r="U1112" s="300">
        <v>149.67699999999999</v>
      </c>
      <c r="V1112" s="173"/>
      <c r="W1112" s="173">
        <v>407</v>
      </c>
      <c r="X1112" s="173">
        <v>408</v>
      </c>
      <c r="Y1112" s="173"/>
      <c r="Z1112" s="173">
        <v>1352.85662</v>
      </c>
      <c r="AA1112" s="173">
        <v>602</v>
      </c>
      <c r="AB1112" s="173">
        <v>901</v>
      </c>
      <c r="AC1112" s="173">
        <v>9</v>
      </c>
      <c r="AD1112" s="173"/>
      <c r="AE1112" s="173"/>
      <c r="AF1112" s="173"/>
      <c r="AG1112" s="173"/>
      <c r="AH1112" s="173"/>
      <c r="AI1112" s="173">
        <v>2135</v>
      </c>
      <c r="AJ1112" s="173"/>
      <c r="AK1112" s="173"/>
      <c r="AL1112" s="173"/>
      <c r="AM1112" s="644">
        <f t="shared" si="20"/>
        <v>13096.53362</v>
      </c>
      <c r="AO1112" s="289"/>
      <c r="AP1112" s="97"/>
    </row>
    <row r="1113" spans="1:42" s="61" customFormat="1" ht="22.5" customHeight="1" x14ac:dyDescent="0.3">
      <c r="A1113" s="706"/>
      <c r="B1113" s="115" t="s">
        <v>402</v>
      </c>
      <c r="C1113" s="142"/>
      <c r="D1113" s="111"/>
      <c r="E1113" s="111"/>
      <c r="F1113" s="267">
        <v>119</v>
      </c>
      <c r="G1113" s="111">
        <v>57</v>
      </c>
      <c r="H1113" s="111"/>
      <c r="I1113" s="125"/>
      <c r="J1113" s="111"/>
      <c r="K1113" s="111"/>
      <c r="L1113" s="267">
        <v>0</v>
      </c>
      <c r="M1113" s="111"/>
      <c r="N1113" s="125"/>
      <c r="O1113" s="111"/>
      <c r="P1113" s="111"/>
      <c r="Q1113" s="111"/>
      <c r="R1113" s="111"/>
      <c r="S1113" s="111">
        <v>3002.9787959999999</v>
      </c>
      <c r="T1113" s="143"/>
      <c r="U1113" s="142">
        <v>246.35499999999999</v>
      </c>
      <c r="V1113" s="111"/>
      <c r="W1113" s="111">
        <v>851</v>
      </c>
      <c r="X1113" s="111">
        <v>562</v>
      </c>
      <c r="Y1113" s="111"/>
      <c r="Z1113" s="111">
        <v>129</v>
      </c>
      <c r="AA1113" s="111">
        <v>2227</v>
      </c>
      <c r="AB1113" s="111">
        <v>827.3</v>
      </c>
      <c r="AC1113" s="111"/>
      <c r="AD1113" s="111"/>
      <c r="AE1113" s="111"/>
      <c r="AF1113" s="111"/>
      <c r="AG1113" s="111"/>
      <c r="AH1113" s="111" t="s">
        <v>482</v>
      </c>
      <c r="AI1113" s="111">
        <v>51</v>
      </c>
      <c r="AJ1113" s="111"/>
      <c r="AK1113" s="111"/>
      <c r="AL1113" s="111"/>
      <c r="AM1113" s="645">
        <f t="shared" si="20"/>
        <v>8072.6337960000001</v>
      </c>
      <c r="AO1113" s="289"/>
    </row>
    <row r="1114" spans="1:42" s="61" customFormat="1" ht="21" customHeight="1" x14ac:dyDescent="0.3">
      <c r="A1114" s="707"/>
      <c r="B1114" s="181" t="s">
        <v>403</v>
      </c>
      <c r="C1114" s="144"/>
      <c r="D1114" s="112"/>
      <c r="E1114" s="112"/>
      <c r="F1114" s="268">
        <v>273</v>
      </c>
      <c r="G1114" s="112"/>
      <c r="H1114" s="112">
        <v>194</v>
      </c>
      <c r="I1114" s="126"/>
      <c r="J1114" s="112"/>
      <c r="K1114" s="112"/>
      <c r="L1114" s="268"/>
      <c r="M1114" s="112"/>
      <c r="N1114" s="126"/>
      <c r="O1114" s="112"/>
      <c r="P1114" s="112"/>
      <c r="Q1114" s="112"/>
      <c r="R1114" s="112"/>
      <c r="S1114" s="112">
        <v>906.41190599999993</v>
      </c>
      <c r="T1114" s="145">
        <v>50</v>
      </c>
      <c r="U1114" s="144">
        <v>160.958</v>
      </c>
      <c r="V1114" s="112"/>
      <c r="W1114" s="112">
        <f>2040-851</f>
        <v>1189</v>
      </c>
      <c r="X1114" s="112">
        <v>121</v>
      </c>
      <c r="Y1114" s="112"/>
      <c r="Z1114" s="112">
        <v>645</v>
      </c>
      <c r="AA1114" s="112">
        <v>2105</v>
      </c>
      <c r="AB1114" s="112">
        <v>1942.1</v>
      </c>
      <c r="AC1114" s="112"/>
      <c r="AD1114" s="112"/>
      <c r="AE1114" s="112"/>
      <c r="AF1114" s="112"/>
      <c r="AG1114" s="112"/>
      <c r="AH1114" s="112" t="s">
        <v>482</v>
      </c>
      <c r="AI1114" s="112">
        <v>51</v>
      </c>
      <c r="AJ1114" s="112"/>
      <c r="AK1114" s="112"/>
      <c r="AL1114" s="112"/>
      <c r="AM1114" s="646">
        <f t="shared" si="20"/>
        <v>7637.4699060000003</v>
      </c>
      <c r="AO1114" s="289"/>
    </row>
    <row r="1115" spans="1:42" s="61" customFormat="1" ht="21" customHeight="1" x14ac:dyDescent="0.3">
      <c r="A1115" s="705" t="s">
        <v>226</v>
      </c>
      <c r="B1115" s="179" t="s">
        <v>293</v>
      </c>
      <c r="C1115" s="135"/>
      <c r="D1115" s="136"/>
      <c r="E1115" s="136"/>
      <c r="F1115" s="262"/>
      <c r="G1115" s="136"/>
      <c r="H1115" s="136"/>
      <c r="I1115" s="326"/>
      <c r="J1115" s="136"/>
      <c r="K1115" s="136"/>
      <c r="L1115" s="262">
        <v>4077.2109999999998</v>
      </c>
      <c r="M1115" s="136"/>
      <c r="N1115" s="326"/>
      <c r="O1115" s="136"/>
      <c r="P1115" s="136"/>
      <c r="Q1115" s="136"/>
      <c r="R1115" s="136"/>
      <c r="S1115" s="136"/>
      <c r="T1115" s="137"/>
      <c r="U1115" s="632"/>
      <c r="V1115" s="122"/>
      <c r="W1115" s="122"/>
      <c r="X1115" s="122"/>
      <c r="Y1115" s="122"/>
      <c r="Z1115" s="122"/>
      <c r="AA1115" s="122"/>
      <c r="AB1115" s="122"/>
      <c r="AC1115" s="122"/>
      <c r="AD1115" s="122"/>
      <c r="AE1115" s="122"/>
      <c r="AF1115" s="122"/>
      <c r="AG1115" s="122"/>
      <c r="AH1115" s="122"/>
      <c r="AI1115" s="122" t="s">
        <v>482</v>
      </c>
      <c r="AJ1115" s="122"/>
      <c r="AK1115" s="122"/>
      <c r="AL1115" s="122"/>
      <c r="AM1115" s="639">
        <f t="shared" si="20"/>
        <v>4077.2109999999998</v>
      </c>
      <c r="AO1115" s="289"/>
    </row>
    <row r="1116" spans="1:42" s="61" customFormat="1" ht="19.5" customHeight="1" x14ac:dyDescent="0.3">
      <c r="A1116" s="706"/>
      <c r="B1116" s="116" t="s">
        <v>294</v>
      </c>
      <c r="C1116" s="138"/>
      <c r="D1116" s="109"/>
      <c r="E1116" s="109"/>
      <c r="F1116" s="263"/>
      <c r="G1116" s="109"/>
      <c r="H1116" s="109"/>
      <c r="I1116" s="123"/>
      <c r="J1116" s="109"/>
      <c r="K1116" s="109"/>
      <c r="L1116" s="263">
        <v>4394.8599999999997</v>
      </c>
      <c r="M1116" s="109"/>
      <c r="N1116" s="123"/>
      <c r="O1116" s="109"/>
      <c r="P1116" s="109"/>
      <c r="Q1116" s="109"/>
      <c r="R1116" s="109"/>
      <c r="S1116" s="109"/>
      <c r="T1116" s="139"/>
      <c r="U1116" s="138"/>
      <c r="V1116" s="109"/>
      <c r="W1116" s="109"/>
      <c r="X1116" s="109"/>
      <c r="Y1116" s="109"/>
      <c r="Z1116" s="109"/>
      <c r="AA1116" s="109"/>
      <c r="AB1116" s="109"/>
      <c r="AC1116" s="109"/>
      <c r="AD1116" s="109"/>
      <c r="AE1116" s="109"/>
      <c r="AF1116" s="109"/>
      <c r="AG1116" s="109"/>
      <c r="AH1116" s="109"/>
      <c r="AI1116" s="109" t="s">
        <v>482</v>
      </c>
      <c r="AJ1116" s="109"/>
      <c r="AK1116" s="109"/>
      <c r="AL1116" s="109"/>
      <c r="AM1116" s="640">
        <f t="shared" si="20"/>
        <v>4394.8599999999997</v>
      </c>
      <c r="AO1116" s="289"/>
    </row>
    <row r="1117" spans="1:42" s="61" customFormat="1" ht="22.5" customHeight="1" x14ac:dyDescent="0.3">
      <c r="A1117" s="706"/>
      <c r="B1117" s="117" t="s">
        <v>326</v>
      </c>
      <c r="C1117" s="140"/>
      <c r="D1117" s="110"/>
      <c r="E1117" s="110"/>
      <c r="F1117" s="264"/>
      <c r="G1117" s="110"/>
      <c r="H1117" s="110"/>
      <c r="I1117" s="124"/>
      <c r="J1117" s="110"/>
      <c r="K1117" s="110"/>
      <c r="L1117" s="264"/>
      <c r="M1117" s="110"/>
      <c r="N1117" s="124"/>
      <c r="O1117" s="110"/>
      <c r="P1117" s="110"/>
      <c r="Q1117" s="110"/>
      <c r="R1117" s="110"/>
      <c r="S1117" s="110"/>
      <c r="T1117" s="141"/>
      <c r="U1117" s="140"/>
      <c r="V1117" s="110"/>
      <c r="W1117" s="110"/>
      <c r="X1117" s="110"/>
      <c r="Y1117" s="110"/>
      <c r="Z1117" s="110"/>
      <c r="AA1117" s="110"/>
      <c r="AB1117" s="110"/>
      <c r="AC1117" s="110"/>
      <c r="AD1117" s="110"/>
      <c r="AE1117" s="110"/>
      <c r="AF1117" s="110"/>
      <c r="AG1117" s="110"/>
      <c r="AH1117" s="110"/>
      <c r="AI1117" s="110" t="s">
        <v>482</v>
      </c>
      <c r="AJ1117" s="110"/>
      <c r="AK1117" s="110"/>
      <c r="AL1117" s="110"/>
      <c r="AM1117" s="641">
        <f t="shared" si="20"/>
        <v>0</v>
      </c>
      <c r="AO1117" s="289"/>
      <c r="AP1117" s="97"/>
    </row>
    <row r="1118" spans="1:42" s="61" customFormat="1" ht="25.5" customHeight="1" x14ac:dyDescent="0.3">
      <c r="A1118" s="706"/>
      <c r="B1118" s="175" t="s">
        <v>327</v>
      </c>
      <c r="C1118" s="176"/>
      <c r="D1118" s="127"/>
      <c r="E1118" s="127"/>
      <c r="F1118" s="265"/>
      <c r="G1118" s="127"/>
      <c r="H1118" s="127"/>
      <c r="I1118" s="178"/>
      <c r="J1118" s="127"/>
      <c r="K1118" s="127"/>
      <c r="L1118" s="265"/>
      <c r="M1118" s="127"/>
      <c r="N1118" s="178"/>
      <c r="O1118" s="127"/>
      <c r="P1118" s="127"/>
      <c r="Q1118" s="127"/>
      <c r="R1118" s="127"/>
      <c r="S1118" s="127"/>
      <c r="T1118" s="177"/>
      <c r="U1118" s="176"/>
      <c r="V1118" s="127"/>
      <c r="W1118" s="127"/>
      <c r="X1118" s="127"/>
      <c r="Y1118" s="127"/>
      <c r="Z1118" s="127"/>
      <c r="AA1118" s="127"/>
      <c r="AB1118" s="127"/>
      <c r="AC1118" s="127"/>
      <c r="AD1118" s="127"/>
      <c r="AE1118" s="127"/>
      <c r="AF1118" s="127"/>
      <c r="AG1118" s="127"/>
      <c r="AH1118" s="127"/>
      <c r="AI1118" s="127" t="s">
        <v>482</v>
      </c>
      <c r="AJ1118" s="127"/>
      <c r="AK1118" s="127"/>
      <c r="AL1118" s="127"/>
      <c r="AM1118" s="642">
        <f t="shared" si="20"/>
        <v>0</v>
      </c>
      <c r="AO1118" s="289"/>
    </row>
    <row r="1119" spans="1:42" s="61" customFormat="1" ht="25.5" customHeight="1" x14ac:dyDescent="0.3">
      <c r="A1119" s="706"/>
      <c r="B1119" s="180" t="s">
        <v>361</v>
      </c>
      <c r="C1119" s="300"/>
      <c r="D1119" s="173"/>
      <c r="E1119" s="173"/>
      <c r="F1119" s="266"/>
      <c r="G1119" s="173"/>
      <c r="H1119" s="173"/>
      <c r="I1119" s="174"/>
      <c r="J1119" s="173"/>
      <c r="K1119" s="173"/>
      <c r="L1119" s="266"/>
      <c r="M1119" s="173"/>
      <c r="N1119" s="174"/>
      <c r="O1119" s="173"/>
      <c r="P1119" s="173"/>
      <c r="Q1119" s="173"/>
      <c r="R1119" s="173"/>
      <c r="S1119" s="173"/>
      <c r="T1119" s="327"/>
      <c r="U1119" s="300"/>
      <c r="V1119" s="173"/>
      <c r="W1119" s="173"/>
      <c r="X1119" s="173"/>
      <c r="Y1119" s="173"/>
      <c r="Z1119" s="173"/>
      <c r="AA1119" s="173"/>
      <c r="AB1119" s="173"/>
      <c r="AC1119" s="173"/>
      <c r="AD1119" s="173"/>
      <c r="AE1119" s="173"/>
      <c r="AF1119" s="173"/>
      <c r="AG1119" s="173"/>
      <c r="AH1119" s="173"/>
      <c r="AI1119" s="173" t="s">
        <v>482</v>
      </c>
      <c r="AJ1119" s="173"/>
      <c r="AK1119" s="173"/>
      <c r="AL1119" s="173"/>
      <c r="AM1119" s="643">
        <f t="shared" si="20"/>
        <v>0</v>
      </c>
      <c r="AO1119" s="289"/>
      <c r="AP1119" s="97"/>
    </row>
    <row r="1120" spans="1:42" s="61" customFormat="1" ht="25.5" customHeight="1" x14ac:dyDescent="0.3">
      <c r="A1120" s="706"/>
      <c r="B1120" s="180" t="s">
        <v>362</v>
      </c>
      <c r="C1120" s="300"/>
      <c r="D1120" s="173"/>
      <c r="E1120" s="173"/>
      <c r="F1120" s="266"/>
      <c r="G1120" s="173"/>
      <c r="H1120" s="173"/>
      <c r="I1120" s="174"/>
      <c r="J1120" s="173"/>
      <c r="K1120" s="173"/>
      <c r="L1120" s="266"/>
      <c r="M1120" s="173"/>
      <c r="N1120" s="174"/>
      <c r="O1120" s="173"/>
      <c r="P1120" s="173"/>
      <c r="Q1120" s="173"/>
      <c r="R1120" s="173"/>
      <c r="S1120" s="173"/>
      <c r="T1120" s="327"/>
      <c r="U1120" s="300">
        <v>0.186</v>
      </c>
      <c r="V1120" s="173"/>
      <c r="W1120" s="173"/>
      <c r="X1120" s="173"/>
      <c r="Y1120" s="173"/>
      <c r="Z1120" s="173"/>
      <c r="AA1120" s="173"/>
      <c r="AB1120" s="173"/>
      <c r="AC1120" s="173"/>
      <c r="AD1120" s="173"/>
      <c r="AE1120" s="173"/>
      <c r="AF1120" s="173"/>
      <c r="AG1120" s="173"/>
      <c r="AH1120" s="173"/>
      <c r="AI1120" s="173" t="s">
        <v>482</v>
      </c>
      <c r="AJ1120" s="173"/>
      <c r="AK1120" s="173"/>
      <c r="AL1120" s="173"/>
      <c r="AM1120" s="644">
        <f t="shared" si="20"/>
        <v>0.186</v>
      </c>
      <c r="AO1120" s="289"/>
      <c r="AP1120" s="97"/>
    </row>
    <row r="1121" spans="1:42" s="61" customFormat="1" ht="22.5" customHeight="1" x14ac:dyDescent="0.3">
      <c r="A1121" s="706"/>
      <c r="B1121" s="115" t="s">
        <v>402</v>
      </c>
      <c r="C1121" s="142"/>
      <c r="D1121" s="111"/>
      <c r="E1121" s="111"/>
      <c r="F1121" s="267"/>
      <c r="G1121" s="111"/>
      <c r="H1121" s="111"/>
      <c r="I1121" s="125"/>
      <c r="J1121" s="111"/>
      <c r="K1121" s="111"/>
      <c r="L1121" s="267">
        <v>0</v>
      </c>
      <c r="M1121" s="111"/>
      <c r="N1121" s="125"/>
      <c r="O1121" s="111"/>
      <c r="P1121" s="111"/>
      <c r="Q1121" s="111"/>
      <c r="R1121" s="111"/>
      <c r="S1121" s="111">
        <v>0.13619999999999999</v>
      </c>
      <c r="T1121" s="143">
        <v>0</v>
      </c>
      <c r="U1121" s="142"/>
      <c r="V1121" s="111"/>
      <c r="W1121" s="111"/>
      <c r="X1121" s="111"/>
      <c r="Y1121" s="111"/>
      <c r="Z1121" s="111"/>
      <c r="AA1121" s="111"/>
      <c r="AB1121" s="111"/>
      <c r="AC1121" s="111"/>
      <c r="AD1121" s="111"/>
      <c r="AE1121" s="111"/>
      <c r="AF1121" s="111"/>
      <c r="AG1121" s="111"/>
      <c r="AH1121" s="111" t="s">
        <v>482</v>
      </c>
      <c r="AI1121" s="111" t="s">
        <v>482</v>
      </c>
      <c r="AJ1121" s="111"/>
      <c r="AK1121" s="111"/>
      <c r="AL1121" s="111"/>
      <c r="AM1121" s="645">
        <f t="shared" si="20"/>
        <v>0.13619999999999999</v>
      </c>
      <c r="AO1121" s="289"/>
    </row>
    <row r="1122" spans="1:42" s="61" customFormat="1" ht="21" customHeight="1" x14ac:dyDescent="0.3">
      <c r="A1122" s="707"/>
      <c r="B1122" s="181" t="s">
        <v>403</v>
      </c>
      <c r="C1122" s="144"/>
      <c r="D1122" s="112"/>
      <c r="E1122" s="112"/>
      <c r="F1122" s="268"/>
      <c r="G1122" s="112"/>
      <c r="H1122" s="112"/>
      <c r="I1122" s="126"/>
      <c r="J1122" s="112"/>
      <c r="K1122" s="112"/>
      <c r="L1122" s="268"/>
      <c r="M1122" s="112"/>
      <c r="N1122" s="126"/>
      <c r="O1122" s="112"/>
      <c r="P1122" s="112"/>
      <c r="Q1122" s="112"/>
      <c r="R1122" s="112"/>
      <c r="S1122" s="112">
        <v>5.4270000000000006E-2</v>
      </c>
      <c r="T1122" s="145">
        <v>0</v>
      </c>
      <c r="U1122" s="144"/>
      <c r="V1122" s="112"/>
      <c r="W1122" s="112"/>
      <c r="X1122" s="112"/>
      <c r="Y1122" s="112"/>
      <c r="Z1122" s="112"/>
      <c r="AA1122" s="112"/>
      <c r="AB1122" s="112"/>
      <c r="AC1122" s="112"/>
      <c r="AD1122" s="112"/>
      <c r="AE1122" s="112"/>
      <c r="AF1122" s="112"/>
      <c r="AG1122" s="112"/>
      <c r="AH1122" s="112" t="s">
        <v>482</v>
      </c>
      <c r="AI1122" s="112" t="s">
        <v>482</v>
      </c>
      <c r="AJ1122" s="112"/>
      <c r="AK1122" s="112"/>
      <c r="AL1122" s="112"/>
      <c r="AM1122" s="646">
        <f t="shared" si="20"/>
        <v>5.4270000000000006E-2</v>
      </c>
      <c r="AO1122" s="289"/>
    </row>
    <row r="1123" spans="1:42" s="61" customFormat="1" ht="21" customHeight="1" x14ac:dyDescent="0.3">
      <c r="A1123" s="705" t="s">
        <v>227</v>
      </c>
      <c r="B1123" s="179" t="s">
        <v>293</v>
      </c>
      <c r="C1123" s="135">
        <v>19169.59</v>
      </c>
      <c r="D1123" s="136"/>
      <c r="E1123" s="136"/>
      <c r="F1123" s="262">
        <v>16559.823</v>
      </c>
      <c r="G1123" s="136">
        <v>460</v>
      </c>
      <c r="H1123" s="136"/>
      <c r="I1123" s="326"/>
      <c r="J1123" s="136">
        <v>199</v>
      </c>
      <c r="K1123" s="136">
        <f>1234+102-70</f>
        <v>1266</v>
      </c>
      <c r="L1123" s="262"/>
      <c r="M1123" s="136">
        <v>593.42600000000004</v>
      </c>
      <c r="N1123" s="326">
        <v>7746.1130000000003</v>
      </c>
      <c r="O1123" s="136">
        <v>1371.8</v>
      </c>
      <c r="P1123" s="136">
        <v>66</v>
      </c>
      <c r="Q1123" s="136">
        <v>1286</v>
      </c>
      <c r="R1123" s="136">
        <f>+(1041+1091+685)/2</f>
        <v>1408.5</v>
      </c>
      <c r="S1123" s="136">
        <v>79266.347999999998</v>
      </c>
      <c r="T1123" s="137">
        <v>1983.34</v>
      </c>
      <c r="U1123" s="632">
        <v>3627.0859999999998</v>
      </c>
      <c r="V1123" s="122">
        <f>(29081+155725)/1000</f>
        <v>184.80600000000001</v>
      </c>
      <c r="W1123" s="122"/>
      <c r="X1123" s="122">
        <v>1270</v>
      </c>
      <c r="Y1123" s="122">
        <v>38732</v>
      </c>
      <c r="Z1123" s="122">
        <v>83441</v>
      </c>
      <c r="AA1123" s="122">
        <v>974.07394999999997</v>
      </c>
      <c r="AB1123" s="122"/>
      <c r="AC1123" s="122">
        <v>3777.0859999999998</v>
      </c>
      <c r="AD1123" s="122">
        <v>14689</v>
      </c>
      <c r="AE1123" s="122">
        <v>131</v>
      </c>
      <c r="AF1123" s="122"/>
      <c r="AG1123" s="122"/>
      <c r="AH1123" s="122">
        <v>44468.14</v>
      </c>
      <c r="AI1123" s="122">
        <v>40084</v>
      </c>
      <c r="AJ1123" s="122"/>
      <c r="AK1123" s="122">
        <v>37.49</v>
      </c>
      <c r="AL1123" s="122">
        <v>854.92566442953012</v>
      </c>
      <c r="AM1123" s="639">
        <f t="shared" si="20"/>
        <v>363646.54761442955</v>
      </c>
      <c r="AO1123" s="289"/>
    </row>
    <row r="1124" spans="1:42" s="61" customFormat="1" ht="19.5" customHeight="1" x14ac:dyDescent="0.3">
      <c r="A1124" s="706"/>
      <c r="B1124" s="116" t="s">
        <v>294</v>
      </c>
      <c r="C1124" s="138">
        <v>17886.22</v>
      </c>
      <c r="D1124" s="109"/>
      <c r="E1124" s="109"/>
      <c r="F1124" s="263">
        <v>15430.102999999999</v>
      </c>
      <c r="G1124" s="109">
        <v>534</v>
      </c>
      <c r="H1124" s="109"/>
      <c r="I1124" s="123"/>
      <c r="J1124" s="109"/>
      <c r="K1124" s="109">
        <f>30+101+50+5912</f>
        <v>6093</v>
      </c>
      <c r="L1124" s="263"/>
      <c r="M1124" s="109">
        <v>674.81799999999998</v>
      </c>
      <c r="N1124" s="123">
        <v>8417.8340000000007</v>
      </c>
      <c r="O1124" s="109">
        <v>1654.6</v>
      </c>
      <c r="P1124" s="109">
        <v>131</v>
      </c>
      <c r="Q1124" s="109">
        <v>1000</v>
      </c>
      <c r="R1124" s="109">
        <f>+(1041+1091+685)/2</f>
        <v>1408.5</v>
      </c>
      <c r="S1124" s="109">
        <v>91638.843999999997</v>
      </c>
      <c r="T1124" s="139">
        <v>2145.9229999999998</v>
      </c>
      <c r="U1124" s="138">
        <v>8168.8710000000001</v>
      </c>
      <c r="V1124" s="109">
        <f>(344372+867222)/1000-V1123</f>
        <v>1026.788</v>
      </c>
      <c r="W1124" s="109">
        <v>1004</v>
      </c>
      <c r="X1124" s="109">
        <v>3386</v>
      </c>
      <c r="Y1124" s="109">
        <v>48550</v>
      </c>
      <c r="Z1124" s="109">
        <v>114769</v>
      </c>
      <c r="AA1124" s="109">
        <v>1477.6611</v>
      </c>
      <c r="AB1124" s="109"/>
      <c r="AC1124" s="109">
        <v>3970.819</v>
      </c>
      <c r="AD1124" s="109">
        <v>18169</v>
      </c>
      <c r="AE1124" s="109">
        <v>150</v>
      </c>
      <c r="AF1124" s="109"/>
      <c r="AG1124" s="109"/>
      <c r="AH1124" s="109">
        <v>47360.11</v>
      </c>
      <c r="AI1124" s="109">
        <v>40374</v>
      </c>
      <c r="AJ1124" s="109"/>
      <c r="AK1124" s="109">
        <v>105.6</v>
      </c>
      <c r="AL1124" s="109">
        <v>874.45213076923073</v>
      </c>
      <c r="AM1124" s="640">
        <f t="shared" si="20"/>
        <v>436401.14323076926</v>
      </c>
      <c r="AO1124" s="289"/>
    </row>
    <row r="1125" spans="1:42" s="61" customFormat="1" ht="22.5" customHeight="1" x14ac:dyDescent="0.3">
      <c r="A1125" s="706"/>
      <c r="B1125" s="117" t="s">
        <v>326</v>
      </c>
      <c r="C1125" s="140">
        <v>25593.279999999999</v>
      </c>
      <c r="D1125" s="110"/>
      <c r="E1125" s="110"/>
      <c r="F1125" s="264">
        <v>12110</v>
      </c>
      <c r="G1125" s="110">
        <v>586</v>
      </c>
      <c r="H1125" s="110">
        <v>32</v>
      </c>
      <c r="I1125" s="124"/>
      <c r="J1125" s="110"/>
      <c r="K1125" s="110">
        <f>1157+328+110</f>
        <v>1595</v>
      </c>
      <c r="L1125" s="264">
        <v>8174</v>
      </c>
      <c r="M1125" s="110">
        <f>737685/1000</f>
        <v>737.68499999999995</v>
      </c>
      <c r="N1125" s="124">
        <v>6708.8720000000003</v>
      </c>
      <c r="O1125" s="110">
        <v>1711</v>
      </c>
      <c r="P1125" s="110">
        <v>271</v>
      </c>
      <c r="Q1125" s="110">
        <v>1000</v>
      </c>
      <c r="R1125" s="110">
        <f>+(972+969)/2</f>
        <v>970.5</v>
      </c>
      <c r="S1125" s="110">
        <v>76251</v>
      </c>
      <c r="T1125" s="141"/>
      <c r="U1125" s="140">
        <v>8858.2139999999999</v>
      </c>
      <c r="V1125" s="110">
        <f>(122412+553816)/1000</f>
        <v>676.22799999999995</v>
      </c>
      <c r="W1125" s="110"/>
      <c r="X1125" s="110">
        <v>4278</v>
      </c>
      <c r="Y1125" s="110">
        <v>53840</v>
      </c>
      <c r="Z1125" s="110">
        <v>137278</v>
      </c>
      <c r="AA1125" s="110">
        <f>2198.57626+1790.82626+29.84037</f>
        <v>4019.2428899999995</v>
      </c>
      <c r="AB1125" s="110"/>
      <c r="AC1125" s="110">
        <v>2589.1410000000001</v>
      </c>
      <c r="AD1125" s="110">
        <v>19610</v>
      </c>
      <c r="AE1125" s="110">
        <v>161</v>
      </c>
      <c r="AF1125" s="110"/>
      <c r="AG1125" s="110">
        <f>5/1.3</f>
        <v>3.8461538461538458</v>
      </c>
      <c r="AH1125" s="110">
        <v>52762.504719999997</v>
      </c>
      <c r="AI1125" s="110">
        <v>40876</v>
      </c>
      <c r="AJ1125" s="110"/>
      <c r="AK1125" s="110">
        <v>206</v>
      </c>
      <c r="AL1125" s="110">
        <v>1612.5463771929826</v>
      </c>
      <c r="AM1125" s="641">
        <f t="shared" si="20"/>
        <v>462511.06014103914</v>
      </c>
      <c r="AO1125" s="289"/>
      <c r="AP1125" s="97"/>
    </row>
    <row r="1126" spans="1:42" s="61" customFormat="1" ht="25.5" customHeight="1" x14ac:dyDescent="0.3">
      <c r="A1126" s="706"/>
      <c r="B1126" s="175" t="s">
        <v>327</v>
      </c>
      <c r="C1126" s="176">
        <v>45397.682000000001</v>
      </c>
      <c r="D1126" s="127"/>
      <c r="E1126" s="127"/>
      <c r="F1126" s="265">
        <v>16704</v>
      </c>
      <c r="G1126" s="127">
        <v>519</v>
      </c>
      <c r="H1126" s="127"/>
      <c r="I1126" s="178"/>
      <c r="J1126" s="127"/>
      <c r="K1126" s="127">
        <f>1439-15+143</f>
        <v>1567</v>
      </c>
      <c r="L1126" s="265">
        <v>7631</v>
      </c>
      <c r="M1126" s="127">
        <f>687015/1000</f>
        <v>687.01499999999999</v>
      </c>
      <c r="N1126" s="178">
        <v>8827.5540000000001</v>
      </c>
      <c r="O1126" s="127">
        <v>2164</v>
      </c>
      <c r="P1126" s="127"/>
      <c r="Q1126" s="127">
        <v>1857</v>
      </c>
      <c r="R1126" s="127">
        <f>+(972+969)/2</f>
        <v>970.5</v>
      </c>
      <c r="S1126" s="127">
        <v>90876</v>
      </c>
      <c r="T1126" s="177"/>
      <c r="U1126" s="176">
        <v>8949.9380000000001</v>
      </c>
      <c r="V1126" s="127">
        <f>(384588+1387784)/1000-V1125</f>
        <v>1096.1440000000002</v>
      </c>
      <c r="W1126" s="127">
        <f>1574+5003</f>
        <v>6577</v>
      </c>
      <c r="X1126" s="127">
        <v>9308</v>
      </c>
      <c r="Y1126" s="127">
        <v>62787</v>
      </c>
      <c r="Z1126" s="127">
        <v>209769</v>
      </c>
      <c r="AA1126" s="127">
        <f>829.61853+116.20955+2.17005</f>
        <v>947.99812999999995</v>
      </c>
      <c r="AB1126" s="127"/>
      <c r="AC1126" s="127">
        <v>3755.8779999999997</v>
      </c>
      <c r="AD1126" s="127">
        <v>31340</v>
      </c>
      <c r="AE1126" s="127">
        <v>149</v>
      </c>
      <c r="AF1126" s="127"/>
      <c r="AG1126" s="127"/>
      <c r="AH1126" s="127">
        <v>90837.48</v>
      </c>
      <c r="AI1126" s="127">
        <v>60504</v>
      </c>
      <c r="AJ1126" s="127"/>
      <c r="AK1126" s="127">
        <v>118</v>
      </c>
      <c r="AL1126" s="127">
        <v>1655.8761145038168</v>
      </c>
      <c r="AM1126" s="642">
        <f t="shared" si="20"/>
        <v>664996.0652445039</v>
      </c>
      <c r="AO1126" s="289"/>
    </row>
    <row r="1127" spans="1:42" s="61" customFormat="1" ht="25.5" customHeight="1" x14ac:dyDescent="0.3">
      <c r="A1127" s="706"/>
      <c r="B1127" s="180" t="s">
        <v>361</v>
      </c>
      <c r="C1127" s="300">
        <v>86749.922099999996</v>
      </c>
      <c r="D1127" s="173"/>
      <c r="E1127" s="173">
        <v>20</v>
      </c>
      <c r="F1127" s="266"/>
      <c r="G1127" s="173">
        <f>508+722</f>
        <v>1230</v>
      </c>
      <c r="H1127" s="173"/>
      <c r="I1127" s="174"/>
      <c r="J1127" s="173">
        <v>19</v>
      </c>
      <c r="K1127" s="173">
        <v>1427</v>
      </c>
      <c r="L1127" s="266">
        <v>11313</v>
      </c>
      <c r="M1127" s="173">
        <v>944.83</v>
      </c>
      <c r="N1127" s="174">
        <v>10305.569</v>
      </c>
      <c r="O1127" s="173">
        <v>2313</v>
      </c>
      <c r="P1127" s="173"/>
      <c r="Q1127" s="173">
        <v>1823</v>
      </c>
      <c r="R1127" s="173">
        <f>82+98</f>
        <v>180</v>
      </c>
      <c r="S1127" s="173">
        <v>85083</v>
      </c>
      <c r="T1127" s="327">
        <v>11625.8</v>
      </c>
      <c r="U1127" s="300">
        <v>10780.88</v>
      </c>
      <c r="V1127" s="173">
        <f>(572149+2084596)/1000</f>
        <v>2656.7449999999999</v>
      </c>
      <c r="W1127" s="173">
        <v>3289</v>
      </c>
      <c r="X1127" s="173">
        <v>10384</v>
      </c>
      <c r="Y1127" s="173">
        <v>55198</v>
      </c>
      <c r="Z1127" s="173">
        <v>180568.41618999999</v>
      </c>
      <c r="AA1127" s="173">
        <f>1.94913+4444</f>
        <v>4445.94913</v>
      </c>
      <c r="AB1127" s="173">
        <v>160</v>
      </c>
      <c r="AC1127" s="173">
        <f>1540+2230</f>
        <v>3770</v>
      </c>
      <c r="AD1127" s="173">
        <v>25315</v>
      </c>
      <c r="AE1127" s="173">
        <v>161</v>
      </c>
      <c r="AF1127" s="173"/>
      <c r="AG1127" s="173">
        <v>8</v>
      </c>
      <c r="AH1127" s="173">
        <v>47876</v>
      </c>
      <c r="AI1127" s="173">
        <v>54077.32</v>
      </c>
      <c r="AJ1127" s="173"/>
      <c r="AK1127" s="173">
        <v>129</v>
      </c>
      <c r="AL1127" s="173">
        <v>1658.199173553719</v>
      </c>
      <c r="AM1127" s="643">
        <f t="shared" si="20"/>
        <v>613511.63059355365</v>
      </c>
      <c r="AO1127" s="289"/>
      <c r="AP1127" s="97"/>
    </row>
    <row r="1128" spans="1:42" s="61" customFormat="1" ht="25.5" customHeight="1" x14ac:dyDescent="0.3">
      <c r="A1128" s="706"/>
      <c r="B1128" s="180" t="s">
        <v>362</v>
      </c>
      <c r="C1128" s="300">
        <v>107746.70165</v>
      </c>
      <c r="D1128" s="173"/>
      <c r="E1128" s="173"/>
      <c r="F1128" s="266">
        <v>19386</v>
      </c>
      <c r="G1128" s="173">
        <f>524+521</f>
        <v>1045</v>
      </c>
      <c r="H1128" s="173"/>
      <c r="I1128" s="174"/>
      <c r="J1128" s="173"/>
      <c r="K1128" s="173">
        <v>1791</v>
      </c>
      <c r="L1128" s="266">
        <v>15011</v>
      </c>
      <c r="M1128" s="173">
        <v>22.96</v>
      </c>
      <c r="N1128" s="174">
        <v>10625.299000000001</v>
      </c>
      <c r="O1128" s="173">
        <v>2572</v>
      </c>
      <c r="P1128" s="173"/>
      <c r="Q1128" s="173">
        <v>1320</v>
      </c>
      <c r="R1128" s="173">
        <f>1524+304-R1127</f>
        <v>1648</v>
      </c>
      <c r="S1128" s="173">
        <v>144508</v>
      </c>
      <c r="T1128" s="327">
        <v>15789.3</v>
      </c>
      <c r="U1128" s="300">
        <v>12764.383</v>
      </c>
      <c r="V1128" s="173">
        <f>(1467454+4246650)/1000-V1127</f>
        <v>3057.3590000000004</v>
      </c>
      <c r="W1128" s="173">
        <v>7254</v>
      </c>
      <c r="X1128" s="173">
        <v>17139</v>
      </c>
      <c r="Y1128" s="173">
        <v>55255</v>
      </c>
      <c r="Z1128" s="173">
        <v>203756.61982000002</v>
      </c>
      <c r="AA1128" s="173">
        <f>3.3292+6303</f>
        <v>6306.3292000000001</v>
      </c>
      <c r="AB1128" s="173">
        <v>268</v>
      </c>
      <c r="AC1128" s="173">
        <f>5534-1540+3304</f>
        <v>7298</v>
      </c>
      <c r="AD1128" s="173">
        <v>36564</v>
      </c>
      <c r="AE1128" s="173">
        <f>17+181</f>
        <v>198</v>
      </c>
      <c r="AF1128" s="173"/>
      <c r="AG1128" s="173">
        <v>8</v>
      </c>
      <c r="AH1128" s="173">
        <v>35202</v>
      </c>
      <c r="AI1128" s="173">
        <v>52232.68</v>
      </c>
      <c r="AJ1128" s="173">
        <v>88</v>
      </c>
      <c r="AK1128" s="173">
        <v>157</v>
      </c>
      <c r="AL1128" s="173">
        <v>2240.3468392857139</v>
      </c>
      <c r="AM1128" s="644">
        <f t="shared" si="20"/>
        <v>761253.97850928584</v>
      </c>
      <c r="AO1128" s="289"/>
      <c r="AP1128" s="97"/>
    </row>
    <row r="1129" spans="1:42" s="61" customFormat="1" ht="22.5" customHeight="1" x14ac:dyDescent="0.3">
      <c r="A1129" s="706"/>
      <c r="B1129" s="115" t="s">
        <v>402</v>
      </c>
      <c r="C1129" s="142">
        <v>105005.30108</v>
      </c>
      <c r="D1129" s="111"/>
      <c r="E1129" s="111"/>
      <c r="F1129" s="267">
        <v>12335.5</v>
      </c>
      <c r="G1129" s="111">
        <v>74</v>
      </c>
      <c r="H1129" s="111">
        <v>31</v>
      </c>
      <c r="I1129" s="125"/>
      <c r="J1129" s="111"/>
      <c r="K1129" s="111">
        <v>3100</v>
      </c>
      <c r="L1129" s="267">
        <v>12956</v>
      </c>
      <c r="M1129" s="111">
        <v>86.763999999999996</v>
      </c>
      <c r="N1129" s="125"/>
      <c r="O1129" s="111">
        <v>3832</v>
      </c>
      <c r="P1129" s="111">
        <v>20</v>
      </c>
      <c r="Q1129" s="111">
        <v>1092</v>
      </c>
      <c r="R1129" s="111">
        <v>88</v>
      </c>
      <c r="S1129" s="111">
        <v>121804.902059</v>
      </c>
      <c r="T1129" s="143">
        <v>23390.28</v>
      </c>
      <c r="U1129" s="142">
        <v>11043.698</v>
      </c>
      <c r="V1129" s="111">
        <f>9858331.73/1000</f>
        <v>9858.3317299999999</v>
      </c>
      <c r="W1129" s="111">
        <v>10721</v>
      </c>
      <c r="X1129" s="111">
        <v>17706</v>
      </c>
      <c r="Y1129" s="111">
        <v>61048.237000000001</v>
      </c>
      <c r="Z1129" s="111">
        <v>137870</v>
      </c>
      <c r="AA1129" s="111">
        <v>8556</v>
      </c>
      <c r="AB1129" s="111">
        <v>75</v>
      </c>
      <c r="AC1129" s="111">
        <v>7689</v>
      </c>
      <c r="AD1129" s="111">
        <v>35027</v>
      </c>
      <c r="AE1129" s="111">
        <v>76</v>
      </c>
      <c r="AF1129" s="111"/>
      <c r="AG1129" s="111"/>
      <c r="AH1129" s="111">
        <v>53466.46</v>
      </c>
      <c r="AI1129" s="111">
        <v>52390</v>
      </c>
      <c r="AJ1129" s="111"/>
      <c r="AK1129" s="111">
        <f>357.732/1.097</f>
        <v>326.10027347310853</v>
      </c>
      <c r="AL1129" s="111">
        <v>1942.6044642857141</v>
      </c>
      <c r="AM1129" s="645">
        <f t="shared" si="20"/>
        <v>691611.17860675859</v>
      </c>
      <c r="AO1129" s="289"/>
    </row>
    <row r="1130" spans="1:42" s="61" customFormat="1" ht="21" customHeight="1" x14ac:dyDescent="0.3">
      <c r="A1130" s="707"/>
      <c r="B1130" s="181" t="s">
        <v>403</v>
      </c>
      <c r="C1130" s="144">
        <v>86292.479949999994</v>
      </c>
      <c r="D1130" s="112"/>
      <c r="E1130" s="112">
        <v>41</v>
      </c>
      <c r="F1130" s="268">
        <v>15577</v>
      </c>
      <c r="G1130" s="112">
        <v>3427</v>
      </c>
      <c r="H1130" s="112"/>
      <c r="I1130" s="126"/>
      <c r="J1130" s="112"/>
      <c r="K1130" s="112">
        <v>625</v>
      </c>
      <c r="L1130" s="268">
        <v>18678.09</v>
      </c>
      <c r="M1130" s="112">
        <v>297.65957000000003</v>
      </c>
      <c r="N1130" s="126"/>
      <c r="O1130" s="112">
        <v>3701</v>
      </c>
      <c r="P1130" s="112">
        <v>49</v>
      </c>
      <c r="Q1130" s="112">
        <v>1268</v>
      </c>
      <c r="R1130" s="112">
        <f>185-R1129</f>
        <v>97</v>
      </c>
      <c r="S1130" s="112">
        <v>136857.55093500004</v>
      </c>
      <c r="T1130" s="145">
        <v>20210.66</v>
      </c>
      <c r="U1130" s="144">
        <v>11709.466</v>
      </c>
      <c r="V1130" s="112">
        <f>(1687625+11598736)/1000-V1129</f>
        <v>3428.0292700000009</v>
      </c>
      <c r="W1130" s="112">
        <f>16441-10721</f>
        <v>5720</v>
      </c>
      <c r="X1130" s="112">
        <v>15858</v>
      </c>
      <c r="Y1130" s="112">
        <v>60642.612000000001</v>
      </c>
      <c r="Z1130" s="112">
        <v>140026</v>
      </c>
      <c r="AA1130" s="112">
        <v>6981</v>
      </c>
      <c r="AB1130" s="112">
        <v>773.4</v>
      </c>
      <c r="AC1130" s="112">
        <v>8189</v>
      </c>
      <c r="AD1130" s="112">
        <v>39023</v>
      </c>
      <c r="AE1130" s="112">
        <v>337</v>
      </c>
      <c r="AF1130" s="112"/>
      <c r="AG1130" s="112"/>
      <c r="AH1130" s="112">
        <v>40409.877999999997</v>
      </c>
      <c r="AI1130" s="112">
        <v>52390</v>
      </c>
      <c r="AJ1130" s="112"/>
      <c r="AK1130" s="112">
        <f>834.3995/1.001</f>
        <v>833.56593406593413</v>
      </c>
      <c r="AL1130" s="112">
        <v>2317</v>
      </c>
      <c r="AM1130" s="646">
        <f t="shared" si="20"/>
        <v>675759.39165906596</v>
      </c>
      <c r="AO1130" s="289"/>
    </row>
    <row r="1131" spans="1:42" s="61" customFormat="1" ht="21" customHeight="1" x14ac:dyDescent="0.3">
      <c r="A1131" s="705" t="s">
        <v>228</v>
      </c>
      <c r="B1131" s="179" t="s">
        <v>293</v>
      </c>
      <c r="C1131" s="135">
        <v>150</v>
      </c>
      <c r="D1131" s="136"/>
      <c r="E1131" s="136"/>
      <c r="F1131" s="262">
        <v>-41.338999999999999</v>
      </c>
      <c r="G1131" s="136"/>
      <c r="H1131" s="136">
        <v>693</v>
      </c>
      <c r="I1131" s="326"/>
      <c r="J1131" s="136"/>
      <c r="K1131" s="136"/>
      <c r="L1131" s="262"/>
      <c r="M1131" s="136"/>
      <c r="N1131" s="326"/>
      <c r="O1131" s="136"/>
      <c r="P1131" s="136"/>
      <c r="Q1131" s="136"/>
      <c r="R1131" s="136"/>
      <c r="S1131" s="136"/>
      <c r="T1131" s="137"/>
      <c r="U1131" s="632">
        <v>2.2320000000000002</v>
      </c>
      <c r="V1131" s="122"/>
      <c r="W1131" s="122"/>
      <c r="X1131" s="122">
        <v>100</v>
      </c>
      <c r="Y1131" s="122"/>
      <c r="Z1131" s="122">
        <v>133.0197</v>
      </c>
      <c r="AA1131" s="122"/>
      <c r="AB1131" s="122">
        <v>5</v>
      </c>
      <c r="AC1131" s="122"/>
      <c r="AD1131" s="122"/>
      <c r="AE1131" s="122"/>
      <c r="AF1131" s="122"/>
      <c r="AG1131" s="122"/>
      <c r="AH1131" s="122">
        <v>2000</v>
      </c>
      <c r="AI1131" s="122" t="s">
        <v>482</v>
      </c>
      <c r="AJ1131" s="122"/>
      <c r="AK1131" s="122">
        <v>426.91</v>
      </c>
      <c r="AL1131" s="122"/>
      <c r="AM1131" s="639">
        <f t="shared" si="20"/>
        <v>3468.8226999999997</v>
      </c>
      <c r="AO1131" s="289"/>
    </row>
    <row r="1132" spans="1:42" s="61" customFormat="1" ht="19.5" customHeight="1" x14ac:dyDescent="0.3">
      <c r="A1132" s="706"/>
      <c r="B1132" s="116" t="s">
        <v>294</v>
      </c>
      <c r="C1132" s="138"/>
      <c r="D1132" s="109"/>
      <c r="E1132" s="109"/>
      <c r="F1132" s="263"/>
      <c r="G1132" s="109"/>
      <c r="H1132" s="109">
        <v>380</v>
      </c>
      <c r="I1132" s="123"/>
      <c r="J1132" s="109"/>
      <c r="K1132" s="109"/>
      <c r="L1132" s="263"/>
      <c r="M1132" s="109"/>
      <c r="N1132" s="123"/>
      <c r="O1132" s="109"/>
      <c r="P1132" s="109"/>
      <c r="Q1132" s="109"/>
      <c r="R1132" s="109"/>
      <c r="S1132" s="109"/>
      <c r="T1132" s="139">
        <v>10</v>
      </c>
      <c r="U1132" s="138">
        <v>2.1829999999999998</v>
      </c>
      <c r="V1132" s="109"/>
      <c r="W1132" s="109">
        <v>170</v>
      </c>
      <c r="X1132" s="109"/>
      <c r="Y1132" s="109"/>
      <c r="Z1132" s="109">
        <v>182</v>
      </c>
      <c r="AA1132" s="109"/>
      <c r="AB1132" s="109"/>
      <c r="AC1132" s="109"/>
      <c r="AD1132" s="109">
        <v>25</v>
      </c>
      <c r="AE1132" s="109"/>
      <c r="AF1132" s="109"/>
      <c r="AG1132" s="109"/>
      <c r="AH1132" s="109"/>
      <c r="AI1132" s="109" t="s">
        <v>482</v>
      </c>
      <c r="AJ1132" s="109"/>
      <c r="AK1132" s="109"/>
      <c r="AL1132" s="109"/>
      <c r="AM1132" s="640">
        <f t="shared" si="20"/>
        <v>769.18299999999999</v>
      </c>
      <c r="AO1132" s="289"/>
    </row>
    <row r="1133" spans="1:42" s="61" customFormat="1" ht="22.5" customHeight="1" x14ac:dyDescent="0.3">
      <c r="A1133" s="706"/>
      <c r="B1133" s="117" t="s">
        <v>326</v>
      </c>
      <c r="C1133" s="140">
        <v>10</v>
      </c>
      <c r="D1133" s="110"/>
      <c r="E1133" s="110"/>
      <c r="F1133" s="264"/>
      <c r="G1133" s="110"/>
      <c r="H1133" s="110">
        <v>253</v>
      </c>
      <c r="I1133" s="124"/>
      <c r="J1133" s="110"/>
      <c r="K1133" s="110"/>
      <c r="L1133" s="264"/>
      <c r="M1133" s="110"/>
      <c r="N1133" s="124"/>
      <c r="O1133" s="110"/>
      <c r="P1133" s="110">
        <v>263</v>
      </c>
      <c r="Q1133" s="110"/>
      <c r="R1133" s="110"/>
      <c r="S1133" s="110"/>
      <c r="T1133" s="141"/>
      <c r="U1133" s="140">
        <v>47.831000000000003</v>
      </c>
      <c r="V1133" s="110"/>
      <c r="W1133" s="110">
        <v>48</v>
      </c>
      <c r="X1133" s="110">
        <v>100</v>
      </c>
      <c r="Y1133" s="110"/>
      <c r="Z1133" s="110">
        <v>582</v>
      </c>
      <c r="AA1133" s="110"/>
      <c r="AB1133" s="110"/>
      <c r="AC1133" s="110"/>
      <c r="AD1133" s="110">
        <v>30</v>
      </c>
      <c r="AE1133" s="110"/>
      <c r="AF1133" s="110"/>
      <c r="AG1133" s="110">
        <f>1</f>
        <v>1</v>
      </c>
      <c r="AH1133" s="110"/>
      <c r="AI1133" s="110">
        <v>100</v>
      </c>
      <c r="AJ1133" s="110"/>
      <c r="AK1133" s="110">
        <v>2</v>
      </c>
      <c r="AL1133" s="110"/>
      <c r="AM1133" s="641">
        <f t="shared" si="20"/>
        <v>1436.8310000000001</v>
      </c>
      <c r="AO1133" s="289"/>
      <c r="AP1133" s="97"/>
    </row>
    <row r="1134" spans="1:42" s="61" customFormat="1" ht="25.5" customHeight="1" x14ac:dyDescent="0.3">
      <c r="A1134" s="706"/>
      <c r="B1134" s="175" t="s">
        <v>327</v>
      </c>
      <c r="C1134" s="176">
        <v>60</v>
      </c>
      <c r="D1134" s="127"/>
      <c r="E1134" s="127"/>
      <c r="F1134" s="265">
        <v>1000</v>
      </c>
      <c r="G1134" s="127"/>
      <c r="H1134" s="127">
        <v>540</v>
      </c>
      <c r="I1134" s="178"/>
      <c r="J1134" s="127"/>
      <c r="K1134" s="127"/>
      <c r="L1134" s="265"/>
      <c r="M1134" s="127"/>
      <c r="N1134" s="178"/>
      <c r="O1134" s="127"/>
      <c r="P1134" s="127"/>
      <c r="Q1134" s="127"/>
      <c r="R1134" s="127"/>
      <c r="S1134" s="127"/>
      <c r="T1134" s="177"/>
      <c r="U1134" s="176">
        <v>15.166</v>
      </c>
      <c r="V1134" s="127"/>
      <c r="W1134" s="127"/>
      <c r="X1134" s="127"/>
      <c r="Y1134" s="127"/>
      <c r="Z1134" s="127">
        <v>616</v>
      </c>
      <c r="AA1134" s="127"/>
      <c r="AB1134" s="127"/>
      <c r="AC1134" s="127"/>
      <c r="AD1134" s="127"/>
      <c r="AE1134" s="127"/>
      <c r="AF1134" s="127"/>
      <c r="AG1134" s="127">
        <v>1</v>
      </c>
      <c r="AH1134" s="127"/>
      <c r="AI1134" s="127" t="s">
        <v>482</v>
      </c>
      <c r="AJ1134" s="127"/>
      <c r="AK1134" s="127">
        <v>2</v>
      </c>
      <c r="AL1134" s="127"/>
      <c r="AM1134" s="642">
        <f t="shared" si="20"/>
        <v>2234.1660000000002</v>
      </c>
      <c r="AO1134" s="289"/>
    </row>
    <row r="1135" spans="1:42" s="61" customFormat="1" ht="25.5" customHeight="1" x14ac:dyDescent="0.3">
      <c r="A1135" s="706"/>
      <c r="B1135" s="180" t="s">
        <v>361</v>
      </c>
      <c r="C1135" s="300">
        <v>308.5</v>
      </c>
      <c r="D1135" s="173"/>
      <c r="E1135" s="173"/>
      <c r="F1135" s="266">
        <v>16081</v>
      </c>
      <c r="G1135" s="173"/>
      <c r="H1135" s="173">
        <v>287</v>
      </c>
      <c r="I1135" s="174"/>
      <c r="J1135" s="173"/>
      <c r="K1135" s="173"/>
      <c r="L1135" s="266"/>
      <c r="M1135" s="173"/>
      <c r="N1135" s="174"/>
      <c r="O1135" s="173"/>
      <c r="P1135" s="173">
        <v>71</v>
      </c>
      <c r="Q1135" s="173"/>
      <c r="R1135" s="173"/>
      <c r="S1135" s="173"/>
      <c r="T1135" s="327"/>
      <c r="U1135" s="300">
        <v>2.1349999999999998</v>
      </c>
      <c r="V1135" s="173"/>
      <c r="W1135" s="173"/>
      <c r="X1135" s="173"/>
      <c r="Y1135" s="173">
        <v>100</v>
      </c>
      <c r="Z1135" s="173">
        <v>619.14579000000003</v>
      </c>
      <c r="AA1135" s="173"/>
      <c r="AB1135" s="173"/>
      <c r="AC1135" s="173"/>
      <c r="AD1135" s="173"/>
      <c r="AE1135" s="173"/>
      <c r="AF1135" s="173"/>
      <c r="AG1135" s="173"/>
      <c r="AH1135" s="173"/>
      <c r="AI1135" s="173">
        <v>100</v>
      </c>
      <c r="AJ1135" s="173"/>
      <c r="AK1135" s="173">
        <v>2</v>
      </c>
      <c r="AL1135" s="173"/>
      <c r="AM1135" s="643">
        <f t="shared" si="20"/>
        <v>17570.780789999997</v>
      </c>
      <c r="AO1135" s="289"/>
      <c r="AP1135" s="97"/>
    </row>
    <row r="1136" spans="1:42" s="61" customFormat="1" ht="25.5" customHeight="1" x14ac:dyDescent="0.3">
      <c r="A1136" s="706"/>
      <c r="B1136" s="180" t="s">
        <v>362</v>
      </c>
      <c r="C1136" s="300">
        <v>235</v>
      </c>
      <c r="D1136" s="173"/>
      <c r="E1136" s="173"/>
      <c r="F1136" s="266">
        <v>129</v>
      </c>
      <c r="G1136" s="173"/>
      <c r="H1136" s="173">
        <v>49</v>
      </c>
      <c r="I1136" s="174"/>
      <c r="J1136" s="173"/>
      <c r="K1136" s="173"/>
      <c r="L1136" s="266">
        <v>46</v>
      </c>
      <c r="M1136" s="173">
        <v>20</v>
      </c>
      <c r="N1136" s="174"/>
      <c r="O1136" s="173"/>
      <c r="P1136" s="173"/>
      <c r="Q1136" s="173"/>
      <c r="R1136" s="173"/>
      <c r="S1136" s="173"/>
      <c r="T1136" s="327"/>
      <c r="U1136" s="300">
        <v>1027.904</v>
      </c>
      <c r="V1136" s="173"/>
      <c r="W1136" s="173"/>
      <c r="X1136" s="173"/>
      <c r="Y1136" s="173">
        <v>100</v>
      </c>
      <c r="Z1136" s="173">
        <v>1051.9954399999999</v>
      </c>
      <c r="AA1136" s="173"/>
      <c r="AB1136" s="173">
        <v>20</v>
      </c>
      <c r="AC1136" s="173"/>
      <c r="AD1136" s="173">
        <v>25</v>
      </c>
      <c r="AE1136" s="173"/>
      <c r="AF1136" s="173"/>
      <c r="AG1136" s="173"/>
      <c r="AH1136" s="173"/>
      <c r="AI1136" s="173">
        <v>9</v>
      </c>
      <c r="AJ1136" s="173"/>
      <c r="AK1136" s="173"/>
      <c r="AL1136" s="173"/>
      <c r="AM1136" s="644">
        <f t="shared" si="20"/>
        <v>2712.8994400000001</v>
      </c>
      <c r="AO1136" s="289"/>
      <c r="AP1136" s="97"/>
    </row>
    <row r="1137" spans="1:42" s="61" customFormat="1" ht="22.5" customHeight="1" x14ac:dyDescent="0.3">
      <c r="A1137" s="706"/>
      <c r="B1137" s="115" t="s">
        <v>402</v>
      </c>
      <c r="C1137" s="142">
        <v>28</v>
      </c>
      <c r="D1137" s="111"/>
      <c r="E1137" s="111">
        <v>6</v>
      </c>
      <c r="F1137" s="267"/>
      <c r="G1137" s="111"/>
      <c r="H1137" s="111">
        <v>398</v>
      </c>
      <c r="I1137" s="125"/>
      <c r="J1137" s="111"/>
      <c r="K1137" s="111"/>
      <c r="L1137" s="267"/>
      <c r="M1137" s="111"/>
      <c r="N1137" s="125"/>
      <c r="O1137" s="111"/>
      <c r="P1137" s="111">
        <v>60</v>
      </c>
      <c r="Q1137" s="111"/>
      <c r="R1137" s="111"/>
      <c r="S1137" s="111"/>
      <c r="T1137" s="143"/>
      <c r="U1137" s="142">
        <v>214.89099999999999</v>
      </c>
      <c r="V1137" s="111"/>
      <c r="W1137" s="111"/>
      <c r="X1137" s="111"/>
      <c r="Y1137" s="111">
        <v>100</v>
      </c>
      <c r="Z1137" s="111">
        <v>1041</v>
      </c>
      <c r="AA1137" s="111"/>
      <c r="AB1137" s="111">
        <v>20</v>
      </c>
      <c r="AC1137" s="111"/>
      <c r="AD1137" s="111">
        <v>25</v>
      </c>
      <c r="AE1137" s="111"/>
      <c r="AF1137" s="111">
        <v>66.487839999999991</v>
      </c>
      <c r="AG1137" s="111"/>
      <c r="AH1137" s="111" t="s">
        <v>482</v>
      </c>
      <c r="AI1137" s="111">
        <v>46</v>
      </c>
      <c r="AJ1137" s="111"/>
      <c r="AK1137" s="111"/>
      <c r="AL1137" s="111"/>
      <c r="AM1137" s="645">
        <f t="shared" si="20"/>
        <v>2005.3788400000001</v>
      </c>
      <c r="AO1137" s="289"/>
    </row>
    <row r="1138" spans="1:42" s="61" customFormat="1" ht="21" customHeight="1" x14ac:dyDescent="0.3">
      <c r="A1138" s="707"/>
      <c r="B1138" s="181" t="s">
        <v>403</v>
      </c>
      <c r="C1138" s="144">
        <v>322.5</v>
      </c>
      <c r="D1138" s="112"/>
      <c r="E1138" s="112">
        <v>6</v>
      </c>
      <c r="F1138" s="268">
        <v>77.900000000000006</v>
      </c>
      <c r="G1138" s="112"/>
      <c r="H1138" s="112">
        <v>522.70000000000005</v>
      </c>
      <c r="I1138" s="126"/>
      <c r="J1138" s="112"/>
      <c r="K1138" s="112"/>
      <c r="L1138" s="268"/>
      <c r="M1138" s="112">
        <v>13</v>
      </c>
      <c r="N1138" s="126"/>
      <c r="O1138" s="112"/>
      <c r="P1138" s="112">
        <v>0</v>
      </c>
      <c r="Q1138" s="112"/>
      <c r="R1138" s="112"/>
      <c r="S1138" s="112"/>
      <c r="T1138" s="145"/>
      <c r="U1138" s="144">
        <v>11.813000000000001</v>
      </c>
      <c r="V1138" s="112"/>
      <c r="W1138" s="112"/>
      <c r="X1138" s="112"/>
      <c r="Y1138" s="112">
        <v>2100</v>
      </c>
      <c r="Z1138" s="112">
        <v>1058</v>
      </c>
      <c r="AA1138" s="112"/>
      <c r="AB1138" s="112">
        <v>129.9</v>
      </c>
      <c r="AC1138" s="112"/>
      <c r="AD1138" s="112">
        <v>931</v>
      </c>
      <c r="AE1138" s="112"/>
      <c r="AF1138" s="112">
        <v>33.825000000000003</v>
      </c>
      <c r="AG1138" s="112"/>
      <c r="AH1138" s="112">
        <v>100</v>
      </c>
      <c r="AI1138" s="112">
        <v>47</v>
      </c>
      <c r="AJ1138" s="112"/>
      <c r="AK1138" s="112">
        <f>2.11/1.001</f>
        <v>2.1078921078921078</v>
      </c>
      <c r="AL1138" s="112"/>
      <c r="AM1138" s="646">
        <f t="shared" si="20"/>
        <v>5355.7458921078924</v>
      </c>
      <c r="AO1138" s="289"/>
    </row>
    <row r="1139" spans="1:42" s="61" customFormat="1" ht="21" customHeight="1" x14ac:dyDescent="0.3">
      <c r="A1139" s="705" t="s">
        <v>229</v>
      </c>
      <c r="B1139" s="179" t="s">
        <v>293</v>
      </c>
      <c r="C1139" s="135">
        <v>26.5</v>
      </c>
      <c r="D1139" s="136"/>
      <c r="E1139" s="136"/>
      <c r="F1139" s="262">
        <v>216.374</v>
      </c>
      <c r="G1139" s="136">
        <v>817</v>
      </c>
      <c r="H1139" s="136"/>
      <c r="I1139" s="326"/>
      <c r="J1139" s="136"/>
      <c r="K1139" s="136"/>
      <c r="L1139" s="262"/>
      <c r="M1139" s="136"/>
      <c r="N1139" s="326"/>
      <c r="O1139" s="136"/>
      <c r="P1139" s="136">
        <v>10</v>
      </c>
      <c r="Q1139" s="136"/>
      <c r="R1139" s="136"/>
      <c r="S1139" s="136">
        <v>458.67399999999998</v>
      </c>
      <c r="T1139" s="137">
        <v>5</v>
      </c>
      <c r="U1139" s="632">
        <v>650.21500000000003</v>
      </c>
      <c r="V1139" s="122"/>
      <c r="W1139" s="122"/>
      <c r="X1139" s="122">
        <v>6</v>
      </c>
      <c r="Y1139" s="122"/>
      <c r="Z1139" s="122">
        <v>94.621769999999998</v>
      </c>
      <c r="AA1139" s="122"/>
      <c r="AB1139" s="122"/>
      <c r="AC1139" s="122">
        <v>1.0589999999999999</v>
      </c>
      <c r="AD1139" s="122"/>
      <c r="AE1139" s="122"/>
      <c r="AF1139" s="122"/>
      <c r="AG1139" s="122">
        <v>13.44</v>
      </c>
      <c r="AH1139" s="122"/>
      <c r="AI1139" s="122" t="s">
        <v>482</v>
      </c>
      <c r="AJ1139" s="122"/>
      <c r="AK1139" s="122">
        <v>2.12</v>
      </c>
      <c r="AL1139" s="122"/>
      <c r="AM1139" s="639">
        <f t="shared" si="20"/>
        <v>2301.0037700000003</v>
      </c>
      <c r="AO1139" s="289"/>
    </row>
    <row r="1140" spans="1:42" s="61" customFormat="1" ht="19.5" customHeight="1" x14ac:dyDescent="0.3">
      <c r="A1140" s="706"/>
      <c r="B1140" s="116" t="s">
        <v>294</v>
      </c>
      <c r="C1140" s="138">
        <v>32</v>
      </c>
      <c r="D1140" s="109"/>
      <c r="E1140" s="109"/>
      <c r="F1140" s="263">
        <v>160</v>
      </c>
      <c r="G1140" s="109">
        <v>77</v>
      </c>
      <c r="H1140" s="109"/>
      <c r="I1140" s="123"/>
      <c r="J1140" s="109"/>
      <c r="K1140" s="109"/>
      <c r="L1140" s="263"/>
      <c r="M1140" s="109"/>
      <c r="N1140" s="123"/>
      <c r="O1140" s="109"/>
      <c r="P1140" s="109"/>
      <c r="Q1140" s="109"/>
      <c r="R1140" s="109"/>
      <c r="S1140" s="109">
        <v>475.738</v>
      </c>
      <c r="T1140" s="139">
        <v>5</v>
      </c>
      <c r="U1140" s="138">
        <v>52.640999999999998</v>
      </c>
      <c r="V1140" s="109"/>
      <c r="W1140" s="109"/>
      <c r="X1140" s="109">
        <v>12</v>
      </c>
      <c r="Y1140" s="109"/>
      <c r="Z1140" s="109">
        <v>72</v>
      </c>
      <c r="AA1140" s="109"/>
      <c r="AB1140" s="109">
        <v>10</v>
      </c>
      <c r="AC1140" s="109">
        <v>0.9930000000000001</v>
      </c>
      <c r="AD1140" s="109"/>
      <c r="AE1140" s="109"/>
      <c r="AF1140" s="109"/>
      <c r="AG1140" s="109"/>
      <c r="AH1140" s="109">
        <v>85.18</v>
      </c>
      <c r="AI1140" s="109">
        <v>1</v>
      </c>
      <c r="AJ1140" s="109"/>
      <c r="AK1140" s="109">
        <v>2.7</v>
      </c>
      <c r="AL1140" s="109"/>
      <c r="AM1140" s="640">
        <f t="shared" si="20"/>
        <v>986.25200000000018</v>
      </c>
      <c r="AO1140" s="289"/>
    </row>
    <row r="1141" spans="1:42" s="61" customFormat="1" ht="22.5" customHeight="1" x14ac:dyDescent="0.3">
      <c r="A1141" s="706"/>
      <c r="B1141" s="117" t="s">
        <v>326</v>
      </c>
      <c r="C1141" s="140">
        <v>35.49</v>
      </c>
      <c r="D1141" s="110"/>
      <c r="E1141" s="110"/>
      <c r="F1141" s="264">
        <v>110</v>
      </c>
      <c r="G1141" s="110">
        <v>18</v>
      </c>
      <c r="H1141" s="110">
        <v>44</v>
      </c>
      <c r="I1141" s="124"/>
      <c r="J1141" s="110"/>
      <c r="K1141" s="110"/>
      <c r="L1141" s="264"/>
      <c r="M1141" s="110"/>
      <c r="N1141" s="124"/>
      <c r="O1141" s="110"/>
      <c r="P1141" s="110"/>
      <c r="Q1141" s="110"/>
      <c r="R1141" s="110"/>
      <c r="S1141" s="110"/>
      <c r="T1141" s="141"/>
      <c r="U1141" s="140">
        <v>1.6779999999999999</v>
      </c>
      <c r="V1141" s="110"/>
      <c r="W1141" s="110"/>
      <c r="X1141" s="110">
        <v>6</v>
      </c>
      <c r="Y1141" s="110"/>
      <c r="Z1141" s="110">
        <v>122</v>
      </c>
      <c r="AA1141" s="110"/>
      <c r="AB1141" s="110">
        <v>10</v>
      </c>
      <c r="AC1141" s="110"/>
      <c r="AD1141" s="110"/>
      <c r="AE1141" s="110"/>
      <c r="AF1141" s="110"/>
      <c r="AG1141" s="110">
        <f>2.5/1.3</f>
        <v>1.9230769230769229</v>
      </c>
      <c r="AH1141" s="110"/>
      <c r="AI1141" s="110" t="s">
        <v>482</v>
      </c>
      <c r="AJ1141" s="110"/>
      <c r="AK1141" s="110">
        <v>6</v>
      </c>
      <c r="AL1141" s="110"/>
      <c r="AM1141" s="641">
        <f t="shared" si="20"/>
        <v>355.09107692307691</v>
      </c>
      <c r="AO1141" s="289"/>
      <c r="AP1141" s="97"/>
    </row>
    <row r="1142" spans="1:42" s="61" customFormat="1" ht="25.5" customHeight="1" x14ac:dyDescent="0.3">
      <c r="A1142" s="706"/>
      <c r="B1142" s="175" t="s">
        <v>327</v>
      </c>
      <c r="C1142" s="176">
        <v>31.289000000000001</v>
      </c>
      <c r="D1142" s="127"/>
      <c r="E1142" s="127"/>
      <c r="F1142" s="265">
        <v>1204</v>
      </c>
      <c r="G1142" s="127">
        <v>530</v>
      </c>
      <c r="H1142" s="127">
        <v>169</v>
      </c>
      <c r="I1142" s="178"/>
      <c r="J1142" s="127"/>
      <c r="K1142" s="127"/>
      <c r="L1142" s="265"/>
      <c r="M1142" s="127"/>
      <c r="N1142" s="178"/>
      <c r="O1142" s="127"/>
      <c r="P1142" s="127"/>
      <c r="Q1142" s="127"/>
      <c r="R1142" s="127"/>
      <c r="S1142" s="127">
        <v>1157</v>
      </c>
      <c r="T1142" s="177"/>
      <c r="U1142" s="176">
        <v>1.6779999999999999</v>
      </c>
      <c r="V1142" s="127"/>
      <c r="W1142" s="127"/>
      <c r="X1142" s="127">
        <v>6</v>
      </c>
      <c r="Y1142" s="127"/>
      <c r="Z1142" s="127">
        <v>77</v>
      </c>
      <c r="AA1142" s="127">
        <v>70</v>
      </c>
      <c r="AB1142" s="127">
        <v>10</v>
      </c>
      <c r="AC1142" s="127">
        <v>3.0209999999999999</v>
      </c>
      <c r="AD1142" s="127"/>
      <c r="AE1142" s="127"/>
      <c r="AF1142" s="127"/>
      <c r="AG1142" s="127">
        <f>2.5/1.3</f>
        <v>1.9230769230769229</v>
      </c>
      <c r="AH1142" s="127"/>
      <c r="AI1142" s="127" t="s">
        <v>482</v>
      </c>
      <c r="AJ1142" s="127"/>
      <c r="AK1142" s="127">
        <v>8</v>
      </c>
      <c r="AL1142" s="127"/>
      <c r="AM1142" s="642">
        <f t="shared" si="20"/>
        <v>3268.911076923077</v>
      </c>
      <c r="AO1142" s="289"/>
    </row>
    <row r="1143" spans="1:42" s="61" customFormat="1" ht="25.5" customHeight="1" x14ac:dyDescent="0.3">
      <c r="A1143" s="706"/>
      <c r="B1143" s="180" t="s">
        <v>361</v>
      </c>
      <c r="C1143" s="300">
        <v>55.876040000000003</v>
      </c>
      <c r="D1143" s="173"/>
      <c r="E1143" s="173"/>
      <c r="F1143" s="266">
        <v>695</v>
      </c>
      <c r="G1143" s="173">
        <f>41+369</f>
        <v>410</v>
      </c>
      <c r="H1143" s="173"/>
      <c r="I1143" s="174"/>
      <c r="J1143" s="173"/>
      <c r="K1143" s="173"/>
      <c r="L1143" s="266"/>
      <c r="M1143" s="173"/>
      <c r="N1143" s="174"/>
      <c r="O1143" s="173"/>
      <c r="P1143" s="173"/>
      <c r="Q1143" s="173"/>
      <c r="R1143" s="173"/>
      <c r="S1143" s="173">
        <v>1232</v>
      </c>
      <c r="T1143" s="327"/>
      <c r="U1143" s="300">
        <v>1.669</v>
      </c>
      <c r="V1143" s="173"/>
      <c r="W1143" s="173"/>
      <c r="X1143" s="173">
        <v>6</v>
      </c>
      <c r="Y1143" s="173">
        <v>5</v>
      </c>
      <c r="Z1143" s="173">
        <v>164.79376999999999</v>
      </c>
      <c r="AA1143" s="173"/>
      <c r="AB1143" s="173"/>
      <c r="AC1143" s="173"/>
      <c r="AD1143" s="173">
        <v>17</v>
      </c>
      <c r="AE1143" s="173"/>
      <c r="AF1143" s="173"/>
      <c r="AG1143" s="173">
        <v>3</v>
      </c>
      <c r="AH1143" s="173">
        <v>11141</v>
      </c>
      <c r="AI1143" s="173" t="s">
        <v>482</v>
      </c>
      <c r="AJ1143" s="173"/>
      <c r="AK1143" s="173">
        <v>7</v>
      </c>
      <c r="AL1143" s="173"/>
      <c r="AM1143" s="643">
        <f t="shared" si="20"/>
        <v>13738.338810000001</v>
      </c>
      <c r="AO1143" s="289"/>
      <c r="AP1143" s="97"/>
    </row>
    <row r="1144" spans="1:42" s="61" customFormat="1" ht="25.5" customHeight="1" x14ac:dyDescent="0.3">
      <c r="A1144" s="706"/>
      <c r="B1144" s="180" t="s">
        <v>362</v>
      </c>
      <c r="C1144" s="300">
        <v>44.960369999999998</v>
      </c>
      <c r="D1144" s="173"/>
      <c r="E1144" s="173"/>
      <c r="F1144" s="266">
        <v>1282</v>
      </c>
      <c r="G1144" s="173">
        <f>42+453</f>
        <v>495</v>
      </c>
      <c r="H1144" s="173">
        <f>10+10</f>
        <v>20</v>
      </c>
      <c r="I1144" s="174"/>
      <c r="J1144" s="173"/>
      <c r="K1144" s="173"/>
      <c r="L1144" s="266"/>
      <c r="M1144" s="173"/>
      <c r="N1144" s="174"/>
      <c r="O1144" s="173"/>
      <c r="P1144" s="173"/>
      <c r="Q1144" s="173"/>
      <c r="R1144" s="173"/>
      <c r="S1144" s="173">
        <v>4094</v>
      </c>
      <c r="T1144" s="327"/>
      <c r="U1144" s="300">
        <v>1.8089999999999999</v>
      </c>
      <c r="V1144" s="173"/>
      <c r="W1144" s="173"/>
      <c r="X1144" s="173">
        <v>6</v>
      </c>
      <c r="Y1144" s="173">
        <v>6029</v>
      </c>
      <c r="Z1144" s="173">
        <v>81.712149999999994</v>
      </c>
      <c r="AA1144" s="173">
        <v>70</v>
      </c>
      <c r="AB1144" s="173">
        <v>10</v>
      </c>
      <c r="AC1144" s="173">
        <v>2</v>
      </c>
      <c r="AD1144" s="173">
        <v>19</v>
      </c>
      <c r="AE1144" s="173"/>
      <c r="AF1144" s="173"/>
      <c r="AG1144" s="173">
        <v>3</v>
      </c>
      <c r="AH1144" s="173">
        <v>3255</v>
      </c>
      <c r="AI1144" s="173" t="s">
        <v>482</v>
      </c>
      <c r="AJ1144" s="173"/>
      <c r="AK1144" s="173">
        <v>3</v>
      </c>
      <c r="AL1144" s="173"/>
      <c r="AM1144" s="644">
        <f t="shared" si="20"/>
        <v>15416.481519999999</v>
      </c>
      <c r="AO1144" s="289"/>
      <c r="AP1144" s="97"/>
    </row>
    <row r="1145" spans="1:42" s="61" customFormat="1" ht="22.5" customHeight="1" x14ac:dyDescent="0.3">
      <c r="A1145" s="706"/>
      <c r="B1145" s="115" t="s">
        <v>402</v>
      </c>
      <c r="C1145" s="142">
        <v>41.433619999999998</v>
      </c>
      <c r="D1145" s="111"/>
      <c r="E1145" s="111"/>
      <c r="F1145" s="267">
        <v>3249</v>
      </c>
      <c r="G1145" s="111">
        <v>688</v>
      </c>
      <c r="H1145" s="111">
        <v>1476</v>
      </c>
      <c r="I1145" s="125"/>
      <c r="J1145" s="111"/>
      <c r="K1145" s="111"/>
      <c r="L1145" s="267"/>
      <c r="M1145" s="111"/>
      <c r="N1145" s="125"/>
      <c r="O1145" s="111"/>
      <c r="P1145" s="111"/>
      <c r="Q1145" s="111"/>
      <c r="R1145" s="111"/>
      <c r="S1145" s="111">
        <v>2276.1372999999999</v>
      </c>
      <c r="T1145" s="143"/>
      <c r="U1145" s="142">
        <v>1.855</v>
      </c>
      <c r="V1145" s="111"/>
      <c r="W1145" s="111"/>
      <c r="X1145" s="111">
        <v>6</v>
      </c>
      <c r="Y1145" s="111"/>
      <c r="Z1145" s="111"/>
      <c r="AA1145" s="111"/>
      <c r="AB1145" s="111">
        <v>9.1</v>
      </c>
      <c r="AC1145" s="111"/>
      <c r="AD1145" s="111">
        <v>16</v>
      </c>
      <c r="AE1145" s="111"/>
      <c r="AF1145" s="111"/>
      <c r="AG1145" s="111"/>
      <c r="AH1145" s="111">
        <v>1925.1849999999999</v>
      </c>
      <c r="AI1145" s="111">
        <v>486</v>
      </c>
      <c r="AJ1145" s="111"/>
      <c r="AK1145" s="111">
        <f>3.99/1.097</f>
        <v>3.6371923427529631</v>
      </c>
      <c r="AL1145" s="111"/>
      <c r="AM1145" s="645">
        <f t="shared" si="20"/>
        <v>10178.348112342752</v>
      </c>
      <c r="AO1145" s="289"/>
    </row>
    <row r="1146" spans="1:42" s="61" customFormat="1" ht="21" customHeight="1" x14ac:dyDescent="0.3">
      <c r="A1146" s="707"/>
      <c r="B1146" s="181" t="s">
        <v>403</v>
      </c>
      <c r="C1146" s="144">
        <v>3513.1122</v>
      </c>
      <c r="D1146" s="112"/>
      <c r="E1146" s="112"/>
      <c r="F1146" s="268">
        <v>813.5</v>
      </c>
      <c r="G1146" s="112">
        <v>577</v>
      </c>
      <c r="H1146" s="112">
        <v>5326</v>
      </c>
      <c r="I1146" s="126"/>
      <c r="J1146" s="112"/>
      <c r="K1146" s="112"/>
      <c r="L1146" s="268"/>
      <c r="M1146" s="112"/>
      <c r="N1146" s="126"/>
      <c r="O1146" s="112"/>
      <c r="P1146" s="112"/>
      <c r="Q1146" s="112"/>
      <c r="R1146" s="112"/>
      <c r="S1146" s="112">
        <v>5583.5283599999993</v>
      </c>
      <c r="T1146" s="145"/>
      <c r="U1146" s="144">
        <v>1.849</v>
      </c>
      <c r="V1146" s="112"/>
      <c r="W1146" s="112"/>
      <c r="X1146" s="112">
        <v>6</v>
      </c>
      <c r="Y1146" s="112"/>
      <c r="Z1146" s="112">
        <v>47</v>
      </c>
      <c r="AA1146" s="112"/>
      <c r="AB1146" s="112"/>
      <c r="AC1146" s="112">
        <v>1</v>
      </c>
      <c r="AD1146" s="112">
        <v>32</v>
      </c>
      <c r="AE1146" s="112"/>
      <c r="AF1146" s="112"/>
      <c r="AG1146" s="112"/>
      <c r="AH1146" s="112">
        <v>28993.942999999999</v>
      </c>
      <c r="AI1146" s="112">
        <v>486</v>
      </c>
      <c r="AJ1146" s="112"/>
      <c r="AK1146" s="112">
        <f>6.33/1.001</f>
        <v>6.3236763236763247</v>
      </c>
      <c r="AL1146" s="112"/>
      <c r="AM1146" s="646">
        <f t="shared" si="20"/>
        <v>45387.256236323679</v>
      </c>
      <c r="AO1146" s="289"/>
    </row>
    <row r="1147" spans="1:42" s="61" customFormat="1" ht="21" customHeight="1" x14ac:dyDescent="0.3">
      <c r="A1147" s="705" t="s">
        <v>230</v>
      </c>
      <c r="B1147" s="179" t="s">
        <v>293</v>
      </c>
      <c r="C1147" s="135"/>
      <c r="D1147" s="136"/>
      <c r="E1147" s="136"/>
      <c r="F1147" s="262"/>
      <c r="G1147" s="136"/>
      <c r="H1147" s="136"/>
      <c r="I1147" s="326"/>
      <c r="J1147" s="136"/>
      <c r="K1147" s="136"/>
      <c r="L1147" s="262">
        <v>270.83300000000003</v>
      </c>
      <c r="M1147" s="136"/>
      <c r="N1147" s="326"/>
      <c r="O1147" s="136"/>
      <c r="P1147" s="136"/>
      <c r="Q1147" s="136"/>
      <c r="R1147" s="136"/>
      <c r="S1147" s="136"/>
      <c r="T1147" s="137"/>
      <c r="U1147" s="632"/>
      <c r="V1147" s="122"/>
      <c r="W1147" s="122"/>
      <c r="X1147" s="122"/>
      <c r="Y1147" s="122"/>
      <c r="Z1147" s="122">
        <v>0.5</v>
      </c>
      <c r="AA1147" s="122"/>
      <c r="AB1147" s="122"/>
      <c r="AC1147" s="122"/>
      <c r="AD1147" s="122"/>
      <c r="AE1147" s="122"/>
      <c r="AF1147" s="122"/>
      <c r="AG1147" s="122"/>
      <c r="AH1147" s="122"/>
      <c r="AI1147" s="122" t="s">
        <v>482</v>
      </c>
      <c r="AJ1147" s="122"/>
      <c r="AK1147" s="122"/>
      <c r="AL1147" s="122"/>
      <c r="AM1147" s="639">
        <f t="shared" si="20"/>
        <v>271.33300000000003</v>
      </c>
      <c r="AO1147" s="289"/>
    </row>
    <row r="1148" spans="1:42" s="61" customFormat="1" ht="19.5" customHeight="1" x14ac:dyDescent="0.3">
      <c r="A1148" s="706"/>
      <c r="B1148" s="116" t="s">
        <v>294</v>
      </c>
      <c r="C1148" s="138">
        <v>5</v>
      </c>
      <c r="D1148" s="109"/>
      <c r="E1148" s="109"/>
      <c r="F1148" s="263"/>
      <c r="G1148" s="109"/>
      <c r="H1148" s="109"/>
      <c r="I1148" s="123"/>
      <c r="J1148" s="109"/>
      <c r="K1148" s="109"/>
      <c r="L1148" s="263">
        <v>229.167</v>
      </c>
      <c r="M1148" s="109"/>
      <c r="N1148" s="123"/>
      <c r="O1148" s="109"/>
      <c r="P1148" s="109"/>
      <c r="Q1148" s="109"/>
      <c r="R1148" s="109"/>
      <c r="S1148" s="109"/>
      <c r="T1148" s="139"/>
      <c r="U1148" s="138"/>
      <c r="V1148" s="109"/>
      <c r="W1148" s="109"/>
      <c r="X1148" s="109"/>
      <c r="Y1148" s="109"/>
      <c r="Z1148" s="109"/>
      <c r="AA1148" s="109"/>
      <c r="AB1148" s="109"/>
      <c r="AC1148" s="109"/>
      <c r="AD1148" s="109"/>
      <c r="AE1148" s="109"/>
      <c r="AF1148" s="109"/>
      <c r="AG1148" s="109"/>
      <c r="AH1148" s="109"/>
      <c r="AI1148" s="109" t="s">
        <v>482</v>
      </c>
      <c r="AJ1148" s="109"/>
      <c r="AK1148" s="109"/>
      <c r="AL1148" s="109"/>
      <c r="AM1148" s="640">
        <f t="shared" si="20"/>
        <v>234.167</v>
      </c>
      <c r="AO1148" s="289"/>
    </row>
    <row r="1149" spans="1:42" s="61" customFormat="1" ht="22.5" customHeight="1" x14ac:dyDescent="0.3">
      <c r="A1149" s="706"/>
      <c r="B1149" s="117" t="s">
        <v>326</v>
      </c>
      <c r="C1149" s="140"/>
      <c r="D1149" s="110"/>
      <c r="E1149" s="110"/>
      <c r="F1149" s="264"/>
      <c r="G1149" s="110"/>
      <c r="H1149" s="110"/>
      <c r="I1149" s="124"/>
      <c r="J1149" s="110"/>
      <c r="K1149" s="110"/>
      <c r="L1149" s="264"/>
      <c r="M1149" s="110"/>
      <c r="N1149" s="124"/>
      <c r="O1149" s="110"/>
      <c r="P1149" s="110"/>
      <c r="Q1149" s="110"/>
      <c r="R1149" s="110"/>
      <c r="S1149" s="110"/>
      <c r="T1149" s="141"/>
      <c r="U1149" s="140"/>
      <c r="V1149" s="110"/>
      <c r="W1149" s="110"/>
      <c r="X1149" s="110"/>
      <c r="Y1149" s="110"/>
      <c r="Z1149" s="110"/>
      <c r="AA1149" s="110"/>
      <c r="AB1149" s="110"/>
      <c r="AC1149" s="110"/>
      <c r="AD1149" s="110"/>
      <c r="AE1149" s="110"/>
      <c r="AF1149" s="110"/>
      <c r="AG1149" s="110"/>
      <c r="AH1149" s="110"/>
      <c r="AI1149" s="110" t="s">
        <v>482</v>
      </c>
      <c r="AJ1149" s="110"/>
      <c r="AK1149" s="110"/>
      <c r="AL1149" s="110"/>
      <c r="AM1149" s="641">
        <f t="shared" si="20"/>
        <v>0</v>
      </c>
      <c r="AO1149" s="289"/>
      <c r="AP1149" s="97"/>
    </row>
    <row r="1150" spans="1:42" s="61" customFormat="1" ht="25.5" customHeight="1" x14ac:dyDescent="0.3">
      <c r="A1150" s="706"/>
      <c r="B1150" s="175" t="s">
        <v>327</v>
      </c>
      <c r="C1150" s="176">
        <v>53.326000000000001</v>
      </c>
      <c r="D1150" s="127"/>
      <c r="E1150" s="127"/>
      <c r="F1150" s="265"/>
      <c r="G1150" s="127"/>
      <c r="H1150" s="127"/>
      <c r="I1150" s="178"/>
      <c r="J1150" s="127"/>
      <c r="K1150" s="127"/>
      <c r="L1150" s="265"/>
      <c r="M1150" s="127"/>
      <c r="N1150" s="178"/>
      <c r="O1150" s="127"/>
      <c r="P1150" s="127"/>
      <c r="Q1150" s="127"/>
      <c r="R1150" s="127"/>
      <c r="S1150" s="127"/>
      <c r="T1150" s="177"/>
      <c r="U1150" s="176"/>
      <c r="V1150" s="127"/>
      <c r="W1150" s="127"/>
      <c r="X1150" s="127"/>
      <c r="Y1150" s="127"/>
      <c r="Z1150" s="127"/>
      <c r="AA1150" s="127"/>
      <c r="AB1150" s="127"/>
      <c r="AC1150" s="127"/>
      <c r="AD1150" s="127"/>
      <c r="AE1150" s="127"/>
      <c r="AF1150" s="127"/>
      <c r="AG1150" s="127"/>
      <c r="AH1150" s="127"/>
      <c r="AI1150" s="127" t="s">
        <v>482</v>
      </c>
      <c r="AJ1150" s="127"/>
      <c r="AK1150" s="127"/>
      <c r="AL1150" s="127"/>
      <c r="AM1150" s="642">
        <f t="shared" si="20"/>
        <v>53.326000000000001</v>
      </c>
      <c r="AO1150" s="289"/>
    </row>
    <row r="1151" spans="1:42" s="61" customFormat="1" ht="25.5" customHeight="1" x14ac:dyDescent="0.3">
      <c r="A1151" s="706"/>
      <c r="B1151" s="180" t="s">
        <v>361</v>
      </c>
      <c r="C1151" s="300"/>
      <c r="D1151" s="173"/>
      <c r="E1151" s="173"/>
      <c r="F1151" s="266"/>
      <c r="G1151" s="173"/>
      <c r="H1151" s="173"/>
      <c r="I1151" s="174"/>
      <c r="J1151" s="173"/>
      <c r="K1151" s="173"/>
      <c r="L1151" s="266"/>
      <c r="M1151" s="173"/>
      <c r="N1151" s="174"/>
      <c r="O1151" s="173"/>
      <c r="P1151" s="173"/>
      <c r="Q1151" s="173"/>
      <c r="R1151" s="173"/>
      <c r="S1151" s="173"/>
      <c r="T1151" s="327"/>
      <c r="U1151" s="300">
        <v>0.14699999999999999</v>
      </c>
      <c r="V1151" s="173"/>
      <c r="W1151" s="173"/>
      <c r="X1151" s="173"/>
      <c r="Y1151" s="173"/>
      <c r="Z1151" s="173"/>
      <c r="AA1151" s="173"/>
      <c r="AB1151" s="173"/>
      <c r="AC1151" s="173"/>
      <c r="AD1151" s="173"/>
      <c r="AE1151" s="173"/>
      <c r="AF1151" s="173"/>
      <c r="AG1151" s="173"/>
      <c r="AH1151" s="173"/>
      <c r="AI1151" s="173" t="s">
        <v>482</v>
      </c>
      <c r="AJ1151" s="173"/>
      <c r="AK1151" s="173"/>
      <c r="AL1151" s="173"/>
      <c r="AM1151" s="643">
        <f t="shared" si="20"/>
        <v>0.14699999999999999</v>
      </c>
      <c r="AO1151" s="289"/>
      <c r="AP1151" s="97"/>
    </row>
    <row r="1152" spans="1:42" s="61" customFormat="1" ht="25.5" customHeight="1" x14ac:dyDescent="0.3">
      <c r="A1152" s="706"/>
      <c r="B1152" s="180" t="s">
        <v>362</v>
      </c>
      <c r="C1152" s="300"/>
      <c r="D1152" s="173"/>
      <c r="E1152" s="173"/>
      <c r="F1152" s="266"/>
      <c r="G1152" s="173"/>
      <c r="H1152" s="173"/>
      <c r="I1152" s="174"/>
      <c r="J1152" s="173"/>
      <c r="K1152" s="173"/>
      <c r="L1152" s="266"/>
      <c r="M1152" s="173"/>
      <c r="N1152" s="174"/>
      <c r="O1152" s="173"/>
      <c r="P1152" s="173"/>
      <c r="Q1152" s="173"/>
      <c r="R1152" s="173"/>
      <c r="S1152" s="173"/>
      <c r="T1152" s="327"/>
      <c r="U1152" s="300"/>
      <c r="V1152" s="173"/>
      <c r="W1152" s="173"/>
      <c r="X1152" s="173"/>
      <c r="Y1152" s="173"/>
      <c r="Z1152" s="173"/>
      <c r="AA1152" s="173"/>
      <c r="AB1152" s="173"/>
      <c r="AC1152" s="173"/>
      <c r="AD1152" s="173"/>
      <c r="AE1152" s="173"/>
      <c r="AF1152" s="173"/>
      <c r="AG1152" s="173"/>
      <c r="AH1152" s="173"/>
      <c r="AI1152" s="173" t="s">
        <v>482</v>
      </c>
      <c r="AJ1152" s="173"/>
      <c r="AK1152" s="173"/>
      <c r="AL1152" s="173"/>
      <c r="AM1152" s="644">
        <f t="shared" si="20"/>
        <v>0</v>
      </c>
      <c r="AO1152" s="289"/>
      <c r="AP1152" s="97"/>
    </row>
    <row r="1153" spans="1:42" s="61" customFormat="1" ht="22.5" customHeight="1" x14ac:dyDescent="0.3">
      <c r="A1153" s="706"/>
      <c r="B1153" s="115" t="s">
        <v>402</v>
      </c>
      <c r="C1153" s="142"/>
      <c r="D1153" s="111"/>
      <c r="E1153" s="111"/>
      <c r="F1153" s="267"/>
      <c r="G1153" s="111"/>
      <c r="H1153" s="111"/>
      <c r="I1153" s="125"/>
      <c r="J1153" s="111"/>
      <c r="K1153" s="111"/>
      <c r="L1153" s="267"/>
      <c r="M1153" s="111"/>
      <c r="N1153" s="125"/>
      <c r="O1153" s="111"/>
      <c r="P1153" s="111"/>
      <c r="Q1153" s="111"/>
      <c r="R1153" s="111"/>
      <c r="S1153" s="111">
        <v>53.908299</v>
      </c>
      <c r="T1153" s="143"/>
      <c r="U1153" s="142"/>
      <c r="V1153" s="111"/>
      <c r="W1153" s="111"/>
      <c r="X1153" s="111"/>
      <c r="Y1153" s="111"/>
      <c r="Z1153" s="111"/>
      <c r="AA1153" s="111"/>
      <c r="AB1153" s="111"/>
      <c r="AC1153" s="111"/>
      <c r="AD1153" s="111"/>
      <c r="AE1153" s="111"/>
      <c r="AF1153" s="111"/>
      <c r="AG1153" s="111"/>
      <c r="AH1153" s="111" t="s">
        <v>482</v>
      </c>
      <c r="AI1153" s="111" t="s">
        <v>482</v>
      </c>
      <c r="AJ1153" s="111"/>
      <c r="AK1153" s="111"/>
      <c r="AL1153" s="111"/>
      <c r="AM1153" s="645">
        <f t="shared" si="20"/>
        <v>53.908299</v>
      </c>
      <c r="AO1153" s="289"/>
    </row>
    <row r="1154" spans="1:42" s="61" customFormat="1" ht="21" customHeight="1" x14ac:dyDescent="0.3">
      <c r="A1154" s="707"/>
      <c r="B1154" s="181" t="s">
        <v>403</v>
      </c>
      <c r="C1154" s="144"/>
      <c r="D1154" s="112"/>
      <c r="E1154" s="112"/>
      <c r="F1154" s="268"/>
      <c r="G1154" s="112"/>
      <c r="H1154" s="112"/>
      <c r="I1154" s="126"/>
      <c r="J1154" s="112"/>
      <c r="K1154" s="112"/>
      <c r="L1154" s="268"/>
      <c r="M1154" s="112"/>
      <c r="N1154" s="126"/>
      <c r="O1154" s="112"/>
      <c r="P1154" s="112"/>
      <c r="Q1154" s="112"/>
      <c r="R1154" s="112"/>
      <c r="S1154" s="112">
        <v>10</v>
      </c>
      <c r="T1154" s="145"/>
      <c r="U1154" s="144"/>
      <c r="V1154" s="112"/>
      <c r="W1154" s="112"/>
      <c r="X1154" s="112"/>
      <c r="Y1154" s="112"/>
      <c r="Z1154" s="112"/>
      <c r="AA1154" s="112"/>
      <c r="AB1154" s="112"/>
      <c r="AC1154" s="112"/>
      <c r="AD1154" s="112"/>
      <c r="AE1154" s="112"/>
      <c r="AF1154" s="112"/>
      <c r="AG1154" s="112"/>
      <c r="AH1154" s="112" t="s">
        <v>482</v>
      </c>
      <c r="AI1154" s="112" t="s">
        <v>482</v>
      </c>
      <c r="AJ1154" s="112"/>
      <c r="AK1154" s="112"/>
      <c r="AL1154" s="112"/>
      <c r="AM1154" s="646">
        <f t="shared" si="20"/>
        <v>10</v>
      </c>
      <c r="AO1154" s="289"/>
    </row>
    <row r="1155" spans="1:42" s="61" customFormat="1" ht="21" customHeight="1" x14ac:dyDescent="0.3">
      <c r="A1155" s="705" t="s">
        <v>783</v>
      </c>
      <c r="B1155" s="179" t="s">
        <v>293</v>
      </c>
      <c r="C1155" s="135"/>
      <c r="D1155" s="136"/>
      <c r="E1155" s="136"/>
      <c r="F1155" s="262"/>
      <c r="G1155" s="136"/>
      <c r="H1155" s="136"/>
      <c r="I1155" s="326"/>
      <c r="J1155" s="136"/>
      <c r="K1155" s="136"/>
      <c r="L1155" s="262"/>
      <c r="M1155" s="136"/>
      <c r="N1155" s="326"/>
      <c r="O1155" s="136"/>
      <c r="P1155" s="136"/>
      <c r="Q1155" s="136"/>
      <c r="R1155" s="136"/>
      <c r="S1155" s="136"/>
      <c r="T1155" s="137"/>
      <c r="U1155" s="632"/>
      <c r="V1155" s="122"/>
      <c r="W1155" s="122"/>
      <c r="X1155" s="122"/>
      <c r="Y1155" s="122"/>
      <c r="Z1155" s="122"/>
      <c r="AA1155" s="122"/>
      <c r="AB1155" s="122"/>
      <c r="AC1155" s="122"/>
      <c r="AD1155" s="122"/>
      <c r="AE1155" s="122"/>
      <c r="AF1155" s="122"/>
      <c r="AG1155" s="122"/>
      <c r="AH1155" s="122"/>
      <c r="AI1155" s="122"/>
      <c r="AJ1155" s="122"/>
      <c r="AK1155" s="122"/>
      <c r="AL1155" s="122"/>
      <c r="AM1155" s="639">
        <f t="shared" ref="AM1155:AM1162" si="21">SUM(C1155:AL1155)</f>
        <v>0</v>
      </c>
      <c r="AO1155" s="289"/>
    </row>
    <row r="1156" spans="1:42" s="61" customFormat="1" ht="19.5" customHeight="1" x14ac:dyDescent="0.3">
      <c r="A1156" s="706"/>
      <c r="B1156" s="116" t="s">
        <v>294</v>
      </c>
      <c r="C1156" s="138"/>
      <c r="D1156" s="109"/>
      <c r="E1156" s="109"/>
      <c r="F1156" s="263"/>
      <c r="G1156" s="109"/>
      <c r="H1156" s="109"/>
      <c r="I1156" s="123"/>
      <c r="J1156" s="109"/>
      <c r="K1156" s="109"/>
      <c r="L1156" s="263"/>
      <c r="M1156" s="109"/>
      <c r="N1156" s="123"/>
      <c r="O1156" s="109"/>
      <c r="P1156" s="109"/>
      <c r="Q1156" s="109"/>
      <c r="R1156" s="109"/>
      <c r="S1156" s="109"/>
      <c r="T1156" s="139"/>
      <c r="U1156" s="138"/>
      <c r="V1156" s="109"/>
      <c r="W1156" s="109"/>
      <c r="X1156" s="109"/>
      <c r="Y1156" s="109"/>
      <c r="Z1156" s="109"/>
      <c r="AA1156" s="109"/>
      <c r="AB1156" s="109"/>
      <c r="AC1156" s="109"/>
      <c r="AD1156" s="109"/>
      <c r="AE1156" s="109"/>
      <c r="AF1156" s="109"/>
      <c r="AG1156" s="109"/>
      <c r="AH1156" s="109"/>
      <c r="AI1156" s="109"/>
      <c r="AJ1156" s="109"/>
      <c r="AK1156" s="109"/>
      <c r="AL1156" s="109"/>
      <c r="AM1156" s="640">
        <f t="shared" si="21"/>
        <v>0</v>
      </c>
      <c r="AO1156" s="289"/>
    </row>
    <row r="1157" spans="1:42" s="61" customFormat="1" ht="22.5" customHeight="1" x14ac:dyDescent="0.3">
      <c r="A1157" s="706"/>
      <c r="B1157" s="117" t="s">
        <v>326</v>
      </c>
      <c r="C1157" s="140"/>
      <c r="D1157" s="110"/>
      <c r="E1157" s="110"/>
      <c r="F1157" s="264"/>
      <c r="G1157" s="110"/>
      <c r="H1157" s="110"/>
      <c r="I1157" s="124"/>
      <c r="J1157" s="110"/>
      <c r="K1157" s="110"/>
      <c r="L1157" s="264"/>
      <c r="M1157" s="110"/>
      <c r="N1157" s="124"/>
      <c r="O1157" s="110"/>
      <c r="P1157" s="110"/>
      <c r="Q1157" s="110"/>
      <c r="R1157" s="110"/>
      <c r="S1157" s="110"/>
      <c r="T1157" s="141"/>
      <c r="U1157" s="140"/>
      <c r="V1157" s="110"/>
      <c r="W1157" s="110"/>
      <c r="X1157" s="110"/>
      <c r="Y1157" s="110"/>
      <c r="Z1157" s="110"/>
      <c r="AA1157" s="110"/>
      <c r="AB1157" s="110"/>
      <c r="AC1157" s="110"/>
      <c r="AD1157" s="110"/>
      <c r="AE1157" s="110"/>
      <c r="AF1157" s="110"/>
      <c r="AG1157" s="110"/>
      <c r="AH1157" s="110"/>
      <c r="AI1157" s="110"/>
      <c r="AJ1157" s="110"/>
      <c r="AK1157" s="110"/>
      <c r="AL1157" s="110"/>
      <c r="AM1157" s="641">
        <f t="shared" si="21"/>
        <v>0</v>
      </c>
      <c r="AO1157" s="289"/>
      <c r="AP1157" s="97"/>
    </row>
    <row r="1158" spans="1:42" s="61" customFormat="1" ht="25.5" customHeight="1" x14ac:dyDescent="0.3">
      <c r="A1158" s="706"/>
      <c r="B1158" s="175" t="s">
        <v>327</v>
      </c>
      <c r="C1158" s="176"/>
      <c r="D1158" s="127"/>
      <c r="E1158" s="127"/>
      <c r="F1158" s="265"/>
      <c r="G1158" s="127"/>
      <c r="H1158" s="127"/>
      <c r="I1158" s="178"/>
      <c r="J1158" s="127"/>
      <c r="K1158" s="127"/>
      <c r="L1158" s="265"/>
      <c r="M1158" s="127"/>
      <c r="N1158" s="178"/>
      <c r="O1158" s="127"/>
      <c r="P1158" s="127"/>
      <c r="Q1158" s="127"/>
      <c r="R1158" s="127"/>
      <c r="S1158" s="127"/>
      <c r="T1158" s="177"/>
      <c r="U1158" s="176"/>
      <c r="V1158" s="127"/>
      <c r="W1158" s="127"/>
      <c r="X1158" s="127"/>
      <c r="Y1158" s="127"/>
      <c r="Z1158" s="127"/>
      <c r="AA1158" s="127"/>
      <c r="AB1158" s="127"/>
      <c r="AC1158" s="127"/>
      <c r="AD1158" s="127"/>
      <c r="AE1158" s="127"/>
      <c r="AF1158" s="127"/>
      <c r="AG1158" s="127"/>
      <c r="AH1158" s="127"/>
      <c r="AI1158" s="127"/>
      <c r="AJ1158" s="127"/>
      <c r="AK1158" s="127"/>
      <c r="AL1158" s="127"/>
      <c r="AM1158" s="642">
        <f t="shared" si="21"/>
        <v>0</v>
      </c>
      <c r="AO1158" s="289"/>
    </row>
    <row r="1159" spans="1:42" s="61" customFormat="1" ht="25.5" customHeight="1" x14ac:dyDescent="0.3">
      <c r="A1159" s="706"/>
      <c r="B1159" s="180" t="s">
        <v>361</v>
      </c>
      <c r="C1159" s="300"/>
      <c r="D1159" s="173"/>
      <c r="E1159" s="173"/>
      <c r="F1159" s="266"/>
      <c r="G1159" s="173"/>
      <c r="H1159" s="173"/>
      <c r="I1159" s="174"/>
      <c r="J1159" s="173"/>
      <c r="K1159" s="173"/>
      <c r="L1159" s="266"/>
      <c r="M1159" s="173"/>
      <c r="N1159" s="174"/>
      <c r="O1159" s="173"/>
      <c r="P1159" s="173"/>
      <c r="Q1159" s="173"/>
      <c r="R1159" s="173"/>
      <c r="S1159" s="173"/>
      <c r="T1159" s="327"/>
      <c r="U1159" s="300"/>
      <c r="V1159" s="173"/>
      <c r="W1159" s="173"/>
      <c r="X1159" s="173"/>
      <c r="Y1159" s="173"/>
      <c r="Z1159" s="173"/>
      <c r="AA1159" s="173"/>
      <c r="AB1159" s="173"/>
      <c r="AC1159" s="173"/>
      <c r="AD1159" s="173"/>
      <c r="AE1159" s="173"/>
      <c r="AF1159" s="173"/>
      <c r="AG1159" s="173"/>
      <c r="AH1159" s="173"/>
      <c r="AI1159" s="173"/>
      <c r="AJ1159" s="173"/>
      <c r="AK1159" s="173"/>
      <c r="AL1159" s="173"/>
      <c r="AM1159" s="643">
        <f t="shared" si="21"/>
        <v>0</v>
      </c>
      <c r="AO1159" s="289"/>
      <c r="AP1159" s="97"/>
    </row>
    <row r="1160" spans="1:42" s="61" customFormat="1" ht="25.5" customHeight="1" x14ac:dyDescent="0.3">
      <c r="A1160" s="706"/>
      <c r="B1160" s="180" t="s">
        <v>362</v>
      </c>
      <c r="C1160" s="300"/>
      <c r="D1160" s="173"/>
      <c r="E1160" s="173"/>
      <c r="F1160" s="266"/>
      <c r="G1160" s="173"/>
      <c r="H1160" s="173"/>
      <c r="I1160" s="174"/>
      <c r="J1160" s="173"/>
      <c r="K1160" s="173"/>
      <c r="L1160" s="266"/>
      <c r="M1160" s="173"/>
      <c r="N1160" s="174"/>
      <c r="O1160" s="173"/>
      <c r="P1160" s="173"/>
      <c r="Q1160" s="173"/>
      <c r="R1160" s="173"/>
      <c r="S1160" s="173"/>
      <c r="T1160" s="327"/>
      <c r="U1160" s="300"/>
      <c r="V1160" s="173"/>
      <c r="W1160" s="173"/>
      <c r="X1160" s="173"/>
      <c r="Y1160" s="173"/>
      <c r="Z1160" s="173"/>
      <c r="AA1160" s="173"/>
      <c r="AB1160" s="173"/>
      <c r="AC1160" s="173"/>
      <c r="AD1160" s="173"/>
      <c r="AE1160" s="173"/>
      <c r="AF1160" s="173"/>
      <c r="AG1160" s="173"/>
      <c r="AH1160" s="173"/>
      <c r="AI1160" s="173"/>
      <c r="AJ1160" s="173"/>
      <c r="AK1160" s="173"/>
      <c r="AL1160" s="173"/>
      <c r="AM1160" s="644">
        <f t="shared" si="21"/>
        <v>0</v>
      </c>
      <c r="AO1160" s="289"/>
      <c r="AP1160" s="97"/>
    </row>
    <row r="1161" spans="1:42" s="61" customFormat="1" ht="22.5" customHeight="1" x14ac:dyDescent="0.3">
      <c r="A1161" s="706"/>
      <c r="B1161" s="115" t="s">
        <v>402</v>
      </c>
      <c r="C1161" s="142"/>
      <c r="D1161" s="111"/>
      <c r="E1161" s="111"/>
      <c r="F1161" s="267"/>
      <c r="G1161" s="111"/>
      <c r="H1161" s="111"/>
      <c r="I1161" s="125"/>
      <c r="J1161" s="111"/>
      <c r="K1161" s="111"/>
      <c r="L1161" s="267"/>
      <c r="M1161" s="111"/>
      <c r="N1161" s="125"/>
      <c r="O1161" s="111"/>
      <c r="P1161" s="111"/>
      <c r="Q1161" s="111"/>
      <c r="R1161" s="111"/>
      <c r="S1161" s="111"/>
      <c r="T1161" s="143"/>
      <c r="U1161" s="142"/>
      <c r="V1161" s="111"/>
      <c r="W1161" s="111"/>
      <c r="X1161" s="111"/>
      <c r="Y1161" s="111"/>
      <c r="Z1161" s="111"/>
      <c r="AA1161" s="111"/>
      <c r="AB1161" s="111"/>
      <c r="AC1161" s="111"/>
      <c r="AD1161" s="111"/>
      <c r="AE1161" s="111"/>
      <c r="AF1161" s="111"/>
      <c r="AG1161" s="111"/>
      <c r="AH1161" s="111"/>
      <c r="AI1161" s="111"/>
      <c r="AJ1161" s="111"/>
      <c r="AK1161" s="111"/>
      <c r="AL1161" s="111"/>
      <c r="AM1161" s="645">
        <f t="shared" si="21"/>
        <v>0</v>
      </c>
      <c r="AO1161" s="289"/>
    </row>
    <row r="1162" spans="1:42" s="61" customFormat="1" ht="21" customHeight="1" x14ac:dyDescent="0.3">
      <c r="A1162" s="707"/>
      <c r="B1162" s="181" t="s">
        <v>403</v>
      </c>
      <c r="C1162" s="144"/>
      <c r="D1162" s="112"/>
      <c r="E1162" s="112"/>
      <c r="F1162" s="268"/>
      <c r="G1162" s="112"/>
      <c r="H1162" s="112"/>
      <c r="I1162" s="126"/>
      <c r="J1162" s="112"/>
      <c r="K1162" s="112"/>
      <c r="L1162" s="268"/>
      <c r="M1162" s="112"/>
      <c r="N1162" s="126"/>
      <c r="O1162" s="112"/>
      <c r="P1162" s="112"/>
      <c r="Q1162" s="112"/>
      <c r="R1162" s="112"/>
      <c r="S1162" s="112">
        <v>22536.351779999997</v>
      </c>
      <c r="T1162" s="145"/>
      <c r="U1162" s="144"/>
      <c r="V1162" s="112"/>
      <c r="W1162" s="112"/>
      <c r="X1162" s="112"/>
      <c r="Y1162" s="112"/>
      <c r="Z1162" s="112"/>
      <c r="AA1162" s="112"/>
      <c r="AB1162" s="112"/>
      <c r="AC1162" s="112"/>
      <c r="AD1162" s="112"/>
      <c r="AE1162" s="112"/>
      <c r="AF1162" s="112"/>
      <c r="AG1162" s="112"/>
      <c r="AH1162" s="112"/>
      <c r="AI1162" s="112"/>
      <c r="AJ1162" s="112"/>
      <c r="AK1162" s="112"/>
      <c r="AL1162" s="112"/>
      <c r="AM1162" s="646">
        <f t="shared" si="21"/>
        <v>22536.351779999997</v>
      </c>
      <c r="AO1162" s="289"/>
    </row>
    <row r="1163" spans="1:42" s="61" customFormat="1" ht="21" customHeight="1" x14ac:dyDescent="0.3">
      <c r="A1163" s="705" t="s">
        <v>231</v>
      </c>
      <c r="B1163" s="179" t="s">
        <v>293</v>
      </c>
      <c r="C1163" s="135">
        <v>3</v>
      </c>
      <c r="D1163" s="136"/>
      <c r="E1163" s="136"/>
      <c r="F1163" s="262"/>
      <c r="G1163" s="136">
        <v>12</v>
      </c>
      <c r="H1163" s="136">
        <v>735</v>
      </c>
      <c r="I1163" s="326"/>
      <c r="J1163" s="136"/>
      <c r="K1163" s="136"/>
      <c r="L1163" s="262">
        <v>8.7739999999999991</v>
      </c>
      <c r="M1163" s="136"/>
      <c r="N1163" s="326"/>
      <c r="O1163" s="136"/>
      <c r="P1163" s="136"/>
      <c r="Q1163" s="136"/>
      <c r="R1163" s="136"/>
      <c r="S1163" s="136">
        <v>253.52799999999999</v>
      </c>
      <c r="T1163" s="137"/>
      <c r="U1163" s="632">
        <v>0.65300000000000002</v>
      </c>
      <c r="V1163" s="122"/>
      <c r="W1163" s="122"/>
      <c r="X1163" s="122"/>
      <c r="Y1163" s="122"/>
      <c r="Z1163" s="122">
        <v>103</v>
      </c>
      <c r="AA1163" s="122"/>
      <c r="AB1163" s="122"/>
      <c r="AC1163" s="122">
        <v>1.5</v>
      </c>
      <c r="AD1163" s="122"/>
      <c r="AE1163" s="122"/>
      <c r="AF1163" s="122"/>
      <c r="AG1163" s="122">
        <v>1.129</v>
      </c>
      <c r="AH1163" s="122">
        <v>1</v>
      </c>
      <c r="AI1163" s="122" t="s">
        <v>482</v>
      </c>
      <c r="AJ1163" s="122"/>
      <c r="AK1163" s="122"/>
      <c r="AL1163" s="122"/>
      <c r="AM1163" s="639">
        <f t="shared" si="20"/>
        <v>1119.5839999999998</v>
      </c>
      <c r="AO1163" s="289"/>
    </row>
    <row r="1164" spans="1:42" s="61" customFormat="1" ht="19.5" customHeight="1" x14ac:dyDescent="0.3">
      <c r="A1164" s="706"/>
      <c r="B1164" s="116" t="s">
        <v>294</v>
      </c>
      <c r="C1164" s="138">
        <v>3</v>
      </c>
      <c r="D1164" s="109"/>
      <c r="E1164" s="109"/>
      <c r="F1164" s="263"/>
      <c r="G1164" s="109"/>
      <c r="H1164" s="109">
        <v>13815</v>
      </c>
      <c r="I1164" s="123"/>
      <c r="J1164" s="109"/>
      <c r="K1164" s="109"/>
      <c r="L1164" s="263"/>
      <c r="M1164" s="109"/>
      <c r="N1164" s="123"/>
      <c r="O1164" s="109"/>
      <c r="P1164" s="109"/>
      <c r="Q1164" s="109">
        <v>9</v>
      </c>
      <c r="R1164" s="109"/>
      <c r="S1164" s="109"/>
      <c r="T1164" s="139">
        <v>10</v>
      </c>
      <c r="U1164" s="138">
        <v>10</v>
      </c>
      <c r="V1164" s="109"/>
      <c r="W1164" s="109"/>
      <c r="X1164" s="109"/>
      <c r="Y1164" s="109"/>
      <c r="Z1164" s="109">
        <v>394</v>
      </c>
      <c r="AA1164" s="109"/>
      <c r="AB1164" s="109"/>
      <c r="AC1164" s="109">
        <v>1.5</v>
      </c>
      <c r="AD1164" s="109"/>
      <c r="AE1164" s="109"/>
      <c r="AF1164" s="109"/>
      <c r="AG1164" s="109"/>
      <c r="AH1164" s="109"/>
      <c r="AI1164" s="109" t="s">
        <v>482</v>
      </c>
      <c r="AJ1164" s="109"/>
      <c r="AK1164" s="109"/>
      <c r="AL1164" s="109"/>
      <c r="AM1164" s="640">
        <f t="shared" si="20"/>
        <v>14242.5</v>
      </c>
      <c r="AO1164" s="289"/>
    </row>
    <row r="1165" spans="1:42" s="61" customFormat="1" ht="22.5" customHeight="1" x14ac:dyDescent="0.3">
      <c r="A1165" s="706"/>
      <c r="B1165" s="117" t="s">
        <v>326</v>
      </c>
      <c r="C1165" s="140">
        <v>5</v>
      </c>
      <c r="D1165" s="110"/>
      <c r="E1165" s="110"/>
      <c r="F1165" s="264"/>
      <c r="G1165" s="110"/>
      <c r="H1165" s="110">
        <v>18247</v>
      </c>
      <c r="I1165" s="124"/>
      <c r="J1165" s="110"/>
      <c r="K1165" s="110"/>
      <c r="L1165" s="264">
        <v>229</v>
      </c>
      <c r="M1165" s="110"/>
      <c r="N1165" s="124"/>
      <c r="O1165" s="110"/>
      <c r="P1165" s="110"/>
      <c r="Q1165" s="110"/>
      <c r="R1165" s="110"/>
      <c r="S1165" s="110">
        <v>88375</v>
      </c>
      <c r="T1165" s="141"/>
      <c r="U1165" s="140">
        <v>11.145</v>
      </c>
      <c r="V1165" s="110"/>
      <c r="W1165" s="110"/>
      <c r="X1165" s="110"/>
      <c r="Y1165" s="110"/>
      <c r="Z1165" s="110">
        <v>448</v>
      </c>
      <c r="AA1165" s="110"/>
      <c r="AB1165" s="110"/>
      <c r="AC1165" s="110">
        <v>3</v>
      </c>
      <c r="AD1165" s="110"/>
      <c r="AE1165" s="110"/>
      <c r="AF1165" s="110"/>
      <c r="AG1165" s="110"/>
      <c r="AH1165" s="110">
        <v>1</v>
      </c>
      <c r="AI1165" s="110" t="s">
        <v>482</v>
      </c>
      <c r="AJ1165" s="110"/>
      <c r="AK1165" s="110"/>
      <c r="AL1165" s="110"/>
      <c r="AM1165" s="641">
        <f t="shared" si="20"/>
        <v>107319.145</v>
      </c>
      <c r="AO1165" s="289"/>
      <c r="AP1165" s="97"/>
    </row>
    <row r="1166" spans="1:42" s="61" customFormat="1" ht="25.5" customHeight="1" x14ac:dyDescent="0.3">
      <c r="A1166" s="706"/>
      <c r="B1166" s="175" t="s">
        <v>327</v>
      </c>
      <c r="C1166" s="176">
        <v>32.972000000000001</v>
      </c>
      <c r="D1166" s="127"/>
      <c r="E1166" s="127"/>
      <c r="F1166" s="265"/>
      <c r="G1166" s="127"/>
      <c r="H1166" s="127">
        <v>23401</v>
      </c>
      <c r="I1166" s="178"/>
      <c r="J1166" s="127"/>
      <c r="K1166" s="127"/>
      <c r="L1166" s="265">
        <v>292</v>
      </c>
      <c r="M1166" s="127"/>
      <c r="N1166" s="178">
        <v>7.923</v>
      </c>
      <c r="O1166" s="127"/>
      <c r="P1166" s="127"/>
      <c r="Q1166" s="127"/>
      <c r="R1166" s="127"/>
      <c r="S1166" s="127">
        <v>89430</v>
      </c>
      <c r="T1166" s="177"/>
      <c r="U1166" s="176">
        <v>56.978999999999999</v>
      </c>
      <c r="V1166" s="127"/>
      <c r="W1166" s="127"/>
      <c r="X1166" s="127"/>
      <c r="Y1166" s="127"/>
      <c r="Z1166" s="127">
        <v>549</v>
      </c>
      <c r="AA1166" s="127"/>
      <c r="AB1166" s="127"/>
      <c r="AC1166" s="127">
        <v>4.6669999999999998</v>
      </c>
      <c r="AD1166" s="127"/>
      <c r="AE1166" s="127"/>
      <c r="AF1166" s="127"/>
      <c r="AG1166" s="127"/>
      <c r="AH1166" s="127">
        <v>2</v>
      </c>
      <c r="AI1166" s="127" t="s">
        <v>482</v>
      </c>
      <c r="AJ1166" s="127"/>
      <c r="AK1166" s="127"/>
      <c r="AL1166" s="127"/>
      <c r="AM1166" s="642">
        <f t="shared" si="20"/>
        <v>113776.54100000001</v>
      </c>
      <c r="AO1166" s="289"/>
    </row>
    <row r="1167" spans="1:42" s="61" customFormat="1" ht="25.5" customHeight="1" x14ac:dyDescent="0.3">
      <c r="A1167" s="706"/>
      <c r="B1167" s="180" t="s">
        <v>361</v>
      </c>
      <c r="C1167" s="300">
        <v>43.287999999999997</v>
      </c>
      <c r="D1167" s="173"/>
      <c r="E1167" s="173"/>
      <c r="F1167" s="266"/>
      <c r="G1167" s="173"/>
      <c r="H1167" s="173">
        <f>8152+1594</f>
        <v>9746</v>
      </c>
      <c r="I1167" s="174"/>
      <c r="J1167" s="173"/>
      <c r="K1167" s="173"/>
      <c r="L1167" s="266">
        <v>271</v>
      </c>
      <c r="M1167" s="173"/>
      <c r="N1167" s="174"/>
      <c r="O1167" s="173"/>
      <c r="P1167" s="173"/>
      <c r="Q1167" s="173"/>
      <c r="R1167" s="173"/>
      <c r="S1167" s="173">
        <v>188415</v>
      </c>
      <c r="T1167" s="327">
        <v>2.5</v>
      </c>
      <c r="U1167" s="300">
        <v>10.58</v>
      </c>
      <c r="V1167" s="173"/>
      <c r="W1167" s="173"/>
      <c r="X1167" s="173">
        <v>1</v>
      </c>
      <c r="Y1167" s="173"/>
      <c r="Z1167" s="173">
        <v>444.39059000000003</v>
      </c>
      <c r="AA1167" s="173"/>
      <c r="AB1167" s="173"/>
      <c r="AC1167" s="173">
        <v>2.9</v>
      </c>
      <c r="AD1167" s="173"/>
      <c r="AE1167" s="173"/>
      <c r="AF1167" s="173"/>
      <c r="AG1167" s="173"/>
      <c r="AH1167" s="173">
        <v>1</v>
      </c>
      <c r="AI1167" s="173" t="s">
        <v>482</v>
      </c>
      <c r="AJ1167" s="173"/>
      <c r="AK1167" s="173"/>
      <c r="AL1167" s="173"/>
      <c r="AM1167" s="643">
        <f t="shared" si="20"/>
        <v>198937.65858999998</v>
      </c>
      <c r="AO1167" s="289"/>
      <c r="AP1167" s="97"/>
    </row>
    <row r="1168" spans="1:42" s="61" customFormat="1" ht="25.5" customHeight="1" x14ac:dyDescent="0.3">
      <c r="A1168" s="706"/>
      <c r="B1168" s="180" t="s">
        <v>362</v>
      </c>
      <c r="C1168" s="300">
        <v>93.341999999999999</v>
      </c>
      <c r="D1168" s="173"/>
      <c r="E1168" s="173"/>
      <c r="F1168" s="266"/>
      <c r="G1168" s="173"/>
      <c r="H1168" s="173">
        <f>14073+5212</f>
        <v>19285</v>
      </c>
      <c r="I1168" s="174"/>
      <c r="J1168" s="173"/>
      <c r="K1168" s="173"/>
      <c r="L1168" s="266">
        <v>229</v>
      </c>
      <c r="M1168" s="173"/>
      <c r="N1168" s="174">
        <v>14.509</v>
      </c>
      <c r="O1168" s="173"/>
      <c r="P1168" s="173"/>
      <c r="Q1168" s="173"/>
      <c r="R1168" s="173"/>
      <c r="S1168" s="173">
        <v>231351</v>
      </c>
      <c r="T1168" s="327"/>
      <c r="U1168" s="300">
        <v>11.282</v>
      </c>
      <c r="V1168" s="173"/>
      <c r="W1168" s="173"/>
      <c r="X1168" s="173"/>
      <c r="Y1168" s="173"/>
      <c r="Z1168" s="173">
        <v>366.73325</v>
      </c>
      <c r="AA1168" s="173"/>
      <c r="AB1168" s="173"/>
      <c r="AC1168" s="173">
        <f>7-3</f>
        <v>4</v>
      </c>
      <c r="AD1168" s="173"/>
      <c r="AE1168" s="173"/>
      <c r="AF1168" s="173"/>
      <c r="AG1168" s="173"/>
      <c r="AH1168" s="173">
        <v>1</v>
      </c>
      <c r="AI1168" s="173">
        <v>7</v>
      </c>
      <c r="AJ1168" s="173"/>
      <c r="AK1168" s="173"/>
      <c r="AL1168" s="173"/>
      <c r="AM1168" s="644">
        <f t="shared" si="20"/>
        <v>251362.86624999999</v>
      </c>
      <c r="AO1168" s="289"/>
      <c r="AP1168" s="97"/>
    </row>
    <row r="1169" spans="1:42" s="61" customFormat="1" ht="22.5" customHeight="1" x14ac:dyDescent="0.3">
      <c r="A1169" s="706"/>
      <c r="B1169" s="115" t="s">
        <v>402</v>
      </c>
      <c r="C1169" s="142">
        <v>29.2</v>
      </c>
      <c r="D1169" s="111"/>
      <c r="E1169" s="111"/>
      <c r="F1169" s="267"/>
      <c r="G1169" s="111"/>
      <c r="H1169" s="111">
        <v>20620</v>
      </c>
      <c r="I1169" s="125"/>
      <c r="J1169" s="111"/>
      <c r="K1169" s="111"/>
      <c r="L1169" s="267">
        <v>260</v>
      </c>
      <c r="M1169" s="111">
        <v>36.8324</v>
      </c>
      <c r="N1169" s="125"/>
      <c r="O1169" s="111"/>
      <c r="P1169" s="111"/>
      <c r="Q1169" s="111">
        <v>-0.36699999999999999</v>
      </c>
      <c r="R1169" s="111"/>
      <c r="S1169" s="111">
        <v>180447.68593000001</v>
      </c>
      <c r="T1169" s="143">
        <v>10</v>
      </c>
      <c r="U1169" s="142">
        <v>10.726000000000001</v>
      </c>
      <c r="V1169" s="111"/>
      <c r="W1169" s="111">
        <v>210</v>
      </c>
      <c r="X1169" s="111"/>
      <c r="Y1169" s="111"/>
      <c r="Z1169" s="111">
        <v>450</v>
      </c>
      <c r="AA1169" s="111"/>
      <c r="AB1169" s="111"/>
      <c r="AC1169" s="111">
        <v>203</v>
      </c>
      <c r="AD1169" s="111"/>
      <c r="AE1169" s="111"/>
      <c r="AF1169" s="111">
        <v>37.353000000000002</v>
      </c>
      <c r="AG1169" s="111"/>
      <c r="AH1169" s="111">
        <v>42.131999999999998</v>
      </c>
      <c r="AI1169" s="111">
        <v>7</v>
      </c>
      <c r="AJ1169" s="111"/>
      <c r="AK1169" s="111"/>
      <c r="AL1169" s="111"/>
      <c r="AM1169" s="645">
        <f t="shared" si="20"/>
        <v>202363.56233000002</v>
      </c>
      <c r="AO1169" s="289"/>
    </row>
    <row r="1170" spans="1:42" s="61" customFormat="1" ht="21" customHeight="1" x14ac:dyDescent="0.3">
      <c r="A1170" s="707"/>
      <c r="B1170" s="181" t="s">
        <v>403</v>
      </c>
      <c r="C1170" s="144">
        <v>314.5</v>
      </c>
      <c r="D1170" s="112"/>
      <c r="E1170" s="112"/>
      <c r="F1170" s="268"/>
      <c r="G1170" s="112"/>
      <c r="H1170" s="112">
        <v>11513</v>
      </c>
      <c r="I1170" s="126"/>
      <c r="J1170" s="112"/>
      <c r="K1170" s="112"/>
      <c r="L1170" s="268">
        <v>261</v>
      </c>
      <c r="M1170" s="112"/>
      <c r="N1170" s="126"/>
      <c r="O1170" s="112"/>
      <c r="P1170" s="112"/>
      <c r="Q1170" s="112"/>
      <c r="R1170" s="112"/>
      <c r="S1170" s="112">
        <v>128424.977011</v>
      </c>
      <c r="T1170" s="145"/>
      <c r="U1170" s="144">
        <v>0.72599999999999998</v>
      </c>
      <c r="V1170" s="112"/>
      <c r="W1170" s="112">
        <f>275-210</f>
        <v>65</v>
      </c>
      <c r="X1170" s="112"/>
      <c r="Y1170" s="112"/>
      <c r="Z1170" s="112">
        <v>206</v>
      </c>
      <c r="AA1170" s="112"/>
      <c r="AB1170" s="112"/>
      <c r="AC1170" s="112">
        <v>203</v>
      </c>
      <c r="AD1170" s="112"/>
      <c r="AE1170" s="112"/>
      <c r="AF1170" s="112"/>
      <c r="AG1170" s="112"/>
      <c r="AH1170" s="112">
        <v>68</v>
      </c>
      <c r="AI1170" s="112">
        <v>7</v>
      </c>
      <c r="AJ1170" s="112"/>
      <c r="AK1170" s="112"/>
      <c r="AL1170" s="112"/>
      <c r="AM1170" s="646">
        <f t="shared" si="20"/>
        <v>141063.20301099998</v>
      </c>
      <c r="AO1170" s="289"/>
    </row>
    <row r="1171" spans="1:42" s="61" customFormat="1" ht="21" customHeight="1" x14ac:dyDescent="0.3">
      <c r="A1171" s="705" t="s">
        <v>232</v>
      </c>
      <c r="B1171" s="179" t="s">
        <v>293</v>
      </c>
      <c r="C1171" s="135"/>
      <c r="D1171" s="136"/>
      <c r="E1171" s="136"/>
      <c r="F1171" s="262"/>
      <c r="G1171" s="136"/>
      <c r="H1171" s="136"/>
      <c r="I1171" s="326"/>
      <c r="J1171" s="136"/>
      <c r="K1171" s="136"/>
      <c r="L1171" s="262"/>
      <c r="M1171" s="136"/>
      <c r="N1171" s="326"/>
      <c r="O1171" s="136"/>
      <c r="P1171" s="136"/>
      <c r="Q1171" s="136"/>
      <c r="R1171" s="136"/>
      <c r="S1171" s="136"/>
      <c r="T1171" s="137"/>
      <c r="U1171" s="632"/>
      <c r="V1171" s="122"/>
      <c r="W1171" s="122"/>
      <c r="X1171" s="122"/>
      <c r="Y1171" s="122"/>
      <c r="Z1171" s="122"/>
      <c r="AA1171" s="122"/>
      <c r="AB1171" s="122"/>
      <c r="AC1171" s="122"/>
      <c r="AD1171" s="122"/>
      <c r="AE1171" s="122"/>
      <c r="AF1171" s="122"/>
      <c r="AG1171" s="122"/>
      <c r="AH1171" s="122"/>
      <c r="AI1171" s="122" t="s">
        <v>482</v>
      </c>
      <c r="AJ1171" s="122"/>
      <c r="AK1171" s="122"/>
      <c r="AL1171" s="122"/>
      <c r="AM1171" s="639">
        <f t="shared" si="20"/>
        <v>0</v>
      </c>
      <c r="AO1171" s="289"/>
    </row>
    <row r="1172" spans="1:42" s="61" customFormat="1" ht="19.5" customHeight="1" x14ac:dyDescent="0.3">
      <c r="A1172" s="706"/>
      <c r="B1172" s="116" t="s">
        <v>294</v>
      </c>
      <c r="C1172" s="138">
        <v>1</v>
      </c>
      <c r="D1172" s="109"/>
      <c r="E1172" s="109"/>
      <c r="F1172" s="263"/>
      <c r="G1172" s="109"/>
      <c r="H1172" s="109"/>
      <c r="I1172" s="123"/>
      <c r="J1172" s="109"/>
      <c r="K1172" s="109"/>
      <c r="L1172" s="263"/>
      <c r="M1172" s="109"/>
      <c r="N1172" s="123"/>
      <c r="O1172" s="109"/>
      <c r="P1172" s="109"/>
      <c r="Q1172" s="109"/>
      <c r="R1172" s="109"/>
      <c r="S1172" s="109"/>
      <c r="T1172" s="139"/>
      <c r="U1172" s="138"/>
      <c r="V1172" s="109"/>
      <c r="W1172" s="109"/>
      <c r="X1172" s="109"/>
      <c r="Y1172" s="109"/>
      <c r="Z1172" s="109"/>
      <c r="AA1172" s="109"/>
      <c r="AB1172" s="109"/>
      <c r="AC1172" s="109"/>
      <c r="AD1172" s="109"/>
      <c r="AE1172" s="109"/>
      <c r="AF1172" s="109"/>
      <c r="AG1172" s="109"/>
      <c r="AH1172" s="109"/>
      <c r="AI1172" s="109" t="s">
        <v>482</v>
      </c>
      <c r="AJ1172" s="109"/>
      <c r="AK1172" s="109"/>
      <c r="AL1172" s="109"/>
      <c r="AM1172" s="640">
        <f t="shared" si="20"/>
        <v>1</v>
      </c>
      <c r="AO1172" s="289"/>
    </row>
    <row r="1173" spans="1:42" s="61" customFormat="1" ht="22.5" customHeight="1" x14ac:dyDescent="0.3">
      <c r="A1173" s="706"/>
      <c r="B1173" s="117" t="s">
        <v>326</v>
      </c>
      <c r="C1173" s="140">
        <v>175.62100000000001</v>
      </c>
      <c r="D1173" s="110"/>
      <c r="E1173" s="110"/>
      <c r="F1173" s="264"/>
      <c r="G1173" s="110"/>
      <c r="H1173" s="110"/>
      <c r="I1173" s="124"/>
      <c r="J1173" s="110"/>
      <c r="K1173" s="110"/>
      <c r="L1173" s="264"/>
      <c r="M1173" s="110"/>
      <c r="N1173" s="124"/>
      <c r="O1173" s="110"/>
      <c r="P1173" s="110"/>
      <c r="Q1173" s="110"/>
      <c r="R1173" s="110"/>
      <c r="S1173" s="110"/>
      <c r="T1173" s="141"/>
      <c r="U1173" s="140"/>
      <c r="V1173" s="110"/>
      <c r="W1173" s="110"/>
      <c r="X1173" s="110"/>
      <c r="Y1173" s="110"/>
      <c r="Z1173" s="110"/>
      <c r="AA1173" s="110"/>
      <c r="AB1173" s="110"/>
      <c r="AC1173" s="110"/>
      <c r="AD1173" s="110"/>
      <c r="AE1173" s="110"/>
      <c r="AF1173" s="110"/>
      <c r="AG1173" s="110"/>
      <c r="AH1173" s="110"/>
      <c r="AI1173" s="110" t="s">
        <v>482</v>
      </c>
      <c r="AJ1173" s="110"/>
      <c r="AK1173" s="110"/>
      <c r="AL1173" s="110"/>
      <c r="AM1173" s="641">
        <f t="shared" ref="AM1173:AM1234" si="22">SUM(C1173:AL1173)</f>
        <v>175.62100000000001</v>
      </c>
      <c r="AO1173" s="289"/>
      <c r="AP1173" s="97"/>
    </row>
    <row r="1174" spans="1:42" s="61" customFormat="1" ht="25.5" customHeight="1" x14ac:dyDescent="0.3">
      <c r="A1174" s="706"/>
      <c r="B1174" s="175" t="s">
        <v>327</v>
      </c>
      <c r="C1174" s="176">
        <v>348.40499999999997</v>
      </c>
      <c r="D1174" s="127"/>
      <c r="E1174" s="127"/>
      <c r="F1174" s="265"/>
      <c r="G1174" s="127"/>
      <c r="H1174" s="127"/>
      <c r="I1174" s="178"/>
      <c r="J1174" s="127"/>
      <c r="K1174" s="127"/>
      <c r="L1174" s="265"/>
      <c r="M1174" s="127"/>
      <c r="N1174" s="178"/>
      <c r="O1174" s="127"/>
      <c r="P1174" s="127"/>
      <c r="Q1174" s="127"/>
      <c r="R1174" s="127"/>
      <c r="S1174" s="127">
        <v>46</v>
      </c>
      <c r="T1174" s="177"/>
      <c r="U1174" s="176"/>
      <c r="V1174" s="127"/>
      <c r="W1174" s="127"/>
      <c r="X1174" s="127"/>
      <c r="Y1174" s="127"/>
      <c r="Z1174" s="127">
        <v>0.95987</v>
      </c>
      <c r="AA1174" s="127"/>
      <c r="AB1174" s="127"/>
      <c r="AC1174" s="127"/>
      <c r="AD1174" s="127"/>
      <c r="AE1174" s="127"/>
      <c r="AF1174" s="127"/>
      <c r="AG1174" s="127"/>
      <c r="AH1174" s="127"/>
      <c r="AI1174" s="127">
        <v>274</v>
      </c>
      <c r="AJ1174" s="127"/>
      <c r="AK1174" s="127"/>
      <c r="AL1174" s="127"/>
      <c r="AM1174" s="642">
        <f t="shared" si="22"/>
        <v>669.36487</v>
      </c>
      <c r="AO1174" s="289"/>
    </row>
    <row r="1175" spans="1:42" s="61" customFormat="1" ht="25.5" customHeight="1" x14ac:dyDescent="0.3">
      <c r="A1175" s="706"/>
      <c r="B1175" s="180" t="s">
        <v>361</v>
      </c>
      <c r="C1175" s="300">
        <v>242.41351999999998</v>
      </c>
      <c r="D1175" s="173"/>
      <c r="E1175" s="173"/>
      <c r="F1175" s="266"/>
      <c r="G1175" s="173"/>
      <c r="H1175" s="173"/>
      <c r="I1175" s="174"/>
      <c r="J1175" s="173"/>
      <c r="K1175" s="173"/>
      <c r="L1175" s="266"/>
      <c r="M1175" s="173"/>
      <c r="N1175" s="174"/>
      <c r="O1175" s="173"/>
      <c r="P1175" s="173"/>
      <c r="Q1175" s="173"/>
      <c r="R1175" s="173"/>
      <c r="S1175" s="173">
        <v>60</v>
      </c>
      <c r="T1175" s="327"/>
      <c r="U1175" s="300">
        <v>0.63700000000000001</v>
      </c>
      <c r="V1175" s="173"/>
      <c r="W1175" s="173"/>
      <c r="X1175" s="173"/>
      <c r="Y1175" s="173"/>
      <c r="Z1175" s="173"/>
      <c r="AA1175" s="173"/>
      <c r="AB1175" s="173"/>
      <c r="AC1175" s="173"/>
      <c r="AD1175" s="173"/>
      <c r="AE1175" s="173"/>
      <c r="AF1175" s="173"/>
      <c r="AG1175" s="173"/>
      <c r="AH1175" s="173"/>
      <c r="AI1175" s="173">
        <v>1028.44</v>
      </c>
      <c r="AJ1175" s="173"/>
      <c r="AK1175" s="173"/>
      <c r="AL1175" s="173"/>
      <c r="AM1175" s="643">
        <f t="shared" si="22"/>
        <v>1331.4905200000001</v>
      </c>
      <c r="AO1175" s="289"/>
      <c r="AP1175" s="97"/>
    </row>
    <row r="1176" spans="1:42" s="61" customFormat="1" ht="25.5" customHeight="1" x14ac:dyDescent="0.3">
      <c r="A1176" s="706"/>
      <c r="B1176" s="180" t="s">
        <v>362</v>
      </c>
      <c r="C1176" s="300">
        <v>36.923720000000003</v>
      </c>
      <c r="D1176" s="173"/>
      <c r="E1176" s="173"/>
      <c r="F1176" s="266"/>
      <c r="G1176" s="173"/>
      <c r="H1176" s="173"/>
      <c r="I1176" s="174"/>
      <c r="J1176" s="173"/>
      <c r="K1176" s="173"/>
      <c r="L1176" s="266"/>
      <c r="M1176" s="173"/>
      <c r="N1176" s="174"/>
      <c r="O1176" s="173"/>
      <c r="P1176" s="173"/>
      <c r="Q1176" s="173"/>
      <c r="R1176" s="173"/>
      <c r="S1176" s="173">
        <v>193</v>
      </c>
      <c r="T1176" s="327"/>
      <c r="U1176" s="300">
        <v>0.153</v>
      </c>
      <c r="V1176" s="173"/>
      <c r="W1176" s="173"/>
      <c r="X1176" s="173"/>
      <c r="Y1176" s="173"/>
      <c r="Z1176" s="173"/>
      <c r="AA1176" s="173"/>
      <c r="AB1176" s="173"/>
      <c r="AC1176" s="173"/>
      <c r="AD1176" s="173"/>
      <c r="AE1176" s="173"/>
      <c r="AF1176" s="173"/>
      <c r="AG1176" s="173"/>
      <c r="AH1176" s="173"/>
      <c r="AI1176" s="173">
        <v>301.56</v>
      </c>
      <c r="AJ1176" s="173"/>
      <c r="AK1176" s="173"/>
      <c r="AL1176" s="173"/>
      <c r="AM1176" s="644">
        <f t="shared" si="22"/>
        <v>531.63671999999997</v>
      </c>
      <c r="AO1176" s="289"/>
      <c r="AP1176" s="97"/>
    </row>
    <row r="1177" spans="1:42" s="61" customFormat="1" ht="22.5" customHeight="1" x14ac:dyDescent="0.3">
      <c r="A1177" s="706"/>
      <c r="B1177" s="115" t="s">
        <v>402</v>
      </c>
      <c r="C1177" s="142">
        <v>108.874</v>
      </c>
      <c r="D1177" s="111"/>
      <c r="E1177" s="111"/>
      <c r="F1177" s="267"/>
      <c r="G1177" s="111"/>
      <c r="H1177" s="111"/>
      <c r="I1177" s="125"/>
      <c r="J1177" s="111"/>
      <c r="K1177" s="111"/>
      <c r="L1177" s="267"/>
      <c r="M1177" s="111"/>
      <c r="N1177" s="125"/>
      <c r="O1177" s="111"/>
      <c r="P1177" s="111"/>
      <c r="Q1177" s="111"/>
      <c r="R1177" s="111"/>
      <c r="S1177" s="111">
        <v>0</v>
      </c>
      <c r="T1177" s="143"/>
      <c r="U1177" s="142"/>
      <c r="V1177" s="111"/>
      <c r="W1177" s="111"/>
      <c r="X1177" s="111"/>
      <c r="Y1177" s="111"/>
      <c r="Z1177" s="111"/>
      <c r="AA1177" s="111"/>
      <c r="AB1177" s="111"/>
      <c r="AC1177" s="111"/>
      <c r="AD1177" s="111"/>
      <c r="AE1177" s="111"/>
      <c r="AF1177" s="111"/>
      <c r="AG1177" s="111"/>
      <c r="AH1177" s="111" t="s">
        <v>482</v>
      </c>
      <c r="AI1177" s="111">
        <v>1302</v>
      </c>
      <c r="AJ1177" s="111"/>
      <c r="AK1177" s="111"/>
      <c r="AL1177" s="111"/>
      <c r="AM1177" s="645">
        <f t="shared" si="22"/>
        <v>1410.874</v>
      </c>
      <c r="AO1177" s="289"/>
    </row>
    <row r="1178" spans="1:42" s="61" customFormat="1" ht="21" customHeight="1" x14ac:dyDescent="0.3">
      <c r="A1178" s="707"/>
      <c r="B1178" s="181" t="s">
        <v>403</v>
      </c>
      <c r="C1178" s="144">
        <v>179.11196000000001</v>
      </c>
      <c r="D1178" s="112"/>
      <c r="E1178" s="112"/>
      <c r="F1178" s="268"/>
      <c r="G1178" s="112"/>
      <c r="H1178" s="112"/>
      <c r="I1178" s="126"/>
      <c r="J1178" s="112"/>
      <c r="K1178" s="112"/>
      <c r="L1178" s="268"/>
      <c r="M1178" s="112"/>
      <c r="N1178" s="126"/>
      <c r="O1178" s="112"/>
      <c r="P1178" s="112"/>
      <c r="Q1178" s="112"/>
      <c r="R1178" s="112"/>
      <c r="S1178" s="112">
        <v>-4.2290000000000001E-2</v>
      </c>
      <c r="T1178" s="145"/>
      <c r="U1178" s="144"/>
      <c r="V1178" s="112"/>
      <c r="W1178" s="112"/>
      <c r="X1178" s="112"/>
      <c r="Y1178" s="112"/>
      <c r="Z1178" s="112"/>
      <c r="AA1178" s="112"/>
      <c r="AB1178" s="112"/>
      <c r="AC1178" s="112"/>
      <c r="AD1178" s="112"/>
      <c r="AE1178" s="112"/>
      <c r="AF1178" s="112"/>
      <c r="AG1178" s="112"/>
      <c r="AH1178" s="112" t="s">
        <v>482</v>
      </c>
      <c r="AI1178" s="112">
        <v>1303</v>
      </c>
      <c r="AJ1178" s="112"/>
      <c r="AK1178" s="112"/>
      <c r="AL1178" s="112"/>
      <c r="AM1178" s="646">
        <f t="shared" si="22"/>
        <v>1482.0696700000001</v>
      </c>
      <c r="AO1178" s="289"/>
    </row>
    <row r="1179" spans="1:42" s="61" customFormat="1" ht="21" customHeight="1" x14ac:dyDescent="0.3">
      <c r="A1179" s="705" t="s">
        <v>233</v>
      </c>
      <c r="B1179" s="179" t="s">
        <v>293</v>
      </c>
      <c r="C1179" s="135"/>
      <c r="D1179" s="136"/>
      <c r="E1179" s="136"/>
      <c r="F1179" s="262">
        <v>-65.938999999999993</v>
      </c>
      <c r="G1179" s="136"/>
      <c r="H1179" s="136"/>
      <c r="I1179" s="326"/>
      <c r="J1179" s="136"/>
      <c r="K1179" s="136"/>
      <c r="L1179" s="262"/>
      <c r="M1179" s="136"/>
      <c r="N1179" s="326">
        <v>25.867999999999999</v>
      </c>
      <c r="O1179" s="136"/>
      <c r="P1179" s="136"/>
      <c r="Q1179" s="136"/>
      <c r="R1179" s="136"/>
      <c r="S1179" s="136"/>
      <c r="T1179" s="137"/>
      <c r="U1179" s="632"/>
      <c r="V1179" s="122"/>
      <c r="W1179" s="122"/>
      <c r="X1179" s="122"/>
      <c r="Y1179" s="122"/>
      <c r="Z1179" s="122">
        <v>22</v>
      </c>
      <c r="AA1179" s="122"/>
      <c r="AB1179" s="122"/>
      <c r="AC1179" s="122"/>
      <c r="AD1179" s="122"/>
      <c r="AE1179" s="122"/>
      <c r="AF1179" s="122"/>
      <c r="AG1179" s="122"/>
      <c r="AH1179" s="122"/>
      <c r="AI1179" s="122" t="s">
        <v>482</v>
      </c>
      <c r="AJ1179" s="122"/>
      <c r="AK1179" s="122"/>
      <c r="AL1179" s="122"/>
      <c r="AM1179" s="639">
        <f t="shared" si="22"/>
        <v>-18.070999999999998</v>
      </c>
      <c r="AO1179" s="289"/>
    </row>
    <row r="1180" spans="1:42" s="61" customFormat="1" ht="19.5" customHeight="1" x14ac:dyDescent="0.3">
      <c r="A1180" s="706"/>
      <c r="B1180" s="116" t="s">
        <v>294</v>
      </c>
      <c r="C1180" s="138"/>
      <c r="D1180" s="109"/>
      <c r="E1180" s="109"/>
      <c r="F1180" s="263"/>
      <c r="G1180" s="109"/>
      <c r="H1180" s="109"/>
      <c r="I1180" s="123"/>
      <c r="J1180" s="109"/>
      <c r="K1180" s="109"/>
      <c r="L1180" s="263"/>
      <c r="M1180" s="109"/>
      <c r="N1180" s="123">
        <v>28.568000000000001</v>
      </c>
      <c r="O1180" s="109"/>
      <c r="P1180" s="109"/>
      <c r="Q1180" s="109">
        <v>25</v>
      </c>
      <c r="R1180" s="109"/>
      <c r="S1180" s="109"/>
      <c r="T1180" s="139"/>
      <c r="U1180" s="138"/>
      <c r="V1180" s="109"/>
      <c r="W1180" s="109"/>
      <c r="X1180" s="109"/>
      <c r="Y1180" s="109"/>
      <c r="Z1180" s="109">
        <v>22</v>
      </c>
      <c r="AA1180" s="109"/>
      <c r="AB1180" s="109">
        <v>1</v>
      </c>
      <c r="AC1180" s="109"/>
      <c r="AD1180" s="109"/>
      <c r="AE1180" s="109"/>
      <c r="AF1180" s="109"/>
      <c r="AG1180" s="109"/>
      <c r="AH1180" s="109"/>
      <c r="AI1180" s="109" t="s">
        <v>482</v>
      </c>
      <c r="AJ1180" s="109"/>
      <c r="AK1180" s="109"/>
      <c r="AL1180" s="109"/>
      <c r="AM1180" s="640">
        <f t="shared" si="22"/>
        <v>76.567999999999998</v>
      </c>
      <c r="AO1180" s="289"/>
    </row>
    <row r="1181" spans="1:42" s="61" customFormat="1" ht="22.5" customHeight="1" x14ac:dyDescent="0.3">
      <c r="A1181" s="706"/>
      <c r="B1181" s="117" t="s">
        <v>326</v>
      </c>
      <c r="C1181" s="140"/>
      <c r="D1181" s="110"/>
      <c r="E1181" s="110"/>
      <c r="F1181" s="264"/>
      <c r="G1181" s="110"/>
      <c r="H1181" s="110">
        <v>47</v>
      </c>
      <c r="I1181" s="124"/>
      <c r="J1181" s="110"/>
      <c r="K1181" s="110"/>
      <c r="L1181" s="264"/>
      <c r="M1181" s="110"/>
      <c r="N1181" s="124"/>
      <c r="O1181" s="110"/>
      <c r="P1181" s="110"/>
      <c r="Q1181" s="110">
        <v>15</v>
      </c>
      <c r="R1181" s="110"/>
      <c r="S1181" s="110">
        <v>20992</v>
      </c>
      <c r="T1181" s="141"/>
      <c r="U1181" s="140"/>
      <c r="V1181" s="110"/>
      <c r="W1181" s="110">
        <v>53</v>
      </c>
      <c r="X1181" s="110"/>
      <c r="Y1181" s="110"/>
      <c r="Z1181" s="110">
        <v>40.521279999999997</v>
      </c>
      <c r="AA1181" s="110"/>
      <c r="AB1181" s="110"/>
      <c r="AC1181" s="110"/>
      <c r="AD1181" s="110"/>
      <c r="AE1181" s="110"/>
      <c r="AF1181" s="110"/>
      <c r="AG1181" s="110"/>
      <c r="AH1181" s="110"/>
      <c r="AI1181" s="110" t="s">
        <v>482</v>
      </c>
      <c r="AJ1181" s="110"/>
      <c r="AK1181" s="110"/>
      <c r="AL1181" s="110"/>
      <c r="AM1181" s="641">
        <f t="shared" si="22"/>
        <v>21147.521280000001</v>
      </c>
      <c r="AO1181" s="289"/>
      <c r="AP1181" s="97"/>
    </row>
    <row r="1182" spans="1:42" s="61" customFormat="1" ht="25.5" customHeight="1" x14ac:dyDescent="0.3">
      <c r="A1182" s="706"/>
      <c r="B1182" s="175" t="s">
        <v>327</v>
      </c>
      <c r="C1182" s="176">
        <v>15</v>
      </c>
      <c r="D1182" s="127"/>
      <c r="E1182" s="127"/>
      <c r="F1182" s="265"/>
      <c r="G1182" s="127"/>
      <c r="H1182" s="127">
        <v>60</v>
      </c>
      <c r="I1182" s="178"/>
      <c r="J1182" s="127"/>
      <c r="K1182" s="127"/>
      <c r="L1182" s="265"/>
      <c r="M1182" s="127"/>
      <c r="N1182" s="178">
        <v>42.743000000000002</v>
      </c>
      <c r="O1182" s="127"/>
      <c r="P1182" s="127"/>
      <c r="Q1182" s="127"/>
      <c r="R1182" s="127"/>
      <c r="S1182" s="127">
        <v>33737</v>
      </c>
      <c r="T1182" s="177"/>
      <c r="U1182" s="176"/>
      <c r="V1182" s="127"/>
      <c r="W1182" s="127">
        <f>11+89-53</f>
        <v>47</v>
      </c>
      <c r="X1182" s="127"/>
      <c r="Y1182" s="127"/>
      <c r="Z1182" s="127"/>
      <c r="AA1182" s="127"/>
      <c r="AB1182" s="127"/>
      <c r="AC1182" s="127"/>
      <c r="AD1182" s="127"/>
      <c r="AE1182" s="127"/>
      <c r="AF1182" s="127"/>
      <c r="AG1182" s="127"/>
      <c r="AH1182" s="127"/>
      <c r="AI1182" s="127" t="s">
        <v>482</v>
      </c>
      <c r="AJ1182" s="127"/>
      <c r="AK1182" s="127"/>
      <c r="AL1182" s="127"/>
      <c r="AM1182" s="642">
        <f t="shared" si="22"/>
        <v>33901.743000000002</v>
      </c>
      <c r="AO1182" s="289"/>
    </row>
    <row r="1183" spans="1:42" s="61" customFormat="1" ht="25.5" customHeight="1" x14ac:dyDescent="0.3">
      <c r="A1183" s="706"/>
      <c r="B1183" s="180" t="s">
        <v>361</v>
      </c>
      <c r="C1183" s="300"/>
      <c r="D1183" s="173"/>
      <c r="E1183" s="173"/>
      <c r="F1183" s="266">
        <v>17</v>
      </c>
      <c r="G1183" s="173"/>
      <c r="H1183" s="173"/>
      <c r="I1183" s="174"/>
      <c r="J1183" s="173"/>
      <c r="K1183" s="173"/>
      <c r="L1183" s="266"/>
      <c r="M1183" s="173"/>
      <c r="N1183" s="174">
        <v>30.216999999999999</v>
      </c>
      <c r="O1183" s="173"/>
      <c r="P1183" s="173"/>
      <c r="Q1183" s="173"/>
      <c r="R1183" s="173"/>
      <c r="S1183" s="173">
        <v>30018</v>
      </c>
      <c r="T1183" s="327"/>
      <c r="U1183" s="300">
        <v>3</v>
      </c>
      <c r="V1183" s="173"/>
      <c r="W1183" s="173">
        <v>255</v>
      </c>
      <c r="X1183" s="173"/>
      <c r="Y1183" s="173"/>
      <c r="Z1183" s="173">
        <v>9.3819700000000008</v>
      </c>
      <c r="AA1183" s="173"/>
      <c r="AB1183" s="173"/>
      <c r="AC1183" s="173"/>
      <c r="AD1183" s="173"/>
      <c r="AE1183" s="173"/>
      <c r="AF1183" s="173"/>
      <c r="AG1183" s="173"/>
      <c r="AH1183" s="173"/>
      <c r="AI1183" s="173" t="s">
        <v>482</v>
      </c>
      <c r="AJ1183" s="173"/>
      <c r="AK1183" s="173"/>
      <c r="AL1183" s="173"/>
      <c r="AM1183" s="643">
        <f t="shared" si="22"/>
        <v>30332.598969999999</v>
      </c>
      <c r="AO1183" s="289"/>
      <c r="AP1183" s="97"/>
    </row>
    <row r="1184" spans="1:42" s="61" customFormat="1" ht="25.5" customHeight="1" x14ac:dyDescent="0.3">
      <c r="A1184" s="706"/>
      <c r="B1184" s="180" t="s">
        <v>362</v>
      </c>
      <c r="C1184" s="300"/>
      <c r="D1184" s="173"/>
      <c r="E1184" s="173"/>
      <c r="F1184" s="266"/>
      <c r="G1184" s="173"/>
      <c r="H1184" s="173"/>
      <c r="I1184" s="174"/>
      <c r="J1184" s="173"/>
      <c r="K1184" s="173"/>
      <c r="L1184" s="266"/>
      <c r="M1184" s="173"/>
      <c r="N1184" s="174">
        <v>43.225999999999999</v>
      </c>
      <c r="O1184" s="173"/>
      <c r="P1184" s="173"/>
      <c r="Q1184" s="173">
        <v>155</v>
      </c>
      <c r="R1184" s="173"/>
      <c r="S1184" s="173">
        <v>22370</v>
      </c>
      <c r="T1184" s="327"/>
      <c r="U1184" s="300"/>
      <c r="V1184" s="173"/>
      <c r="W1184" s="173">
        <v>553</v>
      </c>
      <c r="X1184" s="173"/>
      <c r="Y1184" s="173"/>
      <c r="Z1184" s="173"/>
      <c r="AA1184" s="173"/>
      <c r="AB1184" s="173"/>
      <c r="AC1184" s="173"/>
      <c r="AD1184" s="173"/>
      <c r="AE1184" s="173"/>
      <c r="AF1184" s="173"/>
      <c r="AG1184" s="173"/>
      <c r="AH1184" s="173"/>
      <c r="AI1184" s="173" t="s">
        <v>482</v>
      </c>
      <c r="AJ1184" s="173"/>
      <c r="AK1184" s="173"/>
      <c r="AL1184" s="173"/>
      <c r="AM1184" s="644">
        <f t="shared" si="22"/>
        <v>23121.225999999999</v>
      </c>
      <c r="AO1184" s="289"/>
      <c r="AP1184" s="97"/>
    </row>
    <row r="1185" spans="1:42" s="61" customFormat="1" ht="22.5" customHeight="1" x14ac:dyDescent="0.3">
      <c r="A1185" s="706"/>
      <c r="B1185" s="115" t="s">
        <v>402</v>
      </c>
      <c r="C1185" s="142"/>
      <c r="D1185" s="111"/>
      <c r="E1185" s="111"/>
      <c r="F1185" s="267"/>
      <c r="G1185" s="111"/>
      <c r="H1185" s="111"/>
      <c r="I1185" s="125"/>
      <c r="J1185" s="111"/>
      <c r="K1185" s="111"/>
      <c r="L1185" s="267"/>
      <c r="M1185" s="111"/>
      <c r="N1185" s="125"/>
      <c r="O1185" s="111"/>
      <c r="P1185" s="111"/>
      <c r="Q1185" s="111">
        <v>17</v>
      </c>
      <c r="R1185" s="111"/>
      <c r="S1185" s="111">
        <v>14194.931840000001</v>
      </c>
      <c r="T1185" s="143"/>
      <c r="U1185" s="142">
        <v>3.4350000000000001</v>
      </c>
      <c r="V1185" s="111"/>
      <c r="W1185" s="111"/>
      <c r="X1185" s="111"/>
      <c r="Y1185" s="111"/>
      <c r="Z1185" s="111"/>
      <c r="AA1185" s="111"/>
      <c r="AB1185" s="111"/>
      <c r="AC1185" s="111"/>
      <c r="AD1185" s="111"/>
      <c r="AE1185" s="111"/>
      <c r="AF1185" s="111"/>
      <c r="AG1185" s="111"/>
      <c r="AH1185" s="111" t="s">
        <v>482</v>
      </c>
      <c r="AI1185" s="111" t="s">
        <v>482</v>
      </c>
      <c r="AJ1185" s="111"/>
      <c r="AK1185" s="111"/>
      <c r="AL1185" s="111"/>
      <c r="AM1185" s="645">
        <f t="shared" si="22"/>
        <v>14215.366840000001</v>
      </c>
      <c r="AO1185" s="289"/>
    </row>
    <row r="1186" spans="1:42" s="61" customFormat="1" ht="21" customHeight="1" x14ac:dyDescent="0.3">
      <c r="A1186" s="707"/>
      <c r="B1186" s="181" t="s">
        <v>403</v>
      </c>
      <c r="C1186" s="144">
        <v>5</v>
      </c>
      <c r="D1186" s="112"/>
      <c r="E1186" s="112"/>
      <c r="F1186" s="268">
        <v>951.3</v>
      </c>
      <c r="G1186" s="112"/>
      <c r="H1186" s="112">
        <v>3</v>
      </c>
      <c r="I1186" s="126"/>
      <c r="J1186" s="112"/>
      <c r="K1186" s="112"/>
      <c r="L1186" s="268"/>
      <c r="M1186" s="112"/>
      <c r="N1186" s="126"/>
      <c r="O1186" s="112"/>
      <c r="P1186" s="112"/>
      <c r="Q1186" s="112">
        <v>0</v>
      </c>
      <c r="R1186" s="112"/>
      <c r="S1186" s="112">
        <v>13446.06035</v>
      </c>
      <c r="T1186" s="145"/>
      <c r="U1186" s="144">
        <v>74.067999999999998</v>
      </c>
      <c r="V1186" s="112"/>
      <c r="W1186" s="112"/>
      <c r="X1186" s="112"/>
      <c r="Y1186" s="112"/>
      <c r="Z1186" s="112"/>
      <c r="AA1186" s="112"/>
      <c r="AB1186" s="112"/>
      <c r="AC1186" s="112"/>
      <c r="AD1186" s="112"/>
      <c r="AE1186" s="112"/>
      <c r="AF1186" s="112"/>
      <c r="AG1186" s="112"/>
      <c r="AH1186" s="112" t="s">
        <v>482</v>
      </c>
      <c r="AI1186" s="112" t="s">
        <v>482</v>
      </c>
      <c r="AJ1186" s="112"/>
      <c r="AK1186" s="112"/>
      <c r="AL1186" s="112"/>
      <c r="AM1186" s="646">
        <f t="shared" si="22"/>
        <v>14479.428349999998</v>
      </c>
      <c r="AO1186" s="289"/>
    </row>
    <row r="1187" spans="1:42" s="61" customFormat="1" ht="21" customHeight="1" x14ac:dyDescent="0.3">
      <c r="A1187" s="705" t="s">
        <v>234</v>
      </c>
      <c r="B1187" s="179" t="s">
        <v>293</v>
      </c>
      <c r="C1187" s="135">
        <v>31</v>
      </c>
      <c r="D1187" s="136"/>
      <c r="E1187" s="136"/>
      <c r="F1187" s="262"/>
      <c r="G1187" s="136"/>
      <c r="H1187" s="136">
        <v>3911</v>
      </c>
      <c r="I1187" s="326"/>
      <c r="J1187" s="136"/>
      <c r="K1187" s="136"/>
      <c r="L1187" s="262"/>
      <c r="M1187" s="136"/>
      <c r="N1187" s="326">
        <v>2372.8890000000001</v>
      </c>
      <c r="O1187" s="136"/>
      <c r="P1187" s="136"/>
      <c r="Q1187" s="136">
        <v>570</v>
      </c>
      <c r="R1187" s="136"/>
      <c r="S1187" s="136"/>
      <c r="T1187" s="137"/>
      <c r="U1187" s="632">
        <v>3.3679999999999999</v>
      </c>
      <c r="V1187" s="122"/>
      <c r="W1187" s="122"/>
      <c r="X1187" s="122"/>
      <c r="Y1187" s="122"/>
      <c r="Z1187" s="122">
        <v>312</v>
      </c>
      <c r="AA1187" s="122"/>
      <c r="AB1187" s="122"/>
      <c r="AC1187" s="122">
        <v>354.43200000000002</v>
      </c>
      <c r="AD1187" s="122"/>
      <c r="AE1187" s="122"/>
      <c r="AF1187" s="122"/>
      <c r="AG1187" s="122"/>
      <c r="AH1187" s="122">
        <v>7</v>
      </c>
      <c r="AI1187" s="122" t="s">
        <v>482</v>
      </c>
      <c r="AJ1187" s="122"/>
      <c r="AK1187" s="122"/>
      <c r="AL1187" s="122"/>
      <c r="AM1187" s="639">
        <f t="shared" si="22"/>
        <v>7561.6890000000003</v>
      </c>
      <c r="AO1187" s="289"/>
    </row>
    <row r="1188" spans="1:42" s="61" customFormat="1" ht="19.5" customHeight="1" x14ac:dyDescent="0.3">
      <c r="A1188" s="706"/>
      <c r="B1188" s="116" t="s">
        <v>294</v>
      </c>
      <c r="C1188" s="138"/>
      <c r="D1188" s="109"/>
      <c r="E1188" s="109"/>
      <c r="F1188" s="263"/>
      <c r="G1188" s="109">
        <v>5</v>
      </c>
      <c r="H1188" s="109">
        <v>5587</v>
      </c>
      <c r="I1188" s="123"/>
      <c r="J1188" s="109"/>
      <c r="K1188" s="109"/>
      <c r="L1188" s="263"/>
      <c r="M1188" s="109"/>
      <c r="N1188" s="123">
        <v>9260.93</v>
      </c>
      <c r="O1188" s="109"/>
      <c r="P1188" s="109"/>
      <c r="Q1188" s="109">
        <v>791</v>
      </c>
      <c r="R1188" s="109"/>
      <c r="S1188" s="109"/>
      <c r="T1188" s="139"/>
      <c r="U1188" s="138">
        <v>25.777999999999999</v>
      </c>
      <c r="V1188" s="109"/>
      <c r="W1188" s="109"/>
      <c r="X1188" s="109"/>
      <c r="Y1188" s="109"/>
      <c r="Z1188" s="109">
        <v>92</v>
      </c>
      <c r="AA1188" s="109"/>
      <c r="AB1188" s="109"/>
      <c r="AC1188" s="109">
        <v>1037.3430000000001</v>
      </c>
      <c r="AD1188" s="109"/>
      <c r="AE1188" s="109"/>
      <c r="AF1188" s="109"/>
      <c r="AG1188" s="109"/>
      <c r="AH1188" s="109">
        <v>300.36</v>
      </c>
      <c r="AI1188" s="109" t="s">
        <v>482</v>
      </c>
      <c r="AJ1188" s="109"/>
      <c r="AK1188" s="109"/>
      <c r="AL1188" s="109"/>
      <c r="AM1188" s="640">
        <f t="shared" si="22"/>
        <v>17099.411</v>
      </c>
      <c r="AO1188" s="289"/>
    </row>
    <row r="1189" spans="1:42" s="61" customFormat="1" ht="22.5" customHeight="1" x14ac:dyDescent="0.3">
      <c r="A1189" s="706"/>
      <c r="B1189" s="117" t="s">
        <v>326</v>
      </c>
      <c r="C1189" s="140">
        <v>2</v>
      </c>
      <c r="D1189" s="110"/>
      <c r="E1189" s="110"/>
      <c r="F1189" s="264"/>
      <c r="G1189" s="110"/>
      <c r="H1189" s="110">
        <v>4939</v>
      </c>
      <c r="I1189" s="124"/>
      <c r="J1189" s="110"/>
      <c r="K1189" s="110"/>
      <c r="L1189" s="264"/>
      <c r="M1189" s="110"/>
      <c r="N1189" s="124">
        <v>18293.005000000001</v>
      </c>
      <c r="O1189" s="110"/>
      <c r="P1189" s="110"/>
      <c r="Q1189" s="110">
        <v>738</v>
      </c>
      <c r="R1189" s="110"/>
      <c r="S1189" s="110">
        <v>122118</v>
      </c>
      <c r="T1189" s="141"/>
      <c r="U1189" s="140">
        <v>12.74</v>
      </c>
      <c r="V1189" s="110"/>
      <c r="W1189" s="110">
        <v>7970</v>
      </c>
      <c r="X1189" s="110"/>
      <c r="Y1189" s="110"/>
      <c r="Z1189" s="110">
        <v>490</v>
      </c>
      <c r="AA1189" s="110"/>
      <c r="AB1189" s="110"/>
      <c r="AC1189" s="110">
        <v>1066.1849999999999</v>
      </c>
      <c r="AD1189" s="110"/>
      <c r="AE1189" s="110"/>
      <c r="AF1189" s="110"/>
      <c r="AG1189" s="110"/>
      <c r="AH1189" s="110"/>
      <c r="AI1189" s="110" t="s">
        <v>482</v>
      </c>
      <c r="AJ1189" s="110"/>
      <c r="AK1189" s="110"/>
      <c r="AL1189" s="110"/>
      <c r="AM1189" s="641">
        <f t="shared" si="22"/>
        <v>155628.93</v>
      </c>
      <c r="AO1189" s="289"/>
      <c r="AP1189" s="97"/>
    </row>
    <row r="1190" spans="1:42" s="61" customFormat="1" ht="25.5" customHeight="1" x14ac:dyDescent="0.3">
      <c r="A1190" s="706"/>
      <c r="B1190" s="175" t="s">
        <v>327</v>
      </c>
      <c r="C1190" s="176">
        <v>30</v>
      </c>
      <c r="D1190" s="127"/>
      <c r="E1190" s="127"/>
      <c r="F1190" s="265">
        <v>65</v>
      </c>
      <c r="G1190" s="127"/>
      <c r="H1190" s="127">
        <v>5356</v>
      </c>
      <c r="I1190" s="178"/>
      <c r="J1190" s="127"/>
      <c r="K1190" s="127"/>
      <c r="L1190" s="265"/>
      <c r="M1190" s="127"/>
      <c r="N1190" s="178">
        <v>18669.171999999999</v>
      </c>
      <c r="O1190" s="127"/>
      <c r="P1190" s="127"/>
      <c r="Q1190" s="127">
        <v>581</v>
      </c>
      <c r="R1190" s="127"/>
      <c r="S1190" s="127">
        <v>155557</v>
      </c>
      <c r="T1190" s="177"/>
      <c r="U1190" s="176">
        <v>173.596</v>
      </c>
      <c r="V1190" s="127"/>
      <c r="W1190" s="127">
        <f>16347-7970</f>
        <v>8377</v>
      </c>
      <c r="X1190" s="127"/>
      <c r="Y1190" s="127"/>
      <c r="Z1190" s="127">
        <v>369</v>
      </c>
      <c r="AA1190" s="127"/>
      <c r="AB1190" s="127"/>
      <c r="AC1190" s="127">
        <v>1314.143</v>
      </c>
      <c r="AD1190" s="127"/>
      <c r="AE1190" s="127"/>
      <c r="AF1190" s="127"/>
      <c r="AG1190" s="127"/>
      <c r="AH1190" s="127"/>
      <c r="AI1190" s="127" t="s">
        <v>482</v>
      </c>
      <c r="AJ1190" s="127"/>
      <c r="AK1190" s="127"/>
      <c r="AL1190" s="127"/>
      <c r="AM1190" s="642">
        <f t="shared" si="22"/>
        <v>190491.91099999999</v>
      </c>
      <c r="AO1190" s="289"/>
    </row>
    <row r="1191" spans="1:42" s="61" customFormat="1" ht="25.5" customHeight="1" x14ac:dyDescent="0.3">
      <c r="A1191" s="706"/>
      <c r="B1191" s="180" t="s">
        <v>361</v>
      </c>
      <c r="C1191" s="300">
        <v>80</v>
      </c>
      <c r="D1191" s="173"/>
      <c r="E1191" s="173"/>
      <c r="F1191" s="266">
        <v>5</v>
      </c>
      <c r="G1191" s="173"/>
      <c r="H1191" s="173">
        <f>4782+5</f>
        <v>4787</v>
      </c>
      <c r="I1191" s="174"/>
      <c r="J1191" s="173"/>
      <c r="K1191" s="173"/>
      <c r="L1191" s="266"/>
      <c r="M1191" s="173"/>
      <c r="N1191" s="174">
        <v>23636.51</v>
      </c>
      <c r="O1191" s="173"/>
      <c r="P1191" s="173"/>
      <c r="Q1191" s="173">
        <v>698</v>
      </c>
      <c r="R1191" s="173"/>
      <c r="S1191" s="173">
        <v>171989</v>
      </c>
      <c r="T1191" s="327"/>
      <c r="U1191" s="300">
        <v>96.275999999999996</v>
      </c>
      <c r="V1191" s="173"/>
      <c r="W1191" s="173">
        <v>14351</v>
      </c>
      <c r="X1191" s="173"/>
      <c r="Y1191" s="173"/>
      <c r="Z1191" s="173">
        <v>383.75236000000001</v>
      </c>
      <c r="AA1191" s="173"/>
      <c r="AB1191" s="173"/>
      <c r="AC1191" s="173">
        <v>260</v>
      </c>
      <c r="AD1191" s="173"/>
      <c r="AE1191" s="173"/>
      <c r="AF1191" s="173"/>
      <c r="AG1191" s="173"/>
      <c r="AH1191" s="173"/>
      <c r="AI1191" s="173" t="s">
        <v>482</v>
      </c>
      <c r="AJ1191" s="173"/>
      <c r="AK1191" s="173"/>
      <c r="AL1191" s="173"/>
      <c r="AM1191" s="643">
        <f t="shared" si="22"/>
        <v>216286.53836000004</v>
      </c>
      <c r="AO1191" s="289"/>
      <c r="AP1191" s="97"/>
    </row>
    <row r="1192" spans="1:42" s="61" customFormat="1" ht="25.5" customHeight="1" x14ac:dyDescent="0.3">
      <c r="A1192" s="706"/>
      <c r="B1192" s="180" t="s">
        <v>362</v>
      </c>
      <c r="C1192" s="300">
        <v>60</v>
      </c>
      <c r="D1192" s="173"/>
      <c r="E1192" s="173"/>
      <c r="F1192" s="266">
        <v>661</v>
      </c>
      <c r="G1192" s="173"/>
      <c r="H1192" s="173">
        <f>2357+5</f>
        <v>2362</v>
      </c>
      <c r="I1192" s="174"/>
      <c r="J1192" s="173"/>
      <c r="K1192" s="173"/>
      <c r="L1192" s="266"/>
      <c r="M1192" s="173"/>
      <c r="N1192" s="174">
        <v>20234.749</v>
      </c>
      <c r="O1192" s="173"/>
      <c r="P1192" s="173"/>
      <c r="Q1192" s="173">
        <v>678</v>
      </c>
      <c r="R1192" s="173"/>
      <c r="S1192" s="173">
        <v>216619</v>
      </c>
      <c r="T1192" s="327"/>
      <c r="U1192" s="300">
        <v>2.75</v>
      </c>
      <c r="V1192" s="173"/>
      <c r="W1192" s="173">
        <v>8146</v>
      </c>
      <c r="X1192" s="173"/>
      <c r="Y1192" s="173"/>
      <c r="Z1192" s="173">
        <v>505.03933000000001</v>
      </c>
      <c r="AA1192" s="173"/>
      <c r="AB1192" s="173"/>
      <c r="AC1192" s="173">
        <f>2129-260</f>
        <v>1869</v>
      </c>
      <c r="AD1192" s="173"/>
      <c r="AE1192" s="173"/>
      <c r="AF1192" s="173"/>
      <c r="AG1192" s="173"/>
      <c r="AH1192" s="173">
        <v>17930</v>
      </c>
      <c r="AI1192" s="173" t="s">
        <v>482</v>
      </c>
      <c r="AJ1192" s="173"/>
      <c r="AK1192" s="173"/>
      <c r="AL1192" s="173"/>
      <c r="AM1192" s="644">
        <f t="shared" si="22"/>
        <v>269067.53833000001</v>
      </c>
      <c r="AO1192" s="289"/>
      <c r="AP1192" s="97"/>
    </row>
    <row r="1193" spans="1:42" s="61" customFormat="1" ht="22.5" customHeight="1" x14ac:dyDescent="0.3">
      <c r="A1193" s="706"/>
      <c r="B1193" s="115" t="s">
        <v>402</v>
      </c>
      <c r="C1193" s="142">
        <v>141</v>
      </c>
      <c r="D1193" s="111"/>
      <c r="E1193" s="111"/>
      <c r="F1193" s="267"/>
      <c r="G1193" s="111"/>
      <c r="H1193" s="111">
        <v>5482</v>
      </c>
      <c r="I1193" s="125"/>
      <c r="J1193" s="111"/>
      <c r="K1193" s="111"/>
      <c r="L1193" s="267"/>
      <c r="M1193" s="111"/>
      <c r="N1193" s="125"/>
      <c r="O1193" s="111"/>
      <c r="P1193" s="111"/>
      <c r="Q1193" s="111">
        <v>785</v>
      </c>
      <c r="R1193" s="111"/>
      <c r="S1193" s="111">
        <v>57705.154790999994</v>
      </c>
      <c r="T1193" s="143"/>
      <c r="U1193" s="142">
        <v>18.858000000000001</v>
      </c>
      <c r="V1193" s="111"/>
      <c r="W1193" s="111">
        <v>4419</v>
      </c>
      <c r="X1193" s="111"/>
      <c r="Y1193" s="111"/>
      <c r="Z1193" s="111">
        <v>459</v>
      </c>
      <c r="AA1193" s="111"/>
      <c r="AB1193" s="111"/>
      <c r="AC1193" s="111">
        <v>3738</v>
      </c>
      <c r="AD1193" s="111"/>
      <c r="AE1193" s="111"/>
      <c r="AF1193" s="111"/>
      <c r="AG1193" s="111"/>
      <c r="AH1193" s="111">
        <v>66507.391000000003</v>
      </c>
      <c r="AI1193" s="111">
        <v>25</v>
      </c>
      <c r="AJ1193" s="111"/>
      <c r="AK1193" s="111"/>
      <c r="AL1193" s="111"/>
      <c r="AM1193" s="645">
        <f t="shared" si="22"/>
        <v>139280.40379099999</v>
      </c>
      <c r="AO1193" s="289"/>
    </row>
    <row r="1194" spans="1:42" s="61" customFormat="1" ht="21" customHeight="1" x14ac:dyDescent="0.3">
      <c r="A1194" s="707"/>
      <c r="B1194" s="181" t="s">
        <v>403</v>
      </c>
      <c r="C1194" s="144">
        <v>207.95</v>
      </c>
      <c r="D1194" s="112"/>
      <c r="E1194" s="112"/>
      <c r="F1194" s="268">
        <v>32.4</v>
      </c>
      <c r="G1194" s="112"/>
      <c r="H1194" s="112">
        <v>24910.182070000003</v>
      </c>
      <c r="I1194" s="126"/>
      <c r="J1194" s="112"/>
      <c r="K1194" s="112"/>
      <c r="L1194" s="268"/>
      <c r="M1194" s="112"/>
      <c r="N1194" s="126"/>
      <c r="O1194" s="112"/>
      <c r="P1194" s="112"/>
      <c r="Q1194" s="112">
        <v>623</v>
      </c>
      <c r="R1194" s="112"/>
      <c r="S1194" s="112">
        <v>42598.135717999998</v>
      </c>
      <c r="T1194" s="145"/>
      <c r="U1194" s="144">
        <v>176.512</v>
      </c>
      <c r="V1194" s="112"/>
      <c r="W1194" s="112"/>
      <c r="X1194" s="112"/>
      <c r="Y1194" s="112"/>
      <c r="Z1194" s="112">
        <v>807</v>
      </c>
      <c r="AA1194" s="112"/>
      <c r="AB1194" s="112"/>
      <c r="AC1194" s="112">
        <v>-29</v>
      </c>
      <c r="AD1194" s="112"/>
      <c r="AE1194" s="112"/>
      <c r="AF1194" s="112"/>
      <c r="AG1194" s="112"/>
      <c r="AH1194" s="112" t="s">
        <v>482</v>
      </c>
      <c r="AI1194" s="112">
        <v>25</v>
      </c>
      <c r="AJ1194" s="112"/>
      <c r="AK1194" s="112"/>
      <c r="AL1194" s="112"/>
      <c r="AM1194" s="646">
        <f t="shared" si="22"/>
        <v>69351.179787999994</v>
      </c>
      <c r="AO1194" s="289"/>
    </row>
    <row r="1195" spans="1:42" s="61" customFormat="1" ht="21" customHeight="1" x14ac:dyDescent="0.3">
      <c r="A1195" s="705" t="s">
        <v>235</v>
      </c>
      <c r="B1195" s="179" t="s">
        <v>293</v>
      </c>
      <c r="C1195" s="135">
        <v>83.3</v>
      </c>
      <c r="D1195" s="136"/>
      <c r="E1195" s="136"/>
      <c r="F1195" s="262">
        <v>373.69200000000001</v>
      </c>
      <c r="G1195" s="136">
        <v>2</v>
      </c>
      <c r="H1195" s="136">
        <v>575</v>
      </c>
      <c r="I1195" s="326"/>
      <c r="J1195" s="136"/>
      <c r="K1195" s="136"/>
      <c r="L1195" s="262"/>
      <c r="M1195" s="136">
        <v>8.0239999999999991</v>
      </c>
      <c r="N1195" s="326"/>
      <c r="O1195" s="136"/>
      <c r="P1195" s="136"/>
      <c r="Q1195" s="136"/>
      <c r="R1195" s="136"/>
      <c r="S1195" s="136"/>
      <c r="T1195" s="137">
        <v>9.2159999999999993</v>
      </c>
      <c r="U1195" s="632">
        <v>1.4550000000000001</v>
      </c>
      <c r="V1195" s="122"/>
      <c r="W1195" s="122"/>
      <c r="X1195" s="122"/>
      <c r="Y1195" s="122">
        <v>1</v>
      </c>
      <c r="Z1195" s="122">
        <v>774</v>
      </c>
      <c r="AA1195" s="122"/>
      <c r="AB1195" s="122"/>
      <c r="AC1195" s="122"/>
      <c r="AD1195" s="122"/>
      <c r="AE1195" s="122"/>
      <c r="AF1195" s="122"/>
      <c r="AG1195" s="122"/>
      <c r="AH1195" s="122"/>
      <c r="AI1195" s="122" t="s">
        <v>482</v>
      </c>
      <c r="AJ1195" s="122"/>
      <c r="AK1195" s="122"/>
      <c r="AL1195" s="122"/>
      <c r="AM1195" s="639">
        <f t="shared" si="22"/>
        <v>1827.6869999999997</v>
      </c>
      <c r="AO1195" s="289"/>
    </row>
    <row r="1196" spans="1:42" s="61" customFormat="1" ht="19.5" customHeight="1" x14ac:dyDescent="0.3">
      <c r="A1196" s="706"/>
      <c r="B1196" s="116" t="s">
        <v>294</v>
      </c>
      <c r="C1196" s="138">
        <v>63.59</v>
      </c>
      <c r="D1196" s="109"/>
      <c r="E1196" s="109"/>
      <c r="F1196" s="263"/>
      <c r="G1196" s="109">
        <v>13</v>
      </c>
      <c r="H1196" s="109">
        <v>433</v>
      </c>
      <c r="I1196" s="123"/>
      <c r="J1196" s="109"/>
      <c r="K1196" s="109"/>
      <c r="L1196" s="263">
        <v>20.026</v>
      </c>
      <c r="M1196" s="109">
        <v>136.46600000000001</v>
      </c>
      <c r="N1196" s="123"/>
      <c r="O1196" s="109"/>
      <c r="P1196" s="109"/>
      <c r="Q1196" s="109"/>
      <c r="R1196" s="109"/>
      <c r="S1196" s="109">
        <v>35.323999999999998</v>
      </c>
      <c r="T1196" s="139"/>
      <c r="U1196" s="138">
        <v>10.066000000000001</v>
      </c>
      <c r="V1196" s="109"/>
      <c r="W1196" s="109"/>
      <c r="X1196" s="109">
        <v>2</v>
      </c>
      <c r="Y1196" s="109">
        <v>2</v>
      </c>
      <c r="Z1196" s="109">
        <v>652</v>
      </c>
      <c r="AA1196" s="109"/>
      <c r="AB1196" s="109"/>
      <c r="AC1196" s="109"/>
      <c r="AD1196" s="109"/>
      <c r="AE1196" s="109"/>
      <c r="AF1196" s="109"/>
      <c r="AG1196" s="109"/>
      <c r="AH1196" s="109"/>
      <c r="AI1196" s="109" t="s">
        <v>482</v>
      </c>
      <c r="AJ1196" s="109"/>
      <c r="AK1196" s="109"/>
      <c r="AL1196" s="109"/>
      <c r="AM1196" s="640">
        <f t="shared" si="22"/>
        <v>1367.472</v>
      </c>
      <c r="AO1196" s="289"/>
    </row>
    <row r="1197" spans="1:42" s="61" customFormat="1" ht="22.5" customHeight="1" x14ac:dyDescent="0.3">
      <c r="A1197" s="706"/>
      <c r="B1197" s="117" t="s">
        <v>326</v>
      </c>
      <c r="C1197" s="140">
        <v>157.80199999999999</v>
      </c>
      <c r="D1197" s="110"/>
      <c r="E1197" s="110"/>
      <c r="F1197" s="264">
        <v>294</v>
      </c>
      <c r="G1197" s="110"/>
      <c r="H1197" s="110">
        <v>70</v>
      </c>
      <c r="I1197" s="124"/>
      <c r="J1197" s="110"/>
      <c r="K1197" s="110"/>
      <c r="L1197" s="264"/>
      <c r="M1197" s="110"/>
      <c r="N1197" s="124"/>
      <c r="O1197" s="110"/>
      <c r="P1197" s="110"/>
      <c r="Q1197" s="110"/>
      <c r="R1197" s="110"/>
      <c r="S1197" s="110">
        <v>-10</v>
      </c>
      <c r="T1197" s="141"/>
      <c r="U1197" s="140">
        <v>2.9279999999999999</v>
      </c>
      <c r="V1197" s="110"/>
      <c r="W1197" s="110"/>
      <c r="X1197" s="110">
        <v>0</v>
      </c>
      <c r="Y1197" s="110"/>
      <c r="Z1197" s="110">
        <v>784</v>
      </c>
      <c r="AA1197" s="110"/>
      <c r="AB1197" s="110">
        <v>2</v>
      </c>
      <c r="AC1197" s="110"/>
      <c r="AD1197" s="110"/>
      <c r="AE1197" s="110"/>
      <c r="AF1197" s="110"/>
      <c r="AG1197" s="110"/>
      <c r="AH1197" s="110"/>
      <c r="AI1197" s="110" t="s">
        <v>482</v>
      </c>
      <c r="AJ1197" s="110"/>
      <c r="AK1197" s="110">
        <v>7</v>
      </c>
      <c r="AL1197" s="110"/>
      <c r="AM1197" s="641">
        <f t="shared" si="22"/>
        <v>1307.73</v>
      </c>
      <c r="AO1197" s="289"/>
      <c r="AP1197" s="97"/>
    </row>
    <row r="1198" spans="1:42" s="61" customFormat="1" ht="25.5" customHeight="1" x14ac:dyDescent="0.3">
      <c r="A1198" s="706"/>
      <c r="B1198" s="175" t="s">
        <v>327</v>
      </c>
      <c r="C1198" s="176">
        <v>153.828</v>
      </c>
      <c r="D1198" s="127"/>
      <c r="E1198" s="127"/>
      <c r="F1198" s="265">
        <v>12</v>
      </c>
      <c r="G1198" s="127">
        <v>117</v>
      </c>
      <c r="H1198" s="127">
        <v>700</v>
      </c>
      <c r="I1198" s="178"/>
      <c r="J1198" s="127"/>
      <c r="K1198" s="127"/>
      <c r="L1198" s="265"/>
      <c r="M1198" s="127">
        <f>87093/1000</f>
        <v>87.093000000000004</v>
      </c>
      <c r="N1198" s="178"/>
      <c r="O1198" s="127"/>
      <c r="P1198" s="127"/>
      <c r="Q1198" s="127"/>
      <c r="R1198" s="127"/>
      <c r="S1198" s="127">
        <v>1201</v>
      </c>
      <c r="T1198" s="177"/>
      <c r="U1198" s="176">
        <v>3.91</v>
      </c>
      <c r="V1198" s="127"/>
      <c r="W1198" s="127"/>
      <c r="X1198" s="127">
        <v>3</v>
      </c>
      <c r="Y1198" s="127">
        <v>1</v>
      </c>
      <c r="Z1198" s="127">
        <v>1034</v>
      </c>
      <c r="AA1198" s="127"/>
      <c r="AB1198" s="127">
        <v>1</v>
      </c>
      <c r="AC1198" s="127"/>
      <c r="AD1198" s="127"/>
      <c r="AE1198" s="127"/>
      <c r="AF1198" s="127"/>
      <c r="AG1198" s="127"/>
      <c r="AH1198" s="127"/>
      <c r="AI1198" s="127" t="s">
        <v>482</v>
      </c>
      <c r="AJ1198" s="127"/>
      <c r="AK1198" s="127"/>
      <c r="AL1198" s="127"/>
      <c r="AM1198" s="642">
        <f t="shared" si="22"/>
        <v>3313.8310000000001</v>
      </c>
      <c r="AO1198" s="289"/>
    </row>
    <row r="1199" spans="1:42" s="61" customFormat="1" ht="25.5" customHeight="1" x14ac:dyDescent="0.3">
      <c r="A1199" s="706"/>
      <c r="B1199" s="180" t="s">
        <v>361</v>
      </c>
      <c r="C1199" s="300">
        <v>307.88832000000002</v>
      </c>
      <c r="D1199" s="173"/>
      <c r="E1199" s="173"/>
      <c r="F1199" s="266"/>
      <c r="G1199" s="173">
        <v>9</v>
      </c>
      <c r="H1199" s="173">
        <v>1008</v>
      </c>
      <c r="I1199" s="174"/>
      <c r="J1199" s="173"/>
      <c r="K1199" s="173"/>
      <c r="L1199" s="266"/>
      <c r="M1199" s="173"/>
      <c r="N1199" s="174"/>
      <c r="O1199" s="173"/>
      <c r="P1199" s="173"/>
      <c r="Q1199" s="173"/>
      <c r="R1199" s="173"/>
      <c r="S1199" s="173">
        <v>459</v>
      </c>
      <c r="T1199" s="327"/>
      <c r="U1199" s="300">
        <v>4.9459999999999997</v>
      </c>
      <c r="V1199" s="173"/>
      <c r="W1199" s="173"/>
      <c r="X1199" s="173">
        <v>2</v>
      </c>
      <c r="Y1199" s="173">
        <v>4</v>
      </c>
      <c r="Z1199" s="173">
        <v>1055.5553400000001</v>
      </c>
      <c r="AA1199" s="173"/>
      <c r="AB1199" s="173">
        <v>2</v>
      </c>
      <c r="AC1199" s="173"/>
      <c r="AD1199" s="173"/>
      <c r="AE1199" s="173"/>
      <c r="AF1199" s="173"/>
      <c r="AG1199" s="173"/>
      <c r="AH1199" s="173"/>
      <c r="AI1199" s="173" t="s">
        <v>482</v>
      </c>
      <c r="AJ1199" s="173"/>
      <c r="AK1199" s="173">
        <v>8</v>
      </c>
      <c r="AL1199" s="173"/>
      <c r="AM1199" s="643">
        <f t="shared" si="22"/>
        <v>2860.3896599999998</v>
      </c>
      <c r="AO1199" s="289"/>
      <c r="AP1199" s="97"/>
    </row>
    <row r="1200" spans="1:42" s="61" customFormat="1" ht="25.5" customHeight="1" x14ac:dyDescent="0.3">
      <c r="A1200" s="706"/>
      <c r="B1200" s="180" t="s">
        <v>362</v>
      </c>
      <c r="C1200" s="300">
        <v>219.81079</v>
      </c>
      <c r="D1200" s="173"/>
      <c r="E1200" s="173"/>
      <c r="F1200" s="266">
        <v>99</v>
      </c>
      <c r="G1200" s="173">
        <f>5+202</f>
        <v>207</v>
      </c>
      <c r="H1200" s="173">
        <v>398</v>
      </c>
      <c r="I1200" s="174"/>
      <c r="J1200" s="173"/>
      <c r="K1200" s="173"/>
      <c r="L1200" s="266"/>
      <c r="M1200" s="173"/>
      <c r="N1200" s="174"/>
      <c r="O1200" s="173"/>
      <c r="P1200" s="173"/>
      <c r="Q1200" s="173"/>
      <c r="R1200" s="173"/>
      <c r="S1200" s="173">
        <v>272</v>
      </c>
      <c r="T1200" s="327"/>
      <c r="U1200" s="300">
        <v>1.325</v>
      </c>
      <c r="V1200" s="173"/>
      <c r="W1200" s="173"/>
      <c r="X1200" s="173">
        <v>2</v>
      </c>
      <c r="Y1200" s="173">
        <v>13</v>
      </c>
      <c r="Z1200" s="173">
        <v>1093.8510000000001</v>
      </c>
      <c r="AA1200" s="173"/>
      <c r="AB1200" s="173">
        <v>12</v>
      </c>
      <c r="AC1200" s="173"/>
      <c r="AD1200" s="173"/>
      <c r="AE1200" s="173"/>
      <c r="AF1200" s="173"/>
      <c r="AG1200" s="173"/>
      <c r="AH1200" s="173"/>
      <c r="AI1200" s="173" t="s">
        <v>482</v>
      </c>
      <c r="AJ1200" s="173"/>
      <c r="AK1200" s="173">
        <v>8</v>
      </c>
      <c r="AL1200" s="173"/>
      <c r="AM1200" s="644">
        <f t="shared" si="22"/>
        <v>2325.9867899999999</v>
      </c>
      <c r="AO1200" s="289"/>
      <c r="AP1200" s="97"/>
    </row>
    <row r="1201" spans="1:42" s="61" customFormat="1" ht="22.5" customHeight="1" x14ac:dyDescent="0.3">
      <c r="A1201" s="706"/>
      <c r="B1201" s="115" t="s">
        <v>402</v>
      </c>
      <c r="C1201" s="142">
        <v>434.52836000000002</v>
      </c>
      <c r="D1201" s="111"/>
      <c r="E1201" s="111"/>
      <c r="F1201" s="267">
        <v>-103.4</v>
      </c>
      <c r="G1201" s="111">
        <v>125</v>
      </c>
      <c r="H1201" s="111">
        <v>2987</v>
      </c>
      <c r="I1201" s="125"/>
      <c r="J1201" s="111"/>
      <c r="K1201" s="111"/>
      <c r="L1201" s="267">
        <v>0</v>
      </c>
      <c r="M1201" s="111"/>
      <c r="N1201" s="125"/>
      <c r="O1201" s="111"/>
      <c r="P1201" s="111"/>
      <c r="Q1201" s="111"/>
      <c r="R1201" s="111"/>
      <c r="S1201" s="111">
        <v>6.3727219999999996</v>
      </c>
      <c r="T1201" s="143"/>
      <c r="U1201" s="142">
        <v>8.6560000000000006</v>
      </c>
      <c r="V1201" s="111"/>
      <c r="W1201" s="111"/>
      <c r="X1201" s="111">
        <v>35</v>
      </c>
      <c r="Y1201" s="111">
        <v>0.59099999999999997</v>
      </c>
      <c r="Z1201" s="111">
        <v>1377</v>
      </c>
      <c r="AA1201" s="111"/>
      <c r="AB1201" s="111">
        <v>0.55000000000000004</v>
      </c>
      <c r="AC1201" s="111"/>
      <c r="AD1201" s="111"/>
      <c r="AE1201" s="111"/>
      <c r="AF1201" s="111"/>
      <c r="AG1201" s="111"/>
      <c r="AH1201" s="111" t="s">
        <v>482</v>
      </c>
      <c r="AI1201" s="111">
        <v>75</v>
      </c>
      <c r="AJ1201" s="111"/>
      <c r="AK1201" s="111"/>
      <c r="AL1201" s="111"/>
      <c r="AM1201" s="645">
        <f t="shared" si="22"/>
        <v>4946.2980820000002</v>
      </c>
      <c r="AO1201" s="289"/>
    </row>
    <row r="1202" spans="1:42" s="61" customFormat="1" ht="21" customHeight="1" x14ac:dyDescent="0.3">
      <c r="A1202" s="707"/>
      <c r="B1202" s="181" t="s">
        <v>403</v>
      </c>
      <c r="C1202" s="144">
        <v>519.62699999999995</v>
      </c>
      <c r="D1202" s="112"/>
      <c r="E1202" s="112"/>
      <c r="F1202" s="268"/>
      <c r="G1202" s="112">
        <v>2</v>
      </c>
      <c r="H1202" s="112">
        <v>2193</v>
      </c>
      <c r="I1202" s="126"/>
      <c r="J1202" s="112"/>
      <c r="K1202" s="112"/>
      <c r="L1202" s="268"/>
      <c r="M1202" s="112"/>
      <c r="N1202" s="126"/>
      <c r="O1202" s="112"/>
      <c r="P1202" s="112"/>
      <c r="Q1202" s="112"/>
      <c r="R1202" s="112"/>
      <c r="S1202" s="112">
        <v>1.176059</v>
      </c>
      <c r="T1202" s="145"/>
      <c r="U1202" s="144">
        <v>4.9850000000000003</v>
      </c>
      <c r="V1202" s="112"/>
      <c r="W1202" s="112"/>
      <c r="X1202" s="112"/>
      <c r="Y1202" s="112">
        <v>2</v>
      </c>
      <c r="Z1202" s="112">
        <v>2228</v>
      </c>
      <c r="AA1202" s="112"/>
      <c r="AB1202" s="112">
        <v>0.98</v>
      </c>
      <c r="AC1202" s="112"/>
      <c r="AD1202" s="112"/>
      <c r="AE1202" s="112"/>
      <c r="AF1202" s="112"/>
      <c r="AG1202" s="112"/>
      <c r="AH1202" s="112">
        <v>102.098</v>
      </c>
      <c r="AI1202" s="112">
        <v>75</v>
      </c>
      <c r="AJ1202" s="112"/>
      <c r="AK1202" s="112">
        <f>13.504/1.001</f>
        <v>13.490509490509492</v>
      </c>
      <c r="AL1202" s="112"/>
      <c r="AM1202" s="646">
        <f t="shared" si="22"/>
        <v>5142.3565684905097</v>
      </c>
      <c r="AO1202" s="289"/>
    </row>
    <row r="1203" spans="1:42" s="61" customFormat="1" ht="21" customHeight="1" x14ac:dyDescent="0.3">
      <c r="A1203" s="705" t="s">
        <v>236</v>
      </c>
      <c r="B1203" s="179" t="s">
        <v>293</v>
      </c>
      <c r="C1203" s="135">
        <v>109.5</v>
      </c>
      <c r="D1203" s="136"/>
      <c r="E1203" s="136"/>
      <c r="F1203" s="262"/>
      <c r="G1203" s="136">
        <v>467</v>
      </c>
      <c r="H1203" s="136"/>
      <c r="I1203" s="326"/>
      <c r="J1203" s="136">
        <v>12</v>
      </c>
      <c r="K1203" s="136"/>
      <c r="L1203" s="262">
        <v>1975.1590000000001</v>
      </c>
      <c r="M1203" s="136"/>
      <c r="N1203" s="326">
        <v>20</v>
      </c>
      <c r="O1203" s="136"/>
      <c r="P1203" s="136"/>
      <c r="Q1203" s="136"/>
      <c r="R1203" s="136"/>
      <c r="S1203" s="136"/>
      <c r="T1203" s="137"/>
      <c r="U1203" s="632">
        <v>11.459</v>
      </c>
      <c r="V1203" s="122"/>
      <c r="W1203" s="122"/>
      <c r="X1203" s="122">
        <v>10</v>
      </c>
      <c r="Y1203" s="122"/>
      <c r="Z1203" s="122">
        <v>-138</v>
      </c>
      <c r="AA1203" s="122">
        <v>425.774</v>
      </c>
      <c r="AB1203" s="122"/>
      <c r="AC1203" s="122"/>
      <c r="AD1203" s="122">
        <v>20</v>
      </c>
      <c r="AE1203" s="122"/>
      <c r="AF1203" s="122"/>
      <c r="AG1203" s="122">
        <v>3.95</v>
      </c>
      <c r="AH1203" s="122">
        <v>230</v>
      </c>
      <c r="AI1203" s="122" t="s">
        <v>482</v>
      </c>
      <c r="AJ1203" s="122"/>
      <c r="AK1203" s="122"/>
      <c r="AL1203" s="122">
        <v>13.422818791946309</v>
      </c>
      <c r="AM1203" s="639">
        <f t="shared" si="22"/>
        <v>3160.2648187919458</v>
      </c>
      <c r="AO1203" s="289"/>
    </row>
    <row r="1204" spans="1:42" s="61" customFormat="1" ht="19.5" customHeight="1" x14ac:dyDescent="0.3">
      <c r="A1204" s="706"/>
      <c r="B1204" s="116" t="s">
        <v>294</v>
      </c>
      <c r="C1204" s="138">
        <v>73.89</v>
      </c>
      <c r="D1204" s="109"/>
      <c r="E1204" s="109"/>
      <c r="F1204" s="263"/>
      <c r="G1204" s="109">
        <v>547</v>
      </c>
      <c r="H1204" s="109"/>
      <c r="I1204" s="123"/>
      <c r="J1204" s="109"/>
      <c r="K1204" s="109"/>
      <c r="L1204" s="263">
        <v>974.88699999999994</v>
      </c>
      <c r="M1204" s="109"/>
      <c r="N1204" s="123">
        <v>183.55</v>
      </c>
      <c r="O1204" s="109"/>
      <c r="P1204" s="109"/>
      <c r="Q1204" s="109"/>
      <c r="R1204" s="109"/>
      <c r="S1204" s="109"/>
      <c r="T1204" s="139">
        <v>100</v>
      </c>
      <c r="U1204" s="138">
        <v>13.529</v>
      </c>
      <c r="V1204" s="109"/>
      <c r="W1204" s="109"/>
      <c r="X1204" s="109">
        <v>13</v>
      </c>
      <c r="Y1204" s="109">
        <v>50</v>
      </c>
      <c r="Z1204" s="109">
        <v>-105</v>
      </c>
      <c r="AA1204" s="109">
        <v>402.22109999999998</v>
      </c>
      <c r="AB1204" s="109"/>
      <c r="AC1204" s="109"/>
      <c r="AD1204" s="109">
        <v>20</v>
      </c>
      <c r="AE1204" s="109"/>
      <c r="AF1204" s="109"/>
      <c r="AG1204" s="109">
        <v>11.355</v>
      </c>
      <c r="AH1204" s="109">
        <v>214.93</v>
      </c>
      <c r="AI1204" s="109">
        <v>40</v>
      </c>
      <c r="AJ1204" s="109"/>
      <c r="AK1204" s="109"/>
      <c r="AL1204" s="109"/>
      <c r="AM1204" s="640">
        <f t="shared" si="22"/>
        <v>2539.3620999999998</v>
      </c>
      <c r="AO1204" s="289"/>
    </row>
    <row r="1205" spans="1:42" s="61" customFormat="1" ht="22.5" customHeight="1" x14ac:dyDescent="0.3">
      <c r="A1205" s="706"/>
      <c r="B1205" s="117" t="s">
        <v>326</v>
      </c>
      <c r="C1205" s="140">
        <v>226.578</v>
      </c>
      <c r="D1205" s="110"/>
      <c r="E1205" s="110"/>
      <c r="F1205" s="264"/>
      <c r="G1205" s="110">
        <v>268</v>
      </c>
      <c r="H1205" s="110"/>
      <c r="I1205" s="124"/>
      <c r="J1205" s="110"/>
      <c r="K1205" s="110"/>
      <c r="L1205" s="264"/>
      <c r="M1205" s="110"/>
      <c r="N1205" s="124">
        <v>28.236000000000001</v>
      </c>
      <c r="O1205" s="110"/>
      <c r="P1205" s="110"/>
      <c r="Q1205" s="110"/>
      <c r="R1205" s="110"/>
      <c r="S1205" s="110">
        <v>628</v>
      </c>
      <c r="T1205" s="141"/>
      <c r="U1205" s="140">
        <v>14.151999999999999</v>
      </c>
      <c r="V1205" s="110"/>
      <c r="W1205" s="110"/>
      <c r="X1205" s="110">
        <v>10</v>
      </c>
      <c r="Y1205" s="110">
        <v>44</v>
      </c>
      <c r="Z1205" s="110">
        <v>236</v>
      </c>
      <c r="AA1205" s="110">
        <v>562.72500000000002</v>
      </c>
      <c r="AB1205" s="110"/>
      <c r="AC1205" s="110"/>
      <c r="AD1205" s="110">
        <v>20</v>
      </c>
      <c r="AE1205" s="110"/>
      <c r="AF1205" s="110"/>
      <c r="AG1205" s="110">
        <f>4/1.3</f>
        <v>3.0769230769230766</v>
      </c>
      <c r="AH1205" s="110">
        <v>355.86099999999999</v>
      </c>
      <c r="AI1205" s="110">
        <v>20</v>
      </c>
      <c r="AJ1205" s="110"/>
      <c r="AK1205" s="110"/>
      <c r="AL1205" s="110"/>
      <c r="AM1205" s="641">
        <f t="shared" si="22"/>
        <v>2416.628923076923</v>
      </c>
      <c r="AO1205" s="289"/>
      <c r="AP1205" s="97"/>
    </row>
    <row r="1206" spans="1:42" s="61" customFormat="1" ht="25.5" customHeight="1" x14ac:dyDescent="0.3">
      <c r="A1206" s="706"/>
      <c r="B1206" s="175" t="s">
        <v>327</v>
      </c>
      <c r="C1206" s="176">
        <v>158.13800000000001</v>
      </c>
      <c r="D1206" s="127"/>
      <c r="E1206" s="127"/>
      <c r="F1206" s="265"/>
      <c r="G1206" s="127">
        <v>355</v>
      </c>
      <c r="H1206" s="127"/>
      <c r="I1206" s="178"/>
      <c r="J1206" s="127"/>
      <c r="K1206" s="127"/>
      <c r="L1206" s="265"/>
      <c r="M1206" s="127"/>
      <c r="N1206" s="178">
        <v>144.77699999999999</v>
      </c>
      <c r="O1206" s="127"/>
      <c r="P1206" s="127"/>
      <c r="Q1206" s="127"/>
      <c r="R1206" s="127"/>
      <c r="S1206" s="127">
        <v>1184</v>
      </c>
      <c r="T1206" s="177"/>
      <c r="U1206" s="176">
        <v>14.151999999999999</v>
      </c>
      <c r="V1206" s="127"/>
      <c r="W1206" s="127"/>
      <c r="X1206" s="127">
        <v>410</v>
      </c>
      <c r="Y1206" s="127">
        <v>162</v>
      </c>
      <c r="Z1206" s="127">
        <v>264</v>
      </c>
      <c r="AA1206" s="127">
        <v>460.40370999999999</v>
      </c>
      <c r="AB1206" s="127">
        <v>5</v>
      </c>
      <c r="AC1206" s="127">
        <v>10</v>
      </c>
      <c r="AD1206" s="127">
        <v>20</v>
      </c>
      <c r="AE1206" s="127"/>
      <c r="AF1206" s="127"/>
      <c r="AG1206" s="127">
        <f>3/1.3</f>
        <v>2.3076923076923075</v>
      </c>
      <c r="AH1206" s="127">
        <v>200</v>
      </c>
      <c r="AI1206" s="127">
        <v>110</v>
      </c>
      <c r="AJ1206" s="127"/>
      <c r="AK1206" s="127"/>
      <c r="AL1206" s="127"/>
      <c r="AM1206" s="642">
        <f t="shared" si="22"/>
        <v>3499.7784023076924</v>
      </c>
      <c r="AO1206" s="289"/>
    </row>
    <row r="1207" spans="1:42" s="61" customFormat="1" ht="25.5" customHeight="1" x14ac:dyDescent="0.3">
      <c r="A1207" s="706"/>
      <c r="B1207" s="180" t="s">
        <v>361</v>
      </c>
      <c r="C1207" s="300">
        <v>486.32227</v>
      </c>
      <c r="D1207" s="173"/>
      <c r="E1207" s="173"/>
      <c r="F1207" s="266"/>
      <c r="G1207" s="173">
        <f>345+18</f>
        <v>363</v>
      </c>
      <c r="H1207" s="173"/>
      <c r="I1207" s="174"/>
      <c r="J1207" s="173"/>
      <c r="K1207" s="173"/>
      <c r="L1207" s="266"/>
      <c r="M1207" s="173"/>
      <c r="N1207" s="174">
        <v>493.846</v>
      </c>
      <c r="O1207" s="173"/>
      <c r="P1207" s="173"/>
      <c r="Q1207" s="173"/>
      <c r="R1207" s="173"/>
      <c r="S1207" s="173">
        <v>5517</v>
      </c>
      <c r="T1207" s="327">
        <v>10</v>
      </c>
      <c r="U1207" s="300">
        <v>14.122</v>
      </c>
      <c r="V1207" s="173"/>
      <c r="W1207" s="173"/>
      <c r="X1207" s="173">
        <v>510</v>
      </c>
      <c r="Y1207" s="173">
        <v>200</v>
      </c>
      <c r="Z1207" s="173">
        <v>1040.3331600000001</v>
      </c>
      <c r="AA1207" s="173">
        <v>495.56166000000002</v>
      </c>
      <c r="AB1207" s="173">
        <v>10</v>
      </c>
      <c r="AC1207" s="173">
        <f>49+100</f>
        <v>149</v>
      </c>
      <c r="AD1207" s="173">
        <v>50</v>
      </c>
      <c r="AE1207" s="173"/>
      <c r="AF1207" s="173"/>
      <c r="AG1207" s="173">
        <v>19</v>
      </c>
      <c r="AH1207" s="173">
        <v>1200</v>
      </c>
      <c r="AI1207" s="173">
        <v>70</v>
      </c>
      <c r="AJ1207" s="173"/>
      <c r="AK1207" s="173"/>
      <c r="AL1207" s="173"/>
      <c r="AM1207" s="643">
        <f t="shared" si="22"/>
        <v>10628.185089999999</v>
      </c>
      <c r="AO1207" s="289"/>
      <c r="AP1207" s="97"/>
    </row>
    <row r="1208" spans="1:42" s="61" customFormat="1" ht="25.5" customHeight="1" x14ac:dyDescent="0.3">
      <c r="A1208" s="706"/>
      <c r="B1208" s="180" t="s">
        <v>362</v>
      </c>
      <c r="C1208" s="300">
        <v>1016.20893</v>
      </c>
      <c r="D1208" s="173"/>
      <c r="E1208" s="173"/>
      <c r="F1208" s="266"/>
      <c r="G1208" s="173">
        <f>356+3117</f>
        <v>3473</v>
      </c>
      <c r="H1208" s="173"/>
      <c r="I1208" s="174"/>
      <c r="J1208" s="173"/>
      <c r="K1208" s="173"/>
      <c r="L1208" s="266">
        <v>50</v>
      </c>
      <c r="M1208" s="173"/>
      <c r="N1208" s="174">
        <v>614.59799999999996</v>
      </c>
      <c r="O1208" s="173"/>
      <c r="P1208" s="173"/>
      <c r="Q1208" s="173"/>
      <c r="R1208" s="173"/>
      <c r="S1208" s="173">
        <v>9405</v>
      </c>
      <c r="T1208" s="327">
        <v>29.3</v>
      </c>
      <c r="U1208" s="300">
        <v>15.372</v>
      </c>
      <c r="V1208" s="173">
        <f>60057/1000</f>
        <v>60.057000000000002</v>
      </c>
      <c r="W1208" s="173"/>
      <c r="X1208" s="173">
        <v>500</v>
      </c>
      <c r="Y1208" s="173">
        <v>300</v>
      </c>
      <c r="Z1208" s="173">
        <v>1255.31203</v>
      </c>
      <c r="AA1208" s="173">
        <f>2.77596+141.84397</f>
        <v>144.61993000000001</v>
      </c>
      <c r="AB1208" s="173"/>
      <c r="AC1208" s="173">
        <v>68</v>
      </c>
      <c r="AD1208" s="173">
        <v>118</v>
      </c>
      <c r="AE1208" s="173"/>
      <c r="AF1208" s="173"/>
      <c r="AG1208" s="173">
        <v>3</v>
      </c>
      <c r="AH1208" s="173">
        <v>755</v>
      </c>
      <c r="AI1208" s="173">
        <v>71</v>
      </c>
      <c r="AJ1208" s="173"/>
      <c r="AK1208" s="173"/>
      <c r="AL1208" s="173"/>
      <c r="AM1208" s="644">
        <f t="shared" si="22"/>
        <v>17878.46789</v>
      </c>
      <c r="AO1208" s="289"/>
      <c r="AP1208" s="97"/>
    </row>
    <row r="1209" spans="1:42" s="61" customFormat="1" ht="22.5" customHeight="1" x14ac:dyDescent="0.3">
      <c r="A1209" s="706"/>
      <c r="B1209" s="115" t="s">
        <v>402</v>
      </c>
      <c r="C1209" s="142">
        <v>1246.3202200000001</v>
      </c>
      <c r="D1209" s="111"/>
      <c r="E1209" s="111"/>
      <c r="F1209" s="267"/>
      <c r="G1209" s="111">
        <v>135</v>
      </c>
      <c r="H1209" s="111"/>
      <c r="I1209" s="125"/>
      <c r="J1209" s="111"/>
      <c r="K1209" s="111"/>
      <c r="L1209" s="267">
        <v>0</v>
      </c>
      <c r="M1209" s="111">
        <v>12.075749999999999</v>
      </c>
      <c r="N1209" s="125"/>
      <c r="O1209" s="111"/>
      <c r="P1209" s="111"/>
      <c r="Q1209" s="111"/>
      <c r="R1209" s="111"/>
      <c r="S1209" s="111">
        <v>1749.9625370000001</v>
      </c>
      <c r="T1209" s="143">
        <v>27.81</v>
      </c>
      <c r="U1209" s="142">
        <v>40.807000000000002</v>
      </c>
      <c r="V1209" s="111"/>
      <c r="W1209" s="111"/>
      <c r="X1209" s="111">
        <v>500</v>
      </c>
      <c r="Y1209" s="111">
        <v>857.26900000000001</v>
      </c>
      <c r="Z1209" s="111">
        <v>2647</v>
      </c>
      <c r="AA1209" s="111">
        <v>280</v>
      </c>
      <c r="AB1209" s="111"/>
      <c r="AC1209" s="111">
        <v>108</v>
      </c>
      <c r="AD1209" s="111">
        <v>141</v>
      </c>
      <c r="AE1209" s="111"/>
      <c r="AF1209" s="111"/>
      <c r="AG1209" s="111"/>
      <c r="AH1209" s="111">
        <v>1163.6679999999999</v>
      </c>
      <c r="AI1209" s="111" t="s">
        <v>482</v>
      </c>
      <c r="AJ1209" s="111"/>
      <c r="AK1209" s="111"/>
      <c r="AL1209" s="111"/>
      <c r="AM1209" s="645">
        <f t="shared" si="22"/>
        <v>8908.9125069999991</v>
      </c>
      <c r="AO1209" s="289"/>
    </row>
    <row r="1210" spans="1:42" s="61" customFormat="1" ht="21" customHeight="1" x14ac:dyDescent="0.3">
      <c r="A1210" s="707"/>
      <c r="B1210" s="181" t="s">
        <v>403</v>
      </c>
      <c r="C1210" s="144">
        <v>635.52304000000004</v>
      </c>
      <c r="D1210" s="112"/>
      <c r="E1210" s="112"/>
      <c r="F1210" s="268"/>
      <c r="G1210" s="112">
        <v>54</v>
      </c>
      <c r="H1210" s="112">
        <v>8</v>
      </c>
      <c r="I1210" s="126"/>
      <c r="J1210" s="112"/>
      <c r="K1210" s="112"/>
      <c r="L1210" s="268">
        <v>250</v>
      </c>
      <c r="M1210" s="112"/>
      <c r="N1210" s="126"/>
      <c r="O1210" s="112"/>
      <c r="P1210" s="112"/>
      <c r="Q1210" s="112"/>
      <c r="R1210" s="112"/>
      <c r="S1210" s="112">
        <v>31.131988</v>
      </c>
      <c r="T1210" s="145">
        <v>29.99</v>
      </c>
      <c r="U1210" s="144">
        <v>15.807</v>
      </c>
      <c r="V1210" s="112"/>
      <c r="W1210" s="112"/>
      <c r="X1210" s="112">
        <v>522</v>
      </c>
      <c r="Y1210" s="112"/>
      <c r="Z1210" s="112">
        <v>1939</v>
      </c>
      <c r="AA1210" s="112">
        <v>-40</v>
      </c>
      <c r="AB1210" s="112"/>
      <c r="AC1210" s="112">
        <v>145</v>
      </c>
      <c r="AD1210" s="112">
        <v>292</v>
      </c>
      <c r="AE1210" s="112"/>
      <c r="AF1210" s="112"/>
      <c r="AG1210" s="112"/>
      <c r="AH1210" s="112">
        <v>534.74699999999996</v>
      </c>
      <c r="AI1210" s="112" t="s">
        <v>482</v>
      </c>
      <c r="AJ1210" s="112"/>
      <c r="AK1210" s="112"/>
      <c r="AL1210" s="112"/>
      <c r="AM1210" s="646">
        <f t="shared" si="22"/>
        <v>4417.199028</v>
      </c>
      <c r="AO1210" s="289"/>
    </row>
    <row r="1211" spans="1:42" s="61" customFormat="1" ht="21" customHeight="1" x14ac:dyDescent="0.3">
      <c r="A1211" s="705" t="s">
        <v>237</v>
      </c>
      <c r="B1211" s="179" t="s">
        <v>293</v>
      </c>
      <c r="C1211" s="135">
        <v>71</v>
      </c>
      <c r="D1211" s="136"/>
      <c r="E1211" s="136"/>
      <c r="F1211" s="262"/>
      <c r="G1211" s="136">
        <v>107</v>
      </c>
      <c r="H1211" s="136">
        <v>16</v>
      </c>
      <c r="I1211" s="326"/>
      <c r="J1211" s="136"/>
      <c r="K1211" s="136">
        <v>281</v>
      </c>
      <c r="L1211" s="262"/>
      <c r="M1211" s="136"/>
      <c r="N1211" s="326">
        <v>42.932000000000002</v>
      </c>
      <c r="O1211" s="136"/>
      <c r="P1211" s="136">
        <v>20</v>
      </c>
      <c r="Q1211" s="136"/>
      <c r="R1211" s="136"/>
      <c r="S1211" s="136">
        <v>3195.7060000000001</v>
      </c>
      <c r="T1211" s="137">
        <v>60</v>
      </c>
      <c r="U1211" s="632">
        <v>163.02099999999999</v>
      </c>
      <c r="V1211" s="122">
        <f>(9978+20310)/1000</f>
        <v>30.288</v>
      </c>
      <c r="W1211" s="122"/>
      <c r="X1211" s="122"/>
      <c r="Y1211" s="122">
        <v>203</v>
      </c>
      <c r="Z1211" s="122">
        <v>4615</v>
      </c>
      <c r="AA1211" s="122">
        <v>360.49056000000007</v>
      </c>
      <c r="AB1211" s="122"/>
      <c r="AC1211" s="122">
        <v>25</v>
      </c>
      <c r="AD1211" s="122">
        <v>125</v>
      </c>
      <c r="AE1211" s="122"/>
      <c r="AF1211" s="122"/>
      <c r="AG1211" s="122">
        <v>18.52</v>
      </c>
      <c r="AH1211" s="122">
        <v>40</v>
      </c>
      <c r="AI1211" s="122">
        <v>108</v>
      </c>
      <c r="AJ1211" s="122"/>
      <c r="AK1211" s="122">
        <v>23.25</v>
      </c>
      <c r="AL1211" s="122"/>
      <c r="AM1211" s="639">
        <f t="shared" si="22"/>
        <v>9505.2075600000007</v>
      </c>
      <c r="AO1211" s="289"/>
    </row>
    <row r="1212" spans="1:42" s="61" customFormat="1" ht="19.5" customHeight="1" x14ac:dyDescent="0.3">
      <c r="A1212" s="706"/>
      <c r="B1212" s="116" t="s">
        <v>294</v>
      </c>
      <c r="C1212" s="138"/>
      <c r="D1212" s="109"/>
      <c r="E1212" s="109"/>
      <c r="F1212" s="263"/>
      <c r="G1212" s="109">
        <v>200</v>
      </c>
      <c r="H1212" s="109"/>
      <c r="I1212" s="123"/>
      <c r="J1212" s="109"/>
      <c r="K1212" s="109">
        <f>142+125</f>
        <v>267</v>
      </c>
      <c r="L1212" s="263"/>
      <c r="M1212" s="109"/>
      <c r="N1212" s="123">
        <v>279.245</v>
      </c>
      <c r="O1212" s="109"/>
      <c r="P1212" s="109"/>
      <c r="Q1212" s="109"/>
      <c r="R1212" s="109"/>
      <c r="S1212" s="109">
        <v>1600</v>
      </c>
      <c r="T1212" s="139">
        <v>100</v>
      </c>
      <c r="U1212" s="138">
        <v>18.72</v>
      </c>
      <c r="V1212" s="109">
        <f>(19978+52810)/1000-V1211</f>
        <v>42.5</v>
      </c>
      <c r="W1212" s="109"/>
      <c r="X1212" s="109">
        <v>25</v>
      </c>
      <c r="Y1212" s="109">
        <v>200</v>
      </c>
      <c r="Z1212" s="109">
        <v>5328</v>
      </c>
      <c r="AA1212" s="109">
        <v>17.394569999999998</v>
      </c>
      <c r="AB1212" s="109"/>
      <c r="AC1212" s="109">
        <v>50</v>
      </c>
      <c r="AD1212" s="109">
        <v>100</v>
      </c>
      <c r="AE1212" s="109"/>
      <c r="AF1212" s="109"/>
      <c r="AG1212" s="109">
        <v>11.35</v>
      </c>
      <c r="AH1212" s="109">
        <v>447.29</v>
      </c>
      <c r="AI1212" s="109">
        <v>145</v>
      </c>
      <c r="AJ1212" s="109"/>
      <c r="AK1212" s="109">
        <v>21.79</v>
      </c>
      <c r="AL1212" s="109"/>
      <c r="AM1212" s="640">
        <f t="shared" si="22"/>
        <v>8853.2895700000026</v>
      </c>
      <c r="AO1212" s="289"/>
    </row>
    <row r="1213" spans="1:42" s="61" customFormat="1" ht="22.5" customHeight="1" x14ac:dyDescent="0.3">
      <c r="A1213" s="706"/>
      <c r="B1213" s="117" t="s">
        <v>326</v>
      </c>
      <c r="C1213" s="140">
        <v>1013.306</v>
      </c>
      <c r="D1213" s="110"/>
      <c r="E1213" s="110"/>
      <c r="F1213" s="264"/>
      <c r="G1213" s="110">
        <v>200</v>
      </c>
      <c r="H1213" s="110"/>
      <c r="I1213" s="124"/>
      <c r="J1213" s="110"/>
      <c r="K1213" s="110">
        <v>76</v>
      </c>
      <c r="L1213" s="264">
        <v>2128</v>
      </c>
      <c r="M1213" s="110"/>
      <c r="N1213" s="124">
        <v>985.34299999999996</v>
      </c>
      <c r="O1213" s="110"/>
      <c r="P1213" s="110"/>
      <c r="Q1213" s="110"/>
      <c r="R1213" s="110"/>
      <c r="S1213" s="110">
        <v>2331</v>
      </c>
      <c r="T1213" s="141"/>
      <c r="U1213" s="140">
        <v>202.90600000000001</v>
      </c>
      <c r="V1213" s="110"/>
      <c r="W1213" s="110"/>
      <c r="X1213" s="110"/>
      <c r="Y1213" s="110">
        <v>1111</v>
      </c>
      <c r="Z1213" s="110">
        <v>8130</v>
      </c>
      <c r="AA1213" s="110">
        <v>122.08552</v>
      </c>
      <c r="AB1213" s="110"/>
      <c r="AC1213" s="110">
        <v>25</v>
      </c>
      <c r="AD1213" s="110">
        <v>100</v>
      </c>
      <c r="AE1213" s="110"/>
      <c r="AF1213" s="110"/>
      <c r="AG1213" s="110"/>
      <c r="AH1213" s="110">
        <v>722.75099</v>
      </c>
      <c r="AI1213" s="110">
        <v>405</v>
      </c>
      <c r="AJ1213" s="110"/>
      <c r="AK1213" s="110"/>
      <c r="AL1213" s="110"/>
      <c r="AM1213" s="641">
        <f t="shared" si="22"/>
        <v>17552.391510000001</v>
      </c>
      <c r="AO1213" s="289"/>
      <c r="AP1213" s="97"/>
    </row>
    <row r="1214" spans="1:42" s="61" customFormat="1" ht="25.5" customHeight="1" x14ac:dyDescent="0.3">
      <c r="A1214" s="706"/>
      <c r="B1214" s="175" t="s">
        <v>327</v>
      </c>
      <c r="C1214" s="176">
        <v>281.471</v>
      </c>
      <c r="D1214" s="127"/>
      <c r="E1214" s="127"/>
      <c r="F1214" s="265">
        <v>332</v>
      </c>
      <c r="G1214" s="127">
        <v>100</v>
      </c>
      <c r="H1214" s="127"/>
      <c r="I1214" s="178"/>
      <c r="J1214" s="127"/>
      <c r="K1214" s="127">
        <v>76</v>
      </c>
      <c r="L1214" s="265">
        <v>538</v>
      </c>
      <c r="M1214" s="127"/>
      <c r="N1214" s="178">
        <v>767.46799999999996</v>
      </c>
      <c r="O1214" s="127"/>
      <c r="P1214" s="127"/>
      <c r="Q1214" s="127"/>
      <c r="R1214" s="127"/>
      <c r="S1214" s="127">
        <v>4366</v>
      </c>
      <c r="T1214" s="177"/>
      <c r="U1214" s="176">
        <v>59.26</v>
      </c>
      <c r="V1214" s="127">
        <v>29.251999999999999</v>
      </c>
      <c r="W1214" s="127"/>
      <c r="X1214" s="127"/>
      <c r="Y1214" s="127">
        <v>1618</v>
      </c>
      <c r="Z1214" s="127">
        <v>9398</v>
      </c>
      <c r="AA1214" s="127">
        <v>218.71462</v>
      </c>
      <c r="AB1214" s="127"/>
      <c r="AC1214" s="127">
        <v>25</v>
      </c>
      <c r="AD1214" s="127">
        <v>100</v>
      </c>
      <c r="AE1214" s="127"/>
      <c r="AF1214" s="127"/>
      <c r="AG1214" s="127"/>
      <c r="AH1214" s="127">
        <v>956.53</v>
      </c>
      <c r="AI1214" s="127">
        <v>835</v>
      </c>
      <c r="AJ1214" s="127"/>
      <c r="AK1214" s="127"/>
      <c r="AL1214" s="127"/>
      <c r="AM1214" s="642">
        <f t="shared" si="22"/>
        <v>19700.695619999999</v>
      </c>
      <c r="AO1214" s="289"/>
    </row>
    <row r="1215" spans="1:42" s="61" customFormat="1" ht="25.5" customHeight="1" x14ac:dyDescent="0.3">
      <c r="A1215" s="706"/>
      <c r="B1215" s="180" t="s">
        <v>361</v>
      </c>
      <c r="C1215" s="300">
        <v>490</v>
      </c>
      <c r="D1215" s="173"/>
      <c r="E1215" s="173"/>
      <c r="F1215" s="266"/>
      <c r="G1215" s="173">
        <f>100+272</f>
        <v>372</v>
      </c>
      <c r="H1215" s="173"/>
      <c r="I1215" s="174"/>
      <c r="J1215" s="173"/>
      <c r="K1215" s="173"/>
      <c r="L1215" s="266">
        <v>840</v>
      </c>
      <c r="M1215" s="173"/>
      <c r="N1215" s="174">
        <v>211.17099999999999</v>
      </c>
      <c r="O1215" s="173"/>
      <c r="P1215" s="173"/>
      <c r="Q1215" s="173"/>
      <c r="R1215" s="173"/>
      <c r="S1215" s="173">
        <v>1678</v>
      </c>
      <c r="T1215" s="327"/>
      <c r="U1215" s="300">
        <v>363.685</v>
      </c>
      <c r="V1215" s="173">
        <f>129524/1000</f>
        <v>129.524</v>
      </c>
      <c r="W1215" s="173"/>
      <c r="X1215" s="173"/>
      <c r="Y1215" s="173">
        <v>1737</v>
      </c>
      <c r="Z1215" s="173">
        <v>7620.3565299999991</v>
      </c>
      <c r="AA1215" s="173">
        <v>132.04131000000001</v>
      </c>
      <c r="AB1215" s="173"/>
      <c r="AC1215" s="173">
        <v>25</v>
      </c>
      <c r="AD1215" s="173">
        <v>100</v>
      </c>
      <c r="AE1215" s="173"/>
      <c r="AF1215" s="173"/>
      <c r="AG1215" s="173"/>
      <c r="AH1215" s="173">
        <v>370</v>
      </c>
      <c r="AI1215" s="173">
        <v>37</v>
      </c>
      <c r="AJ1215" s="173"/>
      <c r="AK1215" s="173"/>
      <c r="AL1215" s="173"/>
      <c r="AM1215" s="643">
        <f t="shared" si="22"/>
        <v>14105.777839999999</v>
      </c>
      <c r="AO1215" s="289"/>
      <c r="AP1215" s="97"/>
    </row>
    <row r="1216" spans="1:42" s="61" customFormat="1" ht="25.5" customHeight="1" x14ac:dyDescent="0.3">
      <c r="A1216" s="706"/>
      <c r="B1216" s="180" t="s">
        <v>362</v>
      </c>
      <c r="C1216" s="300">
        <v>607</v>
      </c>
      <c r="D1216" s="173"/>
      <c r="E1216" s="173"/>
      <c r="F1216" s="266"/>
      <c r="G1216" s="173">
        <f>290+250</f>
        <v>540</v>
      </c>
      <c r="H1216" s="173"/>
      <c r="I1216" s="174"/>
      <c r="J1216" s="173"/>
      <c r="K1216" s="173"/>
      <c r="L1216" s="266">
        <v>1722</v>
      </c>
      <c r="M1216" s="173"/>
      <c r="N1216" s="174">
        <v>269.09800000000001</v>
      </c>
      <c r="O1216" s="173"/>
      <c r="P1216" s="173">
        <v>16</v>
      </c>
      <c r="Q1216" s="173"/>
      <c r="R1216" s="173"/>
      <c r="S1216" s="173">
        <v>2525</v>
      </c>
      <c r="T1216" s="327"/>
      <c r="U1216" s="300">
        <v>16.164999999999999</v>
      </c>
      <c r="V1216" s="173"/>
      <c r="W1216" s="173"/>
      <c r="X1216" s="173"/>
      <c r="Y1216" s="173">
        <v>1775</v>
      </c>
      <c r="Z1216" s="173">
        <v>9285.7143799999994</v>
      </c>
      <c r="AA1216" s="173">
        <f>75.5799+59.23947</f>
        <v>134.81936999999999</v>
      </c>
      <c r="AB1216" s="173"/>
      <c r="AC1216" s="173">
        <f>50-25</f>
        <v>25</v>
      </c>
      <c r="AD1216" s="173">
        <v>100</v>
      </c>
      <c r="AE1216" s="173"/>
      <c r="AF1216" s="173"/>
      <c r="AG1216" s="173">
        <v>48</v>
      </c>
      <c r="AH1216" s="173">
        <v>111</v>
      </c>
      <c r="AI1216" s="173">
        <v>406</v>
      </c>
      <c r="AJ1216" s="173"/>
      <c r="AK1216" s="173"/>
      <c r="AL1216" s="173"/>
      <c r="AM1216" s="644">
        <f t="shared" si="22"/>
        <v>17580.796750000001</v>
      </c>
      <c r="AO1216" s="289"/>
      <c r="AP1216" s="97"/>
    </row>
    <row r="1217" spans="1:42" s="61" customFormat="1" ht="22.5" customHeight="1" x14ac:dyDescent="0.3">
      <c r="A1217" s="706"/>
      <c r="B1217" s="115" t="s">
        <v>402</v>
      </c>
      <c r="C1217" s="142">
        <v>712.24141999999995</v>
      </c>
      <c r="D1217" s="111"/>
      <c r="E1217" s="111"/>
      <c r="F1217" s="267"/>
      <c r="G1217" s="111"/>
      <c r="H1217" s="111"/>
      <c r="I1217" s="125"/>
      <c r="J1217" s="111"/>
      <c r="K1217" s="111"/>
      <c r="L1217" s="267">
        <v>502</v>
      </c>
      <c r="M1217" s="111"/>
      <c r="N1217" s="125"/>
      <c r="O1217" s="111"/>
      <c r="P1217" s="111">
        <v>20</v>
      </c>
      <c r="Q1217" s="111"/>
      <c r="R1217" s="111"/>
      <c r="S1217" s="111">
        <v>2727.5538519999996</v>
      </c>
      <c r="T1217" s="143"/>
      <c r="U1217" s="142">
        <v>20.658999999999999</v>
      </c>
      <c r="V1217" s="111"/>
      <c r="W1217" s="111"/>
      <c r="X1217" s="111">
        <v>102</v>
      </c>
      <c r="Y1217" s="111">
        <v>1595.337</v>
      </c>
      <c r="Z1217" s="111">
        <v>1802</v>
      </c>
      <c r="AA1217" s="111">
        <v>151</v>
      </c>
      <c r="AB1217" s="111"/>
      <c r="AC1217" s="111">
        <v>369</v>
      </c>
      <c r="AD1217" s="111">
        <v>100</v>
      </c>
      <c r="AE1217" s="111"/>
      <c r="AF1217" s="111"/>
      <c r="AG1217" s="111"/>
      <c r="AH1217" s="111">
        <v>110.89100000000001</v>
      </c>
      <c r="AI1217" s="111">
        <v>213</v>
      </c>
      <c r="AJ1217" s="111">
        <v>148</v>
      </c>
      <c r="AK1217" s="111">
        <f>24.966/1.097</f>
        <v>22.758432087511395</v>
      </c>
      <c r="AL1217" s="111"/>
      <c r="AM1217" s="645">
        <f t="shared" si="22"/>
        <v>8596.4407040875121</v>
      </c>
      <c r="AO1217" s="289"/>
    </row>
    <row r="1218" spans="1:42" s="61" customFormat="1" ht="21" customHeight="1" x14ac:dyDescent="0.3">
      <c r="A1218" s="707"/>
      <c r="B1218" s="181" t="s">
        <v>403</v>
      </c>
      <c r="C1218" s="144">
        <v>669.99090000000001</v>
      </c>
      <c r="D1218" s="112"/>
      <c r="E1218" s="112"/>
      <c r="F1218" s="268"/>
      <c r="G1218" s="112">
        <v>14</v>
      </c>
      <c r="H1218" s="112"/>
      <c r="I1218" s="126"/>
      <c r="J1218" s="112"/>
      <c r="K1218" s="112"/>
      <c r="L1218" s="268">
        <v>2014.1</v>
      </c>
      <c r="M1218" s="112"/>
      <c r="N1218" s="126"/>
      <c r="O1218" s="112"/>
      <c r="P1218" s="112">
        <v>0</v>
      </c>
      <c r="Q1218" s="112"/>
      <c r="R1218" s="112"/>
      <c r="S1218" s="112">
        <v>4186.0711540000002</v>
      </c>
      <c r="T1218" s="145"/>
      <c r="U1218" s="144">
        <v>483.46899999999999</v>
      </c>
      <c r="V1218" s="112">
        <v>20.805</v>
      </c>
      <c r="W1218" s="112"/>
      <c r="X1218" s="112"/>
      <c r="Y1218" s="112">
        <v>1779.29</v>
      </c>
      <c r="Z1218" s="112">
        <v>3028</v>
      </c>
      <c r="AA1218" s="112">
        <v>5</v>
      </c>
      <c r="AB1218" s="112"/>
      <c r="AC1218" s="112">
        <v>27</v>
      </c>
      <c r="AD1218" s="112">
        <v>500</v>
      </c>
      <c r="AE1218" s="112"/>
      <c r="AF1218" s="112"/>
      <c r="AG1218" s="112"/>
      <c r="AH1218" s="112">
        <v>111.928</v>
      </c>
      <c r="AI1218" s="112">
        <v>214</v>
      </c>
      <c r="AJ1218" s="112">
        <v>146</v>
      </c>
      <c r="AK1218" s="112"/>
      <c r="AL1218" s="112"/>
      <c r="AM1218" s="646">
        <f t="shared" si="22"/>
        <v>13199.654054000001</v>
      </c>
      <c r="AO1218" s="289"/>
    </row>
    <row r="1219" spans="1:42" s="61" customFormat="1" ht="21" customHeight="1" x14ac:dyDescent="0.3">
      <c r="A1219" s="705" t="s">
        <v>44</v>
      </c>
      <c r="B1219" s="179" t="s">
        <v>293</v>
      </c>
      <c r="C1219" s="135"/>
      <c r="D1219" s="136"/>
      <c r="E1219" s="136"/>
      <c r="F1219" s="262"/>
      <c r="G1219" s="136"/>
      <c r="H1219" s="136"/>
      <c r="I1219" s="326"/>
      <c r="J1219" s="136"/>
      <c r="K1219" s="136"/>
      <c r="L1219" s="262"/>
      <c r="M1219" s="136"/>
      <c r="N1219" s="326"/>
      <c r="O1219" s="136"/>
      <c r="P1219" s="136"/>
      <c r="Q1219" s="136"/>
      <c r="R1219" s="136"/>
      <c r="S1219" s="136"/>
      <c r="T1219" s="137"/>
      <c r="U1219" s="632"/>
      <c r="V1219" s="122"/>
      <c r="W1219" s="122"/>
      <c r="X1219" s="122"/>
      <c r="Y1219" s="122"/>
      <c r="Z1219" s="122"/>
      <c r="AA1219" s="122"/>
      <c r="AB1219" s="122"/>
      <c r="AC1219" s="122"/>
      <c r="AD1219" s="122"/>
      <c r="AE1219" s="122"/>
      <c r="AF1219" s="122"/>
      <c r="AG1219" s="122"/>
      <c r="AH1219" s="122"/>
      <c r="AI1219" s="122" t="s">
        <v>482</v>
      </c>
      <c r="AJ1219" s="122"/>
      <c r="AK1219" s="122"/>
      <c r="AL1219" s="122"/>
      <c r="AM1219" s="639">
        <f t="shared" si="22"/>
        <v>0</v>
      </c>
      <c r="AO1219" s="289"/>
    </row>
    <row r="1220" spans="1:42" s="61" customFormat="1" ht="19.5" customHeight="1" x14ac:dyDescent="0.3">
      <c r="A1220" s="706"/>
      <c r="B1220" s="116" t="s">
        <v>294</v>
      </c>
      <c r="C1220" s="138"/>
      <c r="D1220" s="109"/>
      <c r="E1220" s="109"/>
      <c r="F1220" s="263"/>
      <c r="G1220" s="109"/>
      <c r="H1220" s="109"/>
      <c r="I1220" s="123"/>
      <c r="J1220" s="109"/>
      <c r="K1220" s="109"/>
      <c r="L1220" s="263"/>
      <c r="M1220" s="109"/>
      <c r="N1220" s="123"/>
      <c r="O1220" s="109"/>
      <c r="P1220" s="109"/>
      <c r="Q1220" s="109"/>
      <c r="R1220" s="109"/>
      <c r="S1220" s="109"/>
      <c r="T1220" s="139"/>
      <c r="U1220" s="138"/>
      <c r="V1220" s="109"/>
      <c r="W1220" s="109"/>
      <c r="X1220" s="109"/>
      <c r="Y1220" s="109"/>
      <c r="Z1220" s="109"/>
      <c r="AA1220" s="109"/>
      <c r="AB1220" s="109"/>
      <c r="AC1220" s="109"/>
      <c r="AD1220" s="109"/>
      <c r="AE1220" s="109"/>
      <c r="AF1220" s="109"/>
      <c r="AG1220" s="109"/>
      <c r="AH1220" s="109"/>
      <c r="AI1220" s="109" t="s">
        <v>482</v>
      </c>
      <c r="AJ1220" s="109"/>
      <c r="AK1220" s="109"/>
      <c r="AL1220" s="109"/>
      <c r="AM1220" s="640">
        <f t="shared" si="22"/>
        <v>0</v>
      </c>
      <c r="AO1220" s="289"/>
    </row>
    <row r="1221" spans="1:42" s="61" customFormat="1" ht="22.5" customHeight="1" x14ac:dyDescent="0.3">
      <c r="A1221" s="706"/>
      <c r="B1221" s="117" t="s">
        <v>326</v>
      </c>
      <c r="C1221" s="140"/>
      <c r="D1221" s="110"/>
      <c r="E1221" s="110"/>
      <c r="F1221" s="264"/>
      <c r="G1221" s="110"/>
      <c r="H1221" s="110"/>
      <c r="I1221" s="124"/>
      <c r="J1221" s="110"/>
      <c r="K1221" s="110"/>
      <c r="L1221" s="264"/>
      <c r="M1221" s="110"/>
      <c r="N1221" s="124"/>
      <c r="O1221" s="110"/>
      <c r="P1221" s="110"/>
      <c r="Q1221" s="110"/>
      <c r="R1221" s="110"/>
      <c r="S1221" s="110"/>
      <c r="T1221" s="141"/>
      <c r="U1221" s="140"/>
      <c r="V1221" s="110"/>
      <c r="W1221" s="110"/>
      <c r="X1221" s="110"/>
      <c r="Y1221" s="110"/>
      <c r="Z1221" s="110"/>
      <c r="AA1221" s="110"/>
      <c r="AB1221" s="110"/>
      <c r="AC1221" s="110"/>
      <c r="AD1221" s="110"/>
      <c r="AE1221" s="110"/>
      <c r="AF1221" s="110"/>
      <c r="AG1221" s="110"/>
      <c r="AH1221" s="110"/>
      <c r="AI1221" s="110" t="s">
        <v>482</v>
      </c>
      <c r="AJ1221" s="110"/>
      <c r="AK1221" s="110"/>
      <c r="AL1221" s="110"/>
      <c r="AM1221" s="641">
        <f t="shared" si="22"/>
        <v>0</v>
      </c>
      <c r="AO1221" s="289"/>
      <c r="AP1221" s="97"/>
    </row>
    <row r="1222" spans="1:42" s="61" customFormat="1" ht="25.5" customHeight="1" x14ac:dyDescent="0.3">
      <c r="A1222" s="706"/>
      <c r="B1222" s="175" t="s">
        <v>327</v>
      </c>
      <c r="C1222" s="176"/>
      <c r="D1222" s="127"/>
      <c r="E1222" s="127"/>
      <c r="F1222" s="265"/>
      <c r="G1222" s="127"/>
      <c r="H1222" s="127"/>
      <c r="I1222" s="178"/>
      <c r="J1222" s="127"/>
      <c r="K1222" s="127"/>
      <c r="L1222" s="265"/>
      <c r="M1222" s="127"/>
      <c r="N1222" s="178"/>
      <c r="O1222" s="127"/>
      <c r="P1222" s="127"/>
      <c r="Q1222" s="127"/>
      <c r="R1222" s="127"/>
      <c r="S1222" s="127"/>
      <c r="T1222" s="177"/>
      <c r="U1222" s="176"/>
      <c r="V1222" s="127"/>
      <c r="W1222" s="127"/>
      <c r="X1222" s="127"/>
      <c r="Y1222" s="127"/>
      <c r="Z1222" s="127"/>
      <c r="AA1222" s="127"/>
      <c r="AB1222" s="127"/>
      <c r="AC1222" s="127"/>
      <c r="AD1222" s="127"/>
      <c r="AE1222" s="127"/>
      <c r="AF1222" s="127"/>
      <c r="AG1222" s="127"/>
      <c r="AH1222" s="127"/>
      <c r="AI1222" s="127" t="s">
        <v>482</v>
      </c>
      <c r="AJ1222" s="127"/>
      <c r="AK1222" s="127"/>
      <c r="AL1222" s="127"/>
      <c r="AM1222" s="642">
        <f t="shared" si="22"/>
        <v>0</v>
      </c>
      <c r="AO1222" s="289"/>
    </row>
    <row r="1223" spans="1:42" s="61" customFormat="1" ht="25.5" customHeight="1" x14ac:dyDescent="0.3">
      <c r="A1223" s="706"/>
      <c r="B1223" s="180" t="s">
        <v>361</v>
      </c>
      <c r="C1223" s="300"/>
      <c r="D1223" s="173"/>
      <c r="E1223" s="173"/>
      <c r="F1223" s="266"/>
      <c r="G1223" s="173"/>
      <c r="H1223" s="173"/>
      <c r="I1223" s="174"/>
      <c r="J1223" s="173"/>
      <c r="K1223" s="173"/>
      <c r="L1223" s="266"/>
      <c r="M1223" s="173"/>
      <c r="N1223" s="174"/>
      <c r="O1223" s="173"/>
      <c r="P1223" s="173"/>
      <c r="Q1223" s="173"/>
      <c r="R1223" s="173"/>
      <c r="S1223" s="173"/>
      <c r="T1223" s="327"/>
      <c r="U1223" s="300"/>
      <c r="V1223" s="173"/>
      <c r="W1223" s="173"/>
      <c r="X1223" s="173"/>
      <c r="Y1223" s="173"/>
      <c r="Z1223" s="173"/>
      <c r="AA1223" s="173"/>
      <c r="AB1223" s="173"/>
      <c r="AC1223" s="173"/>
      <c r="AD1223" s="173"/>
      <c r="AE1223" s="173"/>
      <c r="AF1223" s="173"/>
      <c r="AG1223" s="173"/>
      <c r="AH1223" s="173"/>
      <c r="AI1223" s="173" t="s">
        <v>482</v>
      </c>
      <c r="AJ1223" s="173"/>
      <c r="AK1223" s="173"/>
      <c r="AL1223" s="173"/>
      <c r="AM1223" s="643">
        <f t="shared" si="22"/>
        <v>0</v>
      </c>
      <c r="AO1223" s="289"/>
      <c r="AP1223" s="97"/>
    </row>
    <row r="1224" spans="1:42" s="61" customFormat="1" ht="25.5" customHeight="1" x14ac:dyDescent="0.3">
      <c r="A1224" s="706"/>
      <c r="B1224" s="180" t="s">
        <v>362</v>
      </c>
      <c r="C1224" s="300"/>
      <c r="D1224" s="173"/>
      <c r="E1224" s="173"/>
      <c r="F1224" s="266"/>
      <c r="G1224" s="173"/>
      <c r="H1224" s="173"/>
      <c r="I1224" s="174"/>
      <c r="J1224" s="173"/>
      <c r="K1224" s="173"/>
      <c r="L1224" s="266"/>
      <c r="M1224" s="173"/>
      <c r="N1224" s="174"/>
      <c r="O1224" s="173"/>
      <c r="P1224" s="173"/>
      <c r="Q1224" s="173">
        <v>70</v>
      </c>
      <c r="R1224" s="173"/>
      <c r="S1224" s="173"/>
      <c r="T1224" s="327"/>
      <c r="U1224" s="300"/>
      <c r="V1224" s="173"/>
      <c r="W1224" s="173"/>
      <c r="X1224" s="173"/>
      <c r="Y1224" s="173"/>
      <c r="Z1224" s="173"/>
      <c r="AA1224" s="173"/>
      <c r="AB1224" s="173"/>
      <c r="AC1224" s="173"/>
      <c r="AD1224" s="173"/>
      <c r="AE1224" s="173"/>
      <c r="AF1224" s="173"/>
      <c r="AG1224" s="173"/>
      <c r="AH1224" s="173"/>
      <c r="AI1224" s="173" t="s">
        <v>482</v>
      </c>
      <c r="AJ1224" s="173"/>
      <c r="AK1224" s="173"/>
      <c r="AL1224" s="173"/>
      <c r="AM1224" s="644">
        <f t="shared" si="22"/>
        <v>70</v>
      </c>
      <c r="AO1224" s="289"/>
      <c r="AP1224" s="97"/>
    </row>
    <row r="1225" spans="1:42" s="61" customFormat="1" ht="22.5" customHeight="1" x14ac:dyDescent="0.3">
      <c r="A1225" s="706"/>
      <c r="B1225" s="115" t="s">
        <v>402</v>
      </c>
      <c r="C1225" s="142"/>
      <c r="D1225" s="111"/>
      <c r="E1225" s="111"/>
      <c r="F1225" s="267"/>
      <c r="G1225" s="111"/>
      <c r="H1225" s="111"/>
      <c r="I1225" s="125"/>
      <c r="J1225" s="111"/>
      <c r="K1225" s="111"/>
      <c r="L1225" s="267"/>
      <c r="M1225" s="111"/>
      <c r="N1225" s="125"/>
      <c r="O1225" s="111"/>
      <c r="P1225" s="111"/>
      <c r="Q1225" s="111"/>
      <c r="R1225" s="111"/>
      <c r="S1225" s="111"/>
      <c r="T1225" s="143"/>
      <c r="U1225" s="142"/>
      <c r="V1225" s="111"/>
      <c r="W1225" s="111"/>
      <c r="X1225" s="111"/>
      <c r="Y1225" s="111"/>
      <c r="Z1225" s="111"/>
      <c r="AA1225" s="111"/>
      <c r="AB1225" s="111"/>
      <c r="AC1225" s="111"/>
      <c r="AD1225" s="111"/>
      <c r="AE1225" s="111"/>
      <c r="AF1225" s="111"/>
      <c r="AG1225" s="111"/>
      <c r="AH1225" s="111" t="s">
        <v>482</v>
      </c>
      <c r="AI1225" s="111" t="s">
        <v>482</v>
      </c>
      <c r="AJ1225" s="111"/>
      <c r="AK1225" s="111"/>
      <c r="AL1225" s="111"/>
      <c r="AM1225" s="645">
        <f t="shared" si="22"/>
        <v>0</v>
      </c>
      <c r="AO1225" s="289"/>
    </row>
    <row r="1226" spans="1:42" s="61" customFormat="1" ht="21" customHeight="1" x14ac:dyDescent="0.3">
      <c r="A1226" s="707"/>
      <c r="B1226" s="181" t="s">
        <v>403</v>
      </c>
      <c r="C1226" s="144"/>
      <c r="D1226" s="112"/>
      <c r="E1226" s="112"/>
      <c r="F1226" s="268"/>
      <c r="G1226" s="112"/>
      <c r="H1226" s="112"/>
      <c r="I1226" s="126"/>
      <c r="J1226" s="112"/>
      <c r="K1226" s="112"/>
      <c r="L1226" s="268"/>
      <c r="M1226" s="112"/>
      <c r="N1226" s="126"/>
      <c r="O1226" s="112"/>
      <c r="P1226" s="112"/>
      <c r="Q1226" s="112"/>
      <c r="R1226" s="112"/>
      <c r="S1226" s="112"/>
      <c r="T1226" s="145"/>
      <c r="U1226" s="144"/>
      <c r="V1226" s="112"/>
      <c r="W1226" s="112"/>
      <c r="X1226" s="112"/>
      <c r="Y1226" s="112"/>
      <c r="Z1226" s="112"/>
      <c r="AA1226" s="112"/>
      <c r="AB1226" s="112"/>
      <c r="AC1226" s="112"/>
      <c r="AD1226" s="112"/>
      <c r="AE1226" s="112"/>
      <c r="AF1226" s="112"/>
      <c r="AG1226" s="112"/>
      <c r="AH1226" s="112" t="s">
        <v>482</v>
      </c>
      <c r="AI1226" s="112" t="s">
        <v>482</v>
      </c>
      <c r="AJ1226" s="112"/>
      <c r="AK1226" s="112"/>
      <c r="AL1226" s="112"/>
      <c r="AM1226" s="646">
        <f t="shared" si="22"/>
        <v>0</v>
      </c>
      <c r="AO1226" s="289"/>
    </row>
    <row r="1227" spans="1:42" s="61" customFormat="1" ht="21" customHeight="1" x14ac:dyDescent="0.3">
      <c r="A1227" s="705" t="s">
        <v>238</v>
      </c>
      <c r="B1227" s="179" t="s">
        <v>293</v>
      </c>
      <c r="C1227" s="135">
        <v>80</v>
      </c>
      <c r="D1227" s="136"/>
      <c r="E1227" s="136"/>
      <c r="F1227" s="262"/>
      <c r="G1227" s="136"/>
      <c r="H1227" s="136">
        <v>112</v>
      </c>
      <c r="I1227" s="326"/>
      <c r="J1227" s="136"/>
      <c r="K1227" s="136"/>
      <c r="L1227" s="262"/>
      <c r="M1227" s="136"/>
      <c r="N1227" s="326"/>
      <c r="O1227" s="136"/>
      <c r="P1227" s="136"/>
      <c r="Q1227" s="136"/>
      <c r="R1227" s="136"/>
      <c r="S1227" s="136"/>
      <c r="T1227" s="137"/>
      <c r="U1227" s="632">
        <v>225.6</v>
      </c>
      <c r="V1227" s="122"/>
      <c r="W1227" s="122"/>
      <c r="X1227" s="122"/>
      <c r="Y1227" s="122"/>
      <c r="Z1227" s="122"/>
      <c r="AA1227" s="122"/>
      <c r="AB1227" s="122"/>
      <c r="AC1227" s="122"/>
      <c r="AD1227" s="122">
        <v>35</v>
      </c>
      <c r="AE1227" s="122"/>
      <c r="AF1227" s="122"/>
      <c r="AG1227" s="122">
        <v>0.26</v>
      </c>
      <c r="AH1227" s="122"/>
      <c r="AI1227" s="122" t="s">
        <v>482</v>
      </c>
      <c r="AJ1227" s="122"/>
      <c r="AK1227" s="122"/>
      <c r="AL1227" s="122"/>
      <c r="AM1227" s="639">
        <f t="shared" si="22"/>
        <v>452.86</v>
      </c>
      <c r="AO1227" s="289"/>
    </row>
    <row r="1228" spans="1:42" s="61" customFormat="1" ht="19.5" customHeight="1" x14ac:dyDescent="0.3">
      <c r="A1228" s="706"/>
      <c r="B1228" s="116" t="s">
        <v>294</v>
      </c>
      <c r="C1228" s="138">
        <v>105</v>
      </c>
      <c r="D1228" s="109"/>
      <c r="E1228" s="109"/>
      <c r="F1228" s="263"/>
      <c r="G1228" s="109"/>
      <c r="H1228" s="109">
        <v>178</v>
      </c>
      <c r="I1228" s="123"/>
      <c r="J1228" s="109"/>
      <c r="K1228" s="109"/>
      <c r="L1228" s="263"/>
      <c r="M1228" s="109"/>
      <c r="N1228" s="123"/>
      <c r="O1228" s="109"/>
      <c r="P1228" s="109"/>
      <c r="Q1228" s="109"/>
      <c r="R1228" s="109"/>
      <c r="S1228" s="109"/>
      <c r="T1228" s="139"/>
      <c r="U1228" s="138">
        <v>225.59899999999999</v>
      </c>
      <c r="V1228" s="109"/>
      <c r="W1228" s="109"/>
      <c r="X1228" s="109"/>
      <c r="Y1228" s="109">
        <v>100</v>
      </c>
      <c r="Z1228" s="109">
        <v>10</v>
      </c>
      <c r="AA1228" s="109"/>
      <c r="AB1228" s="109"/>
      <c r="AC1228" s="109"/>
      <c r="AD1228" s="109">
        <v>35</v>
      </c>
      <c r="AE1228" s="109"/>
      <c r="AF1228" s="109"/>
      <c r="AG1228" s="109">
        <v>0.95</v>
      </c>
      <c r="AH1228" s="109">
        <v>302</v>
      </c>
      <c r="AI1228" s="109" t="s">
        <v>482</v>
      </c>
      <c r="AJ1228" s="109"/>
      <c r="AK1228" s="109"/>
      <c r="AL1228" s="109"/>
      <c r="AM1228" s="640">
        <f t="shared" si="22"/>
        <v>956.54899999999998</v>
      </c>
      <c r="AO1228" s="289"/>
    </row>
    <row r="1229" spans="1:42" s="61" customFormat="1" ht="22.5" customHeight="1" x14ac:dyDescent="0.3">
      <c r="A1229" s="706"/>
      <c r="B1229" s="117" t="s">
        <v>326</v>
      </c>
      <c r="C1229" s="140">
        <v>199.47900000000001</v>
      </c>
      <c r="D1229" s="110"/>
      <c r="E1229" s="110"/>
      <c r="F1229" s="264"/>
      <c r="G1229" s="110"/>
      <c r="H1229" s="110">
        <v>173</v>
      </c>
      <c r="I1229" s="124"/>
      <c r="J1229" s="110"/>
      <c r="K1229" s="110"/>
      <c r="L1229" s="264"/>
      <c r="M1229" s="110"/>
      <c r="N1229" s="124"/>
      <c r="O1229" s="110"/>
      <c r="P1229" s="110"/>
      <c r="Q1229" s="110"/>
      <c r="R1229" s="110"/>
      <c r="S1229" s="110">
        <v>10</v>
      </c>
      <c r="T1229" s="141"/>
      <c r="U1229" s="140">
        <v>225.59899999999999</v>
      </c>
      <c r="V1229" s="110"/>
      <c r="W1229" s="110"/>
      <c r="X1229" s="110"/>
      <c r="Y1229" s="110">
        <v>100</v>
      </c>
      <c r="Z1229" s="110">
        <v>50</v>
      </c>
      <c r="AA1229" s="110"/>
      <c r="AB1229" s="110"/>
      <c r="AC1229" s="110">
        <v>5</v>
      </c>
      <c r="AD1229" s="110">
        <v>35</v>
      </c>
      <c r="AE1229" s="110"/>
      <c r="AF1229" s="110"/>
      <c r="AG1229" s="110">
        <f>2/1.3</f>
        <v>1.5384615384615383</v>
      </c>
      <c r="AH1229" s="110"/>
      <c r="AI1229" s="110">
        <v>300</v>
      </c>
      <c r="AJ1229" s="110"/>
      <c r="AK1229" s="110"/>
      <c r="AL1229" s="110"/>
      <c r="AM1229" s="641">
        <f t="shared" si="22"/>
        <v>1099.6164615384614</v>
      </c>
      <c r="AO1229" s="289"/>
      <c r="AP1229" s="97"/>
    </row>
    <row r="1230" spans="1:42" s="61" customFormat="1" ht="25.5" customHeight="1" x14ac:dyDescent="0.3">
      <c r="A1230" s="706"/>
      <c r="B1230" s="175" t="s">
        <v>327</v>
      </c>
      <c r="C1230" s="176">
        <v>13225</v>
      </c>
      <c r="D1230" s="127"/>
      <c r="E1230" s="127"/>
      <c r="F1230" s="265"/>
      <c r="G1230" s="127"/>
      <c r="H1230" s="127">
        <v>312</v>
      </c>
      <c r="I1230" s="178"/>
      <c r="J1230" s="127"/>
      <c r="K1230" s="127"/>
      <c r="L1230" s="265"/>
      <c r="M1230" s="127"/>
      <c r="N1230" s="178"/>
      <c r="O1230" s="127"/>
      <c r="P1230" s="127"/>
      <c r="Q1230" s="127"/>
      <c r="R1230" s="127"/>
      <c r="S1230" s="127"/>
      <c r="T1230" s="177"/>
      <c r="U1230" s="176">
        <v>227.053</v>
      </c>
      <c r="V1230" s="127"/>
      <c r="W1230" s="127"/>
      <c r="X1230" s="127"/>
      <c r="Y1230" s="127">
        <v>100</v>
      </c>
      <c r="Z1230" s="127">
        <v>50</v>
      </c>
      <c r="AA1230" s="127"/>
      <c r="AB1230" s="127">
        <v>10</v>
      </c>
      <c r="AC1230" s="127"/>
      <c r="AD1230" s="127">
        <v>35</v>
      </c>
      <c r="AE1230" s="127"/>
      <c r="AF1230" s="127"/>
      <c r="AG1230" s="127">
        <f>2/1.3</f>
        <v>1.5384615384615383</v>
      </c>
      <c r="AH1230" s="127">
        <v>198.57</v>
      </c>
      <c r="AI1230" s="127">
        <v>30</v>
      </c>
      <c r="AJ1230" s="127"/>
      <c r="AK1230" s="127"/>
      <c r="AL1230" s="127"/>
      <c r="AM1230" s="642">
        <f t="shared" si="22"/>
        <v>14189.161461538461</v>
      </c>
      <c r="AO1230" s="289"/>
    </row>
    <row r="1231" spans="1:42" s="61" customFormat="1" ht="25.5" customHeight="1" x14ac:dyDescent="0.3">
      <c r="A1231" s="706"/>
      <c r="B1231" s="180" t="s">
        <v>361</v>
      </c>
      <c r="C1231" s="300">
        <v>11196.958000000001</v>
      </c>
      <c r="D1231" s="173"/>
      <c r="E1231" s="173"/>
      <c r="F1231" s="266"/>
      <c r="G1231" s="173"/>
      <c r="H1231" s="173"/>
      <c r="I1231" s="174"/>
      <c r="J1231" s="173"/>
      <c r="K1231" s="173"/>
      <c r="L1231" s="266"/>
      <c r="M1231" s="173"/>
      <c r="N1231" s="174"/>
      <c r="O1231" s="173"/>
      <c r="P1231" s="173"/>
      <c r="Q1231" s="173"/>
      <c r="R1231" s="173"/>
      <c r="S1231" s="173"/>
      <c r="T1231" s="327"/>
      <c r="U1231" s="300">
        <v>226.334</v>
      </c>
      <c r="V1231" s="173"/>
      <c r="W1231" s="173">
        <v>30</v>
      </c>
      <c r="X1231" s="173"/>
      <c r="Y1231" s="173">
        <v>20</v>
      </c>
      <c r="Z1231" s="173">
        <v>550</v>
      </c>
      <c r="AA1231" s="173"/>
      <c r="AB1231" s="173">
        <v>20</v>
      </c>
      <c r="AC1231" s="173">
        <v>250</v>
      </c>
      <c r="AD1231" s="173"/>
      <c r="AE1231" s="173"/>
      <c r="AF1231" s="173"/>
      <c r="AG1231" s="173">
        <v>2</v>
      </c>
      <c r="AH1231" s="173">
        <v>152</v>
      </c>
      <c r="AI1231" s="173">
        <v>8</v>
      </c>
      <c r="AJ1231" s="173"/>
      <c r="AK1231" s="173"/>
      <c r="AL1231" s="173"/>
      <c r="AM1231" s="643">
        <f t="shared" si="22"/>
        <v>12455.292000000001</v>
      </c>
      <c r="AO1231" s="289"/>
      <c r="AP1231" s="97"/>
    </row>
    <row r="1232" spans="1:42" s="61" customFormat="1" ht="25.5" customHeight="1" x14ac:dyDescent="0.3">
      <c r="A1232" s="706"/>
      <c r="B1232" s="180" t="s">
        <v>362</v>
      </c>
      <c r="C1232" s="300">
        <v>-7963.2380000000003</v>
      </c>
      <c r="D1232" s="173"/>
      <c r="E1232" s="173"/>
      <c r="F1232" s="266"/>
      <c r="G1232" s="173">
        <v>950</v>
      </c>
      <c r="H1232" s="173"/>
      <c r="I1232" s="174"/>
      <c r="J1232" s="173"/>
      <c r="K1232" s="173"/>
      <c r="L1232" s="266"/>
      <c r="M1232" s="173"/>
      <c r="N1232" s="174"/>
      <c r="O1232" s="173"/>
      <c r="P1232" s="173"/>
      <c r="Q1232" s="173"/>
      <c r="R1232" s="173"/>
      <c r="S1232" s="173">
        <v>324</v>
      </c>
      <c r="T1232" s="327"/>
      <c r="U1232" s="300">
        <v>226.30799999999999</v>
      </c>
      <c r="V1232" s="173"/>
      <c r="W1232" s="173"/>
      <c r="X1232" s="173"/>
      <c r="Y1232" s="173"/>
      <c r="Z1232" s="173">
        <v>100</v>
      </c>
      <c r="AA1232" s="173"/>
      <c r="AB1232" s="173">
        <v>30</v>
      </c>
      <c r="AC1232" s="173">
        <f>1616-250</f>
        <v>1366</v>
      </c>
      <c r="AD1232" s="173">
        <v>35</v>
      </c>
      <c r="AE1232" s="173"/>
      <c r="AF1232" s="173"/>
      <c r="AG1232" s="173">
        <v>12</v>
      </c>
      <c r="AH1232" s="173"/>
      <c r="AI1232" s="173">
        <v>100</v>
      </c>
      <c r="AJ1232" s="173"/>
      <c r="AK1232" s="173"/>
      <c r="AL1232" s="173"/>
      <c r="AM1232" s="644">
        <f t="shared" si="22"/>
        <v>-4819.93</v>
      </c>
      <c r="AO1232" s="289"/>
      <c r="AP1232" s="97"/>
    </row>
    <row r="1233" spans="1:42" s="61" customFormat="1" ht="22.5" customHeight="1" x14ac:dyDescent="0.3">
      <c r="A1233" s="706"/>
      <c r="B1233" s="115" t="s">
        <v>402</v>
      </c>
      <c r="C1233" s="142">
        <v>180</v>
      </c>
      <c r="D1233" s="111"/>
      <c r="E1233" s="111">
        <v>10</v>
      </c>
      <c r="F1233" s="267"/>
      <c r="G1233" s="111"/>
      <c r="H1233" s="111"/>
      <c r="I1233" s="125"/>
      <c r="J1233" s="111"/>
      <c r="K1233" s="111"/>
      <c r="L1233" s="267">
        <v>0</v>
      </c>
      <c r="M1233" s="111"/>
      <c r="N1233" s="125"/>
      <c r="O1233" s="111"/>
      <c r="P1233" s="111"/>
      <c r="Q1233" s="111"/>
      <c r="R1233" s="111"/>
      <c r="S1233" s="111">
        <v>132.3521760000001</v>
      </c>
      <c r="T1233" s="143">
        <v>30</v>
      </c>
      <c r="U1233" s="142">
        <v>224.37</v>
      </c>
      <c r="V1233" s="111"/>
      <c r="W1233" s="111"/>
      <c r="X1233" s="111"/>
      <c r="Y1233" s="111">
        <v>50</v>
      </c>
      <c r="Z1233" s="111"/>
      <c r="AA1233" s="111"/>
      <c r="AB1233" s="111">
        <v>20</v>
      </c>
      <c r="AC1233" s="111">
        <v>1359</v>
      </c>
      <c r="AD1233" s="111">
        <v>65</v>
      </c>
      <c r="AE1233" s="111"/>
      <c r="AF1233" s="111"/>
      <c r="AG1233" s="111"/>
      <c r="AH1233" s="111" t="s">
        <v>482</v>
      </c>
      <c r="AI1233" s="111">
        <v>47</v>
      </c>
      <c r="AJ1233" s="111"/>
      <c r="AK1233" s="111">
        <f>29.982/1.097</f>
        <v>27.330902461257978</v>
      </c>
      <c r="AL1233" s="111"/>
      <c r="AM1233" s="645">
        <f t="shared" si="22"/>
        <v>2145.0530784612583</v>
      </c>
      <c r="AO1233" s="289"/>
    </row>
    <row r="1234" spans="1:42" s="61" customFormat="1" ht="21" customHeight="1" x14ac:dyDescent="0.3">
      <c r="A1234" s="707"/>
      <c r="B1234" s="181" t="s">
        <v>403</v>
      </c>
      <c r="C1234" s="144">
        <v>179.982</v>
      </c>
      <c r="D1234" s="112"/>
      <c r="E1234" s="112"/>
      <c r="F1234" s="268"/>
      <c r="G1234" s="112"/>
      <c r="H1234" s="112"/>
      <c r="I1234" s="126"/>
      <c r="J1234" s="112"/>
      <c r="K1234" s="112">
        <v>75</v>
      </c>
      <c r="L1234" s="268"/>
      <c r="M1234" s="112"/>
      <c r="N1234" s="126"/>
      <c r="O1234" s="112"/>
      <c r="P1234" s="112"/>
      <c r="Q1234" s="112"/>
      <c r="R1234" s="112"/>
      <c r="S1234" s="112">
        <v>197.79787699999991</v>
      </c>
      <c r="T1234" s="145"/>
      <c r="U1234" s="144">
        <v>225.13499999999999</v>
      </c>
      <c r="V1234" s="112"/>
      <c r="W1234" s="112"/>
      <c r="X1234" s="112"/>
      <c r="Y1234" s="112"/>
      <c r="Z1234" s="112"/>
      <c r="AA1234" s="112"/>
      <c r="AB1234" s="112">
        <v>20</v>
      </c>
      <c r="AC1234" s="112">
        <v>1351</v>
      </c>
      <c r="AD1234" s="112">
        <v>150</v>
      </c>
      <c r="AE1234" s="112"/>
      <c r="AF1234" s="112"/>
      <c r="AG1234" s="112"/>
      <c r="AH1234" s="112">
        <v>10216.501</v>
      </c>
      <c r="AI1234" s="112">
        <v>48</v>
      </c>
      <c r="AJ1234" s="112"/>
      <c r="AK1234" s="112"/>
      <c r="AL1234" s="112"/>
      <c r="AM1234" s="646">
        <f t="shared" si="22"/>
        <v>12463.415876999999</v>
      </c>
      <c r="AO1234" s="289"/>
    </row>
    <row r="1235" spans="1:42" s="61" customFormat="1" ht="21" customHeight="1" x14ac:dyDescent="0.3">
      <c r="A1235" s="705" t="s">
        <v>239</v>
      </c>
      <c r="B1235" s="179" t="s">
        <v>293</v>
      </c>
      <c r="C1235" s="135">
        <v>1915.96</v>
      </c>
      <c r="D1235" s="136"/>
      <c r="E1235" s="136"/>
      <c r="F1235" s="262">
        <v>910.50199999999995</v>
      </c>
      <c r="G1235" s="136">
        <v>1035</v>
      </c>
      <c r="H1235" s="136"/>
      <c r="I1235" s="326"/>
      <c r="J1235" s="136"/>
      <c r="K1235" s="136"/>
      <c r="L1235" s="262">
        <v>517.07299999999998</v>
      </c>
      <c r="M1235" s="136">
        <v>234.249</v>
      </c>
      <c r="N1235" s="326"/>
      <c r="O1235" s="136"/>
      <c r="P1235" s="136">
        <v>269</v>
      </c>
      <c r="Q1235" s="136"/>
      <c r="R1235" s="136"/>
      <c r="S1235" s="136"/>
      <c r="T1235" s="137">
        <v>100</v>
      </c>
      <c r="U1235" s="632">
        <v>810.96799999999996</v>
      </c>
      <c r="V1235" s="122"/>
      <c r="W1235" s="122"/>
      <c r="X1235" s="122">
        <v>10</v>
      </c>
      <c r="Y1235" s="122">
        <v>1967</v>
      </c>
      <c r="Z1235" s="122">
        <v>7848</v>
      </c>
      <c r="AA1235" s="122">
        <v>914.17192</v>
      </c>
      <c r="AB1235" s="122"/>
      <c r="AC1235" s="122">
        <v>183</v>
      </c>
      <c r="AD1235" s="122">
        <v>100</v>
      </c>
      <c r="AE1235" s="122"/>
      <c r="AF1235" s="122"/>
      <c r="AG1235" s="122"/>
      <c r="AH1235" s="122">
        <v>16610.16</v>
      </c>
      <c r="AI1235" s="122">
        <v>1227</v>
      </c>
      <c r="AJ1235" s="122">
        <v>379</v>
      </c>
      <c r="AK1235" s="122">
        <v>125.42</v>
      </c>
      <c r="AL1235" s="122">
        <v>288.1736845637584</v>
      </c>
      <c r="AM1235" s="639">
        <f t="shared" ref="AM1235:AM1242" si="23">SUM(C1235:AL1235)</f>
        <v>35444.67760456376</v>
      </c>
      <c r="AO1235" s="289"/>
    </row>
    <row r="1236" spans="1:42" s="61" customFormat="1" ht="19.5" customHeight="1" x14ac:dyDescent="0.3">
      <c r="A1236" s="706"/>
      <c r="B1236" s="116" t="s">
        <v>294</v>
      </c>
      <c r="C1236" s="138">
        <v>1790.55</v>
      </c>
      <c r="D1236" s="109"/>
      <c r="E1236" s="109"/>
      <c r="F1236" s="263">
        <v>138.65199999999999</v>
      </c>
      <c r="G1236" s="109">
        <v>1181</v>
      </c>
      <c r="H1236" s="109">
        <v>253</v>
      </c>
      <c r="I1236" s="123"/>
      <c r="J1236" s="109"/>
      <c r="K1236" s="109">
        <v>219</v>
      </c>
      <c r="L1236" s="263">
        <v>459.90899999999999</v>
      </c>
      <c r="M1236" s="109">
        <v>482.065</v>
      </c>
      <c r="N1236" s="123">
        <v>8.3330000000000002</v>
      </c>
      <c r="O1236" s="109"/>
      <c r="P1236" s="109">
        <v>279</v>
      </c>
      <c r="Q1236" s="109"/>
      <c r="R1236" s="109"/>
      <c r="S1236" s="109">
        <v>1000</v>
      </c>
      <c r="T1236" s="139">
        <v>100</v>
      </c>
      <c r="U1236" s="138">
        <v>778.41</v>
      </c>
      <c r="V1236" s="109"/>
      <c r="W1236" s="109"/>
      <c r="X1236" s="109">
        <v>10</v>
      </c>
      <c r="Y1236" s="109">
        <v>2781</v>
      </c>
      <c r="Z1236" s="109">
        <v>14342</v>
      </c>
      <c r="AA1236" s="109">
        <v>406.52293000000003</v>
      </c>
      <c r="AB1236" s="109">
        <v>10</v>
      </c>
      <c r="AC1236" s="109">
        <v>118</v>
      </c>
      <c r="AD1236" s="109">
        <v>100</v>
      </c>
      <c r="AE1236" s="109"/>
      <c r="AF1236" s="109">
        <v>84</v>
      </c>
      <c r="AG1236" s="109">
        <v>10.6</v>
      </c>
      <c r="AH1236" s="109">
        <v>17009.93</v>
      </c>
      <c r="AI1236" s="109">
        <v>1160</v>
      </c>
      <c r="AJ1236" s="109">
        <v>430</v>
      </c>
      <c r="AK1236" s="109">
        <v>151.04</v>
      </c>
      <c r="AL1236" s="109">
        <v>216.92307692307691</v>
      </c>
      <c r="AM1236" s="640">
        <f t="shared" si="23"/>
        <v>43519.935006923079</v>
      </c>
      <c r="AO1236" s="289"/>
    </row>
    <row r="1237" spans="1:42" s="61" customFormat="1" ht="22.5" customHeight="1" x14ac:dyDescent="0.3">
      <c r="A1237" s="706"/>
      <c r="B1237" s="117" t="s">
        <v>326</v>
      </c>
      <c r="C1237" s="140">
        <v>1951.597</v>
      </c>
      <c r="D1237" s="110"/>
      <c r="E1237" s="110"/>
      <c r="F1237" s="264"/>
      <c r="G1237" s="110">
        <v>1415</v>
      </c>
      <c r="H1237" s="110">
        <v>220</v>
      </c>
      <c r="I1237" s="124"/>
      <c r="J1237" s="110"/>
      <c r="K1237" s="110">
        <v>136</v>
      </c>
      <c r="L1237" s="264">
        <v>691</v>
      </c>
      <c r="M1237" s="110">
        <f>514978/1000</f>
        <v>514.97799999999995</v>
      </c>
      <c r="N1237" s="124">
        <v>116.14400000000001</v>
      </c>
      <c r="O1237" s="110"/>
      <c r="P1237" s="110">
        <v>793</v>
      </c>
      <c r="Q1237" s="110"/>
      <c r="R1237" s="110"/>
      <c r="S1237" s="110">
        <v>455</v>
      </c>
      <c r="T1237" s="141"/>
      <c r="U1237" s="140">
        <v>896.65</v>
      </c>
      <c r="V1237" s="110"/>
      <c r="W1237" s="110"/>
      <c r="X1237" s="110">
        <v>10</v>
      </c>
      <c r="Y1237" s="110">
        <v>1599</v>
      </c>
      <c r="Z1237" s="110">
        <v>11434</v>
      </c>
      <c r="AA1237" s="110">
        <v>102.06587</v>
      </c>
      <c r="AB1237" s="110"/>
      <c r="AC1237" s="110">
        <v>95</v>
      </c>
      <c r="AD1237" s="110">
        <v>655</v>
      </c>
      <c r="AE1237" s="110"/>
      <c r="AF1237" s="110"/>
      <c r="AG1237" s="110"/>
      <c r="AH1237" s="110">
        <v>23689.178339999999</v>
      </c>
      <c r="AI1237" s="110">
        <v>1206</v>
      </c>
      <c r="AJ1237" s="110">
        <v>1333</v>
      </c>
      <c r="AK1237" s="110">
        <v>174</v>
      </c>
      <c r="AL1237" s="110">
        <v>228.07017543859652</v>
      </c>
      <c r="AM1237" s="641">
        <f t="shared" si="23"/>
        <v>47714.683385438591</v>
      </c>
      <c r="AO1237" s="289"/>
      <c r="AP1237" s="97"/>
    </row>
    <row r="1238" spans="1:42" s="61" customFormat="1" ht="25.5" customHeight="1" x14ac:dyDescent="0.3">
      <c r="A1238" s="706"/>
      <c r="B1238" s="175" t="s">
        <v>327</v>
      </c>
      <c r="C1238" s="176">
        <v>1708.4069999999999</v>
      </c>
      <c r="D1238" s="127"/>
      <c r="E1238" s="127"/>
      <c r="F1238" s="265">
        <v>457</v>
      </c>
      <c r="G1238" s="127">
        <v>1452</v>
      </c>
      <c r="H1238" s="127">
        <v>138</v>
      </c>
      <c r="I1238" s="178"/>
      <c r="J1238" s="127"/>
      <c r="K1238" s="127">
        <v>199</v>
      </c>
      <c r="L1238" s="265">
        <v>900</v>
      </c>
      <c r="M1238" s="127">
        <f>870458/1000</f>
        <v>870.45799999999997</v>
      </c>
      <c r="N1238" s="178">
        <v>629.13800000000003</v>
      </c>
      <c r="O1238" s="127"/>
      <c r="P1238" s="127">
        <v>358</v>
      </c>
      <c r="Q1238" s="127"/>
      <c r="R1238" s="127"/>
      <c r="S1238" s="127">
        <v>5318</v>
      </c>
      <c r="T1238" s="177"/>
      <c r="U1238" s="176">
        <v>997.64800000000002</v>
      </c>
      <c r="V1238" s="127"/>
      <c r="W1238" s="127"/>
      <c r="X1238" s="127">
        <v>10</v>
      </c>
      <c r="Y1238" s="127">
        <v>1150</v>
      </c>
      <c r="Z1238" s="127">
        <v>16922</v>
      </c>
      <c r="AA1238" s="127">
        <v>152.40309999999999</v>
      </c>
      <c r="AB1238" s="127"/>
      <c r="AC1238" s="127">
        <v>83</v>
      </c>
      <c r="AD1238" s="127">
        <v>514</v>
      </c>
      <c r="AE1238" s="127"/>
      <c r="AF1238" s="127">
        <v>500</v>
      </c>
      <c r="AG1238" s="127"/>
      <c r="AH1238" s="127">
        <v>1147.8</v>
      </c>
      <c r="AI1238" s="127">
        <v>5410</v>
      </c>
      <c r="AJ1238" s="127">
        <v>823</v>
      </c>
      <c r="AK1238" s="127">
        <v>152</v>
      </c>
      <c r="AL1238" s="127">
        <v>183.20610687022901</v>
      </c>
      <c r="AM1238" s="642">
        <f t="shared" si="23"/>
        <v>40075.060206870228</v>
      </c>
      <c r="AO1238" s="289"/>
    </row>
    <row r="1239" spans="1:42" s="61" customFormat="1" ht="25.5" customHeight="1" x14ac:dyDescent="0.3">
      <c r="A1239" s="706"/>
      <c r="B1239" s="180" t="s">
        <v>361</v>
      </c>
      <c r="C1239" s="300">
        <v>11199.31</v>
      </c>
      <c r="D1239" s="173"/>
      <c r="E1239" s="173"/>
      <c r="F1239" s="266">
        <v>527</v>
      </c>
      <c r="G1239" s="173">
        <f>1000+332</f>
        <v>1332</v>
      </c>
      <c r="H1239" s="173">
        <f>310+136+5+100</f>
        <v>551</v>
      </c>
      <c r="I1239" s="174"/>
      <c r="J1239" s="173"/>
      <c r="K1239" s="173"/>
      <c r="L1239" s="266">
        <v>1155</v>
      </c>
      <c r="M1239" s="173">
        <v>1149.8</v>
      </c>
      <c r="N1239" s="174">
        <v>147.268</v>
      </c>
      <c r="O1239" s="173"/>
      <c r="P1239" s="173">
        <v>209</v>
      </c>
      <c r="Q1239" s="173"/>
      <c r="R1239" s="173"/>
      <c r="S1239" s="173">
        <v>2079</v>
      </c>
      <c r="T1239" s="327">
        <v>324.89999999999998</v>
      </c>
      <c r="U1239" s="300">
        <v>1852.097</v>
      </c>
      <c r="V1239" s="173"/>
      <c r="W1239" s="173"/>
      <c r="X1239" s="173">
        <v>18</v>
      </c>
      <c r="Y1239" s="173">
        <v>1621</v>
      </c>
      <c r="Z1239" s="173">
        <v>19404.994999999999</v>
      </c>
      <c r="AA1239" s="173">
        <v>600</v>
      </c>
      <c r="AB1239" s="173"/>
      <c r="AC1239" s="173">
        <f>75+18</f>
        <v>93</v>
      </c>
      <c r="AD1239" s="173">
        <v>100</v>
      </c>
      <c r="AE1239" s="173"/>
      <c r="AF1239" s="173">
        <v>45</v>
      </c>
      <c r="AG1239" s="173"/>
      <c r="AH1239" s="173"/>
      <c r="AI1239" s="173">
        <v>11477</v>
      </c>
      <c r="AJ1239" s="173">
        <v>1149</v>
      </c>
      <c r="AK1239" s="173">
        <v>275</v>
      </c>
      <c r="AL1239" s="173">
        <v>204.95867768595042</v>
      </c>
      <c r="AM1239" s="643">
        <f t="shared" si="23"/>
        <v>55514.328677685946</v>
      </c>
      <c r="AO1239" s="289"/>
      <c r="AP1239" s="97"/>
    </row>
    <row r="1240" spans="1:42" s="61" customFormat="1" ht="25.5" customHeight="1" x14ac:dyDescent="0.3">
      <c r="A1240" s="706"/>
      <c r="B1240" s="180" t="s">
        <v>362</v>
      </c>
      <c r="C1240" s="300">
        <v>7271.6289999999999</v>
      </c>
      <c r="D1240" s="173"/>
      <c r="E1240" s="173"/>
      <c r="F1240" s="266">
        <v>876</v>
      </c>
      <c r="G1240" s="173">
        <f>1386+953</f>
        <v>2339</v>
      </c>
      <c r="H1240" s="173">
        <f>72+216+37+100</f>
        <v>425</v>
      </c>
      <c r="I1240" s="174"/>
      <c r="J1240" s="173"/>
      <c r="K1240" s="173"/>
      <c r="L1240" s="266">
        <v>1423</v>
      </c>
      <c r="M1240" s="173">
        <v>1234.77</v>
      </c>
      <c r="N1240" s="174">
        <v>7.8289999999999997</v>
      </c>
      <c r="O1240" s="173"/>
      <c r="P1240" s="173">
        <v>490</v>
      </c>
      <c r="Q1240" s="173"/>
      <c r="R1240" s="173"/>
      <c r="S1240" s="173">
        <v>4095</v>
      </c>
      <c r="T1240" s="327">
        <v>559.4</v>
      </c>
      <c r="U1240" s="300">
        <v>1642.769</v>
      </c>
      <c r="V1240" s="173"/>
      <c r="W1240" s="173">
        <v>200</v>
      </c>
      <c r="X1240" s="173">
        <v>15</v>
      </c>
      <c r="Y1240" s="173">
        <v>2198</v>
      </c>
      <c r="Z1240" s="173">
        <v>26481.348329999997</v>
      </c>
      <c r="AA1240" s="173">
        <f>910.621-2</f>
        <v>908.62099999999998</v>
      </c>
      <c r="AB1240" s="173">
        <v>100</v>
      </c>
      <c r="AC1240" s="173">
        <f>150-75+222</f>
        <v>297</v>
      </c>
      <c r="AD1240" s="173">
        <v>50</v>
      </c>
      <c r="AE1240" s="173"/>
      <c r="AF1240" s="173">
        <v>56</v>
      </c>
      <c r="AG1240" s="173"/>
      <c r="AH1240" s="173"/>
      <c r="AI1240" s="173">
        <v>15999</v>
      </c>
      <c r="AJ1240" s="173">
        <v>1564</v>
      </c>
      <c r="AK1240" s="173">
        <v>79</v>
      </c>
      <c r="AL1240" s="173">
        <v>381.25</v>
      </c>
      <c r="AM1240" s="644">
        <f t="shared" si="23"/>
        <v>68693.616330000004</v>
      </c>
      <c r="AO1240" s="289"/>
      <c r="AP1240" s="97"/>
    </row>
    <row r="1241" spans="1:42" s="61" customFormat="1" ht="22.5" customHeight="1" x14ac:dyDescent="0.3">
      <c r="A1241" s="706"/>
      <c r="B1241" s="115" t="s">
        <v>402</v>
      </c>
      <c r="C1241" s="142">
        <v>7319.9149600000001</v>
      </c>
      <c r="D1241" s="111"/>
      <c r="E1241" s="111">
        <v>15</v>
      </c>
      <c r="F1241" s="267">
        <v>902.7</v>
      </c>
      <c r="G1241" s="111">
        <v>919</v>
      </c>
      <c r="H1241" s="111">
        <v>246</v>
      </c>
      <c r="I1241" s="125"/>
      <c r="J1241" s="111"/>
      <c r="K1241" s="111">
        <v>285</v>
      </c>
      <c r="L1241" s="267">
        <v>1206</v>
      </c>
      <c r="M1241" s="111">
        <v>425.1</v>
      </c>
      <c r="N1241" s="125"/>
      <c r="O1241" s="111"/>
      <c r="P1241" s="111">
        <v>597</v>
      </c>
      <c r="Q1241" s="111"/>
      <c r="R1241" s="111"/>
      <c r="S1241" s="111">
        <v>7417.7223429999995</v>
      </c>
      <c r="T1241" s="143">
        <v>1839.8</v>
      </c>
      <c r="U1241" s="142">
        <v>1953.6079999999999</v>
      </c>
      <c r="V1241" s="111"/>
      <c r="W1241" s="111">
        <v>3738</v>
      </c>
      <c r="X1241" s="111">
        <v>32</v>
      </c>
      <c r="Y1241" s="111">
        <v>3016.5189999999998</v>
      </c>
      <c r="Z1241" s="111">
        <v>11610</v>
      </c>
      <c r="AA1241" s="111">
        <v>946</v>
      </c>
      <c r="AB1241" s="111"/>
      <c r="AC1241" s="111">
        <v>420</v>
      </c>
      <c r="AD1241" s="111">
        <v>397</v>
      </c>
      <c r="AE1241" s="111"/>
      <c r="AF1241" s="111">
        <v>109.83467999999999</v>
      </c>
      <c r="AG1241" s="111"/>
      <c r="AH1241" s="111">
        <v>2601.0100000000002</v>
      </c>
      <c r="AI1241" s="111">
        <v>13656</v>
      </c>
      <c r="AJ1241" s="111">
        <v>1474</v>
      </c>
      <c r="AK1241" s="111">
        <f>204.516/1.097</f>
        <v>186.43208751139471</v>
      </c>
      <c r="AL1241" s="111">
        <v>321.25</v>
      </c>
      <c r="AM1241" s="645">
        <f t="shared" si="23"/>
        <v>61634.891070511389</v>
      </c>
      <c r="AO1241" s="289"/>
    </row>
    <row r="1242" spans="1:42" s="61" customFormat="1" ht="21" customHeight="1" x14ac:dyDescent="0.3">
      <c r="A1242" s="707"/>
      <c r="B1242" s="181" t="s">
        <v>403</v>
      </c>
      <c r="C1242" s="144">
        <v>10331.64962</v>
      </c>
      <c r="D1242" s="112"/>
      <c r="E1242" s="112"/>
      <c r="F1242" s="268">
        <v>328.7</v>
      </c>
      <c r="G1242" s="112">
        <v>1518</v>
      </c>
      <c r="H1242" s="112">
        <v>394</v>
      </c>
      <c r="I1242" s="126"/>
      <c r="J1242" s="112"/>
      <c r="K1242" s="112">
        <v>127</v>
      </c>
      <c r="L1242" s="268">
        <v>1036.8</v>
      </c>
      <c r="M1242" s="112">
        <v>1477.03</v>
      </c>
      <c r="N1242" s="126"/>
      <c r="O1242" s="112"/>
      <c r="P1242" s="112">
        <v>471</v>
      </c>
      <c r="Q1242" s="112"/>
      <c r="R1242" s="112"/>
      <c r="S1242" s="112">
        <v>7100.4126289999995</v>
      </c>
      <c r="T1242" s="145">
        <v>1464.57</v>
      </c>
      <c r="U1242" s="144">
        <v>1768.4949999999999</v>
      </c>
      <c r="V1242" s="112"/>
      <c r="W1242" s="112"/>
      <c r="X1242" s="112">
        <v>86</v>
      </c>
      <c r="Y1242" s="112">
        <v>3228.221</v>
      </c>
      <c r="Z1242" s="112">
        <v>11423</v>
      </c>
      <c r="AA1242" s="112">
        <v>916</v>
      </c>
      <c r="AB1242" s="112">
        <v>70</v>
      </c>
      <c r="AC1242" s="112">
        <v>307</v>
      </c>
      <c r="AD1242" s="112">
        <v>50</v>
      </c>
      <c r="AE1242" s="112"/>
      <c r="AF1242" s="112">
        <v>81.189033189033196</v>
      </c>
      <c r="AG1242" s="112"/>
      <c r="AH1242" s="112">
        <v>5400</v>
      </c>
      <c r="AI1242" s="112">
        <v>13656</v>
      </c>
      <c r="AJ1242" s="112">
        <v>1539</v>
      </c>
      <c r="AK1242" s="112">
        <f>810.1345/1.001</f>
        <v>809.32517482517494</v>
      </c>
      <c r="AL1242" s="112">
        <v>318</v>
      </c>
      <c r="AM1242" s="646">
        <f t="shared" si="23"/>
        <v>63901.392457014204</v>
      </c>
      <c r="AO1242" s="289"/>
    </row>
    <row r="1243" spans="1:42" s="61" customFormat="1" ht="21" customHeight="1" x14ac:dyDescent="0.3">
      <c r="A1243" s="705" t="s">
        <v>305</v>
      </c>
      <c r="B1243" s="179" t="s">
        <v>293</v>
      </c>
      <c r="C1243" s="135"/>
      <c r="D1243" s="136"/>
      <c r="E1243" s="136"/>
      <c r="F1243" s="262"/>
      <c r="G1243" s="136">
        <v>1</v>
      </c>
      <c r="H1243" s="136"/>
      <c r="I1243" s="326"/>
      <c r="J1243" s="136"/>
      <c r="K1243" s="136"/>
      <c r="L1243" s="262"/>
      <c r="M1243" s="136"/>
      <c r="N1243" s="326"/>
      <c r="O1243" s="136"/>
      <c r="P1243" s="136"/>
      <c r="Q1243" s="136"/>
      <c r="R1243" s="136"/>
      <c r="S1243" s="136"/>
      <c r="T1243" s="137"/>
      <c r="U1243" s="632"/>
      <c r="V1243" s="122"/>
      <c r="W1243" s="122"/>
      <c r="X1243" s="122"/>
      <c r="Y1243" s="122"/>
      <c r="Z1243" s="122"/>
      <c r="AA1243" s="122"/>
      <c r="AB1243" s="122"/>
      <c r="AC1243" s="122"/>
      <c r="AD1243" s="122"/>
      <c r="AE1243" s="122"/>
      <c r="AF1243" s="122"/>
      <c r="AG1243" s="122"/>
      <c r="AH1243" s="122"/>
      <c r="AI1243" s="122" t="s">
        <v>482</v>
      </c>
      <c r="AJ1243" s="122"/>
      <c r="AK1243" s="122"/>
      <c r="AL1243" s="122"/>
      <c r="AM1243" s="639">
        <f t="shared" ref="AM1243:AM1300" si="24">SUM(C1243:AL1243)</f>
        <v>1</v>
      </c>
      <c r="AO1243" s="289"/>
    </row>
    <row r="1244" spans="1:42" s="61" customFormat="1" ht="19.5" customHeight="1" x14ac:dyDescent="0.3">
      <c r="A1244" s="706"/>
      <c r="B1244" s="116" t="s">
        <v>294</v>
      </c>
      <c r="C1244" s="138"/>
      <c r="D1244" s="109"/>
      <c r="E1244" s="109"/>
      <c r="F1244" s="263"/>
      <c r="G1244" s="109">
        <v>1</v>
      </c>
      <c r="H1244" s="109"/>
      <c r="I1244" s="123"/>
      <c r="J1244" s="109"/>
      <c r="K1244" s="109"/>
      <c r="L1244" s="263"/>
      <c r="M1244" s="109"/>
      <c r="N1244" s="123"/>
      <c r="O1244" s="109"/>
      <c r="P1244" s="109"/>
      <c r="Q1244" s="109"/>
      <c r="R1244" s="109"/>
      <c r="S1244" s="109"/>
      <c r="T1244" s="139"/>
      <c r="U1244" s="138"/>
      <c r="V1244" s="109"/>
      <c r="W1244" s="109"/>
      <c r="X1244" s="109"/>
      <c r="Y1244" s="109"/>
      <c r="Z1244" s="109"/>
      <c r="AA1244" s="109"/>
      <c r="AB1244" s="109"/>
      <c r="AC1244" s="109"/>
      <c r="AD1244" s="109"/>
      <c r="AE1244" s="109"/>
      <c r="AF1244" s="109"/>
      <c r="AG1244" s="109"/>
      <c r="AH1244" s="109"/>
      <c r="AI1244" s="109" t="s">
        <v>482</v>
      </c>
      <c r="AJ1244" s="109"/>
      <c r="AK1244" s="109"/>
      <c r="AL1244" s="109"/>
      <c r="AM1244" s="640">
        <f t="shared" si="24"/>
        <v>1</v>
      </c>
      <c r="AO1244" s="289"/>
    </row>
    <row r="1245" spans="1:42" s="61" customFormat="1" ht="22.5" customHeight="1" x14ac:dyDescent="0.3">
      <c r="A1245" s="706"/>
      <c r="B1245" s="117" t="s">
        <v>326</v>
      </c>
      <c r="C1245" s="140">
        <v>1.097</v>
      </c>
      <c r="D1245" s="110"/>
      <c r="E1245" s="110"/>
      <c r="F1245" s="264"/>
      <c r="G1245" s="110"/>
      <c r="H1245" s="110"/>
      <c r="I1245" s="124"/>
      <c r="J1245" s="110"/>
      <c r="K1245" s="110"/>
      <c r="L1245" s="264"/>
      <c r="M1245" s="110"/>
      <c r="N1245" s="124"/>
      <c r="O1245" s="110"/>
      <c r="P1245" s="110"/>
      <c r="Q1245" s="110"/>
      <c r="R1245" s="110"/>
      <c r="S1245" s="110">
        <v>81</v>
      </c>
      <c r="T1245" s="141"/>
      <c r="U1245" s="140"/>
      <c r="V1245" s="110"/>
      <c r="W1245" s="110"/>
      <c r="X1245" s="110"/>
      <c r="Y1245" s="110"/>
      <c r="Z1245" s="110"/>
      <c r="AA1245" s="110"/>
      <c r="AB1245" s="110"/>
      <c r="AC1245" s="110"/>
      <c r="AD1245" s="110"/>
      <c r="AE1245" s="110"/>
      <c r="AF1245" s="110"/>
      <c r="AG1245" s="110"/>
      <c r="AH1245" s="110"/>
      <c r="AI1245" s="110" t="s">
        <v>482</v>
      </c>
      <c r="AJ1245" s="110"/>
      <c r="AK1245" s="110"/>
      <c r="AL1245" s="110"/>
      <c r="AM1245" s="641">
        <f t="shared" si="24"/>
        <v>82.096999999999994</v>
      </c>
      <c r="AO1245" s="289"/>
      <c r="AP1245" s="97"/>
    </row>
    <row r="1246" spans="1:42" s="61" customFormat="1" ht="25.5" customHeight="1" x14ac:dyDescent="0.3">
      <c r="A1246" s="706"/>
      <c r="B1246" s="175" t="s">
        <v>327</v>
      </c>
      <c r="C1246" s="176">
        <v>20</v>
      </c>
      <c r="D1246" s="127"/>
      <c r="E1246" s="127"/>
      <c r="F1246" s="265"/>
      <c r="G1246" s="127"/>
      <c r="H1246" s="127"/>
      <c r="I1246" s="178"/>
      <c r="J1246" s="127"/>
      <c r="K1246" s="127"/>
      <c r="L1246" s="265"/>
      <c r="M1246" s="127"/>
      <c r="N1246" s="178"/>
      <c r="O1246" s="127"/>
      <c r="P1246" s="127"/>
      <c r="Q1246" s="127"/>
      <c r="R1246" s="127"/>
      <c r="S1246" s="127">
        <v>48</v>
      </c>
      <c r="T1246" s="177"/>
      <c r="U1246" s="176">
        <v>0.16200000000000001</v>
      </c>
      <c r="V1246" s="127"/>
      <c r="W1246" s="127"/>
      <c r="X1246" s="127"/>
      <c r="Y1246" s="127"/>
      <c r="Z1246" s="127">
        <v>1</v>
      </c>
      <c r="AA1246" s="127"/>
      <c r="AB1246" s="127"/>
      <c r="AC1246" s="127"/>
      <c r="AD1246" s="127"/>
      <c r="AE1246" s="127"/>
      <c r="AF1246" s="127"/>
      <c r="AG1246" s="127"/>
      <c r="AH1246" s="127"/>
      <c r="AI1246" s="127" t="s">
        <v>482</v>
      </c>
      <c r="AJ1246" s="127"/>
      <c r="AK1246" s="127"/>
      <c r="AL1246" s="127"/>
      <c r="AM1246" s="642">
        <f t="shared" si="24"/>
        <v>69.162000000000006</v>
      </c>
      <c r="AO1246" s="289"/>
    </row>
    <row r="1247" spans="1:42" s="61" customFormat="1" ht="25.5" customHeight="1" x14ac:dyDescent="0.3">
      <c r="A1247" s="706"/>
      <c r="B1247" s="180" t="s">
        <v>361</v>
      </c>
      <c r="C1247" s="300">
        <v>54.154000000000003</v>
      </c>
      <c r="D1247" s="173"/>
      <c r="E1247" s="173"/>
      <c r="F1247" s="266"/>
      <c r="G1247" s="173">
        <f>1+100</f>
        <v>101</v>
      </c>
      <c r="H1247" s="173"/>
      <c r="I1247" s="174"/>
      <c r="J1247" s="173"/>
      <c r="K1247" s="173"/>
      <c r="L1247" s="266"/>
      <c r="M1247" s="173"/>
      <c r="N1247" s="174"/>
      <c r="O1247" s="173"/>
      <c r="P1247" s="173"/>
      <c r="Q1247" s="173"/>
      <c r="R1247" s="173"/>
      <c r="S1247" s="173">
        <v>584</v>
      </c>
      <c r="T1247" s="327"/>
      <c r="U1247" s="300">
        <v>3.0000000000000001E-3</v>
      </c>
      <c r="V1247" s="173"/>
      <c r="W1247" s="173"/>
      <c r="X1247" s="173"/>
      <c r="Y1247" s="173"/>
      <c r="Z1247" s="173"/>
      <c r="AA1247" s="173"/>
      <c r="AB1247" s="173"/>
      <c r="AC1247" s="173"/>
      <c r="AD1247" s="173"/>
      <c r="AE1247" s="173"/>
      <c r="AF1247" s="173"/>
      <c r="AG1247" s="173"/>
      <c r="AH1247" s="173"/>
      <c r="AI1247" s="173" t="s">
        <v>482</v>
      </c>
      <c r="AJ1247" s="173"/>
      <c r="AK1247" s="173"/>
      <c r="AL1247" s="173"/>
      <c r="AM1247" s="643">
        <f t="shared" si="24"/>
        <v>739.15700000000004</v>
      </c>
      <c r="AO1247" s="289"/>
      <c r="AP1247" s="97"/>
    </row>
    <row r="1248" spans="1:42" s="61" customFormat="1" ht="25.5" customHeight="1" x14ac:dyDescent="0.3">
      <c r="A1248" s="706"/>
      <c r="B1248" s="180" t="s">
        <v>362</v>
      </c>
      <c r="C1248" s="300">
        <v>32.5</v>
      </c>
      <c r="D1248" s="173"/>
      <c r="E1248" s="173"/>
      <c r="F1248" s="266"/>
      <c r="G1248" s="173">
        <v>1</v>
      </c>
      <c r="H1248" s="173">
        <v>21</v>
      </c>
      <c r="I1248" s="174"/>
      <c r="J1248" s="173"/>
      <c r="K1248" s="173"/>
      <c r="L1248" s="266"/>
      <c r="M1248" s="173"/>
      <c r="N1248" s="174">
        <v>3.4249999999999998</v>
      </c>
      <c r="O1248" s="173"/>
      <c r="P1248" s="173"/>
      <c r="Q1248" s="173"/>
      <c r="R1248" s="173"/>
      <c r="S1248" s="173">
        <v>480</v>
      </c>
      <c r="T1248" s="327"/>
      <c r="U1248" s="300"/>
      <c r="V1248" s="173"/>
      <c r="W1248" s="173"/>
      <c r="X1248" s="173"/>
      <c r="Y1248" s="173"/>
      <c r="Z1248" s="173">
        <v>294</v>
      </c>
      <c r="AA1248" s="173"/>
      <c r="AB1248" s="173"/>
      <c r="AC1248" s="173"/>
      <c r="AD1248" s="173"/>
      <c r="AE1248" s="173"/>
      <c r="AF1248" s="173"/>
      <c r="AG1248" s="173"/>
      <c r="AH1248" s="173"/>
      <c r="AI1248" s="173">
        <v>50</v>
      </c>
      <c r="AJ1248" s="173"/>
      <c r="AK1248" s="173"/>
      <c r="AL1248" s="173"/>
      <c r="AM1248" s="644">
        <f t="shared" si="24"/>
        <v>881.92499999999995</v>
      </c>
      <c r="AO1248" s="289"/>
      <c r="AP1248" s="97"/>
    </row>
    <row r="1249" spans="1:42" s="61" customFormat="1" ht="22.5" customHeight="1" x14ac:dyDescent="0.3">
      <c r="A1249" s="706"/>
      <c r="B1249" s="115" t="s">
        <v>402</v>
      </c>
      <c r="C1249" s="142">
        <v>64.48</v>
      </c>
      <c r="D1249" s="111"/>
      <c r="E1249" s="111"/>
      <c r="F1249" s="267"/>
      <c r="G1249" s="111"/>
      <c r="H1249" s="111"/>
      <c r="I1249" s="125"/>
      <c r="J1249" s="111"/>
      <c r="K1249" s="111"/>
      <c r="L1249" s="267"/>
      <c r="M1249" s="111"/>
      <c r="N1249" s="125"/>
      <c r="O1249" s="111"/>
      <c r="P1249" s="111">
        <v>15</v>
      </c>
      <c r="Q1249" s="111"/>
      <c r="R1249" s="111"/>
      <c r="S1249" s="111">
        <v>2.0242420000000001</v>
      </c>
      <c r="T1249" s="143"/>
      <c r="U1249" s="142">
        <v>7.9000000000000001E-2</v>
      </c>
      <c r="V1249" s="111"/>
      <c r="W1249" s="111"/>
      <c r="X1249" s="111"/>
      <c r="Y1249" s="111"/>
      <c r="Z1249" s="111">
        <v>251</v>
      </c>
      <c r="AA1249" s="111"/>
      <c r="AB1249" s="111"/>
      <c r="AC1249" s="111"/>
      <c r="AD1249" s="111"/>
      <c r="AE1249" s="111"/>
      <c r="AF1249" s="111"/>
      <c r="AG1249" s="111"/>
      <c r="AH1249" s="111" t="s">
        <v>482</v>
      </c>
      <c r="AI1249" s="111">
        <v>94</v>
      </c>
      <c r="AJ1249" s="111"/>
      <c r="AK1249" s="111"/>
      <c r="AL1249" s="111"/>
      <c r="AM1249" s="645">
        <f t="shared" si="24"/>
        <v>426.58324199999998</v>
      </c>
      <c r="AO1249" s="289"/>
    </row>
    <row r="1250" spans="1:42" s="61" customFormat="1" ht="21" customHeight="1" x14ac:dyDescent="0.3">
      <c r="A1250" s="707"/>
      <c r="B1250" s="181" t="s">
        <v>403</v>
      </c>
      <c r="C1250" s="144">
        <v>92.174000000000007</v>
      </c>
      <c r="D1250" s="112"/>
      <c r="E1250" s="112"/>
      <c r="F1250" s="268"/>
      <c r="G1250" s="112"/>
      <c r="H1250" s="112"/>
      <c r="I1250" s="126"/>
      <c r="J1250" s="112"/>
      <c r="K1250" s="112"/>
      <c r="L1250" s="268"/>
      <c r="M1250" s="112"/>
      <c r="N1250" s="126"/>
      <c r="O1250" s="112"/>
      <c r="P1250" s="112">
        <v>0</v>
      </c>
      <c r="Q1250" s="112"/>
      <c r="R1250" s="112"/>
      <c r="S1250" s="112">
        <v>624.59185000000014</v>
      </c>
      <c r="T1250" s="145"/>
      <c r="U1250" s="144"/>
      <c r="V1250" s="112"/>
      <c r="W1250" s="112"/>
      <c r="X1250" s="112"/>
      <c r="Y1250" s="112"/>
      <c r="Z1250" s="112">
        <v>412</v>
      </c>
      <c r="AA1250" s="112"/>
      <c r="AB1250" s="112"/>
      <c r="AC1250" s="112"/>
      <c r="AD1250" s="112"/>
      <c r="AE1250" s="112"/>
      <c r="AF1250" s="112"/>
      <c r="AG1250" s="112"/>
      <c r="AH1250" s="112" t="s">
        <v>482</v>
      </c>
      <c r="AI1250" s="112">
        <v>94</v>
      </c>
      <c r="AJ1250" s="112"/>
      <c r="AK1250" s="112"/>
      <c r="AL1250" s="112"/>
      <c r="AM1250" s="646">
        <f t="shared" si="24"/>
        <v>1222.7658500000002</v>
      </c>
      <c r="AO1250" s="289"/>
    </row>
    <row r="1251" spans="1:42" s="61" customFormat="1" ht="21" customHeight="1" x14ac:dyDescent="0.3">
      <c r="A1251" s="705" t="s">
        <v>240</v>
      </c>
      <c r="B1251" s="179" t="s">
        <v>293</v>
      </c>
      <c r="C1251" s="135">
        <v>32.5</v>
      </c>
      <c r="D1251" s="136"/>
      <c r="E1251" s="136"/>
      <c r="F1251" s="262"/>
      <c r="G1251" s="136">
        <v>41</v>
      </c>
      <c r="H1251" s="136"/>
      <c r="I1251" s="326"/>
      <c r="J1251" s="136"/>
      <c r="K1251" s="136"/>
      <c r="L1251" s="262"/>
      <c r="M1251" s="136"/>
      <c r="N1251" s="326"/>
      <c r="O1251" s="136"/>
      <c r="P1251" s="136"/>
      <c r="Q1251" s="136"/>
      <c r="R1251" s="136"/>
      <c r="S1251" s="136">
        <v>26.792000000000002</v>
      </c>
      <c r="T1251" s="137"/>
      <c r="U1251" s="632">
        <v>2.1230000000000002</v>
      </c>
      <c r="V1251" s="122"/>
      <c r="W1251" s="122"/>
      <c r="X1251" s="122"/>
      <c r="Y1251" s="122"/>
      <c r="Z1251" s="122">
        <v>10.493</v>
      </c>
      <c r="AA1251" s="122">
        <v>13.434089999999999</v>
      </c>
      <c r="AB1251" s="122"/>
      <c r="AC1251" s="122"/>
      <c r="AD1251" s="122"/>
      <c r="AE1251" s="122"/>
      <c r="AF1251" s="122"/>
      <c r="AG1251" s="122">
        <v>4.71</v>
      </c>
      <c r="AH1251" s="122"/>
      <c r="AI1251" s="122" t="s">
        <v>482</v>
      </c>
      <c r="AJ1251" s="122"/>
      <c r="AK1251" s="122"/>
      <c r="AL1251" s="122"/>
      <c r="AM1251" s="639">
        <f t="shared" si="24"/>
        <v>131.05208999999999</v>
      </c>
      <c r="AO1251" s="289"/>
    </row>
    <row r="1252" spans="1:42" s="61" customFormat="1" ht="19.5" customHeight="1" x14ac:dyDescent="0.3">
      <c r="A1252" s="706"/>
      <c r="B1252" s="116" t="s">
        <v>294</v>
      </c>
      <c r="C1252" s="138">
        <v>18.5</v>
      </c>
      <c r="D1252" s="109"/>
      <c r="E1252" s="109"/>
      <c r="F1252" s="263"/>
      <c r="G1252" s="109">
        <v>69</v>
      </c>
      <c r="H1252" s="109">
        <v>40</v>
      </c>
      <c r="I1252" s="123"/>
      <c r="J1252" s="109"/>
      <c r="K1252" s="109"/>
      <c r="L1252" s="263"/>
      <c r="M1252" s="109"/>
      <c r="N1252" s="123"/>
      <c r="O1252" s="109"/>
      <c r="P1252" s="109"/>
      <c r="Q1252" s="109"/>
      <c r="R1252" s="109"/>
      <c r="S1252" s="109">
        <v>49.707999999999998</v>
      </c>
      <c r="T1252" s="139"/>
      <c r="U1252" s="138"/>
      <c r="V1252" s="109"/>
      <c r="W1252" s="109"/>
      <c r="X1252" s="109"/>
      <c r="Y1252" s="109">
        <v>7</v>
      </c>
      <c r="Z1252" s="109">
        <v>12.18</v>
      </c>
      <c r="AA1252" s="109"/>
      <c r="AB1252" s="109"/>
      <c r="AC1252" s="109"/>
      <c r="AD1252" s="109"/>
      <c r="AE1252" s="109"/>
      <c r="AF1252" s="109"/>
      <c r="AG1252" s="109">
        <v>12.185</v>
      </c>
      <c r="AH1252" s="109"/>
      <c r="AI1252" s="109" t="s">
        <v>482</v>
      </c>
      <c r="AJ1252" s="109"/>
      <c r="AK1252" s="109"/>
      <c r="AL1252" s="109"/>
      <c r="AM1252" s="640">
        <f t="shared" si="24"/>
        <v>208.57300000000001</v>
      </c>
      <c r="AO1252" s="289"/>
    </row>
    <row r="1253" spans="1:42" s="61" customFormat="1" ht="22.5" customHeight="1" x14ac:dyDescent="0.3">
      <c r="A1253" s="706"/>
      <c r="B1253" s="117" t="s">
        <v>326</v>
      </c>
      <c r="C1253" s="140">
        <v>163.05500000000001</v>
      </c>
      <c r="D1253" s="110"/>
      <c r="E1253" s="110"/>
      <c r="F1253" s="264"/>
      <c r="G1253" s="110">
        <v>571</v>
      </c>
      <c r="H1253" s="110">
        <v>120</v>
      </c>
      <c r="I1253" s="124"/>
      <c r="J1253" s="110"/>
      <c r="K1253" s="110"/>
      <c r="L1253" s="264"/>
      <c r="M1253" s="110"/>
      <c r="N1253" s="124"/>
      <c r="O1253" s="110"/>
      <c r="P1253" s="110"/>
      <c r="Q1253" s="110"/>
      <c r="R1253" s="110"/>
      <c r="S1253" s="110">
        <v>-118</v>
      </c>
      <c r="T1253" s="141"/>
      <c r="U1253" s="140">
        <v>2.0760000000000001</v>
      </c>
      <c r="V1253" s="110"/>
      <c r="W1253" s="110"/>
      <c r="X1253" s="110"/>
      <c r="Y1253" s="110"/>
      <c r="Z1253" s="110">
        <v>12</v>
      </c>
      <c r="AA1253" s="110"/>
      <c r="AB1253" s="110"/>
      <c r="AC1253" s="110"/>
      <c r="AD1253" s="110"/>
      <c r="AE1253" s="110"/>
      <c r="AF1253" s="110"/>
      <c r="AG1253" s="110">
        <v>3</v>
      </c>
      <c r="AH1253" s="110"/>
      <c r="AI1253" s="110" t="s">
        <v>482</v>
      </c>
      <c r="AJ1253" s="110"/>
      <c r="AK1253" s="110"/>
      <c r="AL1253" s="110"/>
      <c r="AM1253" s="641">
        <f t="shared" si="24"/>
        <v>753.13100000000009</v>
      </c>
      <c r="AO1253" s="289"/>
      <c r="AP1253" s="97"/>
    </row>
    <row r="1254" spans="1:42" s="61" customFormat="1" ht="25.5" customHeight="1" x14ac:dyDescent="0.3">
      <c r="A1254" s="706"/>
      <c r="B1254" s="175" t="s">
        <v>327</v>
      </c>
      <c r="C1254" s="176">
        <v>128.48500000000001</v>
      </c>
      <c r="D1254" s="127"/>
      <c r="E1254" s="127"/>
      <c r="F1254" s="265"/>
      <c r="G1254" s="127">
        <v>79</v>
      </c>
      <c r="H1254" s="127"/>
      <c r="I1254" s="178"/>
      <c r="J1254" s="127"/>
      <c r="K1254" s="127"/>
      <c r="L1254" s="265"/>
      <c r="M1254" s="127"/>
      <c r="N1254" s="178">
        <v>85.956999999999994</v>
      </c>
      <c r="O1254" s="127"/>
      <c r="P1254" s="127"/>
      <c r="Q1254" s="127"/>
      <c r="R1254" s="127"/>
      <c r="S1254" s="127">
        <v>1719</v>
      </c>
      <c r="T1254" s="177"/>
      <c r="U1254" s="176">
        <v>3.66</v>
      </c>
      <c r="V1254" s="127"/>
      <c r="W1254" s="127"/>
      <c r="X1254" s="127">
        <v>2</v>
      </c>
      <c r="Y1254" s="127">
        <v>7</v>
      </c>
      <c r="Z1254" s="127">
        <v>749</v>
      </c>
      <c r="AA1254" s="127"/>
      <c r="AB1254" s="127"/>
      <c r="AC1254" s="127"/>
      <c r="AD1254" s="127"/>
      <c r="AE1254" s="127"/>
      <c r="AF1254" s="127"/>
      <c r="AG1254" s="127"/>
      <c r="AH1254" s="127"/>
      <c r="AI1254" s="127">
        <v>106</v>
      </c>
      <c r="AJ1254" s="127"/>
      <c r="AK1254" s="127"/>
      <c r="AL1254" s="127"/>
      <c r="AM1254" s="642">
        <f t="shared" si="24"/>
        <v>2880.1019999999999</v>
      </c>
      <c r="AO1254" s="289"/>
    </row>
    <row r="1255" spans="1:42" s="61" customFormat="1" ht="25.5" customHeight="1" x14ac:dyDescent="0.3">
      <c r="A1255" s="706"/>
      <c r="B1255" s="180" t="s">
        <v>361</v>
      </c>
      <c r="C1255" s="300">
        <v>8</v>
      </c>
      <c r="D1255" s="173"/>
      <c r="E1255" s="173"/>
      <c r="F1255" s="266"/>
      <c r="G1255" s="173">
        <f>45+38</f>
        <v>83</v>
      </c>
      <c r="H1255" s="173"/>
      <c r="I1255" s="174"/>
      <c r="J1255" s="173"/>
      <c r="K1255" s="173"/>
      <c r="L1255" s="266"/>
      <c r="M1255" s="173"/>
      <c r="N1255" s="174">
        <v>88.540999999999997</v>
      </c>
      <c r="O1255" s="173"/>
      <c r="P1255" s="173"/>
      <c r="Q1255" s="173"/>
      <c r="R1255" s="173"/>
      <c r="S1255" s="173">
        <v>2976</v>
      </c>
      <c r="T1255" s="327">
        <v>66</v>
      </c>
      <c r="U1255" s="300">
        <v>3.1139999999999999</v>
      </c>
      <c r="V1255" s="173"/>
      <c r="W1255" s="173"/>
      <c r="X1255" s="173"/>
      <c r="Y1255" s="173"/>
      <c r="Z1255" s="173">
        <v>792.58722999999998</v>
      </c>
      <c r="AA1255" s="173"/>
      <c r="AB1255" s="173"/>
      <c r="AC1255" s="173"/>
      <c r="AD1255" s="173"/>
      <c r="AE1255" s="173"/>
      <c r="AF1255" s="173">
        <v>89</v>
      </c>
      <c r="AG1255" s="173"/>
      <c r="AH1255" s="173"/>
      <c r="AI1255" s="173" t="s">
        <v>482</v>
      </c>
      <c r="AJ1255" s="173"/>
      <c r="AK1255" s="173"/>
      <c r="AL1255" s="173"/>
      <c r="AM1255" s="643">
        <f t="shared" si="24"/>
        <v>4106.2422299999998</v>
      </c>
      <c r="AO1255" s="289"/>
      <c r="AP1255" s="97"/>
    </row>
    <row r="1256" spans="1:42" s="61" customFormat="1" ht="25.5" customHeight="1" x14ac:dyDescent="0.3">
      <c r="A1256" s="706"/>
      <c r="B1256" s="180" t="s">
        <v>362</v>
      </c>
      <c r="C1256" s="300">
        <v>1191</v>
      </c>
      <c r="D1256" s="173"/>
      <c r="E1256" s="173"/>
      <c r="F1256" s="266"/>
      <c r="G1256" s="173">
        <f>46+82</f>
        <v>128</v>
      </c>
      <c r="H1256" s="173"/>
      <c r="I1256" s="174"/>
      <c r="J1256" s="173"/>
      <c r="K1256" s="173"/>
      <c r="L1256" s="266"/>
      <c r="M1256" s="173"/>
      <c r="N1256" s="174">
        <v>54.146000000000001</v>
      </c>
      <c r="O1256" s="173"/>
      <c r="P1256" s="173"/>
      <c r="Q1256" s="173"/>
      <c r="R1256" s="173"/>
      <c r="S1256" s="173">
        <v>4585</v>
      </c>
      <c r="T1256" s="327">
        <v>29</v>
      </c>
      <c r="U1256" s="300">
        <v>149.62799999999999</v>
      </c>
      <c r="V1256" s="173">
        <f>148429/1000</f>
        <v>148.429</v>
      </c>
      <c r="W1256" s="173">
        <v>147</v>
      </c>
      <c r="X1256" s="173"/>
      <c r="Y1256" s="173">
        <v>154</v>
      </c>
      <c r="Z1256" s="173">
        <v>1375.3962200000001</v>
      </c>
      <c r="AA1256" s="173"/>
      <c r="AB1256" s="173"/>
      <c r="AC1256" s="173"/>
      <c r="AD1256" s="173"/>
      <c r="AE1256" s="173"/>
      <c r="AF1256" s="173">
        <v>192</v>
      </c>
      <c r="AG1256" s="173"/>
      <c r="AH1256" s="173">
        <v>147</v>
      </c>
      <c r="AI1256" s="173">
        <v>50</v>
      </c>
      <c r="AJ1256" s="173"/>
      <c r="AK1256" s="173"/>
      <c r="AL1256" s="173">
        <v>147.5</v>
      </c>
      <c r="AM1256" s="644">
        <f t="shared" si="24"/>
        <v>8498.0992200000001</v>
      </c>
      <c r="AO1256" s="289"/>
      <c r="AP1256" s="97"/>
    </row>
    <row r="1257" spans="1:42" s="61" customFormat="1" ht="22.5" customHeight="1" x14ac:dyDescent="0.3">
      <c r="A1257" s="706"/>
      <c r="B1257" s="115" t="s">
        <v>402</v>
      </c>
      <c r="C1257" s="142">
        <v>518.50066000000004</v>
      </c>
      <c r="D1257" s="111"/>
      <c r="E1257" s="111"/>
      <c r="F1257" s="267"/>
      <c r="G1257" s="111">
        <v>38</v>
      </c>
      <c r="H1257" s="111">
        <v>3</v>
      </c>
      <c r="I1257" s="125"/>
      <c r="J1257" s="111"/>
      <c r="K1257" s="111"/>
      <c r="L1257" s="267"/>
      <c r="M1257" s="111"/>
      <c r="N1257" s="125"/>
      <c r="O1257" s="111"/>
      <c r="P1257" s="111"/>
      <c r="Q1257" s="111"/>
      <c r="R1257" s="111"/>
      <c r="S1257" s="111">
        <v>7007.1762769999987</v>
      </c>
      <c r="T1257" s="143">
        <v>33.44</v>
      </c>
      <c r="U1257" s="142">
        <v>6.5529999999999999</v>
      </c>
      <c r="V1257" s="111">
        <f>139275.77/1000</f>
        <v>139.27576999999999</v>
      </c>
      <c r="W1257" s="111">
        <v>117</v>
      </c>
      <c r="X1257" s="111"/>
      <c r="Y1257" s="111">
        <v>399.55500000000001</v>
      </c>
      <c r="Z1257" s="111">
        <v>1735</v>
      </c>
      <c r="AA1257" s="111"/>
      <c r="AB1257" s="111"/>
      <c r="AC1257" s="111">
        <v>90</v>
      </c>
      <c r="AD1257" s="111">
        <v>50</v>
      </c>
      <c r="AE1257" s="111"/>
      <c r="AF1257" s="111">
        <v>129.75393</v>
      </c>
      <c r="AG1257" s="111"/>
      <c r="AH1257" s="111">
        <v>300.53199999999998</v>
      </c>
      <c r="AI1257" s="111">
        <v>128</v>
      </c>
      <c r="AJ1257" s="111"/>
      <c r="AK1257" s="111"/>
      <c r="AL1257" s="111">
        <v>70.9375</v>
      </c>
      <c r="AM1257" s="645">
        <f t="shared" si="24"/>
        <v>10766.724136999997</v>
      </c>
      <c r="AO1257" s="289"/>
    </row>
    <row r="1258" spans="1:42" s="61" customFormat="1" ht="21" customHeight="1" x14ac:dyDescent="0.3">
      <c r="A1258" s="707"/>
      <c r="B1258" s="181" t="s">
        <v>403</v>
      </c>
      <c r="C1258" s="144">
        <v>184.86402000000001</v>
      </c>
      <c r="D1258" s="112"/>
      <c r="E1258" s="112"/>
      <c r="F1258" s="268"/>
      <c r="G1258" s="112"/>
      <c r="H1258" s="112"/>
      <c r="I1258" s="126"/>
      <c r="J1258" s="112"/>
      <c r="K1258" s="112"/>
      <c r="L1258" s="268"/>
      <c r="M1258" s="112">
        <v>5.0029200000000005</v>
      </c>
      <c r="N1258" s="126"/>
      <c r="O1258" s="112">
        <v>134</v>
      </c>
      <c r="P1258" s="112"/>
      <c r="Q1258" s="112"/>
      <c r="R1258" s="112"/>
      <c r="S1258" s="112">
        <v>297.36985800000002</v>
      </c>
      <c r="T1258" s="145">
        <v>58.09</v>
      </c>
      <c r="U1258" s="144">
        <v>1494.4179999999999</v>
      </c>
      <c r="V1258" s="112">
        <f>139276/1000-V1257</f>
        <v>2.3000000001616172E-4</v>
      </c>
      <c r="W1258" s="112"/>
      <c r="X1258" s="112"/>
      <c r="Y1258" s="112">
        <v>590.71699999999998</v>
      </c>
      <c r="Z1258" s="112">
        <v>1016</v>
      </c>
      <c r="AA1258" s="112"/>
      <c r="AB1258" s="112"/>
      <c r="AC1258" s="112">
        <v>0</v>
      </c>
      <c r="AD1258" s="112">
        <v>0</v>
      </c>
      <c r="AE1258" s="112"/>
      <c r="AF1258" s="112"/>
      <c r="AG1258" s="112"/>
      <c r="AH1258" s="112">
        <v>75.301000000000002</v>
      </c>
      <c r="AI1258" s="112">
        <v>128</v>
      </c>
      <c r="AJ1258" s="112"/>
      <c r="AK1258" s="112"/>
      <c r="AL1258" s="112"/>
      <c r="AM1258" s="646">
        <f t="shared" si="24"/>
        <v>3983.7630279999998</v>
      </c>
      <c r="AO1258" s="289"/>
    </row>
    <row r="1259" spans="1:42" s="61" customFormat="1" ht="21" customHeight="1" x14ac:dyDescent="0.3">
      <c r="A1259" s="705" t="s">
        <v>241</v>
      </c>
      <c r="B1259" s="179" t="s">
        <v>293</v>
      </c>
      <c r="C1259" s="135">
        <v>137</v>
      </c>
      <c r="D1259" s="136"/>
      <c r="E1259" s="136"/>
      <c r="F1259" s="262"/>
      <c r="G1259" s="136">
        <v>989</v>
      </c>
      <c r="H1259" s="136"/>
      <c r="I1259" s="326"/>
      <c r="J1259" s="136"/>
      <c r="K1259" s="136"/>
      <c r="L1259" s="262"/>
      <c r="M1259" s="136"/>
      <c r="N1259" s="326"/>
      <c r="O1259" s="136"/>
      <c r="P1259" s="136"/>
      <c r="Q1259" s="136"/>
      <c r="R1259" s="136"/>
      <c r="S1259" s="136">
        <v>450</v>
      </c>
      <c r="T1259" s="137">
        <v>500</v>
      </c>
      <c r="U1259" s="632">
        <v>43.031999999999996</v>
      </c>
      <c r="V1259" s="122"/>
      <c r="W1259" s="122"/>
      <c r="X1259" s="122">
        <v>100</v>
      </c>
      <c r="Y1259" s="122"/>
      <c r="Z1259" s="122">
        <v>543</v>
      </c>
      <c r="AA1259" s="122">
        <v>423.96904999999998</v>
      </c>
      <c r="AB1259" s="122"/>
      <c r="AC1259" s="122">
        <v>500</v>
      </c>
      <c r="AD1259" s="122"/>
      <c r="AE1259" s="122"/>
      <c r="AF1259" s="122"/>
      <c r="AG1259" s="122"/>
      <c r="AH1259" s="122"/>
      <c r="AI1259" s="122" t="s">
        <v>482</v>
      </c>
      <c r="AJ1259" s="122"/>
      <c r="AK1259" s="122"/>
      <c r="AL1259" s="122"/>
      <c r="AM1259" s="639">
        <f t="shared" si="24"/>
        <v>3686.0010500000003</v>
      </c>
      <c r="AO1259" s="289"/>
    </row>
    <row r="1260" spans="1:42" s="61" customFormat="1" ht="19.5" customHeight="1" x14ac:dyDescent="0.3">
      <c r="A1260" s="706"/>
      <c r="B1260" s="116" t="s">
        <v>294</v>
      </c>
      <c r="C1260" s="138">
        <v>78</v>
      </c>
      <c r="D1260" s="109"/>
      <c r="E1260" s="109"/>
      <c r="F1260" s="263"/>
      <c r="G1260" s="109">
        <v>2653</v>
      </c>
      <c r="H1260" s="109"/>
      <c r="I1260" s="123"/>
      <c r="J1260" s="109"/>
      <c r="K1260" s="109"/>
      <c r="L1260" s="263"/>
      <c r="M1260" s="109"/>
      <c r="N1260" s="123"/>
      <c r="O1260" s="109"/>
      <c r="P1260" s="109"/>
      <c r="Q1260" s="109"/>
      <c r="R1260" s="109"/>
      <c r="S1260" s="109">
        <v>450</v>
      </c>
      <c r="T1260" s="139">
        <v>500</v>
      </c>
      <c r="U1260" s="138">
        <v>42.948999999999998</v>
      </c>
      <c r="V1260" s="109"/>
      <c r="W1260" s="109"/>
      <c r="X1260" s="109">
        <v>100</v>
      </c>
      <c r="Y1260" s="109">
        <v>2000</v>
      </c>
      <c r="Z1260" s="109">
        <v>515</v>
      </c>
      <c r="AA1260" s="109">
        <v>175.87155999999999</v>
      </c>
      <c r="AB1260" s="109"/>
      <c r="AC1260" s="109">
        <v>500</v>
      </c>
      <c r="AD1260" s="109"/>
      <c r="AE1260" s="109"/>
      <c r="AF1260" s="109"/>
      <c r="AG1260" s="109"/>
      <c r="AH1260" s="109">
        <v>11000</v>
      </c>
      <c r="AI1260" s="109">
        <v>1000</v>
      </c>
      <c r="AJ1260" s="109"/>
      <c r="AK1260" s="109"/>
      <c r="AL1260" s="109"/>
      <c r="AM1260" s="640">
        <f t="shared" si="24"/>
        <v>19014.82056</v>
      </c>
      <c r="AO1260" s="289"/>
    </row>
    <row r="1261" spans="1:42" s="61" customFormat="1" ht="22.5" customHeight="1" x14ac:dyDescent="0.3">
      <c r="A1261" s="706"/>
      <c r="B1261" s="117" t="s">
        <v>326</v>
      </c>
      <c r="C1261" s="140">
        <v>251.643</v>
      </c>
      <c r="D1261" s="110"/>
      <c r="E1261" s="110"/>
      <c r="F1261" s="264"/>
      <c r="G1261" s="110">
        <v>1788</v>
      </c>
      <c r="H1261" s="110">
        <v>248</v>
      </c>
      <c r="I1261" s="124"/>
      <c r="J1261" s="110"/>
      <c r="K1261" s="110"/>
      <c r="L1261" s="264"/>
      <c r="M1261" s="110"/>
      <c r="N1261" s="124"/>
      <c r="O1261" s="110"/>
      <c r="P1261" s="110"/>
      <c r="Q1261" s="110"/>
      <c r="R1261" s="110">
        <v>200</v>
      </c>
      <c r="S1261" s="110">
        <v>6008</v>
      </c>
      <c r="T1261" s="141"/>
      <c r="U1261" s="140">
        <v>33.732999999999997</v>
      </c>
      <c r="V1261" s="110"/>
      <c r="W1261" s="110"/>
      <c r="X1261" s="110">
        <v>200</v>
      </c>
      <c r="Y1261" s="110"/>
      <c r="Z1261" s="110">
        <v>522</v>
      </c>
      <c r="AA1261" s="110">
        <v>217.60527999999999</v>
      </c>
      <c r="AB1261" s="110"/>
      <c r="AC1261" s="110">
        <v>500</v>
      </c>
      <c r="AD1261" s="110"/>
      <c r="AE1261" s="110"/>
      <c r="AF1261" s="110"/>
      <c r="AG1261" s="110"/>
      <c r="AH1261" s="110"/>
      <c r="AI1261" s="110">
        <v>4000</v>
      </c>
      <c r="AJ1261" s="110"/>
      <c r="AK1261" s="110"/>
      <c r="AL1261" s="110"/>
      <c r="AM1261" s="641">
        <f t="shared" si="24"/>
        <v>13968.98128</v>
      </c>
      <c r="AO1261" s="289"/>
      <c r="AP1261" s="97"/>
    </row>
    <row r="1262" spans="1:42" s="61" customFormat="1" ht="25.5" customHeight="1" x14ac:dyDescent="0.3">
      <c r="A1262" s="706"/>
      <c r="B1262" s="175" t="s">
        <v>327</v>
      </c>
      <c r="C1262" s="176">
        <v>3148.616</v>
      </c>
      <c r="D1262" s="127"/>
      <c r="E1262" s="127"/>
      <c r="F1262" s="265"/>
      <c r="G1262" s="127">
        <v>1731</v>
      </c>
      <c r="H1262" s="127">
        <v>129</v>
      </c>
      <c r="I1262" s="178"/>
      <c r="J1262" s="127"/>
      <c r="K1262" s="127"/>
      <c r="L1262" s="265"/>
      <c r="M1262" s="127"/>
      <c r="N1262" s="178"/>
      <c r="O1262" s="127"/>
      <c r="P1262" s="127"/>
      <c r="Q1262" s="127"/>
      <c r="R1262" s="127">
        <v>200</v>
      </c>
      <c r="S1262" s="127">
        <v>25718</v>
      </c>
      <c r="T1262" s="177"/>
      <c r="U1262" s="176">
        <v>33.732999999999997</v>
      </c>
      <c r="V1262" s="127"/>
      <c r="W1262" s="127"/>
      <c r="X1262" s="127">
        <v>200</v>
      </c>
      <c r="Y1262" s="127">
        <v>2000</v>
      </c>
      <c r="Z1262" s="127">
        <v>4095</v>
      </c>
      <c r="AA1262" s="127">
        <v>246.29066</v>
      </c>
      <c r="AB1262" s="127"/>
      <c r="AC1262" s="127">
        <v>500</v>
      </c>
      <c r="AD1262" s="127"/>
      <c r="AE1262" s="127"/>
      <c r="AF1262" s="127"/>
      <c r="AG1262" s="127"/>
      <c r="AH1262" s="127">
        <v>11000</v>
      </c>
      <c r="AI1262" s="127">
        <v>6500</v>
      </c>
      <c r="AJ1262" s="127"/>
      <c r="AK1262" s="127">
        <v>14</v>
      </c>
      <c r="AL1262" s="127"/>
      <c r="AM1262" s="642">
        <f t="shared" si="24"/>
        <v>55515.639660000001</v>
      </c>
      <c r="AO1262" s="289"/>
    </row>
    <row r="1263" spans="1:42" s="61" customFormat="1" ht="25.5" customHeight="1" x14ac:dyDescent="0.3">
      <c r="A1263" s="706"/>
      <c r="B1263" s="180" t="s">
        <v>361</v>
      </c>
      <c r="C1263" s="300">
        <v>2150.4190199999998</v>
      </c>
      <c r="D1263" s="173"/>
      <c r="E1263" s="173"/>
      <c r="F1263" s="266"/>
      <c r="G1263" s="173">
        <f>858+896</f>
        <v>1754</v>
      </c>
      <c r="H1263" s="173">
        <f>91+120</f>
        <v>211</v>
      </c>
      <c r="I1263" s="174"/>
      <c r="J1263" s="173"/>
      <c r="K1263" s="173"/>
      <c r="L1263" s="266"/>
      <c r="M1263" s="173"/>
      <c r="N1263" s="174"/>
      <c r="O1263" s="173"/>
      <c r="P1263" s="173"/>
      <c r="Q1263" s="173"/>
      <c r="R1263" s="173">
        <v>50</v>
      </c>
      <c r="S1263" s="173">
        <v>10740</v>
      </c>
      <c r="T1263" s="327"/>
      <c r="U1263" s="300">
        <v>33.703000000000003</v>
      </c>
      <c r="V1263" s="173"/>
      <c r="W1263" s="173"/>
      <c r="X1263" s="173">
        <v>400</v>
      </c>
      <c r="Y1263" s="173">
        <v>2000</v>
      </c>
      <c r="Z1263" s="173">
        <v>1612.3981299999998</v>
      </c>
      <c r="AA1263" s="173">
        <v>98</v>
      </c>
      <c r="AB1263" s="173"/>
      <c r="AC1263" s="173">
        <v>500</v>
      </c>
      <c r="AD1263" s="173"/>
      <c r="AE1263" s="173"/>
      <c r="AF1263" s="173"/>
      <c r="AG1263" s="173"/>
      <c r="AH1263" s="173">
        <v>11008</v>
      </c>
      <c r="AI1263" s="173">
        <v>3000</v>
      </c>
      <c r="AJ1263" s="173"/>
      <c r="AK1263" s="173"/>
      <c r="AL1263" s="173"/>
      <c r="AM1263" s="643">
        <f t="shared" si="24"/>
        <v>33557.520149999997</v>
      </c>
      <c r="AO1263" s="289"/>
      <c r="AP1263" s="97"/>
    </row>
    <row r="1264" spans="1:42" s="61" customFormat="1" ht="25.5" customHeight="1" x14ac:dyDescent="0.3">
      <c r="A1264" s="706"/>
      <c r="B1264" s="180" t="s">
        <v>362</v>
      </c>
      <c r="C1264" s="300">
        <v>2236.2979799999998</v>
      </c>
      <c r="D1264" s="173"/>
      <c r="E1264" s="173"/>
      <c r="F1264" s="266"/>
      <c r="G1264" s="173">
        <f>821+930</f>
        <v>1751</v>
      </c>
      <c r="H1264" s="173">
        <v>120</v>
      </c>
      <c r="I1264" s="174"/>
      <c r="J1264" s="173"/>
      <c r="K1264" s="173"/>
      <c r="L1264" s="266"/>
      <c r="M1264" s="173">
        <v>5</v>
      </c>
      <c r="N1264" s="174"/>
      <c r="O1264" s="173"/>
      <c r="P1264" s="173"/>
      <c r="Q1264" s="173"/>
      <c r="R1264" s="173">
        <f>410-R1263</f>
        <v>360</v>
      </c>
      <c r="S1264" s="173">
        <v>1912</v>
      </c>
      <c r="T1264" s="327"/>
      <c r="U1264" s="300">
        <v>757.24300000000005</v>
      </c>
      <c r="V1264" s="173"/>
      <c r="W1264" s="173"/>
      <c r="X1264" s="173">
        <v>400</v>
      </c>
      <c r="Y1264" s="173">
        <v>2000</v>
      </c>
      <c r="Z1264" s="173">
        <v>1366.6097400000001</v>
      </c>
      <c r="AA1264" s="173">
        <v>574</v>
      </c>
      <c r="AB1264" s="173"/>
      <c r="AC1264" s="173">
        <f>1000-500</f>
        <v>500</v>
      </c>
      <c r="AD1264" s="173"/>
      <c r="AE1264" s="173"/>
      <c r="AF1264" s="173"/>
      <c r="AG1264" s="173"/>
      <c r="AH1264" s="173">
        <v>15000</v>
      </c>
      <c r="AI1264" s="173">
        <v>4000</v>
      </c>
      <c r="AJ1264" s="173"/>
      <c r="AK1264" s="173"/>
      <c r="AL1264" s="173"/>
      <c r="AM1264" s="644">
        <f t="shared" si="24"/>
        <v>30982.150719999998</v>
      </c>
      <c r="AO1264" s="289"/>
      <c r="AP1264" s="97"/>
    </row>
    <row r="1265" spans="1:42" s="61" customFormat="1" ht="22.5" customHeight="1" x14ac:dyDescent="0.3">
      <c r="A1265" s="706"/>
      <c r="B1265" s="115" t="s">
        <v>402</v>
      </c>
      <c r="C1265" s="142">
        <v>3924.2080000000001</v>
      </c>
      <c r="D1265" s="111"/>
      <c r="E1265" s="111"/>
      <c r="F1265" s="267"/>
      <c r="G1265" s="111"/>
      <c r="H1265" s="111">
        <v>150</v>
      </c>
      <c r="I1265" s="125"/>
      <c r="J1265" s="111"/>
      <c r="K1265" s="111"/>
      <c r="L1265" s="267"/>
      <c r="M1265" s="111"/>
      <c r="N1265" s="125"/>
      <c r="O1265" s="111"/>
      <c r="P1265" s="111"/>
      <c r="Q1265" s="111"/>
      <c r="R1265" s="111">
        <v>600</v>
      </c>
      <c r="S1265" s="111">
        <v>1028.3265719999999</v>
      </c>
      <c r="T1265" s="143"/>
      <c r="U1265" s="142">
        <v>1342.175</v>
      </c>
      <c r="V1265" s="111"/>
      <c r="W1265" s="111"/>
      <c r="X1265" s="111">
        <v>400</v>
      </c>
      <c r="Y1265" s="111">
        <v>2000</v>
      </c>
      <c r="Z1265" s="111">
        <v>1497</v>
      </c>
      <c r="AA1265" s="111">
        <v>1300</v>
      </c>
      <c r="AB1265" s="111"/>
      <c r="AC1265" s="111">
        <v>500</v>
      </c>
      <c r="AD1265" s="111"/>
      <c r="AE1265" s="111"/>
      <c r="AF1265" s="111"/>
      <c r="AG1265" s="111"/>
      <c r="AH1265" s="111">
        <v>15000</v>
      </c>
      <c r="AI1265" s="111">
        <v>10025</v>
      </c>
      <c r="AJ1265" s="111"/>
      <c r="AK1265" s="111">
        <f>97.242/1.097</f>
        <v>88.643573381950787</v>
      </c>
      <c r="AL1265" s="111"/>
      <c r="AM1265" s="645">
        <f t="shared" si="24"/>
        <v>37855.353145381952</v>
      </c>
      <c r="AO1265" s="289"/>
    </row>
    <row r="1266" spans="1:42" s="61" customFormat="1" ht="21" customHeight="1" x14ac:dyDescent="0.3">
      <c r="A1266" s="707"/>
      <c r="B1266" s="181" t="s">
        <v>403</v>
      </c>
      <c r="C1266" s="144">
        <v>3385.4469399999998</v>
      </c>
      <c r="D1266" s="112"/>
      <c r="E1266" s="112"/>
      <c r="F1266" s="268">
        <v>1322.8</v>
      </c>
      <c r="G1266" s="112">
        <v>9348</v>
      </c>
      <c r="H1266" s="112">
        <v>133</v>
      </c>
      <c r="I1266" s="126"/>
      <c r="J1266" s="112"/>
      <c r="K1266" s="112"/>
      <c r="L1266" s="268"/>
      <c r="M1266" s="112"/>
      <c r="N1266" s="126"/>
      <c r="O1266" s="112"/>
      <c r="P1266" s="112"/>
      <c r="Q1266" s="112"/>
      <c r="R1266" s="112">
        <f>1200-R1265</f>
        <v>600</v>
      </c>
      <c r="S1266" s="112">
        <v>921.89440999999999</v>
      </c>
      <c r="T1266" s="145"/>
      <c r="U1266" s="144">
        <v>1413.21</v>
      </c>
      <c r="V1266" s="112"/>
      <c r="W1266" s="112"/>
      <c r="X1266" s="112">
        <v>400</v>
      </c>
      <c r="Y1266" s="112">
        <v>4000</v>
      </c>
      <c r="Z1266" s="112">
        <v>1156</v>
      </c>
      <c r="AA1266" s="112">
        <v>3833</v>
      </c>
      <c r="AB1266" s="112"/>
      <c r="AC1266" s="112">
        <v>500</v>
      </c>
      <c r="AD1266" s="112"/>
      <c r="AE1266" s="112"/>
      <c r="AF1266" s="112"/>
      <c r="AG1266" s="112"/>
      <c r="AH1266" s="112">
        <v>26800</v>
      </c>
      <c r="AI1266" s="112">
        <v>10025</v>
      </c>
      <c r="AJ1266" s="112"/>
      <c r="AK1266" s="112">
        <f>9.073/1.001</f>
        <v>9.0639360639360653</v>
      </c>
      <c r="AL1266" s="112"/>
      <c r="AM1266" s="646">
        <f t="shared" si="24"/>
        <v>63847.41528606393</v>
      </c>
      <c r="AO1266" s="289"/>
    </row>
    <row r="1267" spans="1:42" s="61" customFormat="1" ht="21" customHeight="1" x14ac:dyDescent="0.3">
      <c r="A1267" s="705" t="s">
        <v>242</v>
      </c>
      <c r="B1267" s="179" t="s">
        <v>293</v>
      </c>
      <c r="C1267" s="135">
        <v>2</v>
      </c>
      <c r="D1267" s="136"/>
      <c r="E1267" s="136"/>
      <c r="F1267" s="262"/>
      <c r="G1267" s="136"/>
      <c r="H1267" s="136"/>
      <c r="I1267" s="326"/>
      <c r="J1267" s="136"/>
      <c r="K1267" s="136"/>
      <c r="L1267" s="262"/>
      <c r="M1267" s="136"/>
      <c r="N1267" s="326"/>
      <c r="O1267" s="136"/>
      <c r="P1267" s="136"/>
      <c r="Q1267" s="136"/>
      <c r="R1267" s="136"/>
      <c r="S1267" s="136"/>
      <c r="T1267" s="137"/>
      <c r="U1267" s="632">
        <v>138.24700000000001</v>
      </c>
      <c r="V1267" s="122"/>
      <c r="W1267" s="122"/>
      <c r="X1267" s="122"/>
      <c r="Y1267" s="122"/>
      <c r="Z1267" s="122"/>
      <c r="AA1267" s="122"/>
      <c r="AB1267" s="122"/>
      <c r="AC1267" s="122"/>
      <c r="AD1267" s="122"/>
      <c r="AE1267" s="122"/>
      <c r="AF1267" s="122"/>
      <c r="AG1267" s="122"/>
      <c r="AH1267" s="122"/>
      <c r="AI1267" s="122" t="s">
        <v>482</v>
      </c>
      <c r="AJ1267" s="122"/>
      <c r="AK1267" s="122"/>
      <c r="AL1267" s="122"/>
      <c r="AM1267" s="639">
        <f t="shared" si="24"/>
        <v>140.24700000000001</v>
      </c>
      <c r="AO1267" s="289"/>
    </row>
    <row r="1268" spans="1:42" s="61" customFormat="1" ht="19.5" customHeight="1" x14ac:dyDescent="0.3">
      <c r="A1268" s="706"/>
      <c r="B1268" s="116" t="s">
        <v>294</v>
      </c>
      <c r="C1268" s="138"/>
      <c r="D1268" s="109"/>
      <c r="E1268" s="109"/>
      <c r="F1268" s="263"/>
      <c r="G1268" s="109"/>
      <c r="H1268" s="109"/>
      <c r="I1268" s="123"/>
      <c r="J1268" s="109"/>
      <c r="K1268" s="109"/>
      <c r="L1268" s="263"/>
      <c r="M1268" s="109"/>
      <c r="N1268" s="123"/>
      <c r="O1268" s="109"/>
      <c r="P1268" s="109">
        <v>11</v>
      </c>
      <c r="Q1268" s="109"/>
      <c r="R1268" s="109"/>
      <c r="S1268" s="109"/>
      <c r="T1268" s="139">
        <v>0.6</v>
      </c>
      <c r="U1268" s="138">
        <v>151.23099999999999</v>
      </c>
      <c r="V1268" s="109"/>
      <c r="W1268" s="109"/>
      <c r="X1268" s="109"/>
      <c r="Y1268" s="109"/>
      <c r="Z1268" s="109"/>
      <c r="AA1268" s="109"/>
      <c r="AB1268" s="109"/>
      <c r="AC1268" s="109"/>
      <c r="AD1268" s="109"/>
      <c r="AE1268" s="109"/>
      <c r="AF1268" s="109"/>
      <c r="AG1268" s="109"/>
      <c r="AH1268" s="109"/>
      <c r="AI1268" s="109" t="s">
        <v>482</v>
      </c>
      <c r="AJ1268" s="109"/>
      <c r="AK1268" s="109"/>
      <c r="AL1268" s="109"/>
      <c r="AM1268" s="640">
        <f t="shared" si="24"/>
        <v>162.83099999999999</v>
      </c>
      <c r="AO1268" s="289"/>
    </row>
    <row r="1269" spans="1:42" s="61" customFormat="1" ht="22.5" customHeight="1" x14ac:dyDescent="0.3">
      <c r="A1269" s="706"/>
      <c r="B1269" s="117" t="s">
        <v>326</v>
      </c>
      <c r="C1269" s="140"/>
      <c r="D1269" s="110"/>
      <c r="E1269" s="110"/>
      <c r="F1269" s="264"/>
      <c r="G1269" s="110"/>
      <c r="H1269" s="110"/>
      <c r="I1269" s="124"/>
      <c r="J1269" s="110"/>
      <c r="K1269" s="110"/>
      <c r="L1269" s="264">
        <v>33</v>
      </c>
      <c r="M1269" s="110"/>
      <c r="N1269" s="124"/>
      <c r="O1269" s="110"/>
      <c r="P1269" s="110"/>
      <c r="Q1269" s="110"/>
      <c r="R1269" s="110"/>
      <c r="S1269" s="110"/>
      <c r="T1269" s="141"/>
      <c r="U1269" s="140">
        <v>127.048</v>
      </c>
      <c r="V1269" s="110"/>
      <c r="W1269" s="110"/>
      <c r="X1269" s="110">
        <v>5</v>
      </c>
      <c r="Y1269" s="110"/>
      <c r="Z1269" s="110"/>
      <c r="AA1269" s="110"/>
      <c r="AB1269" s="110"/>
      <c r="AC1269" s="110"/>
      <c r="AD1269" s="110"/>
      <c r="AE1269" s="110"/>
      <c r="AF1269" s="110"/>
      <c r="AG1269" s="110"/>
      <c r="AH1269" s="110"/>
      <c r="AI1269" s="110" t="s">
        <v>482</v>
      </c>
      <c r="AJ1269" s="110"/>
      <c r="AK1269" s="110"/>
      <c r="AL1269" s="110"/>
      <c r="AM1269" s="641">
        <f t="shared" si="24"/>
        <v>165.048</v>
      </c>
      <c r="AO1269" s="289"/>
      <c r="AP1269" s="97"/>
    </row>
    <row r="1270" spans="1:42" s="61" customFormat="1" ht="25.5" customHeight="1" x14ac:dyDescent="0.3">
      <c r="A1270" s="706"/>
      <c r="B1270" s="175" t="s">
        <v>327</v>
      </c>
      <c r="C1270" s="176"/>
      <c r="D1270" s="127"/>
      <c r="E1270" s="127"/>
      <c r="F1270" s="265"/>
      <c r="G1270" s="127"/>
      <c r="H1270" s="127"/>
      <c r="I1270" s="178"/>
      <c r="J1270" s="127"/>
      <c r="K1270" s="127"/>
      <c r="L1270" s="265"/>
      <c r="M1270" s="127"/>
      <c r="N1270" s="178"/>
      <c r="O1270" s="127"/>
      <c r="P1270" s="127"/>
      <c r="Q1270" s="127"/>
      <c r="R1270" s="127"/>
      <c r="S1270" s="127">
        <v>152</v>
      </c>
      <c r="T1270" s="177"/>
      <c r="U1270" s="176">
        <v>144.339</v>
      </c>
      <c r="V1270" s="127"/>
      <c r="W1270" s="127"/>
      <c r="X1270" s="127"/>
      <c r="Y1270" s="127"/>
      <c r="Z1270" s="127">
        <v>1</v>
      </c>
      <c r="AA1270" s="127"/>
      <c r="AB1270" s="127"/>
      <c r="AC1270" s="127"/>
      <c r="AD1270" s="127"/>
      <c r="AE1270" s="127"/>
      <c r="AF1270" s="127"/>
      <c r="AG1270" s="127"/>
      <c r="AH1270" s="127"/>
      <c r="AI1270" s="127" t="s">
        <v>482</v>
      </c>
      <c r="AJ1270" s="127"/>
      <c r="AK1270" s="127"/>
      <c r="AL1270" s="127"/>
      <c r="AM1270" s="642">
        <f t="shared" si="24"/>
        <v>297.339</v>
      </c>
      <c r="AO1270" s="289"/>
    </row>
    <row r="1271" spans="1:42" s="61" customFormat="1" ht="25.5" customHeight="1" x14ac:dyDescent="0.3">
      <c r="A1271" s="706"/>
      <c r="B1271" s="180" t="s">
        <v>361</v>
      </c>
      <c r="C1271" s="300"/>
      <c r="D1271" s="173"/>
      <c r="E1271" s="173"/>
      <c r="F1271" s="266"/>
      <c r="G1271" s="173"/>
      <c r="H1271" s="173">
        <v>91</v>
      </c>
      <c r="I1271" s="174"/>
      <c r="J1271" s="173"/>
      <c r="K1271" s="173"/>
      <c r="L1271" s="266"/>
      <c r="M1271" s="173"/>
      <c r="N1271" s="174"/>
      <c r="O1271" s="173"/>
      <c r="P1271" s="173">
        <v>41</v>
      </c>
      <c r="Q1271" s="173"/>
      <c r="R1271" s="173"/>
      <c r="S1271" s="173">
        <v>290</v>
      </c>
      <c r="T1271" s="327"/>
      <c r="U1271" s="300">
        <v>166.404</v>
      </c>
      <c r="V1271" s="173"/>
      <c r="W1271" s="173"/>
      <c r="X1271" s="173"/>
      <c r="Y1271" s="173"/>
      <c r="Z1271" s="173"/>
      <c r="AA1271" s="173">
        <v>1350</v>
      </c>
      <c r="AB1271" s="173"/>
      <c r="AC1271" s="173"/>
      <c r="AD1271" s="173"/>
      <c r="AE1271" s="173"/>
      <c r="AF1271" s="173"/>
      <c r="AG1271" s="173"/>
      <c r="AH1271" s="173"/>
      <c r="AI1271" s="173" t="s">
        <v>482</v>
      </c>
      <c r="AJ1271" s="173"/>
      <c r="AK1271" s="173"/>
      <c r="AL1271" s="173"/>
      <c r="AM1271" s="643">
        <f t="shared" si="24"/>
        <v>1938.404</v>
      </c>
      <c r="AO1271" s="289"/>
      <c r="AP1271" s="97"/>
    </row>
    <row r="1272" spans="1:42" s="61" customFormat="1" ht="25.5" customHeight="1" x14ac:dyDescent="0.3">
      <c r="A1272" s="706"/>
      <c r="B1272" s="180" t="s">
        <v>362</v>
      </c>
      <c r="C1272" s="300"/>
      <c r="D1272" s="173"/>
      <c r="E1272" s="173"/>
      <c r="F1272" s="266"/>
      <c r="G1272" s="173"/>
      <c r="H1272" s="173">
        <v>166</v>
      </c>
      <c r="I1272" s="174"/>
      <c r="J1272" s="173"/>
      <c r="K1272" s="173"/>
      <c r="L1272" s="266"/>
      <c r="M1272" s="173"/>
      <c r="N1272" s="174"/>
      <c r="O1272" s="173"/>
      <c r="P1272" s="173"/>
      <c r="Q1272" s="173"/>
      <c r="R1272" s="173"/>
      <c r="S1272" s="173">
        <v>315</v>
      </c>
      <c r="T1272" s="327"/>
      <c r="U1272" s="300">
        <v>4.3999999999999997E-2</v>
      </c>
      <c r="V1272" s="173"/>
      <c r="W1272" s="173"/>
      <c r="X1272" s="173">
        <v>5</v>
      </c>
      <c r="Y1272" s="173"/>
      <c r="Z1272" s="173"/>
      <c r="AA1272" s="173"/>
      <c r="AB1272" s="173"/>
      <c r="AC1272" s="173"/>
      <c r="AD1272" s="173"/>
      <c r="AE1272" s="173"/>
      <c r="AF1272" s="173"/>
      <c r="AG1272" s="173"/>
      <c r="AH1272" s="173"/>
      <c r="AI1272" s="173" t="s">
        <v>482</v>
      </c>
      <c r="AJ1272" s="173"/>
      <c r="AK1272" s="173"/>
      <c r="AL1272" s="173"/>
      <c r="AM1272" s="644">
        <f t="shared" si="24"/>
        <v>486.04399999999998</v>
      </c>
      <c r="AO1272" s="289"/>
      <c r="AP1272" s="97"/>
    </row>
    <row r="1273" spans="1:42" s="61" customFormat="1" ht="22.5" customHeight="1" x14ac:dyDescent="0.3">
      <c r="A1273" s="706"/>
      <c r="B1273" s="115" t="s">
        <v>402</v>
      </c>
      <c r="C1273" s="142">
        <v>50.774999999999999</v>
      </c>
      <c r="D1273" s="111"/>
      <c r="E1273" s="111"/>
      <c r="F1273" s="267">
        <v>750</v>
      </c>
      <c r="G1273" s="111"/>
      <c r="H1273" s="111"/>
      <c r="I1273" s="125"/>
      <c r="J1273" s="111"/>
      <c r="K1273" s="111"/>
      <c r="L1273" s="267">
        <v>0</v>
      </c>
      <c r="M1273" s="111"/>
      <c r="N1273" s="125"/>
      <c r="O1273" s="111"/>
      <c r="P1273" s="111"/>
      <c r="Q1273" s="111"/>
      <c r="R1273" s="111"/>
      <c r="S1273" s="111"/>
      <c r="T1273" s="143">
        <v>25</v>
      </c>
      <c r="U1273" s="142"/>
      <c r="V1273" s="111"/>
      <c r="W1273" s="111"/>
      <c r="X1273" s="111"/>
      <c r="Y1273" s="111"/>
      <c r="Z1273" s="111"/>
      <c r="AA1273" s="111"/>
      <c r="AB1273" s="111"/>
      <c r="AC1273" s="111"/>
      <c r="AD1273" s="111"/>
      <c r="AE1273" s="111"/>
      <c r="AF1273" s="111">
        <v>92.989990000000006</v>
      </c>
      <c r="AG1273" s="111"/>
      <c r="AH1273" s="111" t="s">
        <v>482</v>
      </c>
      <c r="AI1273" s="111">
        <v>50</v>
      </c>
      <c r="AJ1273" s="111"/>
      <c r="AK1273" s="111"/>
      <c r="AL1273" s="111"/>
      <c r="AM1273" s="645">
        <f t="shared" si="24"/>
        <v>968.76499000000001</v>
      </c>
      <c r="AO1273" s="289"/>
    </row>
    <row r="1274" spans="1:42" s="61" customFormat="1" ht="21" customHeight="1" x14ac:dyDescent="0.3">
      <c r="A1274" s="707"/>
      <c r="B1274" s="181" t="s">
        <v>403</v>
      </c>
      <c r="C1274" s="144"/>
      <c r="D1274" s="112"/>
      <c r="E1274" s="112"/>
      <c r="F1274" s="268">
        <v>250</v>
      </c>
      <c r="G1274" s="112"/>
      <c r="H1274" s="112"/>
      <c r="I1274" s="126"/>
      <c r="J1274" s="112"/>
      <c r="K1274" s="112"/>
      <c r="L1274" s="268"/>
      <c r="M1274" s="112"/>
      <c r="N1274" s="126"/>
      <c r="O1274" s="112"/>
      <c r="P1274" s="112"/>
      <c r="Q1274" s="112"/>
      <c r="R1274" s="112"/>
      <c r="S1274" s="112"/>
      <c r="T1274" s="145">
        <v>23.61</v>
      </c>
      <c r="U1274" s="144">
        <v>3.5999999999999997E-2</v>
      </c>
      <c r="V1274" s="112"/>
      <c r="W1274" s="112"/>
      <c r="X1274" s="112"/>
      <c r="Y1274" s="112"/>
      <c r="Z1274" s="112"/>
      <c r="AA1274" s="112">
        <v>117</v>
      </c>
      <c r="AB1274" s="112"/>
      <c r="AC1274" s="112"/>
      <c r="AD1274" s="112"/>
      <c r="AE1274" s="112"/>
      <c r="AF1274" s="112">
        <v>301.42603174603175</v>
      </c>
      <c r="AG1274" s="112"/>
      <c r="AH1274" s="112" t="s">
        <v>482</v>
      </c>
      <c r="AI1274" s="112">
        <v>50</v>
      </c>
      <c r="AJ1274" s="112"/>
      <c r="AK1274" s="112"/>
      <c r="AL1274" s="112"/>
      <c r="AM1274" s="646">
        <f t="shared" si="24"/>
        <v>742.07203174603183</v>
      </c>
      <c r="AO1274" s="289"/>
    </row>
    <row r="1275" spans="1:42" s="61" customFormat="1" ht="21" customHeight="1" x14ac:dyDescent="0.3">
      <c r="A1275" s="705" t="s">
        <v>243</v>
      </c>
      <c r="B1275" s="179" t="s">
        <v>293</v>
      </c>
      <c r="C1275" s="135"/>
      <c r="D1275" s="136"/>
      <c r="E1275" s="136"/>
      <c r="F1275" s="262"/>
      <c r="G1275" s="136"/>
      <c r="H1275" s="136"/>
      <c r="I1275" s="326"/>
      <c r="J1275" s="136"/>
      <c r="K1275" s="136"/>
      <c r="L1275" s="262"/>
      <c r="M1275" s="136"/>
      <c r="N1275" s="326"/>
      <c r="O1275" s="136"/>
      <c r="P1275" s="136"/>
      <c r="Q1275" s="136"/>
      <c r="R1275" s="136"/>
      <c r="S1275" s="136"/>
      <c r="T1275" s="137">
        <v>0.6</v>
      </c>
      <c r="U1275" s="632"/>
      <c r="V1275" s="122"/>
      <c r="W1275" s="122"/>
      <c r="X1275" s="122"/>
      <c r="Y1275" s="122"/>
      <c r="Z1275" s="122"/>
      <c r="AA1275" s="122"/>
      <c r="AB1275" s="122"/>
      <c r="AC1275" s="122"/>
      <c r="AD1275" s="122"/>
      <c r="AE1275" s="122"/>
      <c r="AF1275" s="122"/>
      <c r="AG1275" s="122"/>
      <c r="AH1275" s="122"/>
      <c r="AI1275" s="122" t="s">
        <v>482</v>
      </c>
      <c r="AJ1275" s="122"/>
      <c r="AK1275" s="122"/>
      <c r="AL1275" s="122"/>
      <c r="AM1275" s="639">
        <f t="shared" si="24"/>
        <v>0.6</v>
      </c>
      <c r="AO1275" s="289"/>
    </row>
    <row r="1276" spans="1:42" s="61" customFormat="1" ht="19.5" customHeight="1" x14ac:dyDescent="0.3">
      <c r="A1276" s="706"/>
      <c r="B1276" s="116" t="s">
        <v>294</v>
      </c>
      <c r="C1276" s="138"/>
      <c r="D1276" s="109"/>
      <c r="E1276" s="109"/>
      <c r="F1276" s="263"/>
      <c r="G1276" s="109"/>
      <c r="H1276" s="109"/>
      <c r="I1276" s="123"/>
      <c r="J1276" s="109"/>
      <c r="K1276" s="109"/>
      <c r="L1276" s="263"/>
      <c r="M1276" s="109"/>
      <c r="N1276" s="123"/>
      <c r="O1276" s="109"/>
      <c r="P1276" s="109"/>
      <c r="Q1276" s="109"/>
      <c r="R1276" s="109"/>
      <c r="S1276" s="109"/>
      <c r="T1276" s="139">
        <v>0.6</v>
      </c>
      <c r="U1276" s="138"/>
      <c r="V1276" s="109"/>
      <c r="W1276" s="109"/>
      <c r="X1276" s="109"/>
      <c r="Y1276" s="109"/>
      <c r="Z1276" s="109"/>
      <c r="AA1276" s="109"/>
      <c r="AB1276" s="109"/>
      <c r="AC1276" s="109"/>
      <c r="AD1276" s="109"/>
      <c r="AE1276" s="109"/>
      <c r="AF1276" s="109"/>
      <c r="AG1276" s="109"/>
      <c r="AH1276" s="109"/>
      <c r="AI1276" s="109" t="s">
        <v>482</v>
      </c>
      <c r="AJ1276" s="109"/>
      <c r="AK1276" s="109"/>
      <c r="AL1276" s="109"/>
      <c r="AM1276" s="640">
        <f t="shared" si="24"/>
        <v>0.6</v>
      </c>
      <c r="AO1276" s="289"/>
    </row>
    <row r="1277" spans="1:42" s="61" customFormat="1" ht="22.5" customHeight="1" x14ac:dyDescent="0.3">
      <c r="A1277" s="706"/>
      <c r="B1277" s="117" t="s">
        <v>326</v>
      </c>
      <c r="C1277" s="140"/>
      <c r="D1277" s="110"/>
      <c r="E1277" s="110"/>
      <c r="F1277" s="264"/>
      <c r="G1277" s="110"/>
      <c r="H1277" s="110"/>
      <c r="I1277" s="124"/>
      <c r="J1277" s="110"/>
      <c r="K1277" s="110"/>
      <c r="L1277" s="264"/>
      <c r="M1277" s="110"/>
      <c r="N1277" s="124"/>
      <c r="O1277" s="110"/>
      <c r="P1277" s="110"/>
      <c r="Q1277" s="110"/>
      <c r="R1277" s="110"/>
      <c r="S1277" s="110"/>
      <c r="T1277" s="141"/>
      <c r="U1277" s="140"/>
      <c r="V1277" s="110"/>
      <c r="W1277" s="110"/>
      <c r="X1277" s="110"/>
      <c r="Y1277" s="110"/>
      <c r="Z1277" s="110"/>
      <c r="AA1277" s="110"/>
      <c r="AB1277" s="110"/>
      <c r="AC1277" s="110"/>
      <c r="AD1277" s="110"/>
      <c r="AE1277" s="110"/>
      <c r="AF1277" s="110"/>
      <c r="AG1277" s="110"/>
      <c r="AH1277" s="110"/>
      <c r="AI1277" s="110" t="s">
        <v>482</v>
      </c>
      <c r="AJ1277" s="110"/>
      <c r="AK1277" s="110"/>
      <c r="AL1277" s="110"/>
      <c r="AM1277" s="641">
        <f t="shared" si="24"/>
        <v>0</v>
      </c>
      <c r="AO1277" s="289"/>
      <c r="AP1277" s="97"/>
    </row>
    <row r="1278" spans="1:42" s="61" customFormat="1" ht="25.5" customHeight="1" x14ac:dyDescent="0.3">
      <c r="A1278" s="706"/>
      <c r="B1278" s="175" t="s">
        <v>327</v>
      </c>
      <c r="C1278" s="176"/>
      <c r="D1278" s="127"/>
      <c r="E1278" s="127"/>
      <c r="F1278" s="265"/>
      <c r="G1278" s="127"/>
      <c r="H1278" s="127"/>
      <c r="I1278" s="178"/>
      <c r="J1278" s="127"/>
      <c r="K1278" s="127"/>
      <c r="L1278" s="265"/>
      <c r="M1278" s="127"/>
      <c r="N1278" s="178"/>
      <c r="O1278" s="127"/>
      <c r="P1278" s="127"/>
      <c r="Q1278" s="127"/>
      <c r="R1278" s="127"/>
      <c r="S1278" s="127"/>
      <c r="T1278" s="177"/>
      <c r="U1278" s="176">
        <v>6.2E-2</v>
      </c>
      <c r="V1278" s="127"/>
      <c r="W1278" s="127"/>
      <c r="X1278" s="127"/>
      <c r="Y1278" s="127"/>
      <c r="Z1278" s="127"/>
      <c r="AA1278" s="127"/>
      <c r="AB1278" s="127"/>
      <c r="AC1278" s="127"/>
      <c r="AD1278" s="127"/>
      <c r="AE1278" s="127"/>
      <c r="AF1278" s="127"/>
      <c r="AG1278" s="127"/>
      <c r="AH1278" s="127"/>
      <c r="AI1278" s="127" t="s">
        <v>482</v>
      </c>
      <c r="AJ1278" s="127"/>
      <c r="AK1278" s="127"/>
      <c r="AL1278" s="127"/>
      <c r="AM1278" s="642">
        <f t="shared" si="24"/>
        <v>6.2E-2</v>
      </c>
      <c r="AO1278" s="289"/>
    </row>
    <row r="1279" spans="1:42" s="61" customFormat="1" ht="25.5" customHeight="1" x14ac:dyDescent="0.3">
      <c r="A1279" s="706"/>
      <c r="B1279" s="180" t="s">
        <v>361</v>
      </c>
      <c r="C1279" s="300"/>
      <c r="D1279" s="173"/>
      <c r="E1279" s="173"/>
      <c r="F1279" s="266"/>
      <c r="G1279" s="173"/>
      <c r="H1279" s="173"/>
      <c r="I1279" s="174"/>
      <c r="J1279" s="173"/>
      <c r="K1279" s="173"/>
      <c r="L1279" s="266"/>
      <c r="M1279" s="173"/>
      <c r="N1279" s="174"/>
      <c r="O1279" s="173"/>
      <c r="P1279" s="173"/>
      <c r="Q1279" s="173"/>
      <c r="R1279" s="173"/>
      <c r="S1279" s="173"/>
      <c r="T1279" s="327"/>
      <c r="U1279" s="300"/>
      <c r="V1279" s="173"/>
      <c r="W1279" s="173"/>
      <c r="X1279" s="173"/>
      <c r="Y1279" s="173"/>
      <c r="Z1279" s="173"/>
      <c r="AA1279" s="173"/>
      <c r="AB1279" s="173"/>
      <c r="AC1279" s="173"/>
      <c r="AD1279" s="173"/>
      <c r="AE1279" s="173"/>
      <c r="AF1279" s="173"/>
      <c r="AG1279" s="173"/>
      <c r="AH1279" s="173"/>
      <c r="AI1279" s="173" t="s">
        <v>482</v>
      </c>
      <c r="AJ1279" s="173"/>
      <c r="AK1279" s="173"/>
      <c r="AL1279" s="173"/>
      <c r="AM1279" s="643">
        <f t="shared" si="24"/>
        <v>0</v>
      </c>
      <c r="AO1279" s="289"/>
      <c r="AP1279" s="97"/>
    </row>
    <row r="1280" spans="1:42" s="61" customFormat="1" ht="25.5" customHeight="1" x14ac:dyDescent="0.3">
      <c r="A1280" s="706"/>
      <c r="B1280" s="180" t="s">
        <v>362</v>
      </c>
      <c r="C1280" s="300"/>
      <c r="D1280" s="173"/>
      <c r="E1280" s="173"/>
      <c r="F1280" s="266"/>
      <c r="G1280" s="173"/>
      <c r="H1280" s="173"/>
      <c r="I1280" s="174"/>
      <c r="J1280" s="173"/>
      <c r="K1280" s="173"/>
      <c r="L1280" s="266"/>
      <c r="M1280" s="173"/>
      <c r="N1280" s="174"/>
      <c r="O1280" s="173"/>
      <c r="P1280" s="173"/>
      <c r="Q1280" s="173"/>
      <c r="R1280" s="173"/>
      <c r="S1280" s="173"/>
      <c r="T1280" s="327"/>
      <c r="U1280" s="300">
        <v>6.2E-2</v>
      </c>
      <c r="V1280" s="173"/>
      <c r="W1280" s="173"/>
      <c r="X1280" s="173"/>
      <c r="Y1280" s="173"/>
      <c r="Z1280" s="173"/>
      <c r="AA1280" s="173"/>
      <c r="AB1280" s="173"/>
      <c r="AC1280" s="173"/>
      <c r="AD1280" s="173"/>
      <c r="AE1280" s="173"/>
      <c r="AF1280" s="173"/>
      <c r="AG1280" s="173"/>
      <c r="AH1280" s="173"/>
      <c r="AI1280" s="173" t="s">
        <v>482</v>
      </c>
      <c r="AJ1280" s="173"/>
      <c r="AK1280" s="173"/>
      <c r="AL1280" s="173"/>
      <c r="AM1280" s="644">
        <f t="shared" si="24"/>
        <v>6.2E-2</v>
      </c>
      <c r="AO1280" s="289"/>
      <c r="AP1280" s="97"/>
    </row>
    <row r="1281" spans="1:42" s="61" customFormat="1" ht="22.5" customHeight="1" x14ac:dyDescent="0.3">
      <c r="A1281" s="706"/>
      <c r="B1281" s="115" t="s">
        <v>402</v>
      </c>
      <c r="C1281" s="142"/>
      <c r="D1281" s="111"/>
      <c r="E1281" s="111"/>
      <c r="F1281" s="267"/>
      <c r="G1281" s="111"/>
      <c r="H1281" s="111"/>
      <c r="I1281" s="125"/>
      <c r="J1281" s="111"/>
      <c r="K1281" s="111"/>
      <c r="L1281" s="267"/>
      <c r="M1281" s="111"/>
      <c r="N1281" s="125"/>
      <c r="O1281" s="111"/>
      <c r="P1281" s="111"/>
      <c r="Q1281" s="111"/>
      <c r="R1281" s="111"/>
      <c r="S1281" s="111">
        <v>183.397087</v>
      </c>
      <c r="T1281" s="143"/>
      <c r="U1281" s="142"/>
      <c r="V1281" s="111"/>
      <c r="W1281" s="111"/>
      <c r="X1281" s="111"/>
      <c r="Y1281" s="111"/>
      <c r="Z1281" s="111"/>
      <c r="AA1281" s="111"/>
      <c r="AB1281" s="111"/>
      <c r="AC1281" s="111"/>
      <c r="AD1281" s="111"/>
      <c r="AE1281" s="111"/>
      <c r="AF1281" s="111"/>
      <c r="AG1281" s="111"/>
      <c r="AH1281" s="111" t="s">
        <v>482</v>
      </c>
      <c r="AI1281" s="111" t="s">
        <v>482</v>
      </c>
      <c r="AJ1281" s="111"/>
      <c r="AK1281" s="111"/>
      <c r="AL1281" s="111"/>
      <c r="AM1281" s="645">
        <f t="shared" si="24"/>
        <v>183.397087</v>
      </c>
      <c r="AO1281" s="289"/>
    </row>
    <row r="1282" spans="1:42" s="61" customFormat="1" ht="21" customHeight="1" x14ac:dyDescent="0.3">
      <c r="A1282" s="707"/>
      <c r="B1282" s="181" t="s">
        <v>403</v>
      </c>
      <c r="C1282" s="144">
        <v>1</v>
      </c>
      <c r="D1282" s="112"/>
      <c r="E1282" s="112"/>
      <c r="F1282" s="268"/>
      <c r="G1282" s="112"/>
      <c r="H1282" s="112"/>
      <c r="I1282" s="126"/>
      <c r="J1282" s="112"/>
      <c r="K1282" s="112"/>
      <c r="L1282" s="268"/>
      <c r="M1282" s="112"/>
      <c r="N1282" s="126"/>
      <c r="O1282" s="112"/>
      <c r="P1282" s="112"/>
      <c r="Q1282" s="112"/>
      <c r="R1282" s="112"/>
      <c r="S1282" s="112">
        <v>26.142671999999997</v>
      </c>
      <c r="T1282" s="145"/>
      <c r="U1282" s="144"/>
      <c r="V1282" s="112"/>
      <c r="W1282" s="112"/>
      <c r="X1282" s="112"/>
      <c r="Y1282" s="112"/>
      <c r="Z1282" s="112"/>
      <c r="AA1282" s="112"/>
      <c r="AB1282" s="112"/>
      <c r="AC1282" s="112"/>
      <c r="AD1282" s="112"/>
      <c r="AE1282" s="112"/>
      <c r="AF1282" s="112"/>
      <c r="AG1282" s="112"/>
      <c r="AH1282" s="112" t="s">
        <v>482</v>
      </c>
      <c r="AI1282" s="112" t="s">
        <v>482</v>
      </c>
      <c r="AJ1282" s="112"/>
      <c r="AK1282" s="112"/>
      <c r="AL1282" s="112"/>
      <c r="AM1282" s="646">
        <f t="shared" si="24"/>
        <v>27.142671999999997</v>
      </c>
      <c r="AO1282" s="289"/>
    </row>
    <row r="1283" spans="1:42" s="61" customFormat="1" ht="21" customHeight="1" x14ac:dyDescent="0.3">
      <c r="A1283" s="705" t="s">
        <v>244</v>
      </c>
      <c r="B1283" s="179" t="s">
        <v>293</v>
      </c>
      <c r="C1283" s="135"/>
      <c r="D1283" s="136"/>
      <c r="E1283" s="136"/>
      <c r="F1283" s="262"/>
      <c r="G1283" s="136"/>
      <c r="H1283" s="136"/>
      <c r="I1283" s="326"/>
      <c r="J1283" s="136"/>
      <c r="K1283" s="136"/>
      <c r="L1283" s="262"/>
      <c r="M1283" s="136"/>
      <c r="N1283" s="326"/>
      <c r="O1283" s="136"/>
      <c r="P1283" s="136"/>
      <c r="Q1283" s="136"/>
      <c r="R1283" s="136"/>
      <c r="S1283" s="136"/>
      <c r="T1283" s="137"/>
      <c r="U1283" s="632"/>
      <c r="V1283" s="122"/>
      <c r="W1283" s="122"/>
      <c r="X1283" s="122"/>
      <c r="Y1283" s="122"/>
      <c r="Z1283" s="122"/>
      <c r="AA1283" s="122"/>
      <c r="AB1283" s="122"/>
      <c r="AC1283" s="122"/>
      <c r="AD1283" s="122"/>
      <c r="AE1283" s="122"/>
      <c r="AF1283" s="122"/>
      <c r="AG1283" s="122">
        <v>0.7</v>
      </c>
      <c r="AH1283" s="122"/>
      <c r="AI1283" s="122" t="s">
        <v>482</v>
      </c>
      <c r="AJ1283" s="122"/>
      <c r="AK1283" s="122"/>
      <c r="AL1283" s="122"/>
      <c r="AM1283" s="639">
        <f t="shared" si="24"/>
        <v>0.7</v>
      </c>
      <c r="AO1283" s="289"/>
    </row>
    <row r="1284" spans="1:42" s="61" customFormat="1" ht="19.5" customHeight="1" x14ac:dyDescent="0.3">
      <c r="A1284" s="706"/>
      <c r="B1284" s="116" t="s">
        <v>294</v>
      </c>
      <c r="C1284" s="138"/>
      <c r="D1284" s="109"/>
      <c r="E1284" s="109"/>
      <c r="F1284" s="263"/>
      <c r="G1284" s="109"/>
      <c r="H1284" s="109"/>
      <c r="I1284" s="123"/>
      <c r="J1284" s="109"/>
      <c r="K1284" s="109"/>
      <c r="L1284" s="263">
        <v>75.688999999999993</v>
      </c>
      <c r="M1284" s="109"/>
      <c r="N1284" s="123"/>
      <c r="O1284" s="109"/>
      <c r="P1284" s="109"/>
      <c r="Q1284" s="109"/>
      <c r="R1284" s="109"/>
      <c r="S1284" s="109"/>
      <c r="T1284" s="139">
        <v>1.2</v>
      </c>
      <c r="U1284" s="138"/>
      <c r="V1284" s="109"/>
      <c r="W1284" s="109"/>
      <c r="X1284" s="109"/>
      <c r="Y1284" s="109"/>
      <c r="Z1284" s="109"/>
      <c r="AA1284" s="109"/>
      <c r="AB1284" s="109"/>
      <c r="AC1284" s="109"/>
      <c r="AD1284" s="109"/>
      <c r="AE1284" s="109"/>
      <c r="AF1284" s="109"/>
      <c r="AG1284" s="109"/>
      <c r="AH1284" s="109"/>
      <c r="AI1284" s="109" t="s">
        <v>482</v>
      </c>
      <c r="AJ1284" s="109"/>
      <c r="AK1284" s="109"/>
      <c r="AL1284" s="109"/>
      <c r="AM1284" s="640">
        <f t="shared" si="24"/>
        <v>76.888999999999996</v>
      </c>
      <c r="AO1284" s="289"/>
    </row>
    <row r="1285" spans="1:42" s="61" customFormat="1" ht="22.5" customHeight="1" x14ac:dyDescent="0.3">
      <c r="A1285" s="706"/>
      <c r="B1285" s="117" t="s">
        <v>326</v>
      </c>
      <c r="C1285" s="140">
        <v>262.23899999999998</v>
      </c>
      <c r="D1285" s="110"/>
      <c r="E1285" s="110"/>
      <c r="F1285" s="264"/>
      <c r="G1285" s="110"/>
      <c r="H1285" s="110"/>
      <c r="I1285" s="124"/>
      <c r="J1285" s="110"/>
      <c r="K1285" s="110"/>
      <c r="L1285" s="264"/>
      <c r="M1285" s="110"/>
      <c r="N1285" s="124"/>
      <c r="O1285" s="110"/>
      <c r="P1285" s="110"/>
      <c r="Q1285" s="110"/>
      <c r="R1285" s="110"/>
      <c r="S1285" s="110"/>
      <c r="T1285" s="141"/>
      <c r="U1285" s="140">
        <v>6.0999999999999999E-2</v>
      </c>
      <c r="V1285" s="110"/>
      <c r="W1285" s="110"/>
      <c r="X1285" s="110"/>
      <c r="Y1285" s="110"/>
      <c r="Z1285" s="110"/>
      <c r="AA1285" s="110"/>
      <c r="AB1285" s="110"/>
      <c r="AC1285" s="110"/>
      <c r="AD1285" s="110"/>
      <c r="AE1285" s="110"/>
      <c r="AF1285" s="110"/>
      <c r="AG1285" s="110"/>
      <c r="AH1285" s="110"/>
      <c r="AI1285" s="110" t="s">
        <v>482</v>
      </c>
      <c r="AJ1285" s="110"/>
      <c r="AK1285" s="110"/>
      <c r="AL1285" s="110"/>
      <c r="AM1285" s="641">
        <f t="shared" si="24"/>
        <v>262.29999999999995</v>
      </c>
      <c r="AO1285" s="289"/>
      <c r="AP1285" s="97"/>
    </row>
    <row r="1286" spans="1:42" s="61" customFormat="1" ht="25.5" customHeight="1" x14ac:dyDescent="0.3">
      <c r="A1286" s="706"/>
      <c r="B1286" s="175" t="s">
        <v>327</v>
      </c>
      <c r="C1286" s="176"/>
      <c r="D1286" s="127"/>
      <c r="E1286" s="127"/>
      <c r="F1286" s="265"/>
      <c r="G1286" s="127"/>
      <c r="H1286" s="127"/>
      <c r="I1286" s="178"/>
      <c r="J1286" s="127"/>
      <c r="K1286" s="127"/>
      <c r="L1286" s="265"/>
      <c r="M1286" s="127"/>
      <c r="N1286" s="178"/>
      <c r="O1286" s="127"/>
      <c r="P1286" s="127"/>
      <c r="Q1286" s="127"/>
      <c r="R1286" s="127"/>
      <c r="S1286" s="127">
        <v>22</v>
      </c>
      <c r="T1286" s="177"/>
      <c r="U1286" s="176"/>
      <c r="V1286" s="127"/>
      <c r="W1286" s="127"/>
      <c r="X1286" s="127"/>
      <c r="Y1286" s="127"/>
      <c r="Z1286" s="127"/>
      <c r="AA1286" s="127"/>
      <c r="AB1286" s="127"/>
      <c r="AC1286" s="127"/>
      <c r="AD1286" s="127"/>
      <c r="AE1286" s="127"/>
      <c r="AF1286" s="127"/>
      <c r="AG1286" s="127"/>
      <c r="AH1286" s="127"/>
      <c r="AI1286" s="127" t="s">
        <v>482</v>
      </c>
      <c r="AJ1286" s="127"/>
      <c r="AK1286" s="127"/>
      <c r="AL1286" s="127"/>
      <c r="AM1286" s="642">
        <f t="shared" si="24"/>
        <v>22</v>
      </c>
      <c r="AO1286" s="289"/>
    </row>
    <row r="1287" spans="1:42" s="61" customFormat="1" ht="25.5" customHeight="1" x14ac:dyDescent="0.3">
      <c r="A1287" s="706"/>
      <c r="B1287" s="180" t="s">
        <v>361</v>
      </c>
      <c r="C1287" s="300">
        <v>148.50120000000001</v>
      </c>
      <c r="D1287" s="173"/>
      <c r="E1287" s="173"/>
      <c r="F1287" s="266"/>
      <c r="G1287" s="173"/>
      <c r="H1287" s="173"/>
      <c r="I1287" s="174"/>
      <c r="J1287" s="173"/>
      <c r="K1287" s="173"/>
      <c r="L1287" s="266"/>
      <c r="M1287" s="173"/>
      <c r="N1287" s="174"/>
      <c r="O1287" s="173"/>
      <c r="P1287" s="173"/>
      <c r="Q1287" s="173"/>
      <c r="R1287" s="173"/>
      <c r="S1287" s="173">
        <v>4</v>
      </c>
      <c r="T1287" s="327"/>
      <c r="U1287" s="300">
        <v>0.122</v>
      </c>
      <c r="V1287" s="173"/>
      <c r="W1287" s="173"/>
      <c r="X1287" s="173"/>
      <c r="Y1287" s="173"/>
      <c r="Z1287" s="173"/>
      <c r="AA1287" s="173"/>
      <c r="AB1287" s="173"/>
      <c r="AC1287" s="173"/>
      <c r="AD1287" s="173"/>
      <c r="AE1287" s="173"/>
      <c r="AF1287" s="173"/>
      <c r="AG1287" s="173"/>
      <c r="AH1287" s="173"/>
      <c r="AI1287" s="173" t="s">
        <v>482</v>
      </c>
      <c r="AJ1287" s="173"/>
      <c r="AK1287" s="173"/>
      <c r="AL1287" s="173"/>
      <c r="AM1287" s="643">
        <f t="shared" si="24"/>
        <v>152.62320000000003</v>
      </c>
      <c r="AO1287" s="289"/>
      <c r="AP1287" s="97"/>
    </row>
    <row r="1288" spans="1:42" s="61" customFormat="1" ht="25.5" customHeight="1" x14ac:dyDescent="0.3">
      <c r="A1288" s="706"/>
      <c r="B1288" s="180" t="s">
        <v>362</v>
      </c>
      <c r="C1288" s="300">
        <v>43.706000000000003</v>
      </c>
      <c r="D1288" s="173"/>
      <c r="E1288" s="173"/>
      <c r="F1288" s="266"/>
      <c r="G1288" s="173"/>
      <c r="H1288" s="173"/>
      <c r="I1288" s="174"/>
      <c r="J1288" s="173"/>
      <c r="K1288" s="173"/>
      <c r="L1288" s="266">
        <v>32</v>
      </c>
      <c r="M1288" s="173"/>
      <c r="N1288" s="174"/>
      <c r="O1288" s="173"/>
      <c r="P1288" s="173"/>
      <c r="Q1288" s="173"/>
      <c r="R1288" s="173"/>
      <c r="S1288" s="173">
        <v>5</v>
      </c>
      <c r="T1288" s="327"/>
      <c r="U1288" s="300">
        <v>2.1000000000000001E-2</v>
      </c>
      <c r="V1288" s="173"/>
      <c r="W1288" s="173"/>
      <c r="X1288" s="173"/>
      <c r="Y1288" s="173"/>
      <c r="Z1288" s="173"/>
      <c r="AA1288" s="173"/>
      <c r="AB1288" s="173"/>
      <c r="AC1288" s="173"/>
      <c r="AD1288" s="173"/>
      <c r="AE1288" s="173"/>
      <c r="AF1288" s="173"/>
      <c r="AG1288" s="173"/>
      <c r="AH1288" s="173"/>
      <c r="AI1288" s="173" t="s">
        <v>482</v>
      </c>
      <c r="AJ1288" s="173"/>
      <c r="AK1288" s="173"/>
      <c r="AL1288" s="173"/>
      <c r="AM1288" s="644">
        <f t="shared" si="24"/>
        <v>80.727000000000004</v>
      </c>
      <c r="AO1288" s="289"/>
      <c r="AP1288" s="97"/>
    </row>
    <row r="1289" spans="1:42" s="61" customFormat="1" ht="22.5" customHeight="1" x14ac:dyDescent="0.3">
      <c r="A1289" s="706"/>
      <c r="B1289" s="115" t="s">
        <v>402</v>
      </c>
      <c r="C1289" s="142"/>
      <c r="D1289" s="111"/>
      <c r="E1289" s="111"/>
      <c r="F1289" s="267"/>
      <c r="G1289" s="111"/>
      <c r="H1289" s="111"/>
      <c r="I1289" s="125"/>
      <c r="J1289" s="111"/>
      <c r="K1289" s="111"/>
      <c r="L1289" s="267"/>
      <c r="M1289" s="111"/>
      <c r="N1289" s="125"/>
      <c r="O1289" s="111"/>
      <c r="P1289" s="111"/>
      <c r="Q1289" s="111"/>
      <c r="R1289" s="111"/>
      <c r="S1289" s="111">
        <v>3.4591000000000003</v>
      </c>
      <c r="T1289" s="143"/>
      <c r="U1289" s="142">
        <v>2.1040000000000001</v>
      </c>
      <c r="V1289" s="111"/>
      <c r="W1289" s="111">
        <v>18</v>
      </c>
      <c r="X1289" s="111"/>
      <c r="Y1289" s="111"/>
      <c r="Z1289" s="111"/>
      <c r="AA1289" s="111"/>
      <c r="AB1289" s="111"/>
      <c r="AC1289" s="111"/>
      <c r="AD1289" s="111"/>
      <c r="AE1289" s="111"/>
      <c r="AF1289" s="111"/>
      <c r="AG1289" s="111"/>
      <c r="AH1289" s="111" t="s">
        <v>482</v>
      </c>
      <c r="AI1289" s="111" t="s">
        <v>482</v>
      </c>
      <c r="AJ1289" s="111"/>
      <c r="AK1289" s="111"/>
      <c r="AL1289" s="111"/>
      <c r="AM1289" s="645">
        <f t="shared" si="24"/>
        <v>23.563099999999999</v>
      </c>
      <c r="AO1289" s="289"/>
    </row>
    <row r="1290" spans="1:42" s="61" customFormat="1" ht="21" customHeight="1" x14ac:dyDescent="0.3">
      <c r="A1290" s="707"/>
      <c r="B1290" s="181" t="s">
        <v>403</v>
      </c>
      <c r="C1290" s="144">
        <v>1095.5132000000001</v>
      </c>
      <c r="D1290" s="112"/>
      <c r="E1290" s="112"/>
      <c r="F1290" s="268"/>
      <c r="G1290" s="112"/>
      <c r="H1290" s="112"/>
      <c r="I1290" s="126"/>
      <c r="J1290" s="112"/>
      <c r="K1290" s="112"/>
      <c r="L1290" s="268"/>
      <c r="M1290" s="112"/>
      <c r="N1290" s="126"/>
      <c r="O1290" s="112"/>
      <c r="P1290" s="112"/>
      <c r="Q1290" s="112"/>
      <c r="R1290" s="112"/>
      <c r="S1290" s="112">
        <v>1.4852429999999999</v>
      </c>
      <c r="T1290" s="145"/>
      <c r="U1290" s="144">
        <v>3.2000000000000001E-2</v>
      </c>
      <c r="V1290" s="112"/>
      <c r="W1290" s="112"/>
      <c r="X1290" s="112"/>
      <c r="Y1290" s="112"/>
      <c r="Z1290" s="112"/>
      <c r="AA1290" s="112"/>
      <c r="AB1290" s="112"/>
      <c r="AC1290" s="112"/>
      <c r="AD1290" s="112"/>
      <c r="AE1290" s="112"/>
      <c r="AF1290" s="112"/>
      <c r="AG1290" s="112"/>
      <c r="AH1290" s="112" t="s">
        <v>482</v>
      </c>
      <c r="AI1290" s="112" t="s">
        <v>482</v>
      </c>
      <c r="AJ1290" s="112"/>
      <c r="AK1290" s="112"/>
      <c r="AL1290" s="112"/>
      <c r="AM1290" s="646">
        <f t="shared" si="24"/>
        <v>1097.0304430000001</v>
      </c>
      <c r="AO1290" s="289"/>
    </row>
    <row r="1291" spans="1:42" s="61" customFormat="1" ht="21" customHeight="1" x14ac:dyDescent="0.3">
      <c r="A1291" s="712" t="s">
        <v>329</v>
      </c>
      <c r="B1291" s="179" t="s">
        <v>293</v>
      </c>
      <c r="C1291" s="135"/>
      <c r="D1291" s="136"/>
      <c r="E1291" s="136"/>
      <c r="F1291" s="262"/>
      <c r="G1291" s="136"/>
      <c r="H1291" s="136"/>
      <c r="I1291" s="326"/>
      <c r="J1291" s="136"/>
      <c r="K1291" s="136"/>
      <c r="L1291" s="262"/>
      <c r="M1291" s="136"/>
      <c r="N1291" s="326"/>
      <c r="O1291" s="136"/>
      <c r="P1291" s="136"/>
      <c r="Q1291" s="136"/>
      <c r="R1291" s="136"/>
      <c r="S1291" s="136"/>
      <c r="T1291" s="137"/>
      <c r="U1291" s="632"/>
      <c r="V1291" s="122"/>
      <c r="W1291" s="122"/>
      <c r="X1291" s="122"/>
      <c r="Y1291" s="122"/>
      <c r="Z1291" s="122"/>
      <c r="AA1291" s="122"/>
      <c r="AB1291" s="122"/>
      <c r="AC1291" s="122"/>
      <c r="AD1291" s="122"/>
      <c r="AE1291" s="122"/>
      <c r="AF1291" s="122"/>
      <c r="AG1291" s="122"/>
      <c r="AH1291" s="122"/>
      <c r="AI1291" s="122" t="s">
        <v>482</v>
      </c>
      <c r="AJ1291" s="122"/>
      <c r="AK1291" s="122"/>
      <c r="AL1291" s="122"/>
      <c r="AM1291" s="639">
        <f t="shared" si="24"/>
        <v>0</v>
      </c>
      <c r="AO1291" s="289"/>
    </row>
    <row r="1292" spans="1:42" s="61" customFormat="1" ht="19.5" customHeight="1" x14ac:dyDescent="0.3">
      <c r="A1292" s="713" t="s">
        <v>556</v>
      </c>
      <c r="B1292" s="116" t="s">
        <v>294</v>
      </c>
      <c r="C1292" s="138"/>
      <c r="D1292" s="109"/>
      <c r="E1292" s="109"/>
      <c r="F1292" s="263"/>
      <c r="G1292" s="109"/>
      <c r="H1292" s="109"/>
      <c r="I1292" s="123"/>
      <c r="J1292" s="109"/>
      <c r="K1292" s="109"/>
      <c r="L1292" s="263"/>
      <c r="M1292" s="109"/>
      <c r="N1292" s="123"/>
      <c r="O1292" s="109"/>
      <c r="P1292" s="109"/>
      <c r="Q1292" s="109"/>
      <c r="R1292" s="109"/>
      <c r="S1292" s="109"/>
      <c r="T1292" s="139"/>
      <c r="U1292" s="138"/>
      <c r="V1292" s="109"/>
      <c r="W1292" s="109"/>
      <c r="X1292" s="109"/>
      <c r="Y1292" s="109"/>
      <c r="Z1292" s="109"/>
      <c r="AA1292" s="109"/>
      <c r="AB1292" s="109"/>
      <c r="AC1292" s="109"/>
      <c r="AD1292" s="109"/>
      <c r="AE1292" s="109"/>
      <c r="AF1292" s="109"/>
      <c r="AG1292" s="109"/>
      <c r="AH1292" s="109"/>
      <c r="AI1292" s="109" t="s">
        <v>482</v>
      </c>
      <c r="AJ1292" s="109"/>
      <c r="AK1292" s="109"/>
      <c r="AL1292" s="109"/>
      <c r="AM1292" s="640">
        <f t="shared" si="24"/>
        <v>0</v>
      </c>
      <c r="AO1292" s="289"/>
    </row>
    <row r="1293" spans="1:42" s="61" customFormat="1" ht="22.5" customHeight="1" x14ac:dyDescent="0.3">
      <c r="A1293" s="713"/>
      <c r="B1293" s="117" t="s">
        <v>326</v>
      </c>
      <c r="C1293" s="140"/>
      <c r="D1293" s="110"/>
      <c r="E1293" s="110"/>
      <c r="F1293" s="264"/>
      <c r="G1293" s="110"/>
      <c r="H1293" s="110"/>
      <c r="I1293" s="124"/>
      <c r="J1293" s="110"/>
      <c r="K1293" s="110"/>
      <c r="L1293" s="264"/>
      <c r="M1293" s="110"/>
      <c r="N1293" s="124"/>
      <c r="O1293" s="110"/>
      <c r="P1293" s="110"/>
      <c r="Q1293" s="110"/>
      <c r="R1293" s="110"/>
      <c r="S1293" s="110"/>
      <c r="T1293" s="141"/>
      <c r="U1293" s="140">
        <v>3.1E-2</v>
      </c>
      <c r="V1293" s="110"/>
      <c r="W1293" s="110"/>
      <c r="X1293" s="110"/>
      <c r="Y1293" s="110"/>
      <c r="Z1293" s="110"/>
      <c r="AA1293" s="110"/>
      <c r="AB1293" s="110"/>
      <c r="AC1293" s="110"/>
      <c r="AD1293" s="110"/>
      <c r="AE1293" s="110"/>
      <c r="AF1293" s="110"/>
      <c r="AG1293" s="110"/>
      <c r="AH1293" s="110"/>
      <c r="AI1293" s="110" t="s">
        <v>482</v>
      </c>
      <c r="AJ1293" s="110"/>
      <c r="AK1293" s="110"/>
      <c r="AL1293" s="110"/>
      <c r="AM1293" s="641">
        <f t="shared" si="24"/>
        <v>3.1E-2</v>
      </c>
      <c r="AO1293" s="289"/>
      <c r="AP1293" s="97"/>
    </row>
    <row r="1294" spans="1:42" s="61" customFormat="1" ht="25.5" customHeight="1" x14ac:dyDescent="0.3">
      <c r="A1294" s="713"/>
      <c r="B1294" s="175" t="s">
        <v>327</v>
      </c>
      <c r="C1294" s="176"/>
      <c r="D1294" s="127"/>
      <c r="E1294" s="127"/>
      <c r="F1294" s="265"/>
      <c r="G1294" s="127"/>
      <c r="H1294" s="127"/>
      <c r="I1294" s="178"/>
      <c r="J1294" s="127"/>
      <c r="K1294" s="127"/>
      <c r="L1294" s="265"/>
      <c r="M1294" s="127"/>
      <c r="N1294" s="178"/>
      <c r="O1294" s="127"/>
      <c r="P1294" s="127"/>
      <c r="Q1294" s="127"/>
      <c r="R1294" s="127"/>
      <c r="S1294" s="127"/>
      <c r="T1294" s="177"/>
      <c r="U1294" s="176">
        <v>0.98499999999999999</v>
      </c>
      <c r="V1294" s="127"/>
      <c r="W1294" s="127"/>
      <c r="X1294" s="127"/>
      <c r="Y1294" s="127"/>
      <c r="Z1294" s="127">
        <v>2</v>
      </c>
      <c r="AA1294" s="127"/>
      <c r="AB1294" s="127"/>
      <c r="AC1294" s="127"/>
      <c r="AD1294" s="127"/>
      <c r="AE1294" s="127"/>
      <c r="AF1294" s="127"/>
      <c r="AG1294" s="127"/>
      <c r="AH1294" s="127"/>
      <c r="AI1294" s="127" t="s">
        <v>482</v>
      </c>
      <c r="AJ1294" s="127"/>
      <c r="AK1294" s="127"/>
      <c r="AL1294" s="127"/>
      <c r="AM1294" s="642">
        <f t="shared" si="24"/>
        <v>2.9849999999999999</v>
      </c>
      <c r="AO1294" s="289"/>
    </row>
    <row r="1295" spans="1:42" s="61" customFormat="1" ht="25.5" customHeight="1" x14ac:dyDescent="0.3">
      <c r="A1295" s="713"/>
      <c r="B1295" s="180" t="s">
        <v>361</v>
      </c>
      <c r="C1295" s="300">
        <v>114.84864</v>
      </c>
      <c r="D1295" s="173"/>
      <c r="E1295" s="173"/>
      <c r="F1295" s="266"/>
      <c r="G1295" s="173"/>
      <c r="H1295" s="173"/>
      <c r="I1295" s="174"/>
      <c r="J1295" s="173"/>
      <c r="K1295" s="173"/>
      <c r="L1295" s="266"/>
      <c r="M1295" s="173"/>
      <c r="N1295" s="174"/>
      <c r="O1295" s="173"/>
      <c r="P1295" s="173"/>
      <c r="Q1295" s="173"/>
      <c r="R1295" s="173"/>
      <c r="S1295" s="173"/>
      <c r="T1295" s="327"/>
      <c r="U1295" s="300"/>
      <c r="V1295" s="173"/>
      <c r="W1295" s="173"/>
      <c r="X1295" s="173"/>
      <c r="Y1295" s="173"/>
      <c r="Z1295" s="173"/>
      <c r="AA1295" s="173"/>
      <c r="AB1295" s="173"/>
      <c r="AC1295" s="173"/>
      <c r="AD1295" s="173"/>
      <c r="AE1295" s="173"/>
      <c r="AF1295" s="173"/>
      <c r="AG1295" s="173"/>
      <c r="AH1295" s="173"/>
      <c r="AI1295" s="173" t="s">
        <v>482</v>
      </c>
      <c r="AJ1295" s="173"/>
      <c r="AK1295" s="173"/>
      <c r="AL1295" s="173"/>
      <c r="AM1295" s="643">
        <f t="shared" si="24"/>
        <v>114.84864</v>
      </c>
      <c r="AO1295" s="289"/>
      <c r="AP1295" s="97"/>
    </row>
    <row r="1296" spans="1:42" s="61" customFormat="1" ht="25.5" customHeight="1" x14ac:dyDescent="0.3">
      <c r="A1296" s="713"/>
      <c r="B1296" s="180" t="s">
        <v>362</v>
      </c>
      <c r="C1296" s="300">
        <v>124.8391</v>
      </c>
      <c r="D1296" s="173"/>
      <c r="E1296" s="173"/>
      <c r="F1296" s="266"/>
      <c r="G1296" s="173"/>
      <c r="H1296" s="173"/>
      <c r="I1296" s="174"/>
      <c r="J1296" s="173"/>
      <c r="K1296" s="173"/>
      <c r="L1296" s="266"/>
      <c r="M1296" s="173"/>
      <c r="N1296" s="174"/>
      <c r="O1296" s="173"/>
      <c r="P1296" s="173"/>
      <c r="Q1296" s="173"/>
      <c r="R1296" s="173"/>
      <c r="S1296" s="173"/>
      <c r="T1296" s="327"/>
      <c r="U1296" s="300">
        <v>9.2999999999999999E-2</v>
      </c>
      <c r="V1296" s="173"/>
      <c r="W1296" s="173"/>
      <c r="X1296" s="173"/>
      <c r="Y1296" s="173"/>
      <c r="Z1296" s="173"/>
      <c r="AA1296" s="173"/>
      <c r="AB1296" s="173"/>
      <c r="AC1296" s="173"/>
      <c r="AD1296" s="173"/>
      <c r="AE1296" s="173"/>
      <c r="AF1296" s="173"/>
      <c r="AG1296" s="173"/>
      <c r="AH1296" s="173"/>
      <c r="AI1296" s="173" t="s">
        <v>482</v>
      </c>
      <c r="AJ1296" s="173"/>
      <c r="AK1296" s="173"/>
      <c r="AL1296" s="173"/>
      <c r="AM1296" s="644">
        <f t="shared" si="24"/>
        <v>124.93210000000001</v>
      </c>
      <c r="AO1296" s="289"/>
      <c r="AP1296" s="97"/>
    </row>
    <row r="1297" spans="1:42" s="61" customFormat="1" ht="22.5" customHeight="1" x14ac:dyDescent="0.3">
      <c r="A1297" s="713"/>
      <c r="B1297" s="115" t="s">
        <v>402</v>
      </c>
      <c r="C1297" s="142">
        <v>75.190049999999999</v>
      </c>
      <c r="D1297" s="111"/>
      <c r="E1297" s="111"/>
      <c r="F1297" s="267"/>
      <c r="G1297" s="111"/>
      <c r="H1297" s="111"/>
      <c r="I1297" s="125"/>
      <c r="J1297" s="111"/>
      <c r="K1297" s="111"/>
      <c r="L1297" s="267"/>
      <c r="M1297" s="111"/>
      <c r="N1297" s="125"/>
      <c r="O1297" s="111"/>
      <c r="P1297" s="111"/>
      <c r="Q1297" s="111"/>
      <c r="R1297" s="111"/>
      <c r="S1297" s="111">
        <v>1.8928119999999999</v>
      </c>
      <c r="T1297" s="143"/>
      <c r="U1297" s="142">
        <v>3.2000000000000001E-2</v>
      </c>
      <c r="V1297" s="111"/>
      <c r="W1297" s="111"/>
      <c r="X1297" s="111"/>
      <c r="Y1297" s="111"/>
      <c r="Z1297" s="111"/>
      <c r="AA1297" s="111"/>
      <c r="AB1297" s="111"/>
      <c r="AC1297" s="111"/>
      <c r="AD1297" s="111"/>
      <c r="AE1297" s="111"/>
      <c r="AF1297" s="111"/>
      <c r="AG1297" s="111"/>
      <c r="AH1297" s="111" t="s">
        <v>482</v>
      </c>
      <c r="AI1297" s="111" t="s">
        <v>482</v>
      </c>
      <c r="AJ1297" s="111"/>
      <c r="AK1297" s="111"/>
      <c r="AL1297" s="111"/>
      <c r="AM1297" s="645">
        <f t="shared" si="24"/>
        <v>77.114862000000002</v>
      </c>
      <c r="AO1297" s="289"/>
    </row>
    <row r="1298" spans="1:42" s="61" customFormat="1" ht="21" customHeight="1" x14ac:dyDescent="0.3">
      <c r="A1298" s="714"/>
      <c r="B1298" s="181" t="s">
        <v>403</v>
      </c>
      <c r="C1298" s="144">
        <v>5</v>
      </c>
      <c r="D1298" s="112"/>
      <c r="E1298" s="112"/>
      <c r="F1298" s="268"/>
      <c r="G1298" s="112"/>
      <c r="H1298" s="112"/>
      <c r="I1298" s="126"/>
      <c r="J1298" s="112"/>
      <c r="K1298" s="112"/>
      <c r="L1298" s="268"/>
      <c r="M1298" s="112"/>
      <c r="N1298" s="126"/>
      <c r="O1298" s="112"/>
      <c r="P1298" s="112"/>
      <c r="Q1298" s="112"/>
      <c r="R1298" s="112"/>
      <c r="S1298" s="112">
        <v>0</v>
      </c>
      <c r="T1298" s="145"/>
      <c r="U1298" s="144"/>
      <c r="V1298" s="112"/>
      <c r="W1298" s="112"/>
      <c r="X1298" s="112"/>
      <c r="Y1298" s="112"/>
      <c r="Z1298" s="112"/>
      <c r="AA1298" s="112"/>
      <c r="AB1298" s="112"/>
      <c r="AC1298" s="112"/>
      <c r="AD1298" s="112"/>
      <c r="AE1298" s="112"/>
      <c r="AF1298" s="112"/>
      <c r="AG1298" s="112"/>
      <c r="AH1298" s="112" t="s">
        <v>482</v>
      </c>
      <c r="AI1298" s="112" t="s">
        <v>482</v>
      </c>
      <c r="AJ1298" s="112"/>
      <c r="AK1298" s="112"/>
      <c r="AL1298" s="112"/>
      <c r="AM1298" s="646">
        <f t="shared" si="24"/>
        <v>5</v>
      </c>
      <c r="AO1298" s="289"/>
    </row>
    <row r="1299" spans="1:42" s="61" customFormat="1" ht="21" customHeight="1" x14ac:dyDescent="0.3">
      <c r="A1299" s="705" t="s">
        <v>245</v>
      </c>
      <c r="B1299" s="179" t="s">
        <v>293</v>
      </c>
      <c r="C1299" s="135">
        <v>0.98</v>
      </c>
      <c r="D1299" s="136"/>
      <c r="E1299" s="136"/>
      <c r="F1299" s="262"/>
      <c r="G1299" s="136"/>
      <c r="H1299" s="136"/>
      <c r="I1299" s="326"/>
      <c r="J1299" s="136"/>
      <c r="K1299" s="136"/>
      <c r="L1299" s="262"/>
      <c r="M1299" s="136"/>
      <c r="N1299" s="326"/>
      <c r="O1299" s="136"/>
      <c r="P1299" s="136"/>
      <c r="Q1299" s="136"/>
      <c r="R1299" s="136"/>
      <c r="S1299" s="136">
        <v>12</v>
      </c>
      <c r="T1299" s="137"/>
      <c r="U1299" s="632"/>
      <c r="V1299" s="122"/>
      <c r="W1299" s="122"/>
      <c r="X1299" s="122"/>
      <c r="Y1299" s="122"/>
      <c r="Z1299" s="122">
        <v>1</v>
      </c>
      <c r="AA1299" s="122"/>
      <c r="AB1299" s="122"/>
      <c r="AC1299" s="122"/>
      <c r="AD1299" s="122"/>
      <c r="AE1299" s="122"/>
      <c r="AF1299" s="122"/>
      <c r="AG1299" s="122"/>
      <c r="AH1299" s="122"/>
      <c r="AI1299" s="122" t="s">
        <v>482</v>
      </c>
      <c r="AJ1299" s="122"/>
      <c r="AK1299" s="122"/>
      <c r="AL1299" s="122"/>
      <c r="AM1299" s="639">
        <f t="shared" si="24"/>
        <v>13.98</v>
      </c>
      <c r="AO1299" s="289"/>
    </row>
    <row r="1300" spans="1:42" s="61" customFormat="1" ht="19.5" customHeight="1" x14ac:dyDescent="0.3">
      <c r="A1300" s="706"/>
      <c r="B1300" s="116" t="s">
        <v>294</v>
      </c>
      <c r="C1300" s="138"/>
      <c r="D1300" s="109"/>
      <c r="E1300" s="109"/>
      <c r="F1300" s="263"/>
      <c r="G1300" s="109"/>
      <c r="H1300" s="109"/>
      <c r="I1300" s="123"/>
      <c r="J1300" s="109"/>
      <c r="K1300" s="109"/>
      <c r="L1300" s="263"/>
      <c r="M1300" s="109"/>
      <c r="N1300" s="123"/>
      <c r="O1300" s="109"/>
      <c r="P1300" s="109"/>
      <c r="Q1300" s="109"/>
      <c r="R1300" s="109"/>
      <c r="S1300" s="109">
        <v>6</v>
      </c>
      <c r="T1300" s="139"/>
      <c r="U1300" s="138"/>
      <c r="V1300" s="109"/>
      <c r="W1300" s="109"/>
      <c r="X1300" s="109"/>
      <c r="Y1300" s="109"/>
      <c r="Z1300" s="109">
        <v>1.07</v>
      </c>
      <c r="AA1300" s="109"/>
      <c r="AB1300" s="109"/>
      <c r="AC1300" s="109"/>
      <c r="AD1300" s="109"/>
      <c r="AE1300" s="109"/>
      <c r="AF1300" s="109"/>
      <c r="AG1300" s="109"/>
      <c r="AH1300" s="109"/>
      <c r="AI1300" s="109" t="s">
        <v>482</v>
      </c>
      <c r="AJ1300" s="109"/>
      <c r="AK1300" s="109"/>
      <c r="AL1300" s="109"/>
      <c r="AM1300" s="640">
        <f t="shared" si="24"/>
        <v>7.07</v>
      </c>
      <c r="AO1300" s="289"/>
    </row>
    <row r="1301" spans="1:42" s="61" customFormat="1" ht="22.5" customHeight="1" x14ac:dyDescent="0.3">
      <c r="A1301" s="706"/>
      <c r="B1301" s="117" t="s">
        <v>326</v>
      </c>
      <c r="C1301" s="140">
        <v>72.346999999999994</v>
      </c>
      <c r="D1301" s="110"/>
      <c r="E1301" s="110"/>
      <c r="F1301" s="264"/>
      <c r="G1301" s="110"/>
      <c r="H1301" s="110"/>
      <c r="I1301" s="124"/>
      <c r="J1301" s="110"/>
      <c r="K1301" s="110"/>
      <c r="L1301" s="264"/>
      <c r="M1301" s="110"/>
      <c r="N1301" s="124"/>
      <c r="O1301" s="110"/>
      <c r="P1301" s="110"/>
      <c r="Q1301" s="110"/>
      <c r="R1301" s="110"/>
      <c r="S1301" s="110"/>
      <c r="T1301" s="141"/>
      <c r="U1301" s="140">
        <v>8.8999999999999996E-2</v>
      </c>
      <c r="V1301" s="110"/>
      <c r="W1301" s="110"/>
      <c r="X1301" s="110"/>
      <c r="Y1301" s="110"/>
      <c r="Z1301" s="110">
        <v>1</v>
      </c>
      <c r="AA1301" s="110"/>
      <c r="AB1301" s="110"/>
      <c r="AC1301" s="110"/>
      <c r="AD1301" s="110"/>
      <c r="AE1301" s="110"/>
      <c r="AF1301" s="110"/>
      <c r="AG1301" s="110"/>
      <c r="AH1301" s="110"/>
      <c r="AI1301" s="110" t="s">
        <v>482</v>
      </c>
      <c r="AJ1301" s="110"/>
      <c r="AK1301" s="110"/>
      <c r="AL1301" s="110"/>
      <c r="AM1301" s="641">
        <f t="shared" ref="AM1301:AM1364" si="25">SUM(C1301:AL1301)</f>
        <v>73.435999999999993</v>
      </c>
      <c r="AO1301" s="289"/>
      <c r="AP1301" s="97"/>
    </row>
    <row r="1302" spans="1:42" s="61" customFormat="1" ht="25.5" customHeight="1" x14ac:dyDescent="0.3">
      <c r="A1302" s="706"/>
      <c r="B1302" s="175" t="s">
        <v>327</v>
      </c>
      <c r="C1302" s="176">
        <v>70.709000000000003</v>
      </c>
      <c r="D1302" s="127"/>
      <c r="E1302" s="127"/>
      <c r="F1302" s="265"/>
      <c r="G1302" s="127"/>
      <c r="H1302" s="127"/>
      <c r="I1302" s="178"/>
      <c r="J1302" s="127"/>
      <c r="K1302" s="127"/>
      <c r="L1302" s="265"/>
      <c r="M1302" s="127"/>
      <c r="N1302" s="178"/>
      <c r="O1302" s="127"/>
      <c r="P1302" s="127"/>
      <c r="Q1302" s="127"/>
      <c r="R1302" s="127"/>
      <c r="S1302" s="127">
        <v>41</v>
      </c>
      <c r="T1302" s="177"/>
      <c r="U1302" s="176">
        <v>3.1E-2</v>
      </c>
      <c r="V1302" s="127"/>
      <c r="W1302" s="127"/>
      <c r="X1302" s="127"/>
      <c r="Y1302" s="127"/>
      <c r="Z1302" s="127">
        <v>1</v>
      </c>
      <c r="AA1302" s="127"/>
      <c r="AB1302" s="127"/>
      <c r="AC1302" s="127"/>
      <c r="AD1302" s="127"/>
      <c r="AE1302" s="127"/>
      <c r="AF1302" s="127"/>
      <c r="AG1302" s="127"/>
      <c r="AH1302" s="127"/>
      <c r="AI1302" s="127" t="s">
        <v>482</v>
      </c>
      <c r="AJ1302" s="127"/>
      <c r="AK1302" s="127"/>
      <c r="AL1302" s="127"/>
      <c r="AM1302" s="642">
        <f t="shared" si="25"/>
        <v>112.74000000000001</v>
      </c>
      <c r="AO1302" s="289"/>
    </row>
    <row r="1303" spans="1:42" s="61" customFormat="1" ht="25.5" customHeight="1" x14ac:dyDescent="0.3">
      <c r="A1303" s="706"/>
      <c r="B1303" s="180" t="s">
        <v>361</v>
      </c>
      <c r="C1303" s="300">
        <v>79.929600000000008</v>
      </c>
      <c r="D1303" s="173"/>
      <c r="E1303" s="173"/>
      <c r="F1303" s="266"/>
      <c r="G1303" s="173"/>
      <c r="H1303" s="173"/>
      <c r="I1303" s="174"/>
      <c r="J1303" s="173"/>
      <c r="K1303" s="173"/>
      <c r="L1303" s="266"/>
      <c r="M1303" s="173"/>
      <c r="N1303" s="174"/>
      <c r="O1303" s="173"/>
      <c r="P1303" s="173"/>
      <c r="Q1303" s="173"/>
      <c r="R1303" s="173"/>
      <c r="S1303" s="173">
        <v>7</v>
      </c>
      <c r="T1303" s="327"/>
      <c r="U1303" s="300"/>
      <c r="V1303" s="173"/>
      <c r="W1303" s="173"/>
      <c r="X1303" s="173"/>
      <c r="Y1303" s="173"/>
      <c r="Z1303" s="173"/>
      <c r="AA1303" s="173"/>
      <c r="AB1303" s="173"/>
      <c r="AC1303" s="173"/>
      <c r="AD1303" s="173"/>
      <c r="AE1303" s="173"/>
      <c r="AF1303" s="173"/>
      <c r="AG1303" s="173"/>
      <c r="AH1303" s="173"/>
      <c r="AI1303" s="173" t="s">
        <v>482</v>
      </c>
      <c r="AJ1303" s="173"/>
      <c r="AK1303" s="173"/>
      <c r="AL1303" s="173"/>
      <c r="AM1303" s="643">
        <f t="shared" si="25"/>
        <v>86.929600000000008</v>
      </c>
      <c r="AO1303" s="289"/>
      <c r="AP1303" s="97"/>
    </row>
    <row r="1304" spans="1:42" s="61" customFormat="1" ht="25.5" customHeight="1" x14ac:dyDescent="0.3">
      <c r="A1304" s="706"/>
      <c r="B1304" s="180" t="s">
        <v>362</v>
      </c>
      <c r="C1304" s="300">
        <v>81.896000000000001</v>
      </c>
      <c r="D1304" s="173"/>
      <c r="E1304" s="173"/>
      <c r="F1304" s="266"/>
      <c r="G1304" s="173"/>
      <c r="H1304" s="173"/>
      <c r="I1304" s="174"/>
      <c r="J1304" s="173"/>
      <c r="K1304" s="173"/>
      <c r="L1304" s="266"/>
      <c r="M1304" s="173"/>
      <c r="N1304" s="174"/>
      <c r="O1304" s="173"/>
      <c r="P1304" s="173"/>
      <c r="Q1304" s="173"/>
      <c r="R1304" s="173"/>
      <c r="S1304" s="173">
        <v>21</v>
      </c>
      <c r="T1304" s="327"/>
      <c r="U1304" s="300"/>
      <c r="V1304" s="173"/>
      <c r="W1304" s="173"/>
      <c r="X1304" s="173"/>
      <c r="Y1304" s="173"/>
      <c r="Z1304" s="173">
        <v>1</v>
      </c>
      <c r="AA1304" s="173"/>
      <c r="AB1304" s="173"/>
      <c r="AC1304" s="173"/>
      <c r="AD1304" s="173"/>
      <c r="AE1304" s="173"/>
      <c r="AF1304" s="173"/>
      <c r="AG1304" s="173"/>
      <c r="AH1304" s="173"/>
      <c r="AI1304" s="173" t="s">
        <v>482</v>
      </c>
      <c r="AJ1304" s="173"/>
      <c r="AK1304" s="173"/>
      <c r="AL1304" s="173"/>
      <c r="AM1304" s="644">
        <f t="shared" si="25"/>
        <v>103.896</v>
      </c>
      <c r="AO1304" s="289"/>
      <c r="AP1304" s="97"/>
    </row>
    <row r="1305" spans="1:42" s="61" customFormat="1" ht="22.5" customHeight="1" x14ac:dyDescent="0.3">
      <c r="A1305" s="706"/>
      <c r="B1305" s="115" t="s">
        <v>402</v>
      </c>
      <c r="C1305" s="142">
        <v>79.239999999999995</v>
      </c>
      <c r="D1305" s="111"/>
      <c r="E1305" s="111"/>
      <c r="F1305" s="267"/>
      <c r="G1305" s="111"/>
      <c r="H1305" s="111"/>
      <c r="I1305" s="125"/>
      <c r="J1305" s="111"/>
      <c r="K1305" s="111"/>
      <c r="L1305" s="267"/>
      <c r="M1305" s="111"/>
      <c r="N1305" s="125"/>
      <c r="O1305" s="111"/>
      <c r="P1305" s="111"/>
      <c r="Q1305" s="111"/>
      <c r="R1305" s="111"/>
      <c r="S1305" s="111"/>
      <c r="T1305" s="143"/>
      <c r="U1305" s="142"/>
      <c r="V1305" s="111"/>
      <c r="W1305" s="111"/>
      <c r="X1305" s="111"/>
      <c r="Y1305" s="111"/>
      <c r="Z1305" s="111"/>
      <c r="AA1305" s="111"/>
      <c r="AB1305" s="111"/>
      <c r="AC1305" s="111"/>
      <c r="AD1305" s="111"/>
      <c r="AE1305" s="111"/>
      <c r="AF1305" s="111"/>
      <c r="AG1305" s="111"/>
      <c r="AH1305" s="111" t="s">
        <v>482</v>
      </c>
      <c r="AI1305" s="111" t="s">
        <v>482</v>
      </c>
      <c r="AJ1305" s="111"/>
      <c r="AK1305" s="111"/>
      <c r="AL1305" s="111"/>
      <c r="AM1305" s="645">
        <f t="shared" si="25"/>
        <v>79.239999999999995</v>
      </c>
      <c r="AO1305" s="289"/>
    </row>
    <row r="1306" spans="1:42" s="61" customFormat="1" ht="21" customHeight="1" x14ac:dyDescent="0.3">
      <c r="A1306" s="707"/>
      <c r="B1306" s="181" t="s">
        <v>403</v>
      </c>
      <c r="C1306" s="144">
        <v>81.164000000000001</v>
      </c>
      <c r="D1306" s="112"/>
      <c r="E1306" s="112"/>
      <c r="F1306" s="268"/>
      <c r="G1306" s="112"/>
      <c r="H1306" s="112"/>
      <c r="I1306" s="126"/>
      <c r="J1306" s="112"/>
      <c r="K1306" s="112"/>
      <c r="L1306" s="268"/>
      <c r="M1306" s="112"/>
      <c r="N1306" s="126"/>
      <c r="O1306" s="112"/>
      <c r="P1306" s="112"/>
      <c r="Q1306" s="112"/>
      <c r="R1306" s="112"/>
      <c r="S1306" s="112"/>
      <c r="T1306" s="145"/>
      <c r="U1306" s="144">
        <v>6.3E-2</v>
      </c>
      <c r="V1306" s="112"/>
      <c r="W1306" s="112"/>
      <c r="X1306" s="112"/>
      <c r="Y1306" s="112"/>
      <c r="Z1306" s="112"/>
      <c r="AA1306" s="112"/>
      <c r="AB1306" s="112"/>
      <c r="AC1306" s="112"/>
      <c r="AD1306" s="112"/>
      <c r="AE1306" s="112"/>
      <c r="AF1306" s="112"/>
      <c r="AG1306" s="112"/>
      <c r="AH1306" s="112" t="s">
        <v>482</v>
      </c>
      <c r="AI1306" s="112" t="s">
        <v>482</v>
      </c>
      <c r="AJ1306" s="112"/>
      <c r="AK1306" s="112"/>
      <c r="AL1306" s="112"/>
      <c r="AM1306" s="646">
        <f t="shared" si="25"/>
        <v>81.227000000000004</v>
      </c>
      <c r="AO1306" s="289"/>
    </row>
    <row r="1307" spans="1:42" s="61" customFormat="1" ht="21" customHeight="1" x14ac:dyDescent="0.3">
      <c r="A1307" s="705" t="s">
        <v>246</v>
      </c>
      <c r="B1307" s="179" t="s">
        <v>293</v>
      </c>
      <c r="C1307" s="135"/>
      <c r="D1307" s="136"/>
      <c r="E1307" s="136"/>
      <c r="F1307" s="262"/>
      <c r="G1307" s="136"/>
      <c r="H1307" s="136"/>
      <c r="I1307" s="326"/>
      <c r="J1307" s="136"/>
      <c r="K1307" s="136"/>
      <c r="L1307" s="262"/>
      <c r="M1307" s="136"/>
      <c r="N1307" s="326"/>
      <c r="O1307" s="136"/>
      <c r="P1307" s="136"/>
      <c r="Q1307" s="136"/>
      <c r="R1307" s="136"/>
      <c r="S1307" s="136"/>
      <c r="T1307" s="137">
        <v>1.2</v>
      </c>
      <c r="U1307" s="632"/>
      <c r="V1307" s="122"/>
      <c r="W1307" s="122"/>
      <c r="X1307" s="122"/>
      <c r="Y1307" s="122"/>
      <c r="Z1307" s="122">
        <v>25</v>
      </c>
      <c r="AA1307" s="122"/>
      <c r="AB1307" s="122"/>
      <c r="AC1307" s="122"/>
      <c r="AD1307" s="122"/>
      <c r="AE1307" s="122"/>
      <c r="AF1307" s="122"/>
      <c r="AG1307" s="122"/>
      <c r="AH1307" s="122">
        <v>7.93</v>
      </c>
      <c r="AI1307" s="122" t="s">
        <v>482</v>
      </c>
      <c r="AJ1307" s="122"/>
      <c r="AK1307" s="122"/>
      <c r="AL1307" s="122"/>
      <c r="AM1307" s="639">
        <f t="shared" si="25"/>
        <v>34.129999999999995</v>
      </c>
      <c r="AO1307" s="289"/>
    </row>
    <row r="1308" spans="1:42" s="61" customFormat="1" ht="19.5" customHeight="1" x14ac:dyDescent="0.3">
      <c r="A1308" s="706"/>
      <c r="B1308" s="116" t="s">
        <v>294</v>
      </c>
      <c r="C1308" s="138"/>
      <c r="D1308" s="109"/>
      <c r="E1308" s="109"/>
      <c r="F1308" s="263"/>
      <c r="G1308" s="109"/>
      <c r="H1308" s="109"/>
      <c r="I1308" s="123"/>
      <c r="J1308" s="109"/>
      <c r="K1308" s="109"/>
      <c r="L1308" s="263"/>
      <c r="M1308" s="109"/>
      <c r="N1308" s="123"/>
      <c r="O1308" s="109"/>
      <c r="P1308" s="109"/>
      <c r="Q1308" s="109"/>
      <c r="R1308" s="109"/>
      <c r="S1308" s="109"/>
      <c r="T1308" s="139">
        <v>1.2</v>
      </c>
      <c r="U1308" s="138"/>
      <c r="V1308" s="109"/>
      <c r="W1308" s="109"/>
      <c r="X1308" s="109"/>
      <c r="Y1308" s="109"/>
      <c r="Z1308" s="109">
        <v>5</v>
      </c>
      <c r="AA1308" s="109"/>
      <c r="AB1308" s="109"/>
      <c r="AC1308" s="109"/>
      <c r="AD1308" s="109"/>
      <c r="AE1308" s="109"/>
      <c r="AF1308" s="109"/>
      <c r="AG1308" s="109"/>
      <c r="AH1308" s="109"/>
      <c r="AI1308" s="109" t="s">
        <v>482</v>
      </c>
      <c r="AJ1308" s="109"/>
      <c r="AK1308" s="109"/>
      <c r="AL1308" s="109"/>
      <c r="AM1308" s="640">
        <f t="shared" si="25"/>
        <v>6.2</v>
      </c>
      <c r="AO1308" s="289"/>
    </row>
    <row r="1309" spans="1:42" s="61" customFormat="1" ht="22.5" customHeight="1" x14ac:dyDescent="0.3">
      <c r="A1309" s="706"/>
      <c r="B1309" s="117" t="s">
        <v>326</v>
      </c>
      <c r="C1309" s="140"/>
      <c r="D1309" s="110"/>
      <c r="E1309" s="110"/>
      <c r="F1309" s="264"/>
      <c r="G1309" s="110"/>
      <c r="H1309" s="110"/>
      <c r="I1309" s="124"/>
      <c r="J1309" s="110"/>
      <c r="K1309" s="110"/>
      <c r="L1309" s="264"/>
      <c r="M1309" s="110"/>
      <c r="N1309" s="124"/>
      <c r="O1309" s="110"/>
      <c r="P1309" s="110"/>
      <c r="Q1309" s="110"/>
      <c r="R1309" s="110"/>
      <c r="S1309" s="110"/>
      <c r="T1309" s="141"/>
      <c r="U1309" s="140">
        <v>9.1999999999999998E-2</v>
      </c>
      <c r="V1309" s="110"/>
      <c r="W1309" s="110"/>
      <c r="X1309" s="110"/>
      <c r="Y1309" s="110">
        <v>5</v>
      </c>
      <c r="Z1309" s="110">
        <v>74</v>
      </c>
      <c r="AA1309" s="110"/>
      <c r="AB1309" s="110"/>
      <c r="AC1309" s="110"/>
      <c r="AD1309" s="110"/>
      <c r="AE1309" s="110"/>
      <c r="AF1309" s="110"/>
      <c r="AG1309" s="110"/>
      <c r="AH1309" s="110"/>
      <c r="AI1309" s="110" t="s">
        <v>482</v>
      </c>
      <c r="AJ1309" s="110"/>
      <c r="AK1309" s="110"/>
      <c r="AL1309" s="110"/>
      <c r="AM1309" s="641">
        <f t="shared" si="25"/>
        <v>79.091999999999999</v>
      </c>
      <c r="AO1309" s="289"/>
      <c r="AP1309" s="97"/>
    </row>
    <row r="1310" spans="1:42" s="61" customFormat="1" ht="25.5" customHeight="1" x14ac:dyDescent="0.3">
      <c r="A1310" s="706"/>
      <c r="B1310" s="175" t="s">
        <v>327</v>
      </c>
      <c r="C1310" s="176">
        <v>6.5949999999999998</v>
      </c>
      <c r="D1310" s="127"/>
      <c r="E1310" s="127"/>
      <c r="F1310" s="265"/>
      <c r="G1310" s="127"/>
      <c r="H1310" s="127"/>
      <c r="I1310" s="178"/>
      <c r="J1310" s="127"/>
      <c r="K1310" s="127"/>
      <c r="L1310" s="265"/>
      <c r="M1310" s="127"/>
      <c r="N1310" s="178"/>
      <c r="O1310" s="127"/>
      <c r="P1310" s="127"/>
      <c r="Q1310" s="127"/>
      <c r="R1310" s="127"/>
      <c r="S1310" s="127"/>
      <c r="T1310" s="177"/>
      <c r="U1310" s="176"/>
      <c r="V1310" s="127"/>
      <c r="W1310" s="127"/>
      <c r="X1310" s="127"/>
      <c r="Y1310" s="127">
        <v>6</v>
      </c>
      <c r="Z1310" s="127">
        <v>55.309669999999997</v>
      </c>
      <c r="AA1310" s="127"/>
      <c r="AB1310" s="127"/>
      <c r="AC1310" s="127"/>
      <c r="AD1310" s="127"/>
      <c r="AE1310" s="127"/>
      <c r="AF1310" s="127"/>
      <c r="AG1310" s="127"/>
      <c r="AH1310" s="127"/>
      <c r="AI1310" s="127" t="s">
        <v>482</v>
      </c>
      <c r="AJ1310" s="127"/>
      <c r="AK1310" s="127"/>
      <c r="AL1310" s="127"/>
      <c r="AM1310" s="642">
        <f t="shared" si="25"/>
        <v>67.904669999999996</v>
      </c>
      <c r="AO1310" s="289"/>
    </row>
    <row r="1311" spans="1:42" s="61" customFormat="1" ht="25.5" customHeight="1" x14ac:dyDescent="0.3">
      <c r="A1311" s="706"/>
      <c r="B1311" s="180" t="s">
        <v>361</v>
      </c>
      <c r="C1311" s="300"/>
      <c r="D1311" s="173"/>
      <c r="E1311" s="173"/>
      <c r="F1311" s="266"/>
      <c r="G1311" s="173"/>
      <c r="H1311" s="173"/>
      <c r="I1311" s="174"/>
      <c r="J1311" s="173"/>
      <c r="K1311" s="173"/>
      <c r="L1311" s="266"/>
      <c r="M1311" s="173"/>
      <c r="N1311" s="174"/>
      <c r="O1311" s="173"/>
      <c r="P1311" s="173"/>
      <c r="Q1311" s="173"/>
      <c r="R1311" s="173"/>
      <c r="S1311" s="173"/>
      <c r="T1311" s="327"/>
      <c r="U1311" s="300">
        <v>15.042999999999999</v>
      </c>
      <c r="V1311" s="173"/>
      <c r="W1311" s="173"/>
      <c r="X1311" s="173"/>
      <c r="Y1311" s="173"/>
      <c r="Z1311" s="173">
        <v>88.3386</v>
      </c>
      <c r="AA1311" s="173"/>
      <c r="AB1311" s="173"/>
      <c r="AC1311" s="173"/>
      <c r="AD1311" s="173"/>
      <c r="AE1311" s="173"/>
      <c r="AF1311" s="173"/>
      <c r="AG1311" s="173"/>
      <c r="AH1311" s="173">
        <v>38</v>
      </c>
      <c r="AI1311" s="173" t="s">
        <v>482</v>
      </c>
      <c r="AJ1311" s="173"/>
      <c r="AK1311" s="173"/>
      <c r="AL1311" s="173"/>
      <c r="AM1311" s="643">
        <f t="shared" si="25"/>
        <v>141.38159999999999</v>
      </c>
      <c r="AO1311" s="289"/>
      <c r="AP1311" s="97"/>
    </row>
    <row r="1312" spans="1:42" s="61" customFormat="1" ht="25.5" customHeight="1" x14ac:dyDescent="0.3">
      <c r="A1312" s="706"/>
      <c r="B1312" s="180" t="s">
        <v>362</v>
      </c>
      <c r="C1312" s="300"/>
      <c r="D1312" s="173"/>
      <c r="E1312" s="173"/>
      <c r="F1312" s="266"/>
      <c r="G1312" s="173"/>
      <c r="H1312" s="173"/>
      <c r="I1312" s="174"/>
      <c r="J1312" s="173"/>
      <c r="K1312" s="173"/>
      <c r="L1312" s="266"/>
      <c r="M1312" s="173"/>
      <c r="N1312" s="174"/>
      <c r="O1312" s="173"/>
      <c r="P1312" s="173"/>
      <c r="Q1312" s="173"/>
      <c r="R1312" s="173"/>
      <c r="S1312" s="173"/>
      <c r="T1312" s="327"/>
      <c r="U1312" s="300">
        <v>0.27600000000000002</v>
      </c>
      <c r="V1312" s="173"/>
      <c r="W1312" s="173"/>
      <c r="X1312" s="173"/>
      <c r="Y1312" s="173"/>
      <c r="Z1312" s="173">
        <v>56.19988</v>
      </c>
      <c r="AA1312" s="173"/>
      <c r="AB1312" s="173"/>
      <c r="AC1312" s="173"/>
      <c r="AD1312" s="173"/>
      <c r="AE1312" s="173"/>
      <c r="AF1312" s="173"/>
      <c r="AG1312" s="173"/>
      <c r="AH1312" s="173"/>
      <c r="AI1312" s="173" t="s">
        <v>482</v>
      </c>
      <c r="AJ1312" s="173"/>
      <c r="AK1312" s="173"/>
      <c r="AL1312" s="173"/>
      <c r="AM1312" s="644">
        <f t="shared" si="25"/>
        <v>56.475880000000004</v>
      </c>
      <c r="AO1312" s="289"/>
      <c r="AP1312" s="97"/>
    </row>
    <row r="1313" spans="1:42" s="61" customFormat="1" ht="22.5" customHeight="1" x14ac:dyDescent="0.3">
      <c r="A1313" s="706"/>
      <c r="B1313" s="115" t="s">
        <v>402</v>
      </c>
      <c r="C1313" s="142">
        <v>44.869140000000002</v>
      </c>
      <c r="D1313" s="111"/>
      <c r="E1313" s="111"/>
      <c r="F1313" s="267"/>
      <c r="G1313" s="111"/>
      <c r="H1313" s="111"/>
      <c r="I1313" s="125"/>
      <c r="J1313" s="111"/>
      <c r="K1313" s="111"/>
      <c r="L1313" s="267"/>
      <c r="M1313" s="111"/>
      <c r="N1313" s="125"/>
      <c r="O1313" s="111"/>
      <c r="P1313" s="111"/>
      <c r="Q1313" s="111"/>
      <c r="R1313" s="111"/>
      <c r="S1313" s="111">
        <v>3.406E-2</v>
      </c>
      <c r="T1313" s="143"/>
      <c r="U1313" s="142">
        <v>10.965</v>
      </c>
      <c r="V1313" s="111"/>
      <c r="W1313" s="111"/>
      <c r="X1313" s="111"/>
      <c r="Y1313" s="111"/>
      <c r="Z1313" s="111">
        <v>121</v>
      </c>
      <c r="AA1313" s="111"/>
      <c r="AB1313" s="111"/>
      <c r="AC1313" s="111"/>
      <c r="AD1313" s="111"/>
      <c r="AE1313" s="111"/>
      <c r="AF1313" s="111"/>
      <c r="AG1313" s="111"/>
      <c r="AH1313" s="111" t="s">
        <v>482</v>
      </c>
      <c r="AI1313" s="111" t="s">
        <v>482</v>
      </c>
      <c r="AJ1313" s="111"/>
      <c r="AK1313" s="111"/>
      <c r="AL1313" s="111"/>
      <c r="AM1313" s="645">
        <f t="shared" si="25"/>
        <v>176.8682</v>
      </c>
      <c r="AO1313" s="289"/>
    </row>
    <row r="1314" spans="1:42" s="61" customFormat="1" ht="21" customHeight="1" x14ac:dyDescent="0.3">
      <c r="A1314" s="707"/>
      <c r="B1314" s="181" t="s">
        <v>403</v>
      </c>
      <c r="C1314" s="144">
        <v>40.816330000000001</v>
      </c>
      <c r="D1314" s="112"/>
      <c r="E1314" s="112"/>
      <c r="F1314" s="268"/>
      <c r="G1314" s="112"/>
      <c r="H1314" s="112"/>
      <c r="I1314" s="126"/>
      <c r="J1314" s="112"/>
      <c r="K1314" s="112"/>
      <c r="L1314" s="268"/>
      <c r="M1314" s="112"/>
      <c r="N1314" s="126"/>
      <c r="O1314" s="112"/>
      <c r="P1314" s="112"/>
      <c r="Q1314" s="112"/>
      <c r="R1314" s="112"/>
      <c r="S1314" s="112">
        <v>-2.1430299999999995</v>
      </c>
      <c r="T1314" s="145"/>
      <c r="U1314" s="144">
        <v>20.094999999999999</v>
      </c>
      <c r="V1314" s="112"/>
      <c r="W1314" s="112"/>
      <c r="X1314" s="112"/>
      <c r="Y1314" s="112"/>
      <c r="Z1314" s="112">
        <v>47</v>
      </c>
      <c r="AA1314" s="112"/>
      <c r="AB1314" s="112"/>
      <c r="AC1314" s="112"/>
      <c r="AD1314" s="112"/>
      <c r="AE1314" s="112"/>
      <c r="AF1314" s="112"/>
      <c r="AG1314" s="112"/>
      <c r="AH1314" s="112" t="s">
        <v>482</v>
      </c>
      <c r="AI1314" s="112" t="s">
        <v>482</v>
      </c>
      <c r="AJ1314" s="112"/>
      <c r="AK1314" s="112"/>
      <c r="AL1314" s="112"/>
      <c r="AM1314" s="646">
        <f t="shared" si="25"/>
        <v>105.7683</v>
      </c>
      <c r="AO1314" s="289"/>
    </row>
    <row r="1315" spans="1:42" s="61" customFormat="1" ht="21" customHeight="1" x14ac:dyDescent="0.3">
      <c r="A1315" s="705" t="s">
        <v>247</v>
      </c>
      <c r="B1315" s="179" t="s">
        <v>293</v>
      </c>
      <c r="C1315" s="135"/>
      <c r="D1315" s="136"/>
      <c r="E1315" s="136"/>
      <c r="F1315" s="262"/>
      <c r="G1315" s="136"/>
      <c r="H1315" s="136"/>
      <c r="I1315" s="326"/>
      <c r="J1315" s="136"/>
      <c r="K1315" s="136"/>
      <c r="L1315" s="262"/>
      <c r="M1315" s="136"/>
      <c r="N1315" s="326"/>
      <c r="O1315" s="136"/>
      <c r="P1315" s="136"/>
      <c r="Q1315" s="136"/>
      <c r="R1315" s="136"/>
      <c r="S1315" s="136"/>
      <c r="T1315" s="137"/>
      <c r="U1315" s="632"/>
      <c r="V1315" s="122"/>
      <c r="W1315" s="122"/>
      <c r="X1315" s="122"/>
      <c r="Y1315" s="122"/>
      <c r="Z1315" s="122"/>
      <c r="AA1315" s="122"/>
      <c r="AB1315" s="122"/>
      <c r="AC1315" s="122"/>
      <c r="AD1315" s="122"/>
      <c r="AE1315" s="122"/>
      <c r="AF1315" s="122"/>
      <c r="AG1315" s="122"/>
      <c r="AH1315" s="122"/>
      <c r="AI1315" s="122" t="s">
        <v>482</v>
      </c>
      <c r="AJ1315" s="122"/>
      <c r="AK1315" s="122"/>
      <c r="AL1315" s="122"/>
      <c r="AM1315" s="639">
        <f t="shared" si="25"/>
        <v>0</v>
      </c>
      <c r="AO1315" s="289"/>
    </row>
    <row r="1316" spans="1:42" s="61" customFormat="1" ht="19.5" customHeight="1" x14ac:dyDescent="0.3">
      <c r="A1316" s="706"/>
      <c r="B1316" s="116" t="s">
        <v>294</v>
      </c>
      <c r="C1316" s="138"/>
      <c r="D1316" s="109"/>
      <c r="E1316" s="109"/>
      <c r="F1316" s="263"/>
      <c r="G1316" s="109"/>
      <c r="H1316" s="109"/>
      <c r="I1316" s="123"/>
      <c r="J1316" s="109"/>
      <c r="K1316" s="109"/>
      <c r="L1316" s="263"/>
      <c r="M1316" s="109"/>
      <c r="N1316" s="123"/>
      <c r="O1316" s="109"/>
      <c r="P1316" s="109"/>
      <c r="Q1316" s="109"/>
      <c r="R1316" s="109"/>
      <c r="S1316" s="109"/>
      <c r="T1316" s="139"/>
      <c r="U1316" s="138"/>
      <c r="V1316" s="109"/>
      <c r="W1316" s="109"/>
      <c r="X1316" s="109"/>
      <c r="Y1316" s="109"/>
      <c r="Z1316" s="109"/>
      <c r="AA1316" s="109"/>
      <c r="AB1316" s="109"/>
      <c r="AC1316" s="109"/>
      <c r="AD1316" s="109"/>
      <c r="AE1316" s="109"/>
      <c r="AF1316" s="109"/>
      <c r="AG1316" s="109"/>
      <c r="AH1316" s="109"/>
      <c r="AI1316" s="109" t="s">
        <v>482</v>
      </c>
      <c r="AJ1316" s="109"/>
      <c r="AK1316" s="109"/>
      <c r="AL1316" s="109"/>
      <c r="AM1316" s="640">
        <f t="shared" si="25"/>
        <v>0</v>
      </c>
      <c r="AO1316" s="289"/>
    </row>
    <row r="1317" spans="1:42" s="61" customFormat="1" ht="22.5" customHeight="1" x14ac:dyDescent="0.3">
      <c r="A1317" s="706"/>
      <c r="B1317" s="117" t="s">
        <v>326</v>
      </c>
      <c r="C1317" s="140"/>
      <c r="D1317" s="110"/>
      <c r="E1317" s="110"/>
      <c r="F1317" s="264"/>
      <c r="G1317" s="110"/>
      <c r="H1317" s="110"/>
      <c r="I1317" s="124"/>
      <c r="J1317" s="110"/>
      <c r="K1317" s="110"/>
      <c r="L1317" s="264"/>
      <c r="M1317" s="110"/>
      <c r="N1317" s="124"/>
      <c r="O1317" s="110"/>
      <c r="P1317" s="110"/>
      <c r="Q1317" s="110"/>
      <c r="R1317" s="110"/>
      <c r="S1317" s="110">
        <v>57</v>
      </c>
      <c r="T1317" s="141"/>
      <c r="U1317" s="140"/>
      <c r="V1317" s="110"/>
      <c r="W1317" s="110">
        <v>27</v>
      </c>
      <c r="X1317" s="110"/>
      <c r="Y1317" s="110"/>
      <c r="Z1317" s="110"/>
      <c r="AA1317" s="110"/>
      <c r="AB1317" s="110"/>
      <c r="AC1317" s="110"/>
      <c r="AD1317" s="110"/>
      <c r="AE1317" s="110"/>
      <c r="AF1317" s="110"/>
      <c r="AG1317" s="110"/>
      <c r="AH1317" s="110"/>
      <c r="AI1317" s="110" t="s">
        <v>482</v>
      </c>
      <c r="AJ1317" s="110"/>
      <c r="AK1317" s="110"/>
      <c r="AL1317" s="110"/>
      <c r="AM1317" s="641">
        <f t="shared" si="25"/>
        <v>84</v>
      </c>
      <c r="AO1317" s="289"/>
      <c r="AP1317" s="97"/>
    </row>
    <row r="1318" spans="1:42" s="61" customFormat="1" ht="25.5" customHeight="1" x14ac:dyDescent="0.3">
      <c r="A1318" s="706"/>
      <c r="B1318" s="175" t="s">
        <v>327</v>
      </c>
      <c r="C1318" s="176"/>
      <c r="D1318" s="127"/>
      <c r="E1318" s="127"/>
      <c r="F1318" s="265"/>
      <c r="G1318" s="127"/>
      <c r="H1318" s="127"/>
      <c r="I1318" s="178"/>
      <c r="J1318" s="127"/>
      <c r="K1318" s="127"/>
      <c r="L1318" s="265"/>
      <c r="M1318" s="127"/>
      <c r="N1318" s="178"/>
      <c r="O1318" s="127"/>
      <c r="P1318" s="127"/>
      <c r="Q1318" s="127"/>
      <c r="R1318" s="127"/>
      <c r="S1318" s="127">
        <v>25</v>
      </c>
      <c r="T1318" s="177"/>
      <c r="U1318" s="176"/>
      <c r="V1318" s="127"/>
      <c r="W1318" s="127">
        <v>27</v>
      </c>
      <c r="X1318" s="127"/>
      <c r="Y1318" s="127"/>
      <c r="Z1318" s="127"/>
      <c r="AA1318" s="127"/>
      <c r="AB1318" s="127"/>
      <c r="AC1318" s="127"/>
      <c r="AD1318" s="127"/>
      <c r="AE1318" s="127"/>
      <c r="AF1318" s="127"/>
      <c r="AG1318" s="127"/>
      <c r="AH1318" s="127"/>
      <c r="AI1318" s="127" t="s">
        <v>482</v>
      </c>
      <c r="AJ1318" s="127"/>
      <c r="AK1318" s="127"/>
      <c r="AL1318" s="127"/>
      <c r="AM1318" s="642">
        <f t="shared" si="25"/>
        <v>52</v>
      </c>
      <c r="AO1318" s="289"/>
    </row>
    <row r="1319" spans="1:42" s="61" customFormat="1" ht="25.5" customHeight="1" x14ac:dyDescent="0.3">
      <c r="A1319" s="706"/>
      <c r="B1319" s="180" t="s">
        <v>361</v>
      </c>
      <c r="C1319" s="300"/>
      <c r="D1319" s="173"/>
      <c r="E1319" s="173"/>
      <c r="F1319" s="266"/>
      <c r="G1319" s="173"/>
      <c r="H1319" s="173"/>
      <c r="I1319" s="174"/>
      <c r="J1319" s="173"/>
      <c r="K1319" s="173"/>
      <c r="L1319" s="266"/>
      <c r="M1319" s="173"/>
      <c r="N1319" s="174"/>
      <c r="O1319" s="173"/>
      <c r="P1319" s="173"/>
      <c r="Q1319" s="173"/>
      <c r="R1319" s="173"/>
      <c r="S1319" s="173">
        <v>276</v>
      </c>
      <c r="T1319" s="327"/>
      <c r="U1319" s="300"/>
      <c r="V1319" s="173"/>
      <c r="W1319" s="173">
        <v>7</v>
      </c>
      <c r="X1319" s="173"/>
      <c r="Y1319" s="173"/>
      <c r="Z1319" s="173"/>
      <c r="AA1319" s="173"/>
      <c r="AB1319" s="173"/>
      <c r="AC1319" s="173"/>
      <c r="AD1319" s="173"/>
      <c r="AE1319" s="173"/>
      <c r="AF1319" s="173"/>
      <c r="AG1319" s="173"/>
      <c r="AH1319" s="173"/>
      <c r="AI1319" s="173" t="s">
        <v>482</v>
      </c>
      <c r="AJ1319" s="173"/>
      <c r="AK1319" s="173"/>
      <c r="AL1319" s="173"/>
      <c r="AM1319" s="643">
        <f t="shared" si="25"/>
        <v>283</v>
      </c>
      <c r="AO1319" s="289"/>
      <c r="AP1319" s="97"/>
    </row>
    <row r="1320" spans="1:42" s="61" customFormat="1" ht="25.5" customHeight="1" x14ac:dyDescent="0.3">
      <c r="A1320" s="706"/>
      <c r="B1320" s="180" t="s">
        <v>362</v>
      </c>
      <c r="C1320" s="300"/>
      <c r="D1320" s="173"/>
      <c r="E1320" s="173"/>
      <c r="F1320" s="266"/>
      <c r="G1320" s="173"/>
      <c r="H1320" s="173"/>
      <c r="I1320" s="174"/>
      <c r="J1320" s="173"/>
      <c r="K1320" s="173"/>
      <c r="L1320" s="266"/>
      <c r="M1320" s="173"/>
      <c r="N1320" s="174"/>
      <c r="O1320" s="173"/>
      <c r="P1320" s="173"/>
      <c r="Q1320" s="173"/>
      <c r="R1320" s="173"/>
      <c r="S1320" s="173">
        <v>234</v>
      </c>
      <c r="T1320" s="327"/>
      <c r="U1320" s="300"/>
      <c r="V1320" s="173"/>
      <c r="W1320" s="173">
        <v>37</v>
      </c>
      <c r="X1320" s="173"/>
      <c r="Y1320" s="173"/>
      <c r="Z1320" s="173"/>
      <c r="AA1320" s="173"/>
      <c r="AB1320" s="173"/>
      <c r="AC1320" s="173"/>
      <c r="AD1320" s="173"/>
      <c r="AE1320" s="173"/>
      <c r="AF1320" s="173"/>
      <c r="AG1320" s="173"/>
      <c r="AH1320" s="173"/>
      <c r="AI1320" s="173" t="s">
        <v>482</v>
      </c>
      <c r="AJ1320" s="173"/>
      <c r="AK1320" s="173"/>
      <c r="AL1320" s="173"/>
      <c r="AM1320" s="644">
        <f t="shared" si="25"/>
        <v>271</v>
      </c>
      <c r="AO1320" s="289"/>
      <c r="AP1320" s="97"/>
    </row>
    <row r="1321" spans="1:42" s="61" customFormat="1" ht="22.5" customHeight="1" x14ac:dyDescent="0.3">
      <c r="A1321" s="706"/>
      <c r="B1321" s="115" t="s">
        <v>402</v>
      </c>
      <c r="C1321" s="142"/>
      <c r="D1321" s="111"/>
      <c r="E1321" s="111"/>
      <c r="F1321" s="267"/>
      <c r="G1321" s="111"/>
      <c r="H1321" s="111"/>
      <c r="I1321" s="125"/>
      <c r="J1321" s="111"/>
      <c r="K1321" s="111"/>
      <c r="L1321" s="267"/>
      <c r="M1321" s="111"/>
      <c r="N1321" s="125"/>
      <c r="O1321" s="111"/>
      <c r="P1321" s="111"/>
      <c r="Q1321" s="111"/>
      <c r="R1321" s="111"/>
      <c r="S1321" s="111"/>
      <c r="T1321" s="143"/>
      <c r="U1321" s="142"/>
      <c r="V1321" s="111"/>
      <c r="W1321" s="111">
        <v>22</v>
      </c>
      <c r="X1321" s="111"/>
      <c r="Y1321" s="111"/>
      <c r="Z1321" s="111"/>
      <c r="AA1321" s="111"/>
      <c r="AB1321" s="111"/>
      <c r="AC1321" s="111"/>
      <c r="AD1321" s="111"/>
      <c r="AE1321" s="111"/>
      <c r="AF1321" s="111"/>
      <c r="AG1321" s="111"/>
      <c r="AH1321" s="111" t="s">
        <v>482</v>
      </c>
      <c r="AI1321" s="111" t="s">
        <v>482</v>
      </c>
      <c r="AJ1321" s="111"/>
      <c r="AK1321" s="111"/>
      <c r="AL1321" s="111"/>
      <c r="AM1321" s="645">
        <f t="shared" si="25"/>
        <v>22</v>
      </c>
      <c r="AO1321" s="289"/>
    </row>
    <row r="1322" spans="1:42" s="61" customFormat="1" ht="21" customHeight="1" x14ac:dyDescent="0.3">
      <c r="A1322" s="707"/>
      <c r="B1322" s="181" t="s">
        <v>403</v>
      </c>
      <c r="C1322" s="144"/>
      <c r="D1322" s="112"/>
      <c r="E1322" s="112"/>
      <c r="F1322" s="268"/>
      <c r="G1322" s="112"/>
      <c r="H1322" s="112"/>
      <c r="I1322" s="126"/>
      <c r="J1322" s="112"/>
      <c r="K1322" s="112"/>
      <c r="L1322" s="268"/>
      <c r="M1322" s="112"/>
      <c r="N1322" s="126"/>
      <c r="O1322" s="112"/>
      <c r="P1322" s="112"/>
      <c r="Q1322" s="112"/>
      <c r="R1322" s="112"/>
      <c r="S1322" s="112"/>
      <c r="T1322" s="145"/>
      <c r="U1322" s="144"/>
      <c r="V1322" s="112"/>
      <c r="W1322" s="112">
        <f>55-22</f>
        <v>33</v>
      </c>
      <c r="X1322" s="112"/>
      <c r="Y1322" s="112"/>
      <c r="Z1322" s="112"/>
      <c r="AA1322" s="112"/>
      <c r="AB1322" s="112"/>
      <c r="AC1322" s="112"/>
      <c r="AD1322" s="112"/>
      <c r="AE1322" s="112"/>
      <c r="AF1322" s="112"/>
      <c r="AG1322" s="112"/>
      <c r="AH1322" s="112" t="s">
        <v>482</v>
      </c>
      <c r="AI1322" s="112" t="s">
        <v>482</v>
      </c>
      <c r="AJ1322" s="112"/>
      <c r="AK1322" s="112"/>
      <c r="AL1322" s="112"/>
      <c r="AM1322" s="646">
        <f t="shared" si="25"/>
        <v>33</v>
      </c>
      <c r="AO1322" s="289"/>
    </row>
    <row r="1323" spans="1:42" s="61" customFormat="1" ht="21" customHeight="1" x14ac:dyDescent="0.3">
      <c r="A1323" s="705" t="s">
        <v>248</v>
      </c>
      <c r="B1323" s="179" t="s">
        <v>293</v>
      </c>
      <c r="C1323" s="135">
        <v>500</v>
      </c>
      <c r="D1323" s="136"/>
      <c r="E1323" s="136"/>
      <c r="F1323" s="262">
        <v>9259.2260000000006</v>
      </c>
      <c r="G1323" s="136"/>
      <c r="H1323" s="136">
        <v>5092</v>
      </c>
      <c r="I1323" s="326"/>
      <c r="J1323" s="136"/>
      <c r="K1323" s="136"/>
      <c r="L1323" s="262">
        <v>500</v>
      </c>
      <c r="M1323" s="136"/>
      <c r="N1323" s="326"/>
      <c r="O1323" s="136"/>
      <c r="P1323" s="136"/>
      <c r="Q1323" s="136"/>
      <c r="R1323" s="136"/>
      <c r="S1323" s="136">
        <v>2000</v>
      </c>
      <c r="T1323" s="137">
        <v>151.303</v>
      </c>
      <c r="U1323" s="632">
        <v>20.059999999999999</v>
      </c>
      <c r="V1323" s="122"/>
      <c r="W1323" s="122">
        <v>200</v>
      </c>
      <c r="X1323" s="122"/>
      <c r="Y1323" s="122">
        <v>751</v>
      </c>
      <c r="Z1323" s="122">
        <v>424</v>
      </c>
      <c r="AA1323" s="122">
        <v>165.28899999999999</v>
      </c>
      <c r="AB1323" s="122"/>
      <c r="AC1323" s="122">
        <v>50</v>
      </c>
      <c r="AD1323" s="122">
        <v>5431</v>
      </c>
      <c r="AE1323" s="122"/>
      <c r="AF1323" s="122"/>
      <c r="AG1323" s="122">
        <v>0.88</v>
      </c>
      <c r="AH1323" s="122">
        <v>4123.91</v>
      </c>
      <c r="AI1323" s="122">
        <v>800</v>
      </c>
      <c r="AJ1323" s="122"/>
      <c r="AK1323" s="122"/>
      <c r="AL1323" s="122"/>
      <c r="AM1323" s="639">
        <f t="shared" si="25"/>
        <v>29468.668000000005</v>
      </c>
      <c r="AO1323" s="289"/>
    </row>
    <row r="1324" spans="1:42" s="61" customFormat="1" ht="19.5" customHeight="1" x14ac:dyDescent="0.3">
      <c r="A1324" s="706"/>
      <c r="B1324" s="116" t="s">
        <v>294</v>
      </c>
      <c r="C1324" s="138">
        <v>280</v>
      </c>
      <c r="D1324" s="109"/>
      <c r="E1324" s="109"/>
      <c r="F1324" s="263">
        <v>6149.5640000000003</v>
      </c>
      <c r="G1324" s="109">
        <v>50</v>
      </c>
      <c r="H1324" s="109">
        <v>3627</v>
      </c>
      <c r="I1324" s="123"/>
      <c r="J1324" s="109"/>
      <c r="K1324" s="109"/>
      <c r="L1324" s="263"/>
      <c r="M1324" s="109"/>
      <c r="N1324" s="123"/>
      <c r="O1324" s="109"/>
      <c r="P1324" s="109"/>
      <c r="Q1324" s="109"/>
      <c r="R1324" s="109"/>
      <c r="S1324" s="109">
        <v>2000</v>
      </c>
      <c r="T1324" s="139">
        <v>133.18899999999999</v>
      </c>
      <c r="U1324" s="138">
        <v>19.827999999999999</v>
      </c>
      <c r="V1324" s="109"/>
      <c r="W1324" s="109"/>
      <c r="X1324" s="109"/>
      <c r="Y1324" s="109">
        <v>278</v>
      </c>
      <c r="Z1324" s="109">
        <v>1794</v>
      </c>
      <c r="AA1324" s="109">
        <v>22.847000000000001</v>
      </c>
      <c r="AB1324" s="109">
        <v>10</v>
      </c>
      <c r="AC1324" s="109">
        <v>50</v>
      </c>
      <c r="AD1324" s="109">
        <v>2503</v>
      </c>
      <c r="AE1324" s="109"/>
      <c r="AF1324" s="109"/>
      <c r="AG1324" s="109">
        <v>0.8</v>
      </c>
      <c r="AH1324" s="109">
        <v>3302.28</v>
      </c>
      <c r="AI1324" s="109" t="s">
        <v>482</v>
      </c>
      <c r="AJ1324" s="109"/>
      <c r="AK1324" s="109">
        <v>2</v>
      </c>
      <c r="AL1324" s="109"/>
      <c r="AM1324" s="640">
        <f t="shared" si="25"/>
        <v>20222.507999999998</v>
      </c>
      <c r="AO1324" s="289"/>
    </row>
    <row r="1325" spans="1:42" s="61" customFormat="1" ht="22.5" customHeight="1" x14ac:dyDescent="0.3">
      <c r="A1325" s="706"/>
      <c r="B1325" s="117" t="s">
        <v>326</v>
      </c>
      <c r="C1325" s="140">
        <v>60</v>
      </c>
      <c r="D1325" s="110"/>
      <c r="E1325" s="110"/>
      <c r="F1325" s="264">
        <v>9188</v>
      </c>
      <c r="G1325" s="110">
        <v>10</v>
      </c>
      <c r="H1325" s="110">
        <v>3752</v>
      </c>
      <c r="I1325" s="124"/>
      <c r="J1325" s="110"/>
      <c r="K1325" s="110"/>
      <c r="L1325" s="264"/>
      <c r="M1325" s="110"/>
      <c r="N1325" s="124"/>
      <c r="O1325" s="110"/>
      <c r="P1325" s="110"/>
      <c r="Q1325" s="110"/>
      <c r="R1325" s="110"/>
      <c r="S1325" s="110">
        <v>7696</v>
      </c>
      <c r="T1325" s="141"/>
      <c r="U1325" s="140">
        <v>21.869</v>
      </c>
      <c r="V1325" s="110"/>
      <c r="W1325" s="110"/>
      <c r="X1325" s="110"/>
      <c r="Y1325" s="110">
        <v>133</v>
      </c>
      <c r="Z1325" s="110">
        <v>361</v>
      </c>
      <c r="AA1325" s="110">
        <v>1386.2565099999999</v>
      </c>
      <c r="AB1325" s="110">
        <v>10</v>
      </c>
      <c r="AC1325" s="110">
        <v>99.953999999999994</v>
      </c>
      <c r="AD1325" s="110">
        <v>1800</v>
      </c>
      <c r="AE1325" s="110"/>
      <c r="AF1325" s="110"/>
      <c r="AG1325" s="110"/>
      <c r="AH1325" s="110">
        <v>3345.3249999999998</v>
      </c>
      <c r="AI1325" s="110">
        <v>429</v>
      </c>
      <c r="AJ1325" s="110"/>
      <c r="AK1325" s="110">
        <v>-1139</v>
      </c>
      <c r="AL1325" s="110"/>
      <c r="AM1325" s="641">
        <f t="shared" si="25"/>
        <v>27153.40451</v>
      </c>
      <c r="AO1325" s="289"/>
      <c r="AP1325" s="97"/>
    </row>
    <row r="1326" spans="1:42" s="61" customFormat="1" ht="25.5" customHeight="1" x14ac:dyDescent="0.3">
      <c r="A1326" s="706"/>
      <c r="B1326" s="175" t="s">
        <v>327</v>
      </c>
      <c r="C1326" s="176"/>
      <c r="D1326" s="127"/>
      <c r="E1326" s="127"/>
      <c r="F1326" s="265">
        <v>6407</v>
      </c>
      <c r="G1326" s="127"/>
      <c r="H1326" s="127">
        <v>3704</v>
      </c>
      <c r="I1326" s="178"/>
      <c r="J1326" s="127"/>
      <c r="K1326" s="127"/>
      <c r="L1326" s="265"/>
      <c r="M1326" s="127"/>
      <c r="N1326" s="178"/>
      <c r="O1326" s="127"/>
      <c r="P1326" s="127"/>
      <c r="Q1326" s="127"/>
      <c r="R1326" s="127"/>
      <c r="S1326" s="127">
        <v>5352</v>
      </c>
      <c r="T1326" s="177"/>
      <c r="U1326" s="176">
        <v>7621.2950000000001</v>
      </c>
      <c r="V1326" s="127"/>
      <c r="W1326" s="127"/>
      <c r="X1326" s="127"/>
      <c r="Y1326" s="127">
        <v>600</v>
      </c>
      <c r="Z1326" s="127">
        <v>3650</v>
      </c>
      <c r="AA1326" s="127">
        <v>860.00445000000002</v>
      </c>
      <c r="AB1326" s="127">
        <v>10</v>
      </c>
      <c r="AC1326" s="127">
        <v>50</v>
      </c>
      <c r="AD1326" s="127">
        <v>23449</v>
      </c>
      <c r="AE1326" s="127"/>
      <c r="AF1326" s="127"/>
      <c r="AG1326" s="127"/>
      <c r="AH1326" s="127">
        <v>3262.43</v>
      </c>
      <c r="AI1326" s="127">
        <v>428</v>
      </c>
      <c r="AJ1326" s="127"/>
      <c r="AK1326" s="127">
        <v>9</v>
      </c>
      <c r="AL1326" s="127"/>
      <c r="AM1326" s="642">
        <f t="shared" si="25"/>
        <v>55402.729449999999</v>
      </c>
      <c r="AO1326" s="289"/>
    </row>
    <row r="1327" spans="1:42" s="61" customFormat="1" ht="25.5" customHeight="1" x14ac:dyDescent="0.3">
      <c r="A1327" s="706"/>
      <c r="B1327" s="180" t="s">
        <v>361</v>
      </c>
      <c r="C1327" s="300">
        <v>170</v>
      </c>
      <c r="D1327" s="173"/>
      <c r="E1327" s="173"/>
      <c r="F1327" s="266">
        <v>6348</v>
      </c>
      <c r="G1327" s="173">
        <v>50</v>
      </c>
      <c r="H1327" s="173">
        <f>3653+37</f>
        <v>3690</v>
      </c>
      <c r="I1327" s="174"/>
      <c r="J1327" s="173"/>
      <c r="K1327" s="173"/>
      <c r="L1327" s="266"/>
      <c r="M1327" s="173"/>
      <c r="N1327" s="174"/>
      <c r="O1327" s="173"/>
      <c r="P1327" s="173"/>
      <c r="Q1327" s="173"/>
      <c r="R1327" s="173">
        <v>100</v>
      </c>
      <c r="S1327" s="173">
        <v>20433</v>
      </c>
      <c r="T1327" s="327"/>
      <c r="U1327" s="300">
        <v>7871.2439999999997</v>
      </c>
      <c r="V1327" s="173"/>
      <c r="W1327" s="173">
        <v>100</v>
      </c>
      <c r="X1327" s="173"/>
      <c r="Y1327" s="173">
        <v>1100</v>
      </c>
      <c r="Z1327" s="173">
        <v>3248.80926</v>
      </c>
      <c r="AA1327" s="173">
        <v>29.617000000000001</v>
      </c>
      <c r="AB1327" s="173">
        <v>97</v>
      </c>
      <c r="AC1327" s="173">
        <v>50</v>
      </c>
      <c r="AD1327" s="173">
        <v>1200</v>
      </c>
      <c r="AE1327" s="173"/>
      <c r="AF1327" s="173"/>
      <c r="AG1327" s="173"/>
      <c r="AH1327" s="173">
        <v>33419</v>
      </c>
      <c r="AI1327" s="173">
        <v>3195</v>
      </c>
      <c r="AJ1327" s="173"/>
      <c r="AK1327" s="173"/>
      <c r="AL1327" s="173"/>
      <c r="AM1327" s="643">
        <f t="shared" si="25"/>
        <v>81101.670259999999</v>
      </c>
      <c r="AO1327" s="289"/>
      <c r="AP1327" s="97"/>
    </row>
    <row r="1328" spans="1:42" s="61" customFormat="1" ht="25.5" customHeight="1" x14ac:dyDescent="0.3">
      <c r="A1328" s="706"/>
      <c r="B1328" s="180" t="s">
        <v>362</v>
      </c>
      <c r="C1328" s="300">
        <v>696</v>
      </c>
      <c r="D1328" s="173"/>
      <c r="E1328" s="173"/>
      <c r="F1328" s="266">
        <v>11947</v>
      </c>
      <c r="G1328" s="173">
        <v>43</v>
      </c>
      <c r="H1328" s="173">
        <v>3627</v>
      </c>
      <c r="I1328" s="174"/>
      <c r="J1328" s="173"/>
      <c r="K1328" s="173"/>
      <c r="L1328" s="266"/>
      <c r="M1328" s="173">
        <f>4.89/1000</f>
        <v>4.8899999999999994E-3</v>
      </c>
      <c r="N1328" s="174"/>
      <c r="O1328" s="173"/>
      <c r="P1328" s="173"/>
      <c r="Q1328" s="173"/>
      <c r="R1328" s="173"/>
      <c r="S1328" s="173">
        <v>9027</v>
      </c>
      <c r="T1328" s="327"/>
      <c r="U1328" s="300">
        <v>1754.518</v>
      </c>
      <c r="V1328" s="173"/>
      <c r="W1328" s="173"/>
      <c r="X1328" s="173">
        <v>1890</v>
      </c>
      <c r="Y1328" s="173">
        <v>414</v>
      </c>
      <c r="Z1328" s="173">
        <v>3628.12023</v>
      </c>
      <c r="AA1328" s="173">
        <f>-70.376+134</f>
        <v>63.623999999999995</v>
      </c>
      <c r="AB1328" s="173">
        <v>103</v>
      </c>
      <c r="AC1328" s="173">
        <f>100-50</f>
        <v>50</v>
      </c>
      <c r="AD1328" s="173">
        <v>1633</v>
      </c>
      <c r="AE1328" s="173"/>
      <c r="AF1328" s="173"/>
      <c r="AG1328" s="173"/>
      <c r="AH1328" s="173">
        <v>7413</v>
      </c>
      <c r="AI1328" s="173">
        <v>429</v>
      </c>
      <c r="AJ1328" s="173"/>
      <c r="AK1328" s="173"/>
      <c r="AL1328" s="173"/>
      <c r="AM1328" s="644">
        <f t="shared" si="25"/>
        <v>42718.267120000004</v>
      </c>
      <c r="AO1328" s="289"/>
      <c r="AP1328" s="97"/>
    </row>
    <row r="1329" spans="1:42" s="61" customFormat="1" ht="22.5" customHeight="1" x14ac:dyDescent="0.3">
      <c r="A1329" s="706"/>
      <c r="B1329" s="115" t="s">
        <v>402</v>
      </c>
      <c r="C1329" s="142">
        <v>5710</v>
      </c>
      <c r="D1329" s="111"/>
      <c r="E1329" s="111"/>
      <c r="F1329" s="267">
        <v>11246.7</v>
      </c>
      <c r="G1329" s="111"/>
      <c r="H1329" s="111">
        <v>5564</v>
      </c>
      <c r="I1329" s="125"/>
      <c r="J1329" s="111"/>
      <c r="K1329" s="111">
        <v>147</v>
      </c>
      <c r="L1329" s="267">
        <v>138</v>
      </c>
      <c r="M1329" s="111">
        <v>50</v>
      </c>
      <c r="N1329" s="125"/>
      <c r="O1329" s="111"/>
      <c r="P1329" s="111">
        <v>0</v>
      </c>
      <c r="Q1329" s="111"/>
      <c r="R1329" s="111"/>
      <c r="S1329" s="111">
        <v>11891.503594</v>
      </c>
      <c r="T1329" s="143"/>
      <c r="U1329" s="142">
        <v>2048.5990000000002</v>
      </c>
      <c r="V1329" s="111"/>
      <c r="W1329" s="111"/>
      <c r="X1329" s="111">
        <v>477</v>
      </c>
      <c r="Y1329" s="111">
        <v>112</v>
      </c>
      <c r="Z1329" s="111">
        <v>1492</v>
      </c>
      <c r="AA1329" s="111">
        <v>71</v>
      </c>
      <c r="AB1329" s="111">
        <v>20</v>
      </c>
      <c r="AC1329" s="111">
        <v>50</v>
      </c>
      <c r="AD1329" s="111">
        <v>2321</v>
      </c>
      <c r="AE1329" s="111"/>
      <c r="AF1329" s="111"/>
      <c r="AG1329" s="111"/>
      <c r="AH1329" s="111">
        <v>503752.71299999999</v>
      </c>
      <c r="AI1329" s="111">
        <v>625</v>
      </c>
      <c r="AJ1329" s="111"/>
      <c r="AK1329" s="111">
        <f>13.566/1.097</f>
        <v>12.366453965360074</v>
      </c>
      <c r="AL1329" s="111"/>
      <c r="AM1329" s="645">
        <f t="shared" si="25"/>
        <v>545728.88204796531</v>
      </c>
      <c r="AO1329" s="289"/>
    </row>
    <row r="1330" spans="1:42" s="61" customFormat="1" ht="21" customHeight="1" x14ac:dyDescent="0.3">
      <c r="A1330" s="707"/>
      <c r="B1330" s="181" t="s">
        <v>403</v>
      </c>
      <c r="C1330" s="144">
        <v>2300</v>
      </c>
      <c r="D1330" s="112"/>
      <c r="E1330" s="112"/>
      <c r="F1330" s="268">
        <v>12447.7</v>
      </c>
      <c r="G1330" s="112">
        <v>329</v>
      </c>
      <c r="H1330" s="112">
        <v>5252.4177300000001</v>
      </c>
      <c r="I1330" s="126"/>
      <c r="J1330" s="112"/>
      <c r="K1330" s="112"/>
      <c r="L1330" s="268"/>
      <c r="M1330" s="112"/>
      <c r="N1330" s="126"/>
      <c r="O1330" s="112"/>
      <c r="P1330" s="112">
        <v>144</v>
      </c>
      <c r="Q1330" s="112"/>
      <c r="R1330" s="112"/>
      <c r="S1330" s="112">
        <v>17717.481207000001</v>
      </c>
      <c r="T1330" s="145"/>
      <c r="U1330" s="144">
        <v>553.59900000000005</v>
      </c>
      <c r="V1330" s="112"/>
      <c r="W1330" s="112"/>
      <c r="X1330" s="112">
        <v>1520</v>
      </c>
      <c r="Y1330" s="112">
        <v>6421.3249999999998</v>
      </c>
      <c r="Z1330" s="112">
        <v>958</v>
      </c>
      <c r="AA1330" s="112"/>
      <c r="AB1330" s="112">
        <v>72.400000000000006</v>
      </c>
      <c r="AC1330" s="112">
        <v>0</v>
      </c>
      <c r="AD1330" s="112">
        <v>579</v>
      </c>
      <c r="AE1330" s="112"/>
      <c r="AF1330" s="112"/>
      <c r="AG1330" s="112"/>
      <c r="AH1330" s="112">
        <v>23340.828000000001</v>
      </c>
      <c r="AI1330" s="112">
        <v>625</v>
      </c>
      <c r="AJ1330" s="112"/>
      <c r="AK1330" s="112">
        <f>1217.7865/1.001</f>
        <v>1216.56993006993</v>
      </c>
      <c r="AL1330" s="112"/>
      <c r="AM1330" s="646">
        <f t="shared" si="25"/>
        <v>73477.320867069939</v>
      </c>
      <c r="AO1330" s="289"/>
    </row>
    <row r="1331" spans="1:42" s="61" customFormat="1" ht="21" customHeight="1" x14ac:dyDescent="0.3">
      <c r="A1331" s="705" t="s">
        <v>249</v>
      </c>
      <c r="B1331" s="179" t="s">
        <v>293</v>
      </c>
      <c r="C1331" s="135"/>
      <c r="D1331" s="136"/>
      <c r="E1331" s="136"/>
      <c r="F1331" s="262">
        <v>91.655000000000001</v>
      </c>
      <c r="G1331" s="136"/>
      <c r="H1331" s="136"/>
      <c r="I1331" s="326"/>
      <c r="J1331" s="136"/>
      <c r="K1331" s="136"/>
      <c r="L1331" s="262"/>
      <c r="M1331" s="136"/>
      <c r="N1331" s="326"/>
      <c r="O1331" s="136"/>
      <c r="P1331" s="136"/>
      <c r="Q1331" s="136"/>
      <c r="R1331" s="136"/>
      <c r="S1331" s="136"/>
      <c r="T1331" s="137">
        <v>2</v>
      </c>
      <c r="U1331" s="632"/>
      <c r="V1331" s="122"/>
      <c r="W1331" s="122"/>
      <c r="X1331" s="122"/>
      <c r="Y1331" s="122"/>
      <c r="Z1331" s="122">
        <v>159</v>
      </c>
      <c r="AA1331" s="122"/>
      <c r="AB1331" s="122"/>
      <c r="AC1331" s="122"/>
      <c r="AD1331" s="122"/>
      <c r="AE1331" s="122"/>
      <c r="AF1331" s="122"/>
      <c r="AG1331" s="122">
        <v>1.65</v>
      </c>
      <c r="AH1331" s="122"/>
      <c r="AI1331" s="122" t="s">
        <v>482</v>
      </c>
      <c r="AJ1331" s="122"/>
      <c r="AK1331" s="122"/>
      <c r="AL1331" s="122"/>
      <c r="AM1331" s="639">
        <f t="shared" si="25"/>
        <v>254.30500000000001</v>
      </c>
      <c r="AO1331" s="289"/>
    </row>
    <row r="1332" spans="1:42" s="61" customFormat="1" ht="19.5" customHeight="1" x14ac:dyDescent="0.3">
      <c r="A1332" s="706"/>
      <c r="B1332" s="116" t="s">
        <v>294</v>
      </c>
      <c r="C1332" s="138"/>
      <c r="D1332" s="109"/>
      <c r="E1332" s="109"/>
      <c r="F1332" s="263">
        <v>-9.8230000000000004</v>
      </c>
      <c r="G1332" s="109"/>
      <c r="H1332" s="109"/>
      <c r="I1332" s="123"/>
      <c r="J1332" s="109"/>
      <c r="K1332" s="109"/>
      <c r="L1332" s="263"/>
      <c r="M1332" s="109"/>
      <c r="N1332" s="123"/>
      <c r="O1332" s="109"/>
      <c r="P1332" s="109"/>
      <c r="Q1332" s="109"/>
      <c r="R1332" s="109"/>
      <c r="S1332" s="109"/>
      <c r="T1332" s="139">
        <v>2</v>
      </c>
      <c r="U1332" s="138">
        <v>1.605</v>
      </c>
      <c r="V1332" s="109"/>
      <c r="W1332" s="109"/>
      <c r="X1332" s="109"/>
      <c r="Y1332" s="109"/>
      <c r="Z1332" s="109">
        <v>79</v>
      </c>
      <c r="AA1332" s="109"/>
      <c r="AB1332" s="109"/>
      <c r="AC1332" s="109"/>
      <c r="AD1332" s="109"/>
      <c r="AE1332" s="109"/>
      <c r="AF1332" s="109"/>
      <c r="AG1332" s="109">
        <v>8.9049999999999994</v>
      </c>
      <c r="AH1332" s="109"/>
      <c r="AI1332" s="109" t="s">
        <v>482</v>
      </c>
      <c r="AJ1332" s="109"/>
      <c r="AK1332" s="109"/>
      <c r="AL1332" s="109"/>
      <c r="AM1332" s="640">
        <f t="shared" si="25"/>
        <v>81.686999999999998</v>
      </c>
      <c r="AO1332" s="289"/>
    </row>
    <row r="1333" spans="1:42" s="61" customFormat="1" ht="22.5" customHeight="1" x14ac:dyDescent="0.3">
      <c r="A1333" s="706"/>
      <c r="B1333" s="117" t="s">
        <v>326</v>
      </c>
      <c r="C1333" s="140">
        <v>24.946999999999999</v>
      </c>
      <c r="D1333" s="110"/>
      <c r="E1333" s="110"/>
      <c r="F1333" s="264"/>
      <c r="G1333" s="110">
        <v>4</v>
      </c>
      <c r="H1333" s="110"/>
      <c r="I1333" s="124"/>
      <c r="J1333" s="110"/>
      <c r="K1333" s="110"/>
      <c r="L1333" s="264"/>
      <c r="M1333" s="110"/>
      <c r="N1333" s="124"/>
      <c r="O1333" s="110"/>
      <c r="P1333" s="110">
        <v>17</v>
      </c>
      <c r="Q1333" s="110"/>
      <c r="R1333" s="110"/>
      <c r="S1333" s="110">
        <v>275</v>
      </c>
      <c r="T1333" s="141"/>
      <c r="U1333" s="140"/>
      <c r="V1333" s="110"/>
      <c r="W1333" s="110"/>
      <c r="X1333" s="110"/>
      <c r="Y1333" s="110"/>
      <c r="Z1333" s="110">
        <v>249</v>
      </c>
      <c r="AA1333" s="110"/>
      <c r="AB1333" s="110"/>
      <c r="AC1333" s="110"/>
      <c r="AD1333" s="110"/>
      <c r="AE1333" s="110"/>
      <c r="AF1333" s="110"/>
      <c r="AG1333" s="110"/>
      <c r="AH1333" s="110"/>
      <c r="AI1333" s="110" t="s">
        <v>482</v>
      </c>
      <c r="AJ1333" s="110"/>
      <c r="AK1333" s="110"/>
      <c r="AL1333" s="110"/>
      <c r="AM1333" s="641">
        <f t="shared" si="25"/>
        <v>569.947</v>
      </c>
      <c r="AO1333" s="289"/>
      <c r="AP1333" s="97"/>
    </row>
    <row r="1334" spans="1:42" s="61" customFormat="1" ht="25.5" customHeight="1" x14ac:dyDescent="0.3">
      <c r="A1334" s="706"/>
      <c r="B1334" s="175" t="s">
        <v>327</v>
      </c>
      <c r="C1334" s="176">
        <v>298.56</v>
      </c>
      <c r="D1334" s="127"/>
      <c r="E1334" s="127"/>
      <c r="F1334" s="265"/>
      <c r="G1334" s="127">
        <v>4</v>
      </c>
      <c r="H1334" s="127"/>
      <c r="I1334" s="178"/>
      <c r="J1334" s="127"/>
      <c r="K1334" s="127"/>
      <c r="L1334" s="265"/>
      <c r="M1334" s="127"/>
      <c r="N1334" s="178"/>
      <c r="O1334" s="127"/>
      <c r="P1334" s="127"/>
      <c r="Q1334" s="127"/>
      <c r="R1334" s="127"/>
      <c r="S1334" s="127">
        <v>219</v>
      </c>
      <c r="T1334" s="177"/>
      <c r="U1334" s="176">
        <v>0.26600000000000001</v>
      </c>
      <c r="V1334" s="127"/>
      <c r="W1334" s="127"/>
      <c r="X1334" s="127"/>
      <c r="Y1334" s="127"/>
      <c r="Z1334" s="127">
        <v>116</v>
      </c>
      <c r="AA1334" s="127"/>
      <c r="AB1334" s="127"/>
      <c r="AC1334" s="127"/>
      <c r="AD1334" s="127"/>
      <c r="AE1334" s="127"/>
      <c r="AF1334" s="127"/>
      <c r="AG1334" s="127"/>
      <c r="AH1334" s="127">
        <v>36.380000000000003</v>
      </c>
      <c r="AI1334" s="127" t="s">
        <v>482</v>
      </c>
      <c r="AJ1334" s="127"/>
      <c r="AK1334" s="127"/>
      <c r="AL1334" s="127"/>
      <c r="AM1334" s="642">
        <f t="shared" si="25"/>
        <v>674.2059999999999</v>
      </c>
      <c r="AO1334" s="289"/>
    </row>
    <row r="1335" spans="1:42" s="61" customFormat="1" ht="25.5" customHeight="1" x14ac:dyDescent="0.3">
      <c r="A1335" s="706"/>
      <c r="B1335" s="180" t="s">
        <v>361</v>
      </c>
      <c r="C1335" s="300">
        <v>25</v>
      </c>
      <c r="D1335" s="173"/>
      <c r="E1335" s="173"/>
      <c r="F1335" s="266"/>
      <c r="G1335" s="173"/>
      <c r="H1335" s="173"/>
      <c r="I1335" s="174"/>
      <c r="J1335" s="173"/>
      <c r="K1335" s="173"/>
      <c r="L1335" s="266">
        <v>104</v>
      </c>
      <c r="M1335" s="173"/>
      <c r="N1335" s="174"/>
      <c r="O1335" s="173"/>
      <c r="P1335" s="173"/>
      <c r="Q1335" s="173"/>
      <c r="R1335" s="173"/>
      <c r="S1335" s="173">
        <v>26</v>
      </c>
      <c r="T1335" s="327"/>
      <c r="U1335" s="300">
        <v>0.44900000000000001</v>
      </c>
      <c r="V1335" s="173"/>
      <c r="W1335" s="173"/>
      <c r="X1335" s="173"/>
      <c r="Y1335" s="173"/>
      <c r="Z1335" s="173">
        <v>113.96486999999999</v>
      </c>
      <c r="AA1335" s="173"/>
      <c r="AB1335" s="173"/>
      <c r="AC1335" s="173"/>
      <c r="AD1335" s="173"/>
      <c r="AE1335" s="173"/>
      <c r="AF1335" s="173"/>
      <c r="AG1335" s="173"/>
      <c r="AH1335" s="173"/>
      <c r="AI1335" s="173" t="s">
        <v>482</v>
      </c>
      <c r="AJ1335" s="173"/>
      <c r="AK1335" s="173"/>
      <c r="AL1335" s="173"/>
      <c r="AM1335" s="643">
        <f t="shared" si="25"/>
        <v>269.41386999999997</v>
      </c>
      <c r="AO1335" s="289"/>
      <c r="AP1335" s="97"/>
    </row>
    <row r="1336" spans="1:42" s="61" customFormat="1" ht="25.5" customHeight="1" x14ac:dyDescent="0.3">
      <c r="A1336" s="706"/>
      <c r="B1336" s="180" t="s">
        <v>362</v>
      </c>
      <c r="C1336" s="300">
        <v>25</v>
      </c>
      <c r="D1336" s="173"/>
      <c r="E1336" s="173"/>
      <c r="F1336" s="266"/>
      <c r="G1336" s="173"/>
      <c r="H1336" s="173"/>
      <c r="I1336" s="174"/>
      <c r="J1336" s="173"/>
      <c r="K1336" s="173"/>
      <c r="L1336" s="266">
        <v>260</v>
      </c>
      <c r="M1336" s="173"/>
      <c r="N1336" s="174"/>
      <c r="O1336" s="173"/>
      <c r="P1336" s="173"/>
      <c r="Q1336" s="173"/>
      <c r="R1336" s="173"/>
      <c r="S1336" s="173">
        <v>194</v>
      </c>
      <c r="T1336" s="327"/>
      <c r="U1336" s="300">
        <v>0.219</v>
      </c>
      <c r="V1336" s="173"/>
      <c r="W1336" s="173"/>
      <c r="X1336" s="173"/>
      <c r="Y1336" s="173"/>
      <c r="Z1336" s="173">
        <v>191.44445999999999</v>
      </c>
      <c r="AA1336" s="173"/>
      <c r="AB1336" s="173"/>
      <c r="AC1336" s="173"/>
      <c r="AD1336" s="173"/>
      <c r="AE1336" s="173"/>
      <c r="AF1336" s="173"/>
      <c r="AG1336" s="173"/>
      <c r="AH1336" s="173"/>
      <c r="AI1336" s="173" t="s">
        <v>482</v>
      </c>
      <c r="AJ1336" s="173"/>
      <c r="AK1336" s="173"/>
      <c r="AL1336" s="173"/>
      <c r="AM1336" s="644">
        <f t="shared" si="25"/>
        <v>670.66345999999999</v>
      </c>
      <c r="AO1336" s="289"/>
      <c r="AP1336" s="97"/>
    </row>
    <row r="1337" spans="1:42" s="61" customFormat="1" ht="22.5" customHeight="1" x14ac:dyDescent="0.3">
      <c r="A1337" s="706"/>
      <c r="B1337" s="115" t="s">
        <v>402</v>
      </c>
      <c r="C1337" s="142">
        <v>25</v>
      </c>
      <c r="D1337" s="111"/>
      <c r="E1337" s="111"/>
      <c r="F1337" s="267"/>
      <c r="G1337" s="111"/>
      <c r="H1337" s="111"/>
      <c r="I1337" s="125"/>
      <c r="J1337" s="111"/>
      <c r="K1337" s="111"/>
      <c r="L1337" s="267">
        <v>169</v>
      </c>
      <c r="M1337" s="111"/>
      <c r="N1337" s="125"/>
      <c r="O1337" s="111"/>
      <c r="P1337" s="111"/>
      <c r="Q1337" s="111"/>
      <c r="R1337" s="111"/>
      <c r="S1337" s="111"/>
      <c r="T1337" s="143"/>
      <c r="U1337" s="142"/>
      <c r="V1337" s="111"/>
      <c r="W1337" s="111"/>
      <c r="X1337" s="111"/>
      <c r="Y1337" s="111"/>
      <c r="Z1337" s="111">
        <v>81</v>
      </c>
      <c r="AA1337" s="111"/>
      <c r="AB1337" s="111"/>
      <c r="AC1337" s="111"/>
      <c r="AD1337" s="111"/>
      <c r="AE1337" s="111"/>
      <c r="AF1337" s="111"/>
      <c r="AG1337" s="111"/>
      <c r="AH1337" s="111" t="s">
        <v>482</v>
      </c>
      <c r="AI1337" s="111" t="s">
        <v>482</v>
      </c>
      <c r="AJ1337" s="111"/>
      <c r="AK1337" s="111"/>
      <c r="AL1337" s="111"/>
      <c r="AM1337" s="645">
        <f t="shared" si="25"/>
        <v>275</v>
      </c>
      <c r="AO1337" s="289"/>
    </row>
    <row r="1338" spans="1:42" s="61" customFormat="1" ht="21" customHeight="1" x14ac:dyDescent="0.3">
      <c r="A1338" s="707"/>
      <c r="B1338" s="181" t="s">
        <v>403</v>
      </c>
      <c r="C1338" s="144"/>
      <c r="D1338" s="112"/>
      <c r="E1338" s="112"/>
      <c r="F1338" s="268"/>
      <c r="G1338" s="112"/>
      <c r="H1338" s="112"/>
      <c r="I1338" s="126"/>
      <c r="J1338" s="112"/>
      <c r="K1338" s="112"/>
      <c r="L1338" s="268">
        <v>88.6</v>
      </c>
      <c r="M1338" s="112"/>
      <c r="N1338" s="126"/>
      <c r="O1338" s="112"/>
      <c r="P1338" s="112"/>
      <c r="Q1338" s="112"/>
      <c r="R1338" s="112"/>
      <c r="S1338" s="112">
        <v>4.9549999999999997E-2</v>
      </c>
      <c r="T1338" s="145"/>
      <c r="U1338" s="144">
        <v>0.49</v>
      </c>
      <c r="V1338" s="112"/>
      <c r="W1338" s="112"/>
      <c r="X1338" s="112"/>
      <c r="Y1338" s="112"/>
      <c r="Z1338" s="112">
        <v>35</v>
      </c>
      <c r="AA1338" s="112"/>
      <c r="AB1338" s="112"/>
      <c r="AC1338" s="112"/>
      <c r="AD1338" s="112"/>
      <c r="AE1338" s="112"/>
      <c r="AF1338" s="112"/>
      <c r="AG1338" s="112"/>
      <c r="AH1338" s="112" t="s">
        <v>482</v>
      </c>
      <c r="AI1338" s="112" t="s">
        <v>482</v>
      </c>
      <c r="AJ1338" s="112"/>
      <c r="AK1338" s="112"/>
      <c r="AL1338" s="112"/>
      <c r="AM1338" s="646">
        <f t="shared" si="25"/>
        <v>124.13954999999999</v>
      </c>
      <c r="AO1338" s="289"/>
    </row>
    <row r="1339" spans="1:42" s="61" customFormat="1" ht="21" customHeight="1" x14ac:dyDescent="0.3">
      <c r="A1339" s="705" t="s">
        <v>572</v>
      </c>
      <c r="B1339" s="179" t="s">
        <v>293</v>
      </c>
      <c r="C1339" s="135"/>
      <c r="D1339" s="136"/>
      <c r="E1339" s="136"/>
      <c r="F1339" s="262"/>
      <c r="G1339" s="136"/>
      <c r="H1339" s="136"/>
      <c r="I1339" s="326"/>
      <c r="J1339" s="136"/>
      <c r="K1339" s="136"/>
      <c r="L1339" s="262"/>
      <c r="M1339" s="136"/>
      <c r="N1339" s="326"/>
      <c r="O1339" s="136"/>
      <c r="P1339" s="136"/>
      <c r="Q1339" s="136"/>
      <c r="R1339" s="136"/>
      <c r="S1339" s="136"/>
      <c r="T1339" s="137"/>
      <c r="U1339" s="632"/>
      <c r="V1339" s="122"/>
      <c r="W1339" s="122"/>
      <c r="X1339" s="122"/>
      <c r="Y1339" s="122"/>
      <c r="Z1339" s="122"/>
      <c r="AA1339" s="122"/>
      <c r="AB1339" s="122"/>
      <c r="AC1339" s="122"/>
      <c r="AD1339" s="122"/>
      <c r="AE1339" s="122"/>
      <c r="AF1339" s="122"/>
      <c r="AG1339" s="122"/>
      <c r="AH1339" s="122"/>
      <c r="AI1339" s="122" t="s">
        <v>482</v>
      </c>
      <c r="AJ1339" s="122"/>
      <c r="AK1339" s="122"/>
      <c r="AL1339" s="122"/>
      <c r="AM1339" s="639">
        <f t="shared" si="25"/>
        <v>0</v>
      </c>
      <c r="AO1339" s="289"/>
    </row>
    <row r="1340" spans="1:42" s="61" customFormat="1" ht="19.5" customHeight="1" x14ac:dyDescent="0.3">
      <c r="A1340" s="706"/>
      <c r="B1340" s="116" t="s">
        <v>294</v>
      </c>
      <c r="C1340" s="138"/>
      <c r="D1340" s="109"/>
      <c r="E1340" s="109"/>
      <c r="F1340" s="263"/>
      <c r="G1340" s="109"/>
      <c r="H1340" s="109"/>
      <c r="I1340" s="123"/>
      <c r="J1340" s="109"/>
      <c r="K1340" s="109"/>
      <c r="L1340" s="263"/>
      <c r="M1340" s="109"/>
      <c r="N1340" s="123"/>
      <c r="O1340" s="109"/>
      <c r="P1340" s="109"/>
      <c r="Q1340" s="109"/>
      <c r="R1340" s="109"/>
      <c r="S1340" s="109"/>
      <c r="T1340" s="139"/>
      <c r="U1340" s="138"/>
      <c r="V1340" s="109"/>
      <c r="W1340" s="109"/>
      <c r="X1340" s="109"/>
      <c r="Y1340" s="109"/>
      <c r="Z1340" s="109"/>
      <c r="AA1340" s="109"/>
      <c r="AB1340" s="109"/>
      <c r="AC1340" s="109"/>
      <c r="AD1340" s="109"/>
      <c r="AE1340" s="109"/>
      <c r="AF1340" s="109"/>
      <c r="AG1340" s="109"/>
      <c r="AH1340" s="109"/>
      <c r="AI1340" s="109" t="s">
        <v>482</v>
      </c>
      <c r="AJ1340" s="109"/>
      <c r="AK1340" s="109"/>
      <c r="AL1340" s="109"/>
      <c r="AM1340" s="640">
        <f t="shared" si="25"/>
        <v>0</v>
      </c>
      <c r="AO1340" s="289"/>
    </row>
    <row r="1341" spans="1:42" s="61" customFormat="1" ht="22.5" customHeight="1" x14ac:dyDescent="0.3">
      <c r="A1341" s="706"/>
      <c r="B1341" s="117" t="s">
        <v>326</v>
      </c>
      <c r="C1341" s="140"/>
      <c r="D1341" s="110"/>
      <c r="E1341" s="110"/>
      <c r="F1341" s="264"/>
      <c r="G1341" s="110"/>
      <c r="H1341" s="110"/>
      <c r="I1341" s="124"/>
      <c r="J1341" s="110"/>
      <c r="K1341" s="110"/>
      <c r="L1341" s="264"/>
      <c r="M1341" s="110"/>
      <c r="N1341" s="124"/>
      <c r="O1341" s="110"/>
      <c r="P1341" s="110"/>
      <c r="Q1341" s="110"/>
      <c r="R1341" s="110"/>
      <c r="S1341" s="110"/>
      <c r="T1341" s="141"/>
      <c r="U1341" s="140"/>
      <c r="V1341" s="110"/>
      <c r="W1341" s="110"/>
      <c r="X1341" s="110"/>
      <c r="Y1341" s="110"/>
      <c r="Z1341" s="110"/>
      <c r="AA1341" s="110"/>
      <c r="AB1341" s="110"/>
      <c r="AC1341" s="110"/>
      <c r="AD1341" s="110"/>
      <c r="AE1341" s="110"/>
      <c r="AF1341" s="110"/>
      <c r="AG1341" s="110"/>
      <c r="AH1341" s="110"/>
      <c r="AI1341" s="110" t="s">
        <v>482</v>
      </c>
      <c r="AJ1341" s="110"/>
      <c r="AK1341" s="110"/>
      <c r="AL1341" s="110"/>
      <c r="AM1341" s="641">
        <f t="shared" si="25"/>
        <v>0</v>
      </c>
      <c r="AO1341" s="289"/>
      <c r="AP1341" s="97"/>
    </row>
    <row r="1342" spans="1:42" s="61" customFormat="1" ht="25.5" customHeight="1" x14ac:dyDescent="0.3">
      <c r="A1342" s="706"/>
      <c r="B1342" s="175" t="s">
        <v>327</v>
      </c>
      <c r="C1342" s="176"/>
      <c r="D1342" s="127"/>
      <c r="E1342" s="127"/>
      <c r="F1342" s="265"/>
      <c r="G1342" s="127"/>
      <c r="H1342" s="127"/>
      <c r="I1342" s="178"/>
      <c r="J1342" s="127"/>
      <c r="K1342" s="127"/>
      <c r="L1342" s="265"/>
      <c r="M1342" s="127"/>
      <c r="N1342" s="178"/>
      <c r="O1342" s="127"/>
      <c r="P1342" s="127"/>
      <c r="Q1342" s="127"/>
      <c r="R1342" s="127"/>
      <c r="S1342" s="127"/>
      <c r="T1342" s="177"/>
      <c r="U1342" s="176"/>
      <c r="V1342" s="127"/>
      <c r="W1342" s="127"/>
      <c r="X1342" s="127"/>
      <c r="Y1342" s="127"/>
      <c r="Z1342" s="127"/>
      <c r="AA1342" s="127"/>
      <c r="AB1342" s="127"/>
      <c r="AC1342" s="127"/>
      <c r="AD1342" s="127"/>
      <c r="AE1342" s="127"/>
      <c r="AF1342" s="127"/>
      <c r="AG1342" s="127"/>
      <c r="AH1342" s="127"/>
      <c r="AI1342" s="127" t="s">
        <v>482</v>
      </c>
      <c r="AJ1342" s="127"/>
      <c r="AK1342" s="127"/>
      <c r="AL1342" s="127"/>
      <c r="AM1342" s="642">
        <f t="shared" si="25"/>
        <v>0</v>
      </c>
      <c r="AO1342" s="289"/>
    </row>
    <row r="1343" spans="1:42" s="61" customFormat="1" ht="25.5" customHeight="1" x14ac:dyDescent="0.3">
      <c r="A1343" s="706"/>
      <c r="B1343" s="180" t="s">
        <v>361</v>
      </c>
      <c r="C1343" s="300">
        <v>12</v>
      </c>
      <c r="D1343" s="173"/>
      <c r="E1343" s="173"/>
      <c r="F1343" s="266"/>
      <c r="G1343" s="173">
        <v>86</v>
      </c>
      <c r="H1343" s="173"/>
      <c r="I1343" s="174"/>
      <c r="J1343" s="173"/>
      <c r="K1343" s="173"/>
      <c r="L1343" s="266"/>
      <c r="M1343" s="173"/>
      <c r="N1343" s="174"/>
      <c r="O1343" s="173"/>
      <c r="P1343" s="173"/>
      <c r="Q1343" s="173"/>
      <c r="R1343" s="173"/>
      <c r="S1343" s="173"/>
      <c r="T1343" s="327"/>
      <c r="U1343" s="300"/>
      <c r="V1343" s="173"/>
      <c r="W1343" s="173"/>
      <c r="X1343" s="173"/>
      <c r="Y1343" s="173"/>
      <c r="Z1343" s="173"/>
      <c r="AA1343" s="173"/>
      <c r="AB1343" s="173"/>
      <c r="AC1343" s="173"/>
      <c r="AD1343" s="173"/>
      <c r="AE1343" s="173"/>
      <c r="AF1343" s="173"/>
      <c r="AG1343" s="173"/>
      <c r="AH1343" s="173"/>
      <c r="AI1343" s="173" t="s">
        <v>482</v>
      </c>
      <c r="AJ1343" s="173"/>
      <c r="AK1343" s="173"/>
      <c r="AL1343" s="173"/>
      <c r="AM1343" s="643">
        <f t="shared" si="25"/>
        <v>98</v>
      </c>
      <c r="AO1343" s="289"/>
      <c r="AP1343" s="97"/>
    </row>
    <row r="1344" spans="1:42" s="61" customFormat="1" ht="25.5" customHeight="1" x14ac:dyDescent="0.3">
      <c r="A1344" s="706"/>
      <c r="B1344" s="180" t="s">
        <v>362</v>
      </c>
      <c r="C1344" s="300">
        <v>1</v>
      </c>
      <c r="D1344" s="173"/>
      <c r="E1344" s="173"/>
      <c r="F1344" s="266"/>
      <c r="G1344" s="173">
        <v>14</v>
      </c>
      <c r="H1344" s="173"/>
      <c r="I1344" s="174"/>
      <c r="J1344" s="173"/>
      <c r="K1344" s="173"/>
      <c r="L1344" s="266"/>
      <c r="M1344" s="173"/>
      <c r="N1344" s="174"/>
      <c r="O1344" s="173"/>
      <c r="P1344" s="173"/>
      <c r="Q1344" s="173"/>
      <c r="R1344" s="173"/>
      <c r="S1344" s="173">
        <v>252</v>
      </c>
      <c r="T1344" s="327"/>
      <c r="U1344" s="300"/>
      <c r="V1344" s="173"/>
      <c r="W1344" s="173"/>
      <c r="X1344" s="173"/>
      <c r="Y1344" s="173"/>
      <c r="Z1344" s="173"/>
      <c r="AA1344" s="173"/>
      <c r="AB1344" s="173"/>
      <c r="AC1344" s="173"/>
      <c r="AD1344" s="173"/>
      <c r="AE1344" s="173"/>
      <c r="AF1344" s="173"/>
      <c r="AG1344" s="173"/>
      <c r="AH1344" s="173"/>
      <c r="AI1344" s="173" t="s">
        <v>482</v>
      </c>
      <c r="AJ1344" s="173"/>
      <c r="AK1344" s="173"/>
      <c r="AL1344" s="173"/>
      <c r="AM1344" s="644">
        <f t="shared" si="25"/>
        <v>267</v>
      </c>
      <c r="AO1344" s="289"/>
      <c r="AP1344" s="97"/>
    </row>
    <row r="1345" spans="1:42" s="61" customFormat="1" ht="22.5" customHeight="1" x14ac:dyDescent="0.3">
      <c r="A1345" s="706"/>
      <c r="B1345" s="115" t="s">
        <v>402</v>
      </c>
      <c r="C1345" s="142">
        <v>8.0239999999999991</v>
      </c>
      <c r="D1345" s="111"/>
      <c r="E1345" s="111"/>
      <c r="F1345" s="267"/>
      <c r="G1345" s="111">
        <v>301</v>
      </c>
      <c r="H1345" s="111"/>
      <c r="I1345" s="125"/>
      <c r="J1345" s="111"/>
      <c r="K1345" s="111"/>
      <c r="L1345" s="267"/>
      <c r="M1345" s="111"/>
      <c r="N1345" s="125"/>
      <c r="O1345" s="111"/>
      <c r="P1345" s="111"/>
      <c r="Q1345" s="111"/>
      <c r="R1345" s="111"/>
      <c r="S1345" s="111"/>
      <c r="T1345" s="143"/>
      <c r="U1345" s="142">
        <v>1.304</v>
      </c>
      <c r="V1345" s="111"/>
      <c r="W1345" s="111"/>
      <c r="X1345" s="111"/>
      <c r="Y1345" s="111"/>
      <c r="Z1345" s="111">
        <v>397</v>
      </c>
      <c r="AA1345" s="111"/>
      <c r="AB1345" s="111"/>
      <c r="AC1345" s="111"/>
      <c r="AD1345" s="111"/>
      <c r="AE1345" s="111"/>
      <c r="AF1345" s="111"/>
      <c r="AG1345" s="111"/>
      <c r="AH1345" s="111" t="s">
        <v>482</v>
      </c>
      <c r="AI1345" s="111" t="s">
        <v>482</v>
      </c>
      <c r="AJ1345" s="111"/>
      <c r="AK1345" s="111"/>
      <c r="AL1345" s="111"/>
      <c r="AM1345" s="645">
        <f t="shared" si="25"/>
        <v>707.32799999999997</v>
      </c>
      <c r="AO1345" s="289"/>
    </row>
    <row r="1346" spans="1:42" s="61" customFormat="1" ht="21" customHeight="1" x14ac:dyDescent="0.3">
      <c r="A1346" s="707"/>
      <c r="B1346" s="181" t="s">
        <v>403</v>
      </c>
      <c r="C1346" s="144">
        <v>5.25204</v>
      </c>
      <c r="D1346" s="112"/>
      <c r="E1346" s="112"/>
      <c r="F1346" s="268"/>
      <c r="G1346" s="112">
        <v>61</v>
      </c>
      <c r="H1346" s="112"/>
      <c r="I1346" s="126"/>
      <c r="J1346" s="112"/>
      <c r="K1346" s="112"/>
      <c r="L1346" s="268"/>
      <c r="M1346" s="112"/>
      <c r="N1346" s="126"/>
      <c r="O1346" s="112"/>
      <c r="P1346" s="112"/>
      <c r="Q1346" s="112"/>
      <c r="R1346" s="112"/>
      <c r="S1346" s="112"/>
      <c r="T1346" s="145"/>
      <c r="U1346" s="144">
        <v>0.66300000000000003</v>
      </c>
      <c r="V1346" s="112"/>
      <c r="W1346" s="112"/>
      <c r="X1346" s="112">
        <v>8</v>
      </c>
      <c r="Y1346" s="112"/>
      <c r="Z1346" s="112">
        <v>479</v>
      </c>
      <c r="AA1346" s="112"/>
      <c r="AB1346" s="112"/>
      <c r="AC1346" s="112"/>
      <c r="AD1346" s="112"/>
      <c r="AE1346" s="112"/>
      <c r="AF1346" s="112"/>
      <c r="AG1346" s="112"/>
      <c r="AH1346" s="112" t="s">
        <v>482</v>
      </c>
      <c r="AI1346" s="112" t="s">
        <v>482</v>
      </c>
      <c r="AJ1346" s="112"/>
      <c r="AK1346" s="112">
        <f>1.5825/1.001</f>
        <v>1.5809190809190812</v>
      </c>
      <c r="AL1346" s="112"/>
      <c r="AM1346" s="646">
        <f t="shared" si="25"/>
        <v>555.49595908091908</v>
      </c>
      <c r="AO1346" s="289"/>
    </row>
    <row r="1347" spans="1:42" s="61" customFormat="1" ht="21" customHeight="1" x14ac:dyDescent="0.3">
      <c r="A1347" s="705" t="s">
        <v>573</v>
      </c>
      <c r="B1347" s="179" t="s">
        <v>293</v>
      </c>
      <c r="C1347" s="135"/>
      <c r="D1347" s="136"/>
      <c r="E1347" s="136"/>
      <c r="F1347" s="262"/>
      <c r="G1347" s="136">
        <v>33</v>
      </c>
      <c r="H1347" s="136"/>
      <c r="I1347" s="326"/>
      <c r="J1347" s="136"/>
      <c r="K1347" s="136"/>
      <c r="L1347" s="262"/>
      <c r="M1347" s="136"/>
      <c r="N1347" s="326"/>
      <c r="O1347" s="136"/>
      <c r="P1347" s="136"/>
      <c r="Q1347" s="136"/>
      <c r="R1347" s="136"/>
      <c r="S1347" s="136"/>
      <c r="T1347" s="137"/>
      <c r="U1347" s="632"/>
      <c r="V1347" s="122"/>
      <c r="W1347" s="122"/>
      <c r="X1347" s="122"/>
      <c r="Y1347" s="122"/>
      <c r="Z1347" s="122">
        <v>255</v>
      </c>
      <c r="AA1347" s="122"/>
      <c r="AB1347" s="122"/>
      <c r="AC1347" s="122"/>
      <c r="AD1347" s="122"/>
      <c r="AE1347" s="122"/>
      <c r="AF1347" s="122"/>
      <c r="AG1347" s="122"/>
      <c r="AH1347" s="122"/>
      <c r="AI1347" s="122" t="s">
        <v>482</v>
      </c>
      <c r="AJ1347" s="122"/>
      <c r="AK1347" s="122"/>
      <c r="AL1347" s="122"/>
      <c r="AM1347" s="639">
        <f t="shared" si="25"/>
        <v>288</v>
      </c>
      <c r="AO1347" s="289"/>
    </row>
    <row r="1348" spans="1:42" s="61" customFormat="1" ht="19.5" customHeight="1" x14ac:dyDescent="0.3">
      <c r="A1348" s="706"/>
      <c r="B1348" s="116" t="s">
        <v>294</v>
      </c>
      <c r="C1348" s="138"/>
      <c r="D1348" s="109"/>
      <c r="E1348" s="109"/>
      <c r="F1348" s="263"/>
      <c r="G1348" s="109">
        <v>14</v>
      </c>
      <c r="H1348" s="109"/>
      <c r="I1348" s="123"/>
      <c r="J1348" s="109"/>
      <c r="K1348" s="109"/>
      <c r="L1348" s="263"/>
      <c r="M1348" s="109"/>
      <c r="N1348" s="123"/>
      <c r="O1348" s="109"/>
      <c r="P1348" s="109"/>
      <c r="Q1348" s="109"/>
      <c r="R1348" s="109"/>
      <c r="S1348" s="109"/>
      <c r="T1348" s="139"/>
      <c r="U1348" s="138"/>
      <c r="V1348" s="109"/>
      <c r="W1348" s="109"/>
      <c r="X1348" s="109"/>
      <c r="Y1348" s="109"/>
      <c r="Z1348" s="109">
        <v>318</v>
      </c>
      <c r="AA1348" s="109"/>
      <c r="AB1348" s="109"/>
      <c r="AC1348" s="109"/>
      <c r="AD1348" s="109"/>
      <c r="AE1348" s="109"/>
      <c r="AF1348" s="109"/>
      <c r="AG1348" s="109"/>
      <c r="AH1348" s="109"/>
      <c r="AI1348" s="109" t="s">
        <v>482</v>
      </c>
      <c r="AJ1348" s="109"/>
      <c r="AK1348" s="109"/>
      <c r="AL1348" s="109"/>
      <c r="AM1348" s="640">
        <f t="shared" si="25"/>
        <v>332</v>
      </c>
      <c r="AO1348" s="289"/>
    </row>
    <row r="1349" spans="1:42" s="61" customFormat="1" ht="22.5" customHeight="1" x14ac:dyDescent="0.3">
      <c r="A1349" s="706"/>
      <c r="B1349" s="117" t="s">
        <v>326</v>
      </c>
      <c r="C1349" s="140">
        <v>11</v>
      </c>
      <c r="D1349" s="110"/>
      <c r="E1349" s="110"/>
      <c r="F1349" s="264"/>
      <c r="G1349" s="110">
        <v>14</v>
      </c>
      <c r="H1349" s="110"/>
      <c r="I1349" s="124"/>
      <c r="J1349" s="110"/>
      <c r="K1349" s="110"/>
      <c r="L1349" s="264"/>
      <c r="M1349" s="110"/>
      <c r="N1349" s="124"/>
      <c r="O1349" s="110"/>
      <c r="P1349" s="110"/>
      <c r="Q1349" s="110"/>
      <c r="R1349" s="110"/>
      <c r="S1349" s="110">
        <v>353</v>
      </c>
      <c r="T1349" s="141"/>
      <c r="U1349" s="140">
        <v>1.1830000000000001</v>
      </c>
      <c r="V1349" s="110"/>
      <c r="W1349" s="110"/>
      <c r="X1349" s="110"/>
      <c r="Y1349" s="110"/>
      <c r="Z1349" s="110">
        <v>85</v>
      </c>
      <c r="AA1349" s="110"/>
      <c r="AB1349" s="110"/>
      <c r="AC1349" s="110"/>
      <c r="AD1349" s="110"/>
      <c r="AE1349" s="110"/>
      <c r="AF1349" s="110"/>
      <c r="AG1349" s="110"/>
      <c r="AH1349" s="110"/>
      <c r="AI1349" s="110" t="s">
        <v>482</v>
      </c>
      <c r="AJ1349" s="110"/>
      <c r="AK1349" s="110"/>
      <c r="AL1349" s="110"/>
      <c r="AM1349" s="641">
        <f t="shared" si="25"/>
        <v>464.18299999999999</v>
      </c>
      <c r="AO1349" s="289"/>
      <c r="AP1349" s="97"/>
    </row>
    <row r="1350" spans="1:42" s="61" customFormat="1" ht="25.5" customHeight="1" x14ac:dyDescent="0.3">
      <c r="A1350" s="706"/>
      <c r="B1350" s="175" t="s">
        <v>327</v>
      </c>
      <c r="C1350" s="176">
        <v>-10</v>
      </c>
      <c r="D1350" s="127"/>
      <c r="E1350" s="127"/>
      <c r="F1350" s="265"/>
      <c r="G1350" s="127">
        <v>98</v>
      </c>
      <c r="H1350" s="127"/>
      <c r="I1350" s="178"/>
      <c r="J1350" s="127"/>
      <c r="K1350" s="127"/>
      <c r="L1350" s="265"/>
      <c r="M1350" s="127"/>
      <c r="N1350" s="178"/>
      <c r="O1350" s="127"/>
      <c r="P1350" s="127"/>
      <c r="Q1350" s="127"/>
      <c r="R1350" s="127"/>
      <c r="S1350" s="127">
        <v>707</v>
      </c>
      <c r="T1350" s="177"/>
      <c r="U1350" s="176"/>
      <c r="V1350" s="127"/>
      <c r="W1350" s="127"/>
      <c r="X1350" s="127"/>
      <c r="Y1350" s="127"/>
      <c r="Z1350" s="127">
        <v>810</v>
      </c>
      <c r="AA1350" s="127"/>
      <c r="AB1350" s="127"/>
      <c r="AC1350" s="127"/>
      <c r="AD1350" s="127"/>
      <c r="AE1350" s="127"/>
      <c r="AF1350" s="127"/>
      <c r="AG1350" s="127"/>
      <c r="AH1350" s="127"/>
      <c r="AI1350" s="127" t="s">
        <v>482</v>
      </c>
      <c r="AJ1350" s="127"/>
      <c r="AK1350" s="127"/>
      <c r="AL1350" s="127"/>
      <c r="AM1350" s="642">
        <f t="shared" si="25"/>
        <v>1605</v>
      </c>
      <c r="AO1350" s="289"/>
    </row>
    <row r="1351" spans="1:42" s="61" customFormat="1" ht="25.5" customHeight="1" x14ac:dyDescent="0.3">
      <c r="A1351" s="706"/>
      <c r="B1351" s="180" t="s">
        <v>361</v>
      </c>
      <c r="C1351" s="300"/>
      <c r="D1351" s="173"/>
      <c r="E1351" s="173"/>
      <c r="F1351" s="266"/>
      <c r="G1351" s="173"/>
      <c r="H1351" s="173"/>
      <c r="I1351" s="174"/>
      <c r="J1351" s="173"/>
      <c r="K1351" s="173"/>
      <c r="L1351" s="266"/>
      <c r="M1351" s="173"/>
      <c r="N1351" s="174"/>
      <c r="O1351" s="173"/>
      <c r="P1351" s="173"/>
      <c r="Q1351" s="173"/>
      <c r="R1351" s="173"/>
      <c r="S1351" s="173">
        <v>231</v>
      </c>
      <c r="T1351" s="327"/>
      <c r="U1351" s="300">
        <v>1</v>
      </c>
      <c r="V1351" s="173"/>
      <c r="W1351" s="173"/>
      <c r="X1351" s="173"/>
      <c r="Y1351" s="173"/>
      <c r="Z1351" s="173">
        <v>444.56605999999999</v>
      </c>
      <c r="AA1351" s="173"/>
      <c r="AB1351" s="173"/>
      <c r="AC1351" s="173"/>
      <c r="AD1351" s="173"/>
      <c r="AE1351" s="173"/>
      <c r="AF1351" s="173"/>
      <c r="AG1351" s="173"/>
      <c r="AH1351" s="173"/>
      <c r="AI1351" s="173" t="s">
        <v>482</v>
      </c>
      <c r="AJ1351" s="173"/>
      <c r="AK1351" s="173"/>
      <c r="AL1351" s="173"/>
      <c r="AM1351" s="643">
        <f t="shared" si="25"/>
        <v>676.56605999999999</v>
      </c>
      <c r="AO1351" s="289"/>
      <c r="AP1351" s="97"/>
    </row>
    <row r="1352" spans="1:42" s="61" customFormat="1" ht="25.5" customHeight="1" x14ac:dyDescent="0.3">
      <c r="A1352" s="706"/>
      <c r="B1352" s="180" t="s">
        <v>362</v>
      </c>
      <c r="C1352" s="300"/>
      <c r="D1352" s="173"/>
      <c r="E1352" s="173"/>
      <c r="F1352" s="266"/>
      <c r="G1352" s="173"/>
      <c r="H1352" s="173"/>
      <c r="I1352" s="174"/>
      <c r="J1352" s="173"/>
      <c r="K1352" s="173"/>
      <c r="L1352" s="266"/>
      <c r="M1352" s="173"/>
      <c r="N1352" s="174"/>
      <c r="O1352" s="173"/>
      <c r="P1352" s="173"/>
      <c r="Q1352" s="173"/>
      <c r="R1352" s="173"/>
      <c r="S1352" s="173"/>
      <c r="T1352" s="327"/>
      <c r="U1352" s="300"/>
      <c r="V1352" s="173"/>
      <c r="W1352" s="173"/>
      <c r="X1352" s="173"/>
      <c r="Y1352" s="173"/>
      <c r="Z1352" s="173">
        <v>564.22583999999995</v>
      </c>
      <c r="AA1352" s="173"/>
      <c r="AB1352" s="173"/>
      <c r="AC1352" s="173"/>
      <c r="AD1352" s="173"/>
      <c r="AE1352" s="173"/>
      <c r="AF1352" s="173"/>
      <c r="AG1352" s="173"/>
      <c r="AH1352" s="173"/>
      <c r="AI1352" s="173" t="s">
        <v>482</v>
      </c>
      <c r="AJ1352" s="173"/>
      <c r="AK1352" s="173"/>
      <c r="AL1352" s="173"/>
      <c r="AM1352" s="644">
        <f t="shared" si="25"/>
        <v>564.22583999999995</v>
      </c>
      <c r="AO1352" s="289"/>
      <c r="AP1352" s="97"/>
    </row>
    <row r="1353" spans="1:42" s="61" customFormat="1" ht="22.5" customHeight="1" x14ac:dyDescent="0.3">
      <c r="A1353" s="706"/>
      <c r="B1353" s="115" t="s">
        <v>402</v>
      </c>
      <c r="C1353" s="142"/>
      <c r="D1353" s="111"/>
      <c r="E1353" s="111"/>
      <c r="F1353" s="267"/>
      <c r="G1353" s="111"/>
      <c r="H1353" s="111"/>
      <c r="I1353" s="125"/>
      <c r="J1353" s="111"/>
      <c r="K1353" s="111"/>
      <c r="L1353" s="267"/>
      <c r="M1353" s="111"/>
      <c r="N1353" s="125"/>
      <c r="O1353" s="111"/>
      <c r="P1353" s="111"/>
      <c r="Q1353" s="111"/>
      <c r="R1353" s="111"/>
      <c r="S1353" s="111"/>
      <c r="T1353" s="143"/>
      <c r="U1353" s="142"/>
      <c r="V1353" s="111"/>
      <c r="W1353" s="111"/>
      <c r="X1353" s="111"/>
      <c r="Y1353" s="111"/>
      <c r="Z1353" s="111"/>
      <c r="AA1353" s="111"/>
      <c r="AB1353" s="111"/>
      <c r="AC1353" s="111"/>
      <c r="AD1353" s="111"/>
      <c r="AE1353" s="111"/>
      <c r="AF1353" s="111"/>
      <c r="AG1353" s="111"/>
      <c r="AH1353" s="111" t="s">
        <v>482</v>
      </c>
      <c r="AI1353" s="111" t="s">
        <v>482</v>
      </c>
      <c r="AJ1353" s="111"/>
      <c r="AK1353" s="111"/>
      <c r="AL1353" s="111"/>
      <c r="AM1353" s="645">
        <f t="shared" si="25"/>
        <v>0</v>
      </c>
      <c r="AO1353" s="289"/>
    </row>
    <row r="1354" spans="1:42" s="61" customFormat="1" ht="21" customHeight="1" x14ac:dyDescent="0.3">
      <c r="A1354" s="707"/>
      <c r="B1354" s="181" t="s">
        <v>403</v>
      </c>
      <c r="C1354" s="144"/>
      <c r="D1354" s="112"/>
      <c r="E1354" s="112"/>
      <c r="F1354" s="268"/>
      <c r="G1354" s="112"/>
      <c r="H1354" s="112"/>
      <c r="I1354" s="126"/>
      <c r="J1354" s="112"/>
      <c r="K1354" s="112"/>
      <c r="L1354" s="268"/>
      <c r="M1354" s="112"/>
      <c r="N1354" s="126"/>
      <c r="O1354" s="112"/>
      <c r="P1354" s="112"/>
      <c r="Q1354" s="112"/>
      <c r="R1354" s="112"/>
      <c r="S1354" s="112"/>
      <c r="T1354" s="145"/>
      <c r="U1354" s="144"/>
      <c r="V1354" s="112"/>
      <c r="W1354" s="112"/>
      <c r="X1354" s="112"/>
      <c r="Y1354" s="112"/>
      <c r="Z1354" s="112"/>
      <c r="AA1354" s="112"/>
      <c r="AB1354" s="112"/>
      <c r="AC1354" s="112"/>
      <c r="AD1354" s="112"/>
      <c r="AE1354" s="112"/>
      <c r="AF1354" s="112"/>
      <c r="AG1354" s="112"/>
      <c r="AH1354" s="112" t="s">
        <v>482</v>
      </c>
      <c r="AI1354" s="112" t="s">
        <v>482</v>
      </c>
      <c r="AJ1354" s="112"/>
      <c r="AK1354" s="112"/>
      <c r="AL1354" s="112"/>
      <c r="AM1354" s="646">
        <f t="shared" si="25"/>
        <v>0</v>
      </c>
      <c r="AO1354" s="289"/>
    </row>
    <row r="1355" spans="1:42" s="61" customFormat="1" ht="21" customHeight="1" x14ac:dyDescent="0.3">
      <c r="A1355" s="705" t="s">
        <v>250</v>
      </c>
      <c r="B1355" s="179" t="s">
        <v>293</v>
      </c>
      <c r="C1355" s="135"/>
      <c r="D1355" s="136"/>
      <c r="E1355" s="136"/>
      <c r="F1355" s="262"/>
      <c r="G1355" s="136"/>
      <c r="H1355" s="136"/>
      <c r="I1355" s="326"/>
      <c r="J1355" s="136"/>
      <c r="K1355" s="136"/>
      <c r="L1355" s="262"/>
      <c r="M1355" s="136"/>
      <c r="N1355" s="326"/>
      <c r="O1355" s="136"/>
      <c r="P1355" s="136"/>
      <c r="Q1355" s="136"/>
      <c r="R1355" s="136"/>
      <c r="S1355" s="136"/>
      <c r="T1355" s="137">
        <v>1.2</v>
      </c>
      <c r="U1355" s="632"/>
      <c r="V1355" s="122"/>
      <c r="W1355" s="122"/>
      <c r="X1355" s="122"/>
      <c r="Y1355" s="122"/>
      <c r="Z1355" s="122"/>
      <c r="AA1355" s="122"/>
      <c r="AB1355" s="122"/>
      <c r="AC1355" s="122"/>
      <c r="AD1355" s="122"/>
      <c r="AE1355" s="122"/>
      <c r="AF1355" s="122"/>
      <c r="AG1355" s="122"/>
      <c r="AH1355" s="122"/>
      <c r="AI1355" s="122" t="s">
        <v>482</v>
      </c>
      <c r="AJ1355" s="122"/>
      <c r="AK1355" s="122"/>
      <c r="AL1355" s="122"/>
      <c r="AM1355" s="639">
        <f t="shared" si="25"/>
        <v>1.2</v>
      </c>
      <c r="AO1355" s="289"/>
    </row>
    <row r="1356" spans="1:42" s="61" customFormat="1" ht="19.5" customHeight="1" x14ac:dyDescent="0.3">
      <c r="A1356" s="706"/>
      <c r="B1356" s="116" t="s">
        <v>294</v>
      </c>
      <c r="C1356" s="138"/>
      <c r="D1356" s="109"/>
      <c r="E1356" s="109"/>
      <c r="F1356" s="263"/>
      <c r="G1356" s="109"/>
      <c r="H1356" s="109"/>
      <c r="I1356" s="123"/>
      <c r="J1356" s="109"/>
      <c r="K1356" s="109"/>
      <c r="L1356" s="263"/>
      <c r="M1356" s="109"/>
      <c r="N1356" s="123"/>
      <c r="O1356" s="109"/>
      <c r="P1356" s="109"/>
      <c r="Q1356" s="109"/>
      <c r="R1356" s="109"/>
      <c r="S1356" s="109"/>
      <c r="T1356" s="139"/>
      <c r="U1356" s="138"/>
      <c r="V1356" s="109"/>
      <c r="W1356" s="109"/>
      <c r="X1356" s="109"/>
      <c r="Y1356" s="109"/>
      <c r="Z1356" s="109"/>
      <c r="AA1356" s="109"/>
      <c r="AB1356" s="109"/>
      <c r="AC1356" s="109"/>
      <c r="AD1356" s="109"/>
      <c r="AE1356" s="109"/>
      <c r="AF1356" s="109"/>
      <c r="AG1356" s="109">
        <v>0.2</v>
      </c>
      <c r="AH1356" s="109"/>
      <c r="AI1356" s="109" t="s">
        <v>482</v>
      </c>
      <c r="AJ1356" s="109"/>
      <c r="AK1356" s="109"/>
      <c r="AL1356" s="109"/>
      <c r="AM1356" s="640">
        <f t="shared" si="25"/>
        <v>0.2</v>
      </c>
      <c r="AO1356" s="289"/>
    </row>
    <row r="1357" spans="1:42" s="61" customFormat="1" ht="22.5" customHeight="1" x14ac:dyDescent="0.3">
      <c r="A1357" s="706"/>
      <c r="B1357" s="117" t="s">
        <v>326</v>
      </c>
      <c r="C1357" s="140"/>
      <c r="D1357" s="110"/>
      <c r="E1357" s="110"/>
      <c r="F1357" s="264"/>
      <c r="G1357" s="110">
        <v>1</v>
      </c>
      <c r="H1357" s="110"/>
      <c r="I1357" s="124"/>
      <c r="J1357" s="110"/>
      <c r="K1357" s="110"/>
      <c r="L1357" s="264"/>
      <c r="M1357" s="110"/>
      <c r="N1357" s="124"/>
      <c r="O1357" s="110"/>
      <c r="P1357" s="110"/>
      <c r="Q1357" s="110"/>
      <c r="R1357" s="110"/>
      <c r="S1357" s="110"/>
      <c r="T1357" s="141"/>
      <c r="U1357" s="140"/>
      <c r="V1357" s="110"/>
      <c r="W1357" s="110"/>
      <c r="X1357" s="110"/>
      <c r="Y1357" s="110"/>
      <c r="Z1357" s="110"/>
      <c r="AA1357" s="110"/>
      <c r="AB1357" s="110"/>
      <c r="AC1357" s="110"/>
      <c r="AD1357" s="110"/>
      <c r="AE1357" s="110"/>
      <c r="AF1357" s="110"/>
      <c r="AG1357" s="110"/>
      <c r="AH1357" s="110"/>
      <c r="AI1357" s="110" t="s">
        <v>482</v>
      </c>
      <c r="AJ1357" s="110"/>
      <c r="AK1357" s="110"/>
      <c r="AL1357" s="110"/>
      <c r="AM1357" s="641">
        <f t="shared" si="25"/>
        <v>1</v>
      </c>
      <c r="AO1357" s="289"/>
      <c r="AP1357" s="97"/>
    </row>
    <row r="1358" spans="1:42" s="61" customFormat="1" ht="25.5" customHeight="1" x14ac:dyDescent="0.3">
      <c r="A1358" s="706"/>
      <c r="B1358" s="175" t="s">
        <v>327</v>
      </c>
      <c r="C1358" s="176"/>
      <c r="D1358" s="127"/>
      <c r="E1358" s="127"/>
      <c r="F1358" s="265"/>
      <c r="G1358" s="127"/>
      <c r="H1358" s="127"/>
      <c r="I1358" s="178"/>
      <c r="J1358" s="127"/>
      <c r="K1358" s="127"/>
      <c r="L1358" s="265"/>
      <c r="M1358" s="127"/>
      <c r="N1358" s="178"/>
      <c r="O1358" s="127"/>
      <c r="P1358" s="127"/>
      <c r="Q1358" s="127"/>
      <c r="R1358" s="127"/>
      <c r="S1358" s="127"/>
      <c r="T1358" s="177"/>
      <c r="U1358" s="176"/>
      <c r="V1358" s="127"/>
      <c r="W1358" s="127"/>
      <c r="X1358" s="127"/>
      <c r="Y1358" s="127"/>
      <c r="Z1358" s="127"/>
      <c r="AA1358" s="127"/>
      <c r="AB1358" s="127"/>
      <c r="AC1358" s="127"/>
      <c r="AD1358" s="127"/>
      <c r="AE1358" s="127"/>
      <c r="AF1358" s="127"/>
      <c r="AG1358" s="127"/>
      <c r="AH1358" s="127"/>
      <c r="AI1358" s="127" t="s">
        <v>482</v>
      </c>
      <c r="AJ1358" s="127"/>
      <c r="AK1358" s="127"/>
      <c r="AL1358" s="127"/>
      <c r="AM1358" s="642">
        <f t="shared" si="25"/>
        <v>0</v>
      </c>
      <c r="AO1358" s="289"/>
    </row>
    <row r="1359" spans="1:42" s="61" customFormat="1" ht="25.5" customHeight="1" x14ac:dyDescent="0.3">
      <c r="A1359" s="706"/>
      <c r="B1359" s="180" t="s">
        <v>361</v>
      </c>
      <c r="C1359" s="300"/>
      <c r="D1359" s="173"/>
      <c r="E1359" s="173"/>
      <c r="F1359" s="266"/>
      <c r="G1359" s="173"/>
      <c r="H1359" s="173"/>
      <c r="I1359" s="174"/>
      <c r="J1359" s="173"/>
      <c r="K1359" s="173"/>
      <c r="L1359" s="266"/>
      <c r="M1359" s="173"/>
      <c r="N1359" s="174"/>
      <c r="O1359" s="173"/>
      <c r="P1359" s="173"/>
      <c r="Q1359" s="173"/>
      <c r="R1359" s="173"/>
      <c r="S1359" s="173"/>
      <c r="T1359" s="327"/>
      <c r="U1359" s="300">
        <v>0.108</v>
      </c>
      <c r="V1359" s="173"/>
      <c r="W1359" s="173"/>
      <c r="X1359" s="173"/>
      <c r="Y1359" s="173"/>
      <c r="Z1359" s="173"/>
      <c r="AA1359" s="173"/>
      <c r="AB1359" s="173"/>
      <c r="AC1359" s="173"/>
      <c r="AD1359" s="173"/>
      <c r="AE1359" s="173"/>
      <c r="AF1359" s="173"/>
      <c r="AG1359" s="173"/>
      <c r="AH1359" s="173"/>
      <c r="AI1359" s="173" t="s">
        <v>482</v>
      </c>
      <c r="AJ1359" s="173"/>
      <c r="AK1359" s="173"/>
      <c r="AL1359" s="173"/>
      <c r="AM1359" s="643">
        <f t="shared" si="25"/>
        <v>0.108</v>
      </c>
      <c r="AO1359" s="289"/>
      <c r="AP1359" s="97"/>
    </row>
    <row r="1360" spans="1:42" s="61" customFormat="1" ht="25.5" customHeight="1" x14ac:dyDescent="0.3">
      <c r="A1360" s="706"/>
      <c r="B1360" s="180" t="s">
        <v>362</v>
      </c>
      <c r="C1360" s="300"/>
      <c r="D1360" s="173"/>
      <c r="E1360" s="173"/>
      <c r="F1360" s="266"/>
      <c r="G1360" s="173"/>
      <c r="H1360" s="173">
        <f>129+10</f>
        <v>139</v>
      </c>
      <c r="I1360" s="174"/>
      <c r="J1360" s="173"/>
      <c r="K1360" s="173"/>
      <c r="L1360" s="266"/>
      <c r="M1360" s="173"/>
      <c r="N1360" s="174"/>
      <c r="O1360" s="173"/>
      <c r="P1360" s="173"/>
      <c r="Q1360" s="173"/>
      <c r="R1360" s="173"/>
      <c r="S1360" s="173"/>
      <c r="T1360" s="327"/>
      <c r="U1360" s="300"/>
      <c r="V1360" s="173"/>
      <c r="W1360" s="173"/>
      <c r="X1360" s="173"/>
      <c r="Y1360" s="173"/>
      <c r="Z1360" s="173"/>
      <c r="AA1360" s="173"/>
      <c r="AB1360" s="173"/>
      <c r="AC1360" s="173"/>
      <c r="AD1360" s="173"/>
      <c r="AE1360" s="173"/>
      <c r="AF1360" s="173"/>
      <c r="AG1360" s="173"/>
      <c r="AH1360" s="173"/>
      <c r="AI1360" s="173" t="s">
        <v>482</v>
      </c>
      <c r="AJ1360" s="173"/>
      <c r="AK1360" s="173"/>
      <c r="AL1360" s="173"/>
      <c r="AM1360" s="644">
        <f t="shared" si="25"/>
        <v>139</v>
      </c>
      <c r="AO1360" s="289"/>
      <c r="AP1360" s="97"/>
    </row>
    <row r="1361" spans="1:42" s="61" customFormat="1" ht="22.5" customHeight="1" x14ac:dyDescent="0.3">
      <c r="A1361" s="706"/>
      <c r="B1361" s="115" t="s">
        <v>402</v>
      </c>
      <c r="C1361" s="142"/>
      <c r="D1361" s="111"/>
      <c r="E1361" s="111"/>
      <c r="F1361" s="267"/>
      <c r="G1361" s="111"/>
      <c r="H1361" s="111">
        <v>377</v>
      </c>
      <c r="I1361" s="125"/>
      <c r="J1361" s="111"/>
      <c r="K1361" s="111"/>
      <c r="L1361" s="267"/>
      <c r="M1361" s="111"/>
      <c r="N1361" s="125"/>
      <c r="O1361" s="111"/>
      <c r="P1361" s="111"/>
      <c r="Q1361" s="111"/>
      <c r="R1361" s="111"/>
      <c r="S1361" s="111">
        <v>226.51061099999998</v>
      </c>
      <c r="T1361" s="143">
        <v>0</v>
      </c>
      <c r="U1361" s="142">
        <v>2.6240000000000001</v>
      </c>
      <c r="V1361" s="111"/>
      <c r="W1361" s="111"/>
      <c r="X1361" s="111"/>
      <c r="Y1361" s="111"/>
      <c r="Z1361" s="111"/>
      <c r="AA1361" s="111"/>
      <c r="AB1361" s="111"/>
      <c r="AC1361" s="111"/>
      <c r="AD1361" s="111"/>
      <c r="AE1361" s="111"/>
      <c r="AF1361" s="111"/>
      <c r="AG1361" s="111"/>
      <c r="AH1361" s="111" t="s">
        <v>482</v>
      </c>
      <c r="AI1361" s="111" t="s">
        <v>482</v>
      </c>
      <c r="AJ1361" s="111"/>
      <c r="AK1361" s="111"/>
      <c r="AL1361" s="111"/>
      <c r="AM1361" s="645">
        <f t="shared" si="25"/>
        <v>606.13461099999995</v>
      </c>
      <c r="AO1361" s="289"/>
    </row>
    <row r="1362" spans="1:42" s="61" customFormat="1" ht="21" customHeight="1" x14ac:dyDescent="0.3">
      <c r="A1362" s="707"/>
      <c r="B1362" s="181" t="s">
        <v>403</v>
      </c>
      <c r="C1362" s="144"/>
      <c r="D1362" s="112"/>
      <c r="E1362" s="112"/>
      <c r="F1362" s="268"/>
      <c r="G1362" s="112"/>
      <c r="H1362" s="112">
        <v>907</v>
      </c>
      <c r="I1362" s="126"/>
      <c r="J1362" s="112"/>
      <c r="K1362" s="112"/>
      <c r="L1362" s="268"/>
      <c r="M1362" s="112"/>
      <c r="N1362" s="126"/>
      <c r="O1362" s="112"/>
      <c r="P1362" s="112"/>
      <c r="Q1362" s="112"/>
      <c r="R1362" s="112"/>
      <c r="S1362" s="112">
        <v>81.518720999999985</v>
      </c>
      <c r="T1362" s="145">
        <v>0</v>
      </c>
      <c r="U1362" s="144">
        <v>0.29299999999999998</v>
      </c>
      <c r="V1362" s="112"/>
      <c r="W1362" s="112"/>
      <c r="X1362" s="112"/>
      <c r="Y1362" s="112"/>
      <c r="Z1362" s="112"/>
      <c r="AA1362" s="112"/>
      <c r="AB1362" s="112"/>
      <c r="AC1362" s="112"/>
      <c r="AD1362" s="112"/>
      <c r="AE1362" s="112"/>
      <c r="AF1362" s="112"/>
      <c r="AG1362" s="112"/>
      <c r="AH1362" s="112" t="s">
        <v>482</v>
      </c>
      <c r="AI1362" s="112" t="s">
        <v>482</v>
      </c>
      <c r="AJ1362" s="112"/>
      <c r="AK1362" s="112"/>
      <c r="AL1362" s="112"/>
      <c r="AM1362" s="646">
        <f t="shared" si="25"/>
        <v>988.81172100000003</v>
      </c>
      <c r="AO1362" s="289"/>
    </row>
    <row r="1363" spans="1:42" s="61" customFormat="1" ht="21" customHeight="1" x14ac:dyDescent="0.3">
      <c r="A1363" s="705" t="s">
        <v>251</v>
      </c>
      <c r="B1363" s="179" t="s">
        <v>293</v>
      </c>
      <c r="C1363" s="135"/>
      <c r="D1363" s="136"/>
      <c r="E1363" s="136"/>
      <c r="F1363" s="262"/>
      <c r="G1363" s="136"/>
      <c r="H1363" s="136"/>
      <c r="I1363" s="326"/>
      <c r="J1363" s="136"/>
      <c r="K1363" s="136"/>
      <c r="L1363" s="262"/>
      <c r="M1363" s="136"/>
      <c r="N1363" s="326">
        <v>197.58199999999999</v>
      </c>
      <c r="O1363" s="136"/>
      <c r="P1363" s="136"/>
      <c r="Q1363" s="136"/>
      <c r="R1363" s="136"/>
      <c r="S1363" s="136"/>
      <c r="T1363" s="137"/>
      <c r="U1363" s="632">
        <v>1306.095</v>
      </c>
      <c r="V1363" s="122"/>
      <c r="W1363" s="122"/>
      <c r="X1363" s="122"/>
      <c r="Y1363" s="122"/>
      <c r="Z1363" s="122"/>
      <c r="AA1363" s="122"/>
      <c r="AB1363" s="122"/>
      <c r="AC1363" s="122"/>
      <c r="AD1363" s="122"/>
      <c r="AE1363" s="122"/>
      <c r="AF1363" s="122"/>
      <c r="AG1363" s="122">
        <v>2</v>
      </c>
      <c r="AH1363" s="122"/>
      <c r="AI1363" s="122" t="s">
        <v>482</v>
      </c>
      <c r="AJ1363" s="122"/>
      <c r="AK1363" s="122"/>
      <c r="AL1363" s="122"/>
      <c r="AM1363" s="639">
        <f t="shared" si="25"/>
        <v>1505.6770000000001</v>
      </c>
      <c r="AO1363" s="289"/>
    </row>
    <row r="1364" spans="1:42" s="61" customFormat="1" ht="19.5" customHeight="1" x14ac:dyDescent="0.3">
      <c r="A1364" s="706"/>
      <c r="B1364" s="116" t="s">
        <v>294</v>
      </c>
      <c r="C1364" s="138"/>
      <c r="D1364" s="109"/>
      <c r="E1364" s="109"/>
      <c r="F1364" s="263"/>
      <c r="G1364" s="109"/>
      <c r="H1364" s="109"/>
      <c r="I1364" s="123"/>
      <c r="J1364" s="109"/>
      <c r="K1364" s="109"/>
      <c r="L1364" s="263"/>
      <c r="M1364" s="109"/>
      <c r="N1364" s="123"/>
      <c r="O1364" s="109"/>
      <c r="P1364" s="109"/>
      <c r="Q1364" s="109"/>
      <c r="R1364" s="109"/>
      <c r="S1364" s="109"/>
      <c r="T1364" s="139">
        <v>2.157</v>
      </c>
      <c r="U1364" s="138">
        <v>206.92500000000001</v>
      </c>
      <c r="V1364" s="109"/>
      <c r="W1364" s="109"/>
      <c r="X1364" s="109"/>
      <c r="Y1364" s="109"/>
      <c r="Z1364" s="109"/>
      <c r="AA1364" s="109"/>
      <c r="AB1364" s="109"/>
      <c r="AC1364" s="109"/>
      <c r="AD1364" s="109"/>
      <c r="AE1364" s="109"/>
      <c r="AF1364" s="109"/>
      <c r="AG1364" s="109"/>
      <c r="AH1364" s="109"/>
      <c r="AI1364" s="109" t="s">
        <v>482</v>
      </c>
      <c r="AJ1364" s="109"/>
      <c r="AK1364" s="109"/>
      <c r="AL1364" s="109"/>
      <c r="AM1364" s="640">
        <f t="shared" si="25"/>
        <v>209.08200000000002</v>
      </c>
      <c r="AO1364" s="289"/>
    </row>
    <row r="1365" spans="1:42" s="61" customFormat="1" ht="22.5" customHeight="1" x14ac:dyDescent="0.3">
      <c r="A1365" s="706"/>
      <c r="B1365" s="117" t="s">
        <v>326</v>
      </c>
      <c r="C1365" s="140"/>
      <c r="D1365" s="110"/>
      <c r="E1365" s="110"/>
      <c r="F1365" s="264"/>
      <c r="G1365" s="110"/>
      <c r="H1365" s="110"/>
      <c r="I1365" s="124"/>
      <c r="J1365" s="110"/>
      <c r="K1365" s="110"/>
      <c r="L1365" s="264"/>
      <c r="M1365" s="110"/>
      <c r="N1365" s="124"/>
      <c r="O1365" s="110"/>
      <c r="P1365" s="110"/>
      <c r="Q1365" s="110"/>
      <c r="R1365" s="110"/>
      <c r="S1365" s="110"/>
      <c r="T1365" s="141"/>
      <c r="U1365" s="140"/>
      <c r="V1365" s="110"/>
      <c r="W1365" s="110"/>
      <c r="X1365" s="110"/>
      <c r="Y1365" s="110"/>
      <c r="Z1365" s="110"/>
      <c r="AA1365" s="110"/>
      <c r="AB1365" s="110"/>
      <c r="AC1365" s="110"/>
      <c r="AD1365" s="110"/>
      <c r="AE1365" s="110"/>
      <c r="AF1365" s="110"/>
      <c r="AG1365" s="110"/>
      <c r="AH1365" s="110"/>
      <c r="AI1365" s="110" t="s">
        <v>482</v>
      </c>
      <c r="AJ1365" s="110"/>
      <c r="AK1365" s="110"/>
      <c r="AL1365" s="110"/>
      <c r="AM1365" s="641">
        <f t="shared" ref="AM1365:AM1428" si="26">SUM(C1365:AL1365)</f>
        <v>0</v>
      </c>
      <c r="AO1365" s="289"/>
      <c r="AP1365" s="97"/>
    </row>
    <row r="1366" spans="1:42" s="61" customFormat="1" ht="25.5" customHeight="1" x14ac:dyDescent="0.3">
      <c r="A1366" s="706"/>
      <c r="B1366" s="175" t="s">
        <v>327</v>
      </c>
      <c r="C1366" s="176"/>
      <c r="D1366" s="127"/>
      <c r="E1366" s="127"/>
      <c r="F1366" s="265"/>
      <c r="G1366" s="127"/>
      <c r="H1366" s="127"/>
      <c r="I1366" s="178"/>
      <c r="J1366" s="127"/>
      <c r="K1366" s="127"/>
      <c r="L1366" s="265"/>
      <c r="M1366" s="127"/>
      <c r="N1366" s="178"/>
      <c r="O1366" s="127"/>
      <c r="P1366" s="127"/>
      <c r="Q1366" s="127"/>
      <c r="R1366" s="127"/>
      <c r="S1366" s="127">
        <v>189</v>
      </c>
      <c r="T1366" s="177"/>
      <c r="U1366" s="176">
        <v>142.27000000000001</v>
      </c>
      <c r="V1366" s="127"/>
      <c r="W1366" s="127"/>
      <c r="X1366" s="127"/>
      <c r="Y1366" s="127"/>
      <c r="Z1366" s="127">
        <v>523.66300000000001</v>
      </c>
      <c r="AA1366" s="127"/>
      <c r="AB1366" s="127"/>
      <c r="AC1366" s="127"/>
      <c r="AD1366" s="127"/>
      <c r="AE1366" s="127"/>
      <c r="AF1366" s="127"/>
      <c r="AG1366" s="127"/>
      <c r="AH1366" s="127"/>
      <c r="AI1366" s="127" t="s">
        <v>482</v>
      </c>
      <c r="AJ1366" s="127"/>
      <c r="AK1366" s="127"/>
      <c r="AL1366" s="127"/>
      <c r="AM1366" s="642">
        <f t="shared" si="26"/>
        <v>854.93299999999999</v>
      </c>
      <c r="AO1366" s="289"/>
    </row>
    <row r="1367" spans="1:42" s="61" customFormat="1" ht="25.5" customHeight="1" x14ac:dyDescent="0.3">
      <c r="A1367" s="706"/>
      <c r="B1367" s="180" t="s">
        <v>361</v>
      </c>
      <c r="C1367" s="300"/>
      <c r="D1367" s="173"/>
      <c r="E1367" s="173"/>
      <c r="F1367" s="266"/>
      <c r="G1367" s="173"/>
      <c r="H1367" s="173"/>
      <c r="I1367" s="174"/>
      <c r="J1367" s="173"/>
      <c r="K1367" s="173"/>
      <c r="L1367" s="266"/>
      <c r="M1367" s="173"/>
      <c r="N1367" s="174"/>
      <c r="O1367" s="173"/>
      <c r="P1367" s="173"/>
      <c r="Q1367" s="173"/>
      <c r="R1367" s="173"/>
      <c r="S1367" s="173">
        <v>641</v>
      </c>
      <c r="T1367" s="327"/>
      <c r="U1367" s="300">
        <v>202.90899999999999</v>
      </c>
      <c r="V1367" s="173"/>
      <c r="W1367" s="173"/>
      <c r="X1367" s="173"/>
      <c r="Y1367" s="173"/>
      <c r="Z1367" s="173">
        <v>801.5</v>
      </c>
      <c r="AA1367" s="173"/>
      <c r="AB1367" s="173"/>
      <c r="AC1367" s="173"/>
      <c r="AD1367" s="173"/>
      <c r="AE1367" s="173"/>
      <c r="AF1367" s="173"/>
      <c r="AG1367" s="173"/>
      <c r="AH1367" s="173"/>
      <c r="AI1367" s="173" t="s">
        <v>482</v>
      </c>
      <c r="AJ1367" s="173"/>
      <c r="AK1367" s="173"/>
      <c r="AL1367" s="173"/>
      <c r="AM1367" s="643">
        <f t="shared" si="26"/>
        <v>1645.4090000000001</v>
      </c>
      <c r="AO1367" s="289"/>
      <c r="AP1367" s="97"/>
    </row>
    <row r="1368" spans="1:42" s="61" customFormat="1" ht="25.5" customHeight="1" x14ac:dyDescent="0.3">
      <c r="A1368" s="706"/>
      <c r="B1368" s="180" t="s">
        <v>362</v>
      </c>
      <c r="C1368" s="300"/>
      <c r="D1368" s="173"/>
      <c r="E1368" s="173"/>
      <c r="F1368" s="266"/>
      <c r="G1368" s="173"/>
      <c r="H1368" s="173"/>
      <c r="I1368" s="174"/>
      <c r="J1368" s="173"/>
      <c r="K1368" s="173"/>
      <c r="L1368" s="266"/>
      <c r="M1368" s="173"/>
      <c r="N1368" s="174"/>
      <c r="O1368" s="173"/>
      <c r="P1368" s="173"/>
      <c r="Q1368" s="173"/>
      <c r="R1368" s="173"/>
      <c r="S1368" s="173">
        <v>1225</v>
      </c>
      <c r="T1368" s="327"/>
      <c r="U1368" s="300">
        <v>227.72200000000001</v>
      </c>
      <c r="V1368" s="173"/>
      <c r="W1368" s="173"/>
      <c r="X1368" s="173"/>
      <c r="Y1368" s="173"/>
      <c r="Z1368" s="173"/>
      <c r="AA1368" s="173"/>
      <c r="AB1368" s="173"/>
      <c r="AC1368" s="173"/>
      <c r="AD1368" s="173"/>
      <c r="AE1368" s="173"/>
      <c r="AF1368" s="173"/>
      <c r="AG1368" s="173"/>
      <c r="AH1368" s="173"/>
      <c r="AI1368" s="173" t="s">
        <v>482</v>
      </c>
      <c r="AJ1368" s="173"/>
      <c r="AK1368" s="173"/>
      <c r="AL1368" s="173"/>
      <c r="AM1368" s="644">
        <f t="shared" si="26"/>
        <v>1452.722</v>
      </c>
      <c r="AO1368" s="289"/>
      <c r="AP1368" s="97"/>
    </row>
    <row r="1369" spans="1:42" s="61" customFormat="1" ht="22.5" customHeight="1" x14ac:dyDescent="0.3">
      <c r="A1369" s="706"/>
      <c r="B1369" s="115" t="s">
        <v>402</v>
      </c>
      <c r="C1369" s="142"/>
      <c r="D1369" s="111"/>
      <c r="E1369" s="111"/>
      <c r="F1369" s="267"/>
      <c r="G1369" s="111"/>
      <c r="H1369" s="111"/>
      <c r="I1369" s="125"/>
      <c r="J1369" s="111"/>
      <c r="K1369" s="111"/>
      <c r="L1369" s="267">
        <v>90</v>
      </c>
      <c r="M1369" s="111"/>
      <c r="N1369" s="125"/>
      <c r="O1369" s="111"/>
      <c r="P1369" s="111"/>
      <c r="Q1369" s="111"/>
      <c r="R1369" s="111"/>
      <c r="S1369" s="111"/>
      <c r="T1369" s="143">
        <v>0</v>
      </c>
      <c r="U1369" s="142"/>
      <c r="V1369" s="111"/>
      <c r="W1369" s="111">
        <v>7344</v>
      </c>
      <c r="X1369" s="111"/>
      <c r="Y1369" s="111"/>
      <c r="Z1369" s="111"/>
      <c r="AA1369" s="111"/>
      <c r="AB1369" s="111"/>
      <c r="AC1369" s="111"/>
      <c r="AD1369" s="111"/>
      <c r="AE1369" s="111"/>
      <c r="AF1369" s="111"/>
      <c r="AG1369" s="111"/>
      <c r="AH1369" s="111" t="s">
        <v>482</v>
      </c>
      <c r="AI1369" s="111" t="s">
        <v>482</v>
      </c>
      <c r="AJ1369" s="111"/>
      <c r="AK1369" s="111"/>
      <c r="AL1369" s="111"/>
      <c r="AM1369" s="645">
        <f t="shared" si="26"/>
        <v>7434</v>
      </c>
      <c r="AO1369" s="289"/>
    </row>
    <row r="1370" spans="1:42" s="61" customFormat="1" ht="21" customHeight="1" x14ac:dyDescent="0.3">
      <c r="A1370" s="707"/>
      <c r="B1370" s="181" t="s">
        <v>403</v>
      </c>
      <c r="C1370" s="144"/>
      <c r="D1370" s="112"/>
      <c r="E1370" s="112"/>
      <c r="F1370" s="268"/>
      <c r="G1370" s="112"/>
      <c r="H1370" s="112"/>
      <c r="I1370" s="126"/>
      <c r="J1370" s="112"/>
      <c r="K1370" s="112"/>
      <c r="L1370" s="268"/>
      <c r="M1370" s="112"/>
      <c r="N1370" s="126"/>
      <c r="O1370" s="112"/>
      <c r="P1370" s="112"/>
      <c r="Q1370" s="112"/>
      <c r="R1370" s="112"/>
      <c r="S1370" s="112">
        <v>15.390355</v>
      </c>
      <c r="T1370" s="145">
        <v>0</v>
      </c>
      <c r="U1370" s="144"/>
      <c r="V1370" s="112"/>
      <c r="W1370" s="112"/>
      <c r="X1370" s="112"/>
      <c r="Y1370" s="112"/>
      <c r="Z1370" s="112"/>
      <c r="AA1370" s="112"/>
      <c r="AB1370" s="112"/>
      <c r="AC1370" s="112"/>
      <c r="AD1370" s="112"/>
      <c r="AE1370" s="112"/>
      <c r="AF1370" s="112"/>
      <c r="AG1370" s="112"/>
      <c r="AH1370" s="112" t="s">
        <v>482</v>
      </c>
      <c r="AI1370" s="112" t="s">
        <v>482</v>
      </c>
      <c r="AJ1370" s="112"/>
      <c r="AK1370" s="112"/>
      <c r="AL1370" s="112"/>
      <c r="AM1370" s="646">
        <f t="shared" si="26"/>
        <v>15.390355</v>
      </c>
      <c r="AO1370" s="289"/>
    </row>
    <row r="1371" spans="1:42" s="61" customFormat="1" ht="21" customHeight="1" x14ac:dyDescent="0.3">
      <c r="A1371" s="705" t="s">
        <v>252</v>
      </c>
      <c r="B1371" s="179" t="s">
        <v>293</v>
      </c>
      <c r="C1371" s="135">
        <v>47</v>
      </c>
      <c r="D1371" s="136"/>
      <c r="E1371" s="136"/>
      <c r="F1371" s="262"/>
      <c r="G1371" s="136">
        <v>274</v>
      </c>
      <c r="H1371" s="136">
        <v>300</v>
      </c>
      <c r="I1371" s="326"/>
      <c r="J1371" s="136"/>
      <c r="K1371" s="136"/>
      <c r="L1371" s="262"/>
      <c r="M1371" s="136"/>
      <c r="N1371" s="326"/>
      <c r="O1371" s="136"/>
      <c r="P1371" s="136"/>
      <c r="Q1371" s="136"/>
      <c r="R1371" s="136"/>
      <c r="S1371" s="136">
        <v>300</v>
      </c>
      <c r="T1371" s="137">
        <v>15</v>
      </c>
      <c r="U1371" s="632"/>
      <c r="V1371" s="122"/>
      <c r="W1371" s="122"/>
      <c r="X1371" s="122"/>
      <c r="Y1371" s="122">
        <v>10</v>
      </c>
      <c r="Z1371" s="122">
        <v>168</v>
      </c>
      <c r="AA1371" s="122"/>
      <c r="AB1371" s="122"/>
      <c r="AC1371" s="122"/>
      <c r="AD1371" s="122"/>
      <c r="AE1371" s="122"/>
      <c r="AF1371" s="122"/>
      <c r="AG1371" s="122">
        <v>0.19500000000000001</v>
      </c>
      <c r="AH1371" s="122">
        <v>20</v>
      </c>
      <c r="AI1371" s="122">
        <v>30</v>
      </c>
      <c r="AJ1371" s="122"/>
      <c r="AK1371" s="122">
        <v>12.56</v>
      </c>
      <c r="AL1371" s="122"/>
      <c r="AM1371" s="639">
        <f t="shared" si="26"/>
        <v>1176.7549999999999</v>
      </c>
      <c r="AO1371" s="289"/>
    </row>
    <row r="1372" spans="1:42" s="61" customFormat="1" ht="19.5" customHeight="1" x14ac:dyDescent="0.3">
      <c r="A1372" s="706"/>
      <c r="B1372" s="116" t="s">
        <v>294</v>
      </c>
      <c r="C1372" s="138">
        <v>22</v>
      </c>
      <c r="D1372" s="109"/>
      <c r="E1372" s="109"/>
      <c r="F1372" s="263"/>
      <c r="G1372" s="109">
        <v>281</v>
      </c>
      <c r="H1372" s="109">
        <v>127</v>
      </c>
      <c r="I1372" s="123"/>
      <c r="J1372" s="109"/>
      <c r="K1372" s="109"/>
      <c r="L1372" s="263"/>
      <c r="M1372" s="109"/>
      <c r="N1372" s="123"/>
      <c r="O1372" s="109"/>
      <c r="P1372" s="109"/>
      <c r="Q1372" s="109"/>
      <c r="R1372" s="109"/>
      <c r="S1372" s="109">
        <v>300</v>
      </c>
      <c r="T1372" s="139">
        <v>15</v>
      </c>
      <c r="U1372" s="138"/>
      <c r="V1372" s="109"/>
      <c r="W1372" s="109"/>
      <c r="X1372" s="109"/>
      <c r="Y1372" s="109">
        <v>10</v>
      </c>
      <c r="Z1372" s="109">
        <v>97</v>
      </c>
      <c r="AA1372" s="109"/>
      <c r="AB1372" s="109"/>
      <c r="AC1372" s="109">
        <v>10</v>
      </c>
      <c r="AD1372" s="109"/>
      <c r="AE1372" s="109"/>
      <c r="AF1372" s="109"/>
      <c r="AG1372" s="109">
        <v>6.8</v>
      </c>
      <c r="AH1372" s="109"/>
      <c r="AI1372" s="109" t="s">
        <v>482</v>
      </c>
      <c r="AJ1372" s="109"/>
      <c r="AK1372" s="109">
        <v>12</v>
      </c>
      <c r="AL1372" s="109"/>
      <c r="AM1372" s="640">
        <f t="shared" si="26"/>
        <v>880.8</v>
      </c>
      <c r="AO1372" s="289"/>
    </row>
    <row r="1373" spans="1:42" s="61" customFormat="1" ht="22.5" customHeight="1" x14ac:dyDescent="0.3">
      <c r="A1373" s="706"/>
      <c r="B1373" s="117" t="s">
        <v>326</v>
      </c>
      <c r="C1373" s="140">
        <v>131.98500000000001</v>
      </c>
      <c r="D1373" s="110"/>
      <c r="E1373" s="110"/>
      <c r="F1373" s="264"/>
      <c r="G1373" s="110">
        <v>280</v>
      </c>
      <c r="H1373" s="110">
        <v>124</v>
      </c>
      <c r="I1373" s="124"/>
      <c r="J1373" s="110"/>
      <c r="K1373" s="110"/>
      <c r="L1373" s="264"/>
      <c r="M1373" s="110"/>
      <c r="N1373" s="124"/>
      <c r="O1373" s="110"/>
      <c r="P1373" s="110"/>
      <c r="Q1373" s="110"/>
      <c r="R1373" s="110"/>
      <c r="S1373" s="110">
        <v>40</v>
      </c>
      <c r="T1373" s="141"/>
      <c r="U1373" s="140"/>
      <c r="V1373" s="110"/>
      <c r="W1373" s="110"/>
      <c r="X1373" s="110"/>
      <c r="Y1373" s="110">
        <v>10</v>
      </c>
      <c r="Z1373" s="110">
        <v>104</v>
      </c>
      <c r="AA1373" s="110"/>
      <c r="AB1373" s="110"/>
      <c r="AC1373" s="110">
        <v>5</v>
      </c>
      <c r="AD1373" s="110"/>
      <c r="AE1373" s="110"/>
      <c r="AF1373" s="110"/>
      <c r="AG1373" s="110"/>
      <c r="AH1373" s="110">
        <v>20</v>
      </c>
      <c r="AI1373" s="110">
        <v>97</v>
      </c>
      <c r="AJ1373" s="110"/>
      <c r="AK1373" s="110">
        <v>13</v>
      </c>
      <c r="AL1373" s="110"/>
      <c r="AM1373" s="641">
        <f t="shared" si="26"/>
        <v>824.98500000000001</v>
      </c>
      <c r="AO1373" s="289"/>
      <c r="AP1373" s="97"/>
    </row>
    <row r="1374" spans="1:42" s="61" customFormat="1" ht="25.5" customHeight="1" x14ac:dyDescent="0.3">
      <c r="A1374" s="706"/>
      <c r="B1374" s="175" t="s">
        <v>327</v>
      </c>
      <c r="C1374" s="176">
        <v>82</v>
      </c>
      <c r="D1374" s="127"/>
      <c r="E1374" s="127"/>
      <c r="F1374" s="265"/>
      <c r="G1374" s="127">
        <v>290</v>
      </c>
      <c r="H1374" s="127">
        <v>319</v>
      </c>
      <c r="I1374" s="178"/>
      <c r="J1374" s="127"/>
      <c r="K1374" s="127"/>
      <c r="L1374" s="265"/>
      <c r="M1374" s="127"/>
      <c r="N1374" s="178"/>
      <c r="O1374" s="127"/>
      <c r="P1374" s="127"/>
      <c r="Q1374" s="127">
        <v>20</v>
      </c>
      <c r="R1374" s="127"/>
      <c r="S1374" s="127">
        <v>50</v>
      </c>
      <c r="T1374" s="177"/>
      <c r="U1374" s="176"/>
      <c r="V1374" s="127"/>
      <c r="W1374" s="127"/>
      <c r="X1374" s="127"/>
      <c r="Y1374" s="127">
        <v>10</v>
      </c>
      <c r="Z1374" s="127">
        <v>108</v>
      </c>
      <c r="AA1374" s="127"/>
      <c r="AB1374" s="127"/>
      <c r="AC1374" s="127">
        <v>5</v>
      </c>
      <c r="AD1374" s="127"/>
      <c r="AE1374" s="127"/>
      <c r="AF1374" s="127"/>
      <c r="AG1374" s="127"/>
      <c r="AH1374" s="127">
        <v>15</v>
      </c>
      <c r="AI1374" s="127" t="s">
        <v>482</v>
      </c>
      <c r="AJ1374" s="127"/>
      <c r="AK1374" s="127">
        <v>11</v>
      </c>
      <c r="AL1374" s="127"/>
      <c r="AM1374" s="642">
        <f t="shared" si="26"/>
        <v>910</v>
      </c>
      <c r="AO1374" s="289"/>
    </row>
    <row r="1375" spans="1:42" s="61" customFormat="1" ht="25.5" customHeight="1" x14ac:dyDescent="0.3">
      <c r="A1375" s="706"/>
      <c r="B1375" s="180" t="s">
        <v>361</v>
      </c>
      <c r="C1375" s="300">
        <v>112</v>
      </c>
      <c r="D1375" s="173"/>
      <c r="E1375" s="173"/>
      <c r="F1375" s="266"/>
      <c r="G1375" s="173">
        <v>290</v>
      </c>
      <c r="H1375" s="173">
        <v>171</v>
      </c>
      <c r="I1375" s="174"/>
      <c r="J1375" s="173"/>
      <c r="K1375" s="173"/>
      <c r="L1375" s="266"/>
      <c r="M1375" s="173"/>
      <c r="N1375" s="174"/>
      <c r="O1375" s="173"/>
      <c r="P1375" s="173"/>
      <c r="Q1375" s="173"/>
      <c r="R1375" s="173"/>
      <c r="S1375" s="173">
        <v>52</v>
      </c>
      <c r="T1375" s="327"/>
      <c r="U1375" s="300"/>
      <c r="V1375" s="173"/>
      <c r="W1375" s="173"/>
      <c r="X1375" s="173"/>
      <c r="Y1375" s="173">
        <v>10</v>
      </c>
      <c r="Z1375" s="173">
        <v>101.69024</v>
      </c>
      <c r="AA1375" s="173"/>
      <c r="AB1375" s="173"/>
      <c r="AC1375" s="173">
        <v>5</v>
      </c>
      <c r="AD1375" s="173"/>
      <c r="AE1375" s="173"/>
      <c r="AF1375" s="173"/>
      <c r="AG1375" s="173"/>
      <c r="AH1375" s="173">
        <v>50</v>
      </c>
      <c r="AI1375" s="173">
        <v>48</v>
      </c>
      <c r="AJ1375" s="173"/>
      <c r="AK1375" s="173">
        <v>13</v>
      </c>
      <c r="AL1375" s="173"/>
      <c r="AM1375" s="643">
        <f t="shared" si="26"/>
        <v>852.69024000000002</v>
      </c>
      <c r="AO1375" s="289"/>
      <c r="AP1375" s="97"/>
    </row>
    <row r="1376" spans="1:42" s="61" customFormat="1" ht="25.5" customHeight="1" x14ac:dyDescent="0.3">
      <c r="A1376" s="706"/>
      <c r="B1376" s="180" t="s">
        <v>362</v>
      </c>
      <c r="C1376" s="300">
        <v>82</v>
      </c>
      <c r="D1376" s="173"/>
      <c r="E1376" s="173"/>
      <c r="F1376" s="266"/>
      <c r="G1376" s="173">
        <v>299</v>
      </c>
      <c r="H1376" s="173">
        <f>32+98</f>
        <v>130</v>
      </c>
      <c r="I1376" s="174"/>
      <c r="J1376" s="173"/>
      <c r="K1376" s="173"/>
      <c r="L1376" s="266"/>
      <c r="M1376" s="173"/>
      <c r="N1376" s="174"/>
      <c r="O1376" s="173"/>
      <c r="P1376" s="173"/>
      <c r="Q1376" s="173"/>
      <c r="R1376" s="173"/>
      <c r="S1376" s="173">
        <v>50</v>
      </c>
      <c r="T1376" s="327">
        <v>68</v>
      </c>
      <c r="U1376" s="300"/>
      <c r="V1376" s="173"/>
      <c r="W1376" s="173"/>
      <c r="X1376" s="173"/>
      <c r="Y1376" s="173">
        <v>10</v>
      </c>
      <c r="Z1376" s="173">
        <v>50</v>
      </c>
      <c r="AA1376" s="173"/>
      <c r="AB1376" s="173"/>
      <c r="AC1376" s="173">
        <f>10-5</f>
        <v>5</v>
      </c>
      <c r="AD1376" s="173"/>
      <c r="AE1376" s="173"/>
      <c r="AF1376" s="173"/>
      <c r="AG1376" s="173"/>
      <c r="AH1376" s="173">
        <v>50</v>
      </c>
      <c r="AI1376" s="173">
        <v>440</v>
      </c>
      <c r="AJ1376" s="173"/>
      <c r="AK1376" s="173"/>
      <c r="AL1376" s="173"/>
      <c r="AM1376" s="644">
        <f t="shared" si="26"/>
        <v>1184</v>
      </c>
      <c r="AO1376" s="289"/>
      <c r="AP1376" s="97"/>
    </row>
    <row r="1377" spans="1:42" s="61" customFormat="1" ht="22.5" customHeight="1" x14ac:dyDescent="0.3">
      <c r="A1377" s="706"/>
      <c r="B1377" s="115" t="s">
        <v>402</v>
      </c>
      <c r="C1377" s="142">
        <v>751.25359000000003</v>
      </c>
      <c r="D1377" s="111"/>
      <c r="E1377" s="111"/>
      <c r="F1377" s="267"/>
      <c r="G1377" s="111"/>
      <c r="H1377" s="111">
        <v>172</v>
      </c>
      <c r="I1377" s="125"/>
      <c r="J1377" s="111"/>
      <c r="K1377" s="111"/>
      <c r="L1377" s="267"/>
      <c r="M1377" s="111"/>
      <c r="N1377" s="125"/>
      <c r="O1377" s="111"/>
      <c r="P1377" s="111"/>
      <c r="Q1377" s="111"/>
      <c r="R1377" s="111"/>
      <c r="S1377" s="111">
        <v>1</v>
      </c>
      <c r="T1377" s="143"/>
      <c r="U1377" s="142"/>
      <c r="V1377" s="111"/>
      <c r="W1377" s="111"/>
      <c r="X1377" s="111"/>
      <c r="Y1377" s="111">
        <v>10</v>
      </c>
      <c r="Z1377" s="111"/>
      <c r="AA1377" s="111"/>
      <c r="AB1377" s="111"/>
      <c r="AC1377" s="111">
        <v>5</v>
      </c>
      <c r="AD1377" s="111"/>
      <c r="AE1377" s="111"/>
      <c r="AF1377" s="111"/>
      <c r="AG1377" s="111"/>
      <c r="AH1377" s="111">
        <v>2.1259999999999999</v>
      </c>
      <c r="AI1377" s="111">
        <v>308</v>
      </c>
      <c r="AJ1377" s="111"/>
      <c r="AK1377" s="111">
        <f>25.65/1.097</f>
        <v>23.381950774840472</v>
      </c>
      <c r="AL1377" s="111"/>
      <c r="AM1377" s="645">
        <f t="shared" si="26"/>
        <v>1272.7615407748406</v>
      </c>
      <c r="AO1377" s="289"/>
    </row>
    <row r="1378" spans="1:42" s="61" customFormat="1" ht="21" customHeight="1" x14ac:dyDescent="0.3">
      <c r="A1378" s="707"/>
      <c r="B1378" s="181" t="s">
        <v>403</v>
      </c>
      <c r="C1378" s="144">
        <v>87</v>
      </c>
      <c r="D1378" s="112"/>
      <c r="E1378" s="112"/>
      <c r="F1378" s="268"/>
      <c r="G1378" s="112"/>
      <c r="H1378" s="112">
        <v>109</v>
      </c>
      <c r="I1378" s="126"/>
      <c r="J1378" s="112"/>
      <c r="K1378" s="112"/>
      <c r="L1378" s="268"/>
      <c r="M1378" s="112"/>
      <c r="N1378" s="126"/>
      <c r="O1378" s="112"/>
      <c r="P1378" s="112"/>
      <c r="Q1378" s="112"/>
      <c r="R1378" s="112"/>
      <c r="S1378" s="112">
        <v>-0.59168399999999999</v>
      </c>
      <c r="T1378" s="145"/>
      <c r="U1378" s="144">
        <v>40</v>
      </c>
      <c r="V1378" s="112"/>
      <c r="W1378" s="112"/>
      <c r="X1378" s="112"/>
      <c r="Y1378" s="112">
        <v>10</v>
      </c>
      <c r="Z1378" s="112">
        <v>30</v>
      </c>
      <c r="AA1378" s="112"/>
      <c r="AB1378" s="112"/>
      <c r="AC1378" s="112">
        <v>5</v>
      </c>
      <c r="AD1378" s="112"/>
      <c r="AE1378" s="112"/>
      <c r="AF1378" s="112"/>
      <c r="AG1378" s="112"/>
      <c r="AH1378" s="112">
        <v>30</v>
      </c>
      <c r="AI1378" s="112">
        <v>309</v>
      </c>
      <c r="AJ1378" s="112"/>
      <c r="AK1378" s="112">
        <f>13.082/1.001</f>
        <v>13.068931068931072</v>
      </c>
      <c r="AL1378" s="112"/>
      <c r="AM1378" s="646">
        <f t="shared" si="26"/>
        <v>632.47724706893109</v>
      </c>
      <c r="AO1378" s="289"/>
    </row>
    <row r="1379" spans="1:42" s="61" customFormat="1" ht="21" customHeight="1" x14ac:dyDescent="0.3">
      <c r="A1379" s="705" t="s">
        <v>306</v>
      </c>
      <c r="B1379" s="179" t="s">
        <v>293</v>
      </c>
      <c r="C1379" s="135">
        <v>30.5</v>
      </c>
      <c r="D1379" s="136"/>
      <c r="E1379" s="136"/>
      <c r="F1379" s="262"/>
      <c r="G1379" s="136">
        <v>301</v>
      </c>
      <c r="H1379" s="136"/>
      <c r="I1379" s="326"/>
      <c r="J1379" s="136"/>
      <c r="K1379" s="136"/>
      <c r="L1379" s="262"/>
      <c r="M1379" s="136"/>
      <c r="N1379" s="326">
        <v>13</v>
      </c>
      <c r="O1379" s="136"/>
      <c r="P1379" s="136"/>
      <c r="Q1379" s="136"/>
      <c r="R1379" s="136"/>
      <c r="S1379" s="136"/>
      <c r="T1379" s="137">
        <v>10</v>
      </c>
      <c r="U1379" s="632">
        <v>1.552</v>
      </c>
      <c r="V1379" s="122"/>
      <c r="W1379" s="122"/>
      <c r="X1379" s="122"/>
      <c r="Y1379" s="122"/>
      <c r="Z1379" s="122">
        <v>153</v>
      </c>
      <c r="AA1379" s="122">
        <v>183.10807</v>
      </c>
      <c r="AB1379" s="122"/>
      <c r="AC1379" s="122">
        <v>28.802</v>
      </c>
      <c r="AD1379" s="122"/>
      <c r="AE1379" s="122"/>
      <c r="AF1379" s="122"/>
      <c r="AG1379" s="122">
        <v>1.63</v>
      </c>
      <c r="AH1379" s="122">
        <v>15</v>
      </c>
      <c r="AI1379" s="122" t="s">
        <v>482</v>
      </c>
      <c r="AJ1379" s="122"/>
      <c r="AK1379" s="122"/>
      <c r="AL1379" s="122"/>
      <c r="AM1379" s="639">
        <f t="shared" si="26"/>
        <v>737.59207000000004</v>
      </c>
      <c r="AO1379" s="289"/>
    </row>
    <row r="1380" spans="1:42" s="61" customFormat="1" ht="19.5" customHeight="1" x14ac:dyDescent="0.3">
      <c r="A1380" s="706"/>
      <c r="B1380" s="116" t="s">
        <v>294</v>
      </c>
      <c r="C1380" s="138">
        <v>32.9</v>
      </c>
      <c r="D1380" s="109"/>
      <c r="E1380" s="109"/>
      <c r="F1380" s="263"/>
      <c r="G1380" s="109">
        <v>241</v>
      </c>
      <c r="H1380" s="109"/>
      <c r="I1380" s="123"/>
      <c r="J1380" s="109"/>
      <c r="K1380" s="109"/>
      <c r="L1380" s="263"/>
      <c r="M1380" s="109"/>
      <c r="N1380" s="123">
        <v>65.171999999999997</v>
      </c>
      <c r="O1380" s="109"/>
      <c r="P1380" s="109"/>
      <c r="Q1380" s="109"/>
      <c r="R1380" s="109"/>
      <c r="S1380" s="109"/>
      <c r="T1380" s="139">
        <v>19.8</v>
      </c>
      <c r="U1380" s="138">
        <v>1.5389999999999999</v>
      </c>
      <c r="V1380" s="109"/>
      <c r="W1380" s="109"/>
      <c r="X1380" s="109"/>
      <c r="Y1380" s="109">
        <v>12</v>
      </c>
      <c r="Z1380" s="109">
        <v>157</v>
      </c>
      <c r="AA1380" s="109">
        <v>1.76831</v>
      </c>
      <c r="AB1380" s="109"/>
      <c r="AC1380" s="109"/>
      <c r="AD1380" s="109"/>
      <c r="AE1380" s="109"/>
      <c r="AF1380" s="109"/>
      <c r="AG1380" s="109">
        <v>1.5</v>
      </c>
      <c r="AH1380" s="109">
        <v>696.63</v>
      </c>
      <c r="AI1380" s="109" t="s">
        <v>482</v>
      </c>
      <c r="AJ1380" s="109"/>
      <c r="AK1380" s="109">
        <v>1.18</v>
      </c>
      <c r="AL1380" s="109"/>
      <c r="AM1380" s="640">
        <f t="shared" si="26"/>
        <v>1230.4893100000002</v>
      </c>
      <c r="AO1380" s="289"/>
    </row>
    <row r="1381" spans="1:42" s="61" customFormat="1" ht="22.5" customHeight="1" x14ac:dyDescent="0.3">
      <c r="A1381" s="706"/>
      <c r="B1381" s="117" t="s">
        <v>326</v>
      </c>
      <c r="C1381" s="140">
        <v>266.142</v>
      </c>
      <c r="D1381" s="110"/>
      <c r="E1381" s="110"/>
      <c r="F1381" s="264"/>
      <c r="G1381" s="110">
        <v>306</v>
      </c>
      <c r="H1381" s="110"/>
      <c r="I1381" s="124"/>
      <c r="J1381" s="110"/>
      <c r="K1381" s="110"/>
      <c r="L1381" s="264"/>
      <c r="M1381" s="110"/>
      <c r="N1381" s="124">
        <v>149.11000000000001</v>
      </c>
      <c r="O1381" s="110"/>
      <c r="P1381" s="110"/>
      <c r="Q1381" s="110"/>
      <c r="R1381" s="110"/>
      <c r="S1381" s="110">
        <v>3177</v>
      </c>
      <c r="T1381" s="141"/>
      <c r="U1381" s="140">
        <v>1.556</v>
      </c>
      <c r="V1381" s="110"/>
      <c r="W1381" s="110"/>
      <c r="X1381" s="110"/>
      <c r="Y1381" s="110">
        <v>12</v>
      </c>
      <c r="Z1381" s="110">
        <v>248</v>
      </c>
      <c r="AA1381" s="110"/>
      <c r="AB1381" s="110"/>
      <c r="AC1381" s="110"/>
      <c r="AD1381" s="110"/>
      <c r="AE1381" s="110"/>
      <c r="AF1381" s="110"/>
      <c r="AG1381" s="110"/>
      <c r="AH1381" s="110">
        <v>24.76014</v>
      </c>
      <c r="AI1381" s="110" t="s">
        <v>482</v>
      </c>
      <c r="AJ1381" s="110"/>
      <c r="AK1381" s="110"/>
      <c r="AL1381" s="110"/>
      <c r="AM1381" s="641">
        <f t="shared" si="26"/>
        <v>4184.5681400000003</v>
      </c>
      <c r="AO1381" s="289"/>
      <c r="AP1381" s="97"/>
    </row>
    <row r="1382" spans="1:42" s="61" customFormat="1" ht="25.5" customHeight="1" x14ac:dyDescent="0.3">
      <c r="A1382" s="706"/>
      <c r="B1382" s="175" t="s">
        <v>327</v>
      </c>
      <c r="C1382" s="176">
        <v>271.779</v>
      </c>
      <c r="D1382" s="127"/>
      <c r="E1382" s="127"/>
      <c r="F1382" s="265"/>
      <c r="G1382" s="127">
        <v>538</v>
      </c>
      <c r="H1382" s="127"/>
      <c r="I1382" s="178"/>
      <c r="J1382" s="127"/>
      <c r="K1382" s="127"/>
      <c r="L1382" s="265"/>
      <c r="M1382" s="127"/>
      <c r="N1382" s="178">
        <v>45.241</v>
      </c>
      <c r="O1382" s="127"/>
      <c r="P1382" s="127"/>
      <c r="Q1382" s="127"/>
      <c r="R1382" s="127"/>
      <c r="S1382" s="127">
        <v>4372</v>
      </c>
      <c r="T1382" s="177"/>
      <c r="U1382" s="176">
        <v>1.556</v>
      </c>
      <c r="V1382" s="127"/>
      <c r="W1382" s="127"/>
      <c r="X1382" s="127"/>
      <c r="Y1382" s="127">
        <v>12</v>
      </c>
      <c r="Z1382" s="127">
        <v>638</v>
      </c>
      <c r="AA1382" s="127">
        <v>140.95451</v>
      </c>
      <c r="AB1382" s="127"/>
      <c r="AC1382" s="127"/>
      <c r="AD1382" s="127"/>
      <c r="AE1382" s="127"/>
      <c r="AF1382" s="127"/>
      <c r="AG1382" s="127">
        <v>1</v>
      </c>
      <c r="AH1382" s="127">
        <v>30</v>
      </c>
      <c r="AI1382" s="127">
        <v>124</v>
      </c>
      <c r="AJ1382" s="127"/>
      <c r="AK1382" s="127"/>
      <c r="AL1382" s="127"/>
      <c r="AM1382" s="642">
        <f t="shared" si="26"/>
        <v>6174.5305099999996</v>
      </c>
      <c r="AO1382" s="289"/>
    </row>
    <row r="1383" spans="1:42" s="61" customFormat="1" ht="25.5" customHeight="1" x14ac:dyDescent="0.3">
      <c r="A1383" s="706"/>
      <c r="B1383" s="180" t="s">
        <v>361</v>
      </c>
      <c r="C1383" s="300">
        <v>39.823610000000002</v>
      </c>
      <c r="D1383" s="173"/>
      <c r="E1383" s="173"/>
      <c r="F1383" s="266"/>
      <c r="G1383" s="173">
        <v>38</v>
      </c>
      <c r="H1383" s="173"/>
      <c r="I1383" s="174"/>
      <c r="J1383" s="173"/>
      <c r="K1383" s="173"/>
      <c r="L1383" s="266"/>
      <c r="M1383" s="173"/>
      <c r="N1383" s="174">
        <v>550.30600000000004</v>
      </c>
      <c r="O1383" s="173"/>
      <c r="P1383" s="173"/>
      <c r="Q1383" s="173"/>
      <c r="R1383" s="173"/>
      <c r="S1383" s="173">
        <v>3744</v>
      </c>
      <c r="T1383" s="327">
        <v>25</v>
      </c>
      <c r="U1383" s="300">
        <v>2.37</v>
      </c>
      <c r="V1383" s="173">
        <f>4000/1000</f>
        <v>4</v>
      </c>
      <c r="W1383" s="173"/>
      <c r="X1383" s="173"/>
      <c r="Y1383" s="173">
        <v>17</v>
      </c>
      <c r="Z1383" s="173">
        <v>204.81896</v>
      </c>
      <c r="AA1383" s="173"/>
      <c r="AB1383" s="173"/>
      <c r="AC1383" s="173"/>
      <c r="AD1383" s="173"/>
      <c r="AE1383" s="173"/>
      <c r="AF1383" s="173"/>
      <c r="AG1383" s="173"/>
      <c r="AH1383" s="173">
        <v>77</v>
      </c>
      <c r="AI1383" s="173">
        <v>3</v>
      </c>
      <c r="AJ1383" s="173"/>
      <c r="AK1383" s="173"/>
      <c r="AL1383" s="173"/>
      <c r="AM1383" s="643">
        <f t="shared" si="26"/>
        <v>4705.3185699999995</v>
      </c>
      <c r="AO1383" s="289"/>
      <c r="AP1383" s="97"/>
    </row>
    <row r="1384" spans="1:42" s="61" customFormat="1" ht="25.5" customHeight="1" x14ac:dyDescent="0.3">
      <c r="A1384" s="706"/>
      <c r="B1384" s="180" t="s">
        <v>362</v>
      </c>
      <c r="C1384" s="300">
        <v>3.5733899999999998</v>
      </c>
      <c r="D1384" s="173"/>
      <c r="E1384" s="173"/>
      <c r="F1384" s="266"/>
      <c r="G1384" s="173">
        <f>39+370</f>
        <v>409</v>
      </c>
      <c r="H1384" s="173"/>
      <c r="I1384" s="174"/>
      <c r="J1384" s="173"/>
      <c r="K1384" s="173"/>
      <c r="L1384" s="266"/>
      <c r="M1384" s="173"/>
      <c r="N1384" s="174">
        <v>579.27700000000004</v>
      </c>
      <c r="O1384" s="173"/>
      <c r="P1384" s="173"/>
      <c r="Q1384" s="173"/>
      <c r="R1384" s="173"/>
      <c r="S1384" s="173">
        <v>40</v>
      </c>
      <c r="T1384" s="327">
        <v>29.1</v>
      </c>
      <c r="U1384" s="300">
        <v>3.8439999999999999</v>
      </c>
      <c r="V1384" s="173">
        <f>(11253/1000)-V1383</f>
        <v>7.2530000000000001</v>
      </c>
      <c r="W1384" s="173"/>
      <c r="X1384" s="173"/>
      <c r="Y1384" s="173">
        <v>13</v>
      </c>
      <c r="Z1384" s="173">
        <v>411.80955999999998</v>
      </c>
      <c r="AA1384" s="173">
        <v>21.35446</v>
      </c>
      <c r="AB1384" s="173"/>
      <c r="AC1384" s="173"/>
      <c r="AD1384" s="173"/>
      <c r="AE1384" s="173"/>
      <c r="AF1384" s="173"/>
      <c r="AG1384" s="173"/>
      <c r="AH1384" s="173">
        <v>15</v>
      </c>
      <c r="AI1384" s="173">
        <v>4</v>
      </c>
      <c r="AJ1384" s="173"/>
      <c r="AK1384" s="173"/>
      <c r="AL1384" s="173"/>
      <c r="AM1384" s="644">
        <f t="shared" si="26"/>
        <v>1537.2114099999999</v>
      </c>
      <c r="AO1384" s="289"/>
      <c r="AP1384" s="97"/>
    </row>
    <row r="1385" spans="1:42" s="61" customFormat="1" ht="22.5" customHeight="1" x14ac:dyDescent="0.3">
      <c r="A1385" s="706"/>
      <c r="B1385" s="115" t="s">
        <v>402</v>
      </c>
      <c r="C1385" s="142">
        <v>50.098799999999997</v>
      </c>
      <c r="D1385" s="111"/>
      <c r="E1385" s="111"/>
      <c r="F1385" s="267"/>
      <c r="G1385" s="111"/>
      <c r="H1385" s="111">
        <v>5</v>
      </c>
      <c r="I1385" s="125"/>
      <c r="J1385" s="111"/>
      <c r="K1385" s="111"/>
      <c r="L1385" s="267"/>
      <c r="M1385" s="111"/>
      <c r="N1385" s="125"/>
      <c r="O1385" s="111"/>
      <c r="P1385" s="111"/>
      <c r="Q1385" s="111"/>
      <c r="R1385" s="111"/>
      <c r="S1385" s="111">
        <v>75.099649999999997</v>
      </c>
      <c r="T1385" s="143">
        <v>33.81</v>
      </c>
      <c r="U1385" s="142">
        <v>3.976</v>
      </c>
      <c r="V1385" s="111">
        <f>13780/1000</f>
        <v>13.78</v>
      </c>
      <c r="W1385" s="111"/>
      <c r="X1385" s="111"/>
      <c r="Y1385" s="111">
        <v>14.577</v>
      </c>
      <c r="Z1385" s="111">
        <v>254</v>
      </c>
      <c r="AA1385" s="111"/>
      <c r="AB1385" s="111"/>
      <c r="AC1385" s="111"/>
      <c r="AD1385" s="111">
        <v>0</v>
      </c>
      <c r="AE1385" s="111"/>
      <c r="AF1385" s="111"/>
      <c r="AG1385" s="111"/>
      <c r="AH1385" s="111">
        <v>71.995000000000005</v>
      </c>
      <c r="AI1385" s="111" t="s">
        <v>482</v>
      </c>
      <c r="AJ1385" s="111"/>
      <c r="AK1385" s="111"/>
      <c r="AL1385" s="111">
        <v>53.571428571428562</v>
      </c>
      <c r="AM1385" s="645">
        <f t="shared" si="26"/>
        <v>575.90787857142857</v>
      </c>
      <c r="AO1385" s="289"/>
    </row>
    <row r="1386" spans="1:42" s="61" customFormat="1" ht="21" customHeight="1" x14ac:dyDescent="0.3">
      <c r="A1386" s="707"/>
      <c r="B1386" s="181" t="s">
        <v>403</v>
      </c>
      <c r="C1386" s="144">
        <v>77.396789999999996</v>
      </c>
      <c r="D1386" s="112"/>
      <c r="E1386" s="112"/>
      <c r="F1386" s="268"/>
      <c r="G1386" s="112">
        <v>-335</v>
      </c>
      <c r="H1386" s="112"/>
      <c r="I1386" s="126"/>
      <c r="J1386" s="112"/>
      <c r="K1386" s="112"/>
      <c r="L1386" s="268"/>
      <c r="M1386" s="112"/>
      <c r="N1386" s="126"/>
      <c r="O1386" s="112"/>
      <c r="P1386" s="112"/>
      <c r="Q1386" s="112"/>
      <c r="R1386" s="112"/>
      <c r="S1386" s="112">
        <v>1188.1226399999998</v>
      </c>
      <c r="T1386" s="145">
        <v>29.99</v>
      </c>
      <c r="U1386" s="144">
        <v>3.976</v>
      </c>
      <c r="V1386" s="112">
        <f>(27560)/1000-V1385</f>
        <v>13.78</v>
      </c>
      <c r="W1386" s="112"/>
      <c r="X1386" s="112"/>
      <c r="Y1386" s="112">
        <v>14.305999999999999</v>
      </c>
      <c r="Z1386" s="112">
        <v>179</v>
      </c>
      <c r="AA1386" s="112">
        <v>27</v>
      </c>
      <c r="AB1386" s="112"/>
      <c r="AC1386" s="112"/>
      <c r="AD1386" s="112">
        <v>96</v>
      </c>
      <c r="AE1386" s="112"/>
      <c r="AF1386" s="112"/>
      <c r="AG1386" s="112"/>
      <c r="AH1386" s="112">
        <v>29.792999999999999</v>
      </c>
      <c r="AI1386" s="112" t="s">
        <v>482</v>
      </c>
      <c r="AJ1386" s="112"/>
      <c r="AK1386" s="112"/>
      <c r="AL1386" s="112"/>
      <c r="AM1386" s="646">
        <f t="shared" si="26"/>
        <v>1324.3644299999999</v>
      </c>
      <c r="AO1386" s="289"/>
    </row>
    <row r="1387" spans="1:42" s="61" customFormat="1" ht="21" customHeight="1" x14ac:dyDescent="0.3">
      <c r="A1387" s="705" t="s">
        <v>253</v>
      </c>
      <c r="B1387" s="179" t="s">
        <v>293</v>
      </c>
      <c r="C1387" s="135">
        <v>26.95</v>
      </c>
      <c r="D1387" s="136"/>
      <c r="E1387" s="136"/>
      <c r="F1387" s="262"/>
      <c r="G1387" s="136">
        <v>56</v>
      </c>
      <c r="H1387" s="136"/>
      <c r="I1387" s="326"/>
      <c r="J1387" s="136"/>
      <c r="K1387" s="136"/>
      <c r="L1387" s="262"/>
      <c r="M1387" s="136"/>
      <c r="N1387" s="326"/>
      <c r="O1387" s="136"/>
      <c r="P1387" s="136"/>
      <c r="Q1387" s="136"/>
      <c r="R1387" s="136"/>
      <c r="S1387" s="136">
        <v>2.5</v>
      </c>
      <c r="T1387" s="137"/>
      <c r="U1387" s="632">
        <v>2.9119999999999999</v>
      </c>
      <c r="V1387" s="122"/>
      <c r="W1387" s="122"/>
      <c r="X1387" s="122"/>
      <c r="Y1387" s="122"/>
      <c r="Z1387" s="122">
        <v>1142</v>
      </c>
      <c r="AA1387" s="122"/>
      <c r="AB1387" s="122"/>
      <c r="AC1387" s="122"/>
      <c r="AD1387" s="122"/>
      <c r="AE1387" s="122"/>
      <c r="AF1387" s="122"/>
      <c r="AG1387" s="122"/>
      <c r="AH1387" s="122">
        <v>33.5</v>
      </c>
      <c r="AI1387" s="122" t="s">
        <v>482</v>
      </c>
      <c r="AJ1387" s="122"/>
      <c r="AK1387" s="122"/>
      <c r="AL1387" s="122"/>
      <c r="AM1387" s="639">
        <f t="shared" si="26"/>
        <v>1263.8620000000001</v>
      </c>
      <c r="AO1387" s="289"/>
    </row>
    <row r="1388" spans="1:42" s="61" customFormat="1" ht="19.5" customHeight="1" x14ac:dyDescent="0.3">
      <c r="A1388" s="706"/>
      <c r="B1388" s="116" t="s">
        <v>294</v>
      </c>
      <c r="C1388" s="138">
        <v>16.975000000000001</v>
      </c>
      <c r="D1388" s="109"/>
      <c r="E1388" s="109"/>
      <c r="F1388" s="263"/>
      <c r="G1388" s="109">
        <f>73</f>
        <v>73</v>
      </c>
      <c r="H1388" s="109"/>
      <c r="I1388" s="123"/>
      <c r="J1388" s="109"/>
      <c r="K1388" s="109"/>
      <c r="L1388" s="263"/>
      <c r="M1388" s="109"/>
      <c r="N1388" s="123"/>
      <c r="O1388" s="109"/>
      <c r="P1388" s="109">
        <v>8</v>
      </c>
      <c r="Q1388" s="109"/>
      <c r="R1388" s="109"/>
      <c r="S1388" s="109"/>
      <c r="T1388" s="139">
        <v>48.6</v>
      </c>
      <c r="U1388" s="138">
        <v>2.899</v>
      </c>
      <c r="V1388" s="109"/>
      <c r="W1388" s="109"/>
      <c r="X1388" s="109"/>
      <c r="Y1388" s="109">
        <v>30</v>
      </c>
      <c r="Z1388" s="109">
        <v>1266</v>
      </c>
      <c r="AA1388" s="109"/>
      <c r="AB1388" s="109"/>
      <c r="AC1388" s="109"/>
      <c r="AD1388" s="109"/>
      <c r="AE1388" s="109"/>
      <c r="AF1388" s="109"/>
      <c r="AG1388" s="109"/>
      <c r="AH1388" s="109"/>
      <c r="AI1388" s="109" t="s">
        <v>482</v>
      </c>
      <c r="AJ1388" s="109"/>
      <c r="AK1388" s="109">
        <v>2.14</v>
      </c>
      <c r="AL1388" s="109"/>
      <c r="AM1388" s="640">
        <f t="shared" si="26"/>
        <v>1447.614</v>
      </c>
      <c r="AO1388" s="289"/>
    </row>
    <row r="1389" spans="1:42" s="61" customFormat="1" ht="22.5" customHeight="1" x14ac:dyDescent="0.3">
      <c r="A1389" s="706"/>
      <c r="B1389" s="117" t="s">
        <v>326</v>
      </c>
      <c r="C1389" s="140">
        <v>32.43</v>
      </c>
      <c r="D1389" s="110"/>
      <c r="E1389" s="110"/>
      <c r="F1389" s="264"/>
      <c r="G1389" s="110">
        <v>254</v>
      </c>
      <c r="H1389" s="110"/>
      <c r="I1389" s="124"/>
      <c r="J1389" s="110"/>
      <c r="K1389" s="110"/>
      <c r="L1389" s="264"/>
      <c r="M1389" s="110"/>
      <c r="N1389" s="124">
        <v>48.070999999999998</v>
      </c>
      <c r="O1389" s="110"/>
      <c r="P1389" s="110"/>
      <c r="Q1389" s="110"/>
      <c r="R1389" s="110"/>
      <c r="S1389" s="110"/>
      <c r="T1389" s="141"/>
      <c r="U1389" s="140"/>
      <c r="V1389" s="110"/>
      <c r="W1389" s="110"/>
      <c r="X1389" s="110"/>
      <c r="Y1389" s="110">
        <v>30</v>
      </c>
      <c r="Z1389" s="110">
        <v>1706</v>
      </c>
      <c r="AA1389" s="110"/>
      <c r="AB1389" s="110"/>
      <c r="AC1389" s="110"/>
      <c r="AD1389" s="110"/>
      <c r="AE1389" s="110"/>
      <c r="AF1389" s="110"/>
      <c r="AG1389" s="110"/>
      <c r="AH1389" s="110">
        <v>33</v>
      </c>
      <c r="AI1389" s="110">
        <v>80</v>
      </c>
      <c r="AJ1389" s="110"/>
      <c r="AK1389" s="110">
        <v>5</v>
      </c>
      <c r="AL1389" s="110"/>
      <c r="AM1389" s="641">
        <f t="shared" si="26"/>
        <v>2188.5010000000002</v>
      </c>
      <c r="AO1389" s="289"/>
      <c r="AP1389" s="97"/>
    </row>
    <row r="1390" spans="1:42" s="61" customFormat="1" ht="25.5" customHeight="1" x14ac:dyDescent="0.3">
      <c r="A1390" s="706"/>
      <c r="B1390" s="175" t="s">
        <v>327</v>
      </c>
      <c r="C1390" s="176">
        <v>194.06800000000001</v>
      </c>
      <c r="D1390" s="127"/>
      <c r="E1390" s="127"/>
      <c r="F1390" s="265"/>
      <c r="G1390" s="127">
        <v>61</v>
      </c>
      <c r="H1390" s="127"/>
      <c r="I1390" s="178"/>
      <c r="J1390" s="127"/>
      <c r="K1390" s="127"/>
      <c r="L1390" s="265"/>
      <c r="M1390" s="127"/>
      <c r="N1390" s="178">
        <v>20.013999999999999</v>
      </c>
      <c r="O1390" s="127"/>
      <c r="P1390" s="127"/>
      <c r="Q1390" s="127"/>
      <c r="R1390" s="127"/>
      <c r="S1390" s="127"/>
      <c r="T1390" s="177"/>
      <c r="U1390" s="176">
        <v>5.0640000000000001</v>
      </c>
      <c r="V1390" s="127"/>
      <c r="W1390" s="127"/>
      <c r="X1390" s="127"/>
      <c r="Y1390" s="127">
        <v>30</v>
      </c>
      <c r="Z1390" s="127">
        <v>3072</v>
      </c>
      <c r="AA1390" s="127">
        <f>2.15165+1095.11</f>
        <v>1097.2616499999999</v>
      </c>
      <c r="AB1390" s="127"/>
      <c r="AC1390" s="127"/>
      <c r="AD1390" s="127"/>
      <c r="AE1390" s="127"/>
      <c r="AF1390" s="127"/>
      <c r="AG1390" s="127"/>
      <c r="AH1390" s="127">
        <v>94.32</v>
      </c>
      <c r="AI1390" s="127">
        <v>80</v>
      </c>
      <c r="AJ1390" s="127"/>
      <c r="AK1390" s="127"/>
      <c r="AL1390" s="127"/>
      <c r="AM1390" s="642">
        <f t="shared" si="26"/>
        <v>4653.7276499999998</v>
      </c>
      <c r="AO1390" s="289"/>
    </row>
    <row r="1391" spans="1:42" s="61" customFormat="1" ht="25.5" customHeight="1" x14ac:dyDescent="0.3">
      <c r="A1391" s="706"/>
      <c r="B1391" s="180" t="s">
        <v>361</v>
      </c>
      <c r="C1391" s="300">
        <v>117</v>
      </c>
      <c r="D1391" s="173"/>
      <c r="E1391" s="173"/>
      <c r="F1391" s="266"/>
      <c r="G1391" s="173">
        <f>61+48</f>
        <v>109</v>
      </c>
      <c r="H1391" s="173"/>
      <c r="I1391" s="174"/>
      <c r="J1391" s="173"/>
      <c r="K1391" s="173"/>
      <c r="L1391" s="266"/>
      <c r="M1391" s="173"/>
      <c r="N1391" s="174">
        <v>1.4079999999999999</v>
      </c>
      <c r="O1391" s="173"/>
      <c r="P1391" s="173"/>
      <c r="Q1391" s="173"/>
      <c r="R1391" s="173"/>
      <c r="S1391" s="173">
        <v>35</v>
      </c>
      <c r="T1391" s="327">
        <v>20</v>
      </c>
      <c r="U1391" s="300">
        <v>2.5009999999999999</v>
      </c>
      <c r="V1391" s="173"/>
      <c r="W1391" s="173"/>
      <c r="X1391" s="173"/>
      <c r="Y1391" s="173">
        <v>30</v>
      </c>
      <c r="Z1391" s="173">
        <v>2547.40031</v>
      </c>
      <c r="AA1391" s="173">
        <v>1261.8866800000001</v>
      </c>
      <c r="AB1391" s="173"/>
      <c r="AC1391" s="173">
        <v>5</v>
      </c>
      <c r="AD1391" s="173"/>
      <c r="AE1391" s="173"/>
      <c r="AF1391" s="173"/>
      <c r="AG1391" s="173">
        <v>3</v>
      </c>
      <c r="AH1391" s="173">
        <v>4</v>
      </c>
      <c r="AI1391" s="173">
        <v>161</v>
      </c>
      <c r="AJ1391" s="173"/>
      <c r="AK1391" s="173"/>
      <c r="AL1391" s="173"/>
      <c r="AM1391" s="643">
        <f t="shared" si="26"/>
        <v>4297.1959900000002</v>
      </c>
      <c r="AO1391" s="289"/>
      <c r="AP1391" s="97"/>
    </row>
    <row r="1392" spans="1:42" s="61" customFormat="1" ht="25.5" customHeight="1" x14ac:dyDescent="0.3">
      <c r="A1392" s="706"/>
      <c r="B1392" s="180" t="s">
        <v>362</v>
      </c>
      <c r="C1392" s="300">
        <v>215.61856</v>
      </c>
      <c r="D1392" s="173"/>
      <c r="E1392" s="173"/>
      <c r="F1392" s="266"/>
      <c r="G1392" s="173">
        <f>63+20</f>
        <v>83</v>
      </c>
      <c r="H1392" s="173"/>
      <c r="I1392" s="174"/>
      <c r="J1392" s="173"/>
      <c r="K1392" s="173"/>
      <c r="L1392" s="266"/>
      <c r="M1392" s="173"/>
      <c r="N1392" s="174">
        <v>71.658000000000001</v>
      </c>
      <c r="O1392" s="173"/>
      <c r="P1392" s="173"/>
      <c r="Q1392" s="173"/>
      <c r="R1392" s="173"/>
      <c r="S1392" s="173">
        <v>12979</v>
      </c>
      <c r="T1392" s="327">
        <v>31</v>
      </c>
      <c r="U1392" s="300">
        <v>2.9279999999999999</v>
      </c>
      <c r="V1392" s="173"/>
      <c r="W1392" s="173"/>
      <c r="X1392" s="173"/>
      <c r="Y1392" s="173">
        <v>30</v>
      </c>
      <c r="Z1392" s="173">
        <v>1900.3579099999999</v>
      </c>
      <c r="AA1392" s="173">
        <f>-0.83335+475.4798</f>
        <v>474.64645000000002</v>
      </c>
      <c r="AB1392" s="173">
        <v>10</v>
      </c>
      <c r="AC1392" s="173">
        <f>20-5</f>
        <v>15</v>
      </c>
      <c r="AD1392" s="173">
        <v>20</v>
      </c>
      <c r="AE1392" s="173"/>
      <c r="AF1392" s="173"/>
      <c r="AG1392" s="173"/>
      <c r="AH1392" s="173">
        <v>101</v>
      </c>
      <c r="AI1392" s="173">
        <v>366</v>
      </c>
      <c r="AJ1392" s="173"/>
      <c r="AK1392" s="173"/>
      <c r="AL1392" s="173"/>
      <c r="AM1392" s="644">
        <f t="shared" si="26"/>
        <v>16300.208920000001</v>
      </c>
      <c r="AO1392" s="289"/>
      <c r="AP1392" s="97"/>
    </row>
    <row r="1393" spans="1:42" s="61" customFormat="1" ht="22.5" customHeight="1" x14ac:dyDescent="0.3">
      <c r="A1393" s="706"/>
      <c r="B1393" s="115" t="s">
        <v>402</v>
      </c>
      <c r="C1393" s="142">
        <v>244.821</v>
      </c>
      <c r="D1393" s="111"/>
      <c r="E1393" s="111">
        <v>5</v>
      </c>
      <c r="F1393" s="267"/>
      <c r="G1393" s="111"/>
      <c r="H1393" s="111"/>
      <c r="I1393" s="125"/>
      <c r="J1393" s="111"/>
      <c r="K1393" s="111"/>
      <c r="L1393" s="267"/>
      <c r="M1393" s="111"/>
      <c r="N1393" s="125"/>
      <c r="O1393" s="111"/>
      <c r="P1393" s="111"/>
      <c r="Q1393" s="111"/>
      <c r="R1393" s="111"/>
      <c r="S1393" s="111"/>
      <c r="T1393" s="143">
        <v>165.53</v>
      </c>
      <c r="U1393" s="142">
        <v>3.0779999999999998</v>
      </c>
      <c r="V1393" s="111"/>
      <c r="W1393" s="111"/>
      <c r="X1393" s="111">
        <v>6</v>
      </c>
      <c r="Y1393" s="111">
        <v>35</v>
      </c>
      <c r="Z1393" s="111">
        <v>960</v>
      </c>
      <c r="AA1393" s="111">
        <v>476</v>
      </c>
      <c r="AB1393" s="111">
        <v>10</v>
      </c>
      <c r="AC1393" s="111">
        <v>13</v>
      </c>
      <c r="AD1393" s="111">
        <v>41</v>
      </c>
      <c r="AE1393" s="111"/>
      <c r="AF1393" s="111"/>
      <c r="AG1393" s="111"/>
      <c r="AH1393" s="111">
        <v>135.40700000000001</v>
      </c>
      <c r="AI1393" s="111">
        <v>260</v>
      </c>
      <c r="AJ1393" s="111"/>
      <c r="AK1393" s="111">
        <f>1.596/1.097</f>
        <v>1.4548769371011852</v>
      </c>
      <c r="AL1393" s="111"/>
      <c r="AM1393" s="645">
        <f t="shared" si="26"/>
        <v>2356.2908769371015</v>
      </c>
      <c r="AO1393" s="289"/>
    </row>
    <row r="1394" spans="1:42" s="61" customFormat="1" ht="21" customHeight="1" x14ac:dyDescent="0.3">
      <c r="A1394" s="707"/>
      <c r="B1394" s="181" t="s">
        <v>403</v>
      </c>
      <c r="C1394" s="144">
        <v>307.80029999999999</v>
      </c>
      <c r="D1394" s="112"/>
      <c r="E1394" s="112"/>
      <c r="F1394" s="268"/>
      <c r="G1394" s="112"/>
      <c r="H1394" s="112"/>
      <c r="I1394" s="126"/>
      <c r="J1394" s="112"/>
      <c r="K1394" s="112"/>
      <c r="L1394" s="268"/>
      <c r="M1394" s="112"/>
      <c r="N1394" s="126"/>
      <c r="O1394" s="112"/>
      <c r="P1394" s="112"/>
      <c r="Q1394" s="112"/>
      <c r="R1394" s="112"/>
      <c r="S1394" s="112">
        <v>94.824919999999992</v>
      </c>
      <c r="T1394" s="145">
        <v>29.41</v>
      </c>
      <c r="U1394" s="144">
        <v>12.544</v>
      </c>
      <c r="V1394" s="112"/>
      <c r="W1394" s="112"/>
      <c r="X1394" s="112">
        <v>1</v>
      </c>
      <c r="Y1394" s="112">
        <v>110.22499999999999</v>
      </c>
      <c r="Z1394" s="112">
        <v>874</v>
      </c>
      <c r="AA1394" s="112">
        <v>827</v>
      </c>
      <c r="AB1394" s="112">
        <v>10.7</v>
      </c>
      <c r="AC1394" s="112">
        <v>7</v>
      </c>
      <c r="AD1394" s="112">
        <v>93</v>
      </c>
      <c r="AE1394" s="112"/>
      <c r="AF1394" s="112"/>
      <c r="AG1394" s="112"/>
      <c r="AH1394" s="112">
        <v>108.14</v>
      </c>
      <c r="AI1394" s="112">
        <v>260</v>
      </c>
      <c r="AJ1394" s="112"/>
      <c r="AK1394" s="112">
        <f>3.0595/1.001</f>
        <v>3.0564435564435568</v>
      </c>
      <c r="AL1394" s="112"/>
      <c r="AM1394" s="646">
        <f t="shared" si="26"/>
        <v>2738.700663556443</v>
      </c>
      <c r="AO1394" s="289"/>
    </row>
    <row r="1395" spans="1:42" s="61" customFormat="1" ht="21" customHeight="1" x14ac:dyDescent="0.3">
      <c r="A1395" s="705" t="s">
        <v>254</v>
      </c>
      <c r="B1395" s="179" t="s">
        <v>293</v>
      </c>
      <c r="C1395" s="135"/>
      <c r="D1395" s="136"/>
      <c r="E1395" s="136"/>
      <c r="F1395" s="262"/>
      <c r="G1395" s="136"/>
      <c r="H1395" s="136"/>
      <c r="I1395" s="326"/>
      <c r="J1395" s="136"/>
      <c r="K1395" s="136"/>
      <c r="L1395" s="262"/>
      <c r="M1395" s="136"/>
      <c r="N1395" s="326"/>
      <c r="O1395" s="136"/>
      <c r="P1395" s="136"/>
      <c r="Q1395" s="136"/>
      <c r="R1395" s="136"/>
      <c r="S1395" s="136"/>
      <c r="T1395" s="137"/>
      <c r="U1395" s="632"/>
      <c r="V1395" s="122"/>
      <c r="W1395" s="122"/>
      <c r="X1395" s="122"/>
      <c r="Y1395" s="122"/>
      <c r="Z1395" s="122"/>
      <c r="AA1395" s="122"/>
      <c r="AB1395" s="122"/>
      <c r="AC1395" s="122"/>
      <c r="AD1395" s="122"/>
      <c r="AE1395" s="122"/>
      <c r="AF1395" s="122"/>
      <c r="AG1395" s="122"/>
      <c r="AH1395" s="122"/>
      <c r="AI1395" s="122" t="s">
        <v>482</v>
      </c>
      <c r="AJ1395" s="122"/>
      <c r="AK1395" s="122"/>
      <c r="AL1395" s="122"/>
      <c r="AM1395" s="639">
        <f t="shared" si="26"/>
        <v>0</v>
      </c>
      <c r="AO1395" s="289"/>
    </row>
    <row r="1396" spans="1:42" s="61" customFormat="1" ht="19.5" customHeight="1" x14ac:dyDescent="0.3">
      <c r="A1396" s="706"/>
      <c r="B1396" s="116" t="s">
        <v>294</v>
      </c>
      <c r="C1396" s="138"/>
      <c r="D1396" s="109"/>
      <c r="E1396" s="109"/>
      <c r="F1396" s="263"/>
      <c r="G1396" s="109"/>
      <c r="H1396" s="109"/>
      <c r="I1396" s="123"/>
      <c r="J1396" s="109"/>
      <c r="K1396" s="109"/>
      <c r="L1396" s="263"/>
      <c r="M1396" s="109"/>
      <c r="N1396" s="123"/>
      <c r="O1396" s="109"/>
      <c r="P1396" s="109"/>
      <c r="Q1396" s="109"/>
      <c r="R1396" s="109"/>
      <c r="S1396" s="109"/>
      <c r="T1396" s="139"/>
      <c r="U1396" s="138"/>
      <c r="V1396" s="109"/>
      <c r="W1396" s="109"/>
      <c r="X1396" s="109"/>
      <c r="Y1396" s="109"/>
      <c r="Z1396" s="109"/>
      <c r="AA1396" s="109"/>
      <c r="AB1396" s="109"/>
      <c r="AC1396" s="109"/>
      <c r="AD1396" s="109"/>
      <c r="AE1396" s="109"/>
      <c r="AF1396" s="109"/>
      <c r="AG1396" s="109"/>
      <c r="AH1396" s="109"/>
      <c r="AI1396" s="109" t="s">
        <v>482</v>
      </c>
      <c r="AJ1396" s="109"/>
      <c r="AK1396" s="109"/>
      <c r="AL1396" s="109"/>
      <c r="AM1396" s="640">
        <f t="shared" si="26"/>
        <v>0</v>
      </c>
      <c r="AO1396" s="289"/>
    </row>
    <row r="1397" spans="1:42" s="61" customFormat="1" ht="22.5" customHeight="1" x14ac:dyDescent="0.3">
      <c r="A1397" s="706"/>
      <c r="B1397" s="117" t="s">
        <v>326</v>
      </c>
      <c r="C1397" s="140"/>
      <c r="D1397" s="110"/>
      <c r="E1397" s="110"/>
      <c r="F1397" s="264"/>
      <c r="G1397" s="110"/>
      <c r="H1397" s="110"/>
      <c r="I1397" s="124"/>
      <c r="J1397" s="110"/>
      <c r="K1397" s="110"/>
      <c r="L1397" s="264"/>
      <c r="M1397" s="110"/>
      <c r="N1397" s="124"/>
      <c r="O1397" s="110"/>
      <c r="P1397" s="110"/>
      <c r="Q1397" s="110"/>
      <c r="R1397" s="110"/>
      <c r="S1397" s="110"/>
      <c r="T1397" s="141"/>
      <c r="U1397" s="140"/>
      <c r="V1397" s="110"/>
      <c r="W1397" s="110"/>
      <c r="X1397" s="110"/>
      <c r="Y1397" s="110"/>
      <c r="Z1397" s="110"/>
      <c r="AA1397" s="110"/>
      <c r="AB1397" s="110"/>
      <c r="AC1397" s="110"/>
      <c r="AD1397" s="110"/>
      <c r="AE1397" s="110"/>
      <c r="AF1397" s="110"/>
      <c r="AG1397" s="110"/>
      <c r="AH1397" s="110"/>
      <c r="AI1397" s="110" t="s">
        <v>482</v>
      </c>
      <c r="AJ1397" s="110"/>
      <c r="AK1397" s="110"/>
      <c r="AL1397" s="110"/>
      <c r="AM1397" s="641">
        <f t="shared" si="26"/>
        <v>0</v>
      </c>
      <c r="AO1397" s="289"/>
      <c r="AP1397" s="97"/>
    </row>
    <row r="1398" spans="1:42" s="61" customFormat="1" ht="25.5" customHeight="1" x14ac:dyDescent="0.3">
      <c r="A1398" s="706"/>
      <c r="B1398" s="175" t="s">
        <v>327</v>
      </c>
      <c r="C1398" s="176"/>
      <c r="D1398" s="127"/>
      <c r="E1398" s="127"/>
      <c r="F1398" s="265"/>
      <c r="G1398" s="127"/>
      <c r="H1398" s="127"/>
      <c r="I1398" s="178"/>
      <c r="J1398" s="127"/>
      <c r="K1398" s="127"/>
      <c r="L1398" s="265"/>
      <c r="M1398" s="127"/>
      <c r="N1398" s="178"/>
      <c r="O1398" s="127"/>
      <c r="P1398" s="127"/>
      <c r="Q1398" s="127"/>
      <c r="R1398" s="127"/>
      <c r="S1398" s="127">
        <v>6</v>
      </c>
      <c r="T1398" s="177"/>
      <c r="U1398" s="176"/>
      <c r="V1398" s="127"/>
      <c r="W1398" s="127"/>
      <c r="X1398" s="127"/>
      <c r="Y1398" s="127"/>
      <c r="Z1398" s="127"/>
      <c r="AA1398" s="127"/>
      <c r="AB1398" s="127"/>
      <c r="AC1398" s="127"/>
      <c r="AD1398" s="127"/>
      <c r="AE1398" s="127"/>
      <c r="AF1398" s="127"/>
      <c r="AG1398" s="127"/>
      <c r="AH1398" s="127"/>
      <c r="AI1398" s="127" t="s">
        <v>482</v>
      </c>
      <c r="AJ1398" s="127"/>
      <c r="AK1398" s="127"/>
      <c r="AL1398" s="127"/>
      <c r="AM1398" s="642">
        <f t="shared" si="26"/>
        <v>6</v>
      </c>
      <c r="AO1398" s="289"/>
    </row>
    <row r="1399" spans="1:42" s="61" customFormat="1" ht="25.5" customHeight="1" x14ac:dyDescent="0.3">
      <c r="A1399" s="706"/>
      <c r="B1399" s="180" t="s">
        <v>361</v>
      </c>
      <c r="C1399" s="300"/>
      <c r="D1399" s="173"/>
      <c r="E1399" s="173"/>
      <c r="F1399" s="266"/>
      <c r="G1399" s="173"/>
      <c r="H1399" s="173"/>
      <c r="I1399" s="174"/>
      <c r="J1399" s="173"/>
      <c r="K1399" s="173"/>
      <c r="L1399" s="266"/>
      <c r="M1399" s="173"/>
      <c r="N1399" s="174"/>
      <c r="O1399" s="173"/>
      <c r="P1399" s="173"/>
      <c r="Q1399" s="173"/>
      <c r="R1399" s="173"/>
      <c r="S1399" s="173">
        <v>1</v>
      </c>
      <c r="T1399" s="327"/>
      <c r="U1399" s="300">
        <v>0.22900000000000001</v>
      </c>
      <c r="V1399" s="173"/>
      <c r="W1399" s="173"/>
      <c r="X1399" s="173"/>
      <c r="Y1399" s="173"/>
      <c r="Z1399" s="173"/>
      <c r="AA1399" s="173"/>
      <c r="AB1399" s="173"/>
      <c r="AC1399" s="173"/>
      <c r="AD1399" s="173"/>
      <c r="AE1399" s="173"/>
      <c r="AF1399" s="173"/>
      <c r="AG1399" s="173"/>
      <c r="AH1399" s="173"/>
      <c r="AI1399" s="173" t="s">
        <v>482</v>
      </c>
      <c r="AJ1399" s="173"/>
      <c r="AK1399" s="173"/>
      <c r="AL1399" s="173"/>
      <c r="AM1399" s="643">
        <f t="shared" si="26"/>
        <v>1.2290000000000001</v>
      </c>
      <c r="AO1399" s="289"/>
      <c r="AP1399" s="97"/>
    </row>
    <row r="1400" spans="1:42" s="61" customFormat="1" ht="25.5" customHeight="1" x14ac:dyDescent="0.3">
      <c r="A1400" s="706"/>
      <c r="B1400" s="180" t="s">
        <v>362</v>
      </c>
      <c r="C1400" s="300"/>
      <c r="D1400" s="173"/>
      <c r="E1400" s="173"/>
      <c r="F1400" s="266"/>
      <c r="G1400" s="173"/>
      <c r="H1400" s="173"/>
      <c r="I1400" s="174"/>
      <c r="J1400" s="173"/>
      <c r="K1400" s="173"/>
      <c r="L1400" s="266"/>
      <c r="M1400" s="173"/>
      <c r="N1400" s="174"/>
      <c r="O1400" s="173"/>
      <c r="P1400" s="173"/>
      <c r="Q1400" s="173"/>
      <c r="R1400" s="173"/>
      <c r="S1400" s="173">
        <v>2</v>
      </c>
      <c r="T1400" s="327"/>
      <c r="U1400" s="300"/>
      <c r="V1400" s="173"/>
      <c r="W1400" s="173"/>
      <c r="X1400" s="173"/>
      <c r="Y1400" s="173"/>
      <c r="Z1400" s="173"/>
      <c r="AA1400" s="173"/>
      <c r="AB1400" s="173"/>
      <c r="AC1400" s="173"/>
      <c r="AD1400" s="173"/>
      <c r="AE1400" s="173"/>
      <c r="AF1400" s="173"/>
      <c r="AG1400" s="173"/>
      <c r="AH1400" s="173"/>
      <c r="AI1400" s="173" t="s">
        <v>482</v>
      </c>
      <c r="AJ1400" s="173"/>
      <c r="AK1400" s="173"/>
      <c r="AL1400" s="173"/>
      <c r="AM1400" s="644">
        <f t="shared" si="26"/>
        <v>2</v>
      </c>
      <c r="AO1400" s="289"/>
      <c r="AP1400" s="97"/>
    </row>
    <row r="1401" spans="1:42" s="61" customFormat="1" ht="22.5" customHeight="1" x14ac:dyDescent="0.3">
      <c r="A1401" s="706"/>
      <c r="B1401" s="115" t="s">
        <v>402</v>
      </c>
      <c r="C1401" s="142"/>
      <c r="D1401" s="111"/>
      <c r="E1401" s="111"/>
      <c r="F1401" s="267"/>
      <c r="G1401" s="111"/>
      <c r="H1401" s="111"/>
      <c r="I1401" s="125"/>
      <c r="J1401" s="111"/>
      <c r="K1401" s="111"/>
      <c r="L1401" s="267"/>
      <c r="M1401" s="111"/>
      <c r="N1401" s="125"/>
      <c r="O1401" s="111"/>
      <c r="P1401" s="111"/>
      <c r="Q1401" s="111"/>
      <c r="R1401" s="111"/>
      <c r="S1401" s="111"/>
      <c r="T1401" s="143"/>
      <c r="U1401" s="142"/>
      <c r="V1401" s="111"/>
      <c r="W1401" s="111"/>
      <c r="X1401" s="111"/>
      <c r="Y1401" s="111"/>
      <c r="Z1401" s="111"/>
      <c r="AA1401" s="111"/>
      <c r="AB1401" s="111"/>
      <c r="AC1401" s="111"/>
      <c r="AD1401" s="111"/>
      <c r="AE1401" s="111"/>
      <c r="AF1401" s="111"/>
      <c r="AG1401" s="111"/>
      <c r="AH1401" s="111" t="s">
        <v>482</v>
      </c>
      <c r="AI1401" s="111" t="s">
        <v>482</v>
      </c>
      <c r="AJ1401" s="111"/>
      <c r="AK1401" s="111"/>
      <c r="AL1401" s="111"/>
      <c r="AM1401" s="645">
        <f t="shared" si="26"/>
        <v>0</v>
      </c>
      <c r="AO1401" s="289"/>
    </row>
    <row r="1402" spans="1:42" s="61" customFormat="1" ht="21" customHeight="1" x14ac:dyDescent="0.3">
      <c r="A1402" s="707"/>
      <c r="B1402" s="181" t="s">
        <v>403</v>
      </c>
      <c r="C1402" s="144"/>
      <c r="D1402" s="112"/>
      <c r="E1402" s="112"/>
      <c r="F1402" s="268"/>
      <c r="G1402" s="112"/>
      <c r="H1402" s="112"/>
      <c r="I1402" s="126"/>
      <c r="J1402" s="112"/>
      <c r="K1402" s="112"/>
      <c r="L1402" s="268"/>
      <c r="M1402" s="112"/>
      <c r="N1402" s="126"/>
      <c r="O1402" s="112"/>
      <c r="P1402" s="112"/>
      <c r="Q1402" s="112"/>
      <c r="R1402" s="112"/>
      <c r="S1402" s="112"/>
      <c r="T1402" s="145"/>
      <c r="U1402" s="144"/>
      <c r="V1402" s="112"/>
      <c r="W1402" s="112"/>
      <c r="X1402" s="112"/>
      <c r="Y1402" s="112"/>
      <c r="Z1402" s="112"/>
      <c r="AA1402" s="112"/>
      <c r="AB1402" s="112"/>
      <c r="AC1402" s="112"/>
      <c r="AD1402" s="112"/>
      <c r="AE1402" s="112"/>
      <c r="AF1402" s="112"/>
      <c r="AG1402" s="112"/>
      <c r="AH1402" s="112" t="s">
        <v>482</v>
      </c>
      <c r="AI1402" s="112" t="s">
        <v>482</v>
      </c>
      <c r="AJ1402" s="112"/>
      <c r="AK1402" s="112"/>
      <c r="AL1402" s="112"/>
      <c r="AM1402" s="646">
        <f t="shared" si="26"/>
        <v>0</v>
      </c>
      <c r="AO1402" s="289"/>
    </row>
    <row r="1403" spans="1:42" s="61" customFormat="1" ht="21" customHeight="1" x14ac:dyDescent="0.3">
      <c r="A1403" s="705" t="s">
        <v>255</v>
      </c>
      <c r="B1403" s="179" t="s">
        <v>293</v>
      </c>
      <c r="C1403" s="135"/>
      <c r="D1403" s="136"/>
      <c r="E1403" s="136"/>
      <c r="F1403" s="262"/>
      <c r="G1403" s="136"/>
      <c r="H1403" s="136">
        <v>2801</v>
      </c>
      <c r="I1403" s="326"/>
      <c r="J1403" s="136"/>
      <c r="K1403" s="136"/>
      <c r="L1403" s="262"/>
      <c r="M1403" s="136"/>
      <c r="N1403" s="326"/>
      <c r="O1403" s="136"/>
      <c r="P1403" s="136"/>
      <c r="Q1403" s="136"/>
      <c r="R1403" s="136"/>
      <c r="S1403" s="136"/>
      <c r="T1403" s="137"/>
      <c r="U1403" s="632"/>
      <c r="V1403" s="122"/>
      <c r="W1403" s="122"/>
      <c r="X1403" s="122"/>
      <c r="Y1403" s="122"/>
      <c r="Z1403" s="122"/>
      <c r="AA1403" s="122"/>
      <c r="AB1403" s="122"/>
      <c r="AC1403" s="122"/>
      <c r="AD1403" s="122"/>
      <c r="AE1403" s="122"/>
      <c r="AF1403" s="122"/>
      <c r="AG1403" s="122"/>
      <c r="AH1403" s="122"/>
      <c r="AI1403" s="122" t="s">
        <v>482</v>
      </c>
      <c r="AJ1403" s="122"/>
      <c r="AK1403" s="122"/>
      <c r="AL1403" s="122"/>
      <c r="AM1403" s="639">
        <f t="shared" si="26"/>
        <v>2801</v>
      </c>
      <c r="AO1403" s="289"/>
    </row>
    <row r="1404" spans="1:42" s="61" customFormat="1" ht="19.5" customHeight="1" x14ac:dyDescent="0.3">
      <c r="A1404" s="706"/>
      <c r="B1404" s="116" t="s">
        <v>294</v>
      </c>
      <c r="C1404" s="138"/>
      <c r="D1404" s="109"/>
      <c r="E1404" s="109"/>
      <c r="F1404" s="263"/>
      <c r="G1404" s="109"/>
      <c r="H1404" s="109">
        <v>3677</v>
      </c>
      <c r="I1404" s="123"/>
      <c r="J1404" s="109"/>
      <c r="K1404" s="109"/>
      <c r="L1404" s="263"/>
      <c r="M1404" s="109"/>
      <c r="N1404" s="123"/>
      <c r="O1404" s="109"/>
      <c r="P1404" s="109"/>
      <c r="Q1404" s="109"/>
      <c r="R1404" s="109"/>
      <c r="S1404" s="109"/>
      <c r="T1404" s="139"/>
      <c r="U1404" s="138"/>
      <c r="V1404" s="109"/>
      <c r="W1404" s="109"/>
      <c r="X1404" s="109"/>
      <c r="Y1404" s="109"/>
      <c r="Z1404" s="109"/>
      <c r="AA1404" s="109"/>
      <c r="AB1404" s="109"/>
      <c r="AC1404" s="109"/>
      <c r="AD1404" s="109"/>
      <c r="AE1404" s="109"/>
      <c r="AF1404" s="109"/>
      <c r="AG1404" s="109"/>
      <c r="AH1404" s="109"/>
      <c r="AI1404" s="109" t="s">
        <v>482</v>
      </c>
      <c r="AJ1404" s="109"/>
      <c r="AK1404" s="109"/>
      <c r="AL1404" s="109"/>
      <c r="AM1404" s="640">
        <f t="shared" si="26"/>
        <v>3677</v>
      </c>
      <c r="AO1404" s="289"/>
    </row>
    <row r="1405" spans="1:42" s="61" customFormat="1" ht="22.5" customHeight="1" x14ac:dyDescent="0.3">
      <c r="A1405" s="706"/>
      <c r="B1405" s="117" t="s">
        <v>326</v>
      </c>
      <c r="C1405" s="140"/>
      <c r="D1405" s="110"/>
      <c r="E1405" s="110"/>
      <c r="F1405" s="264"/>
      <c r="G1405" s="110"/>
      <c r="H1405" s="110">
        <v>4073</v>
      </c>
      <c r="I1405" s="124"/>
      <c r="J1405" s="110"/>
      <c r="K1405" s="110"/>
      <c r="L1405" s="264"/>
      <c r="M1405" s="110"/>
      <c r="N1405" s="124"/>
      <c r="O1405" s="110"/>
      <c r="P1405" s="110"/>
      <c r="Q1405" s="110"/>
      <c r="R1405" s="110"/>
      <c r="S1405" s="110">
        <v>2600</v>
      </c>
      <c r="T1405" s="141"/>
      <c r="U1405" s="140"/>
      <c r="V1405" s="110"/>
      <c r="W1405" s="110"/>
      <c r="X1405" s="110"/>
      <c r="Y1405" s="110"/>
      <c r="Z1405" s="110"/>
      <c r="AA1405" s="110"/>
      <c r="AB1405" s="110"/>
      <c r="AC1405" s="110"/>
      <c r="AD1405" s="110"/>
      <c r="AE1405" s="110"/>
      <c r="AF1405" s="110"/>
      <c r="AG1405" s="110"/>
      <c r="AH1405" s="110"/>
      <c r="AI1405" s="110" t="s">
        <v>482</v>
      </c>
      <c r="AJ1405" s="110"/>
      <c r="AK1405" s="110"/>
      <c r="AL1405" s="110"/>
      <c r="AM1405" s="641">
        <f t="shared" si="26"/>
        <v>6673</v>
      </c>
      <c r="AO1405" s="289"/>
      <c r="AP1405" s="97"/>
    </row>
    <row r="1406" spans="1:42" s="61" customFormat="1" ht="25.5" customHeight="1" x14ac:dyDescent="0.3">
      <c r="A1406" s="706"/>
      <c r="B1406" s="175" t="s">
        <v>327</v>
      </c>
      <c r="C1406" s="176"/>
      <c r="D1406" s="127"/>
      <c r="E1406" s="127"/>
      <c r="F1406" s="265"/>
      <c r="G1406" s="127"/>
      <c r="H1406" s="127">
        <v>3859</v>
      </c>
      <c r="I1406" s="178"/>
      <c r="J1406" s="127"/>
      <c r="K1406" s="127"/>
      <c r="L1406" s="265"/>
      <c r="M1406" s="127"/>
      <c r="N1406" s="178"/>
      <c r="O1406" s="127"/>
      <c r="P1406" s="127"/>
      <c r="Q1406" s="127"/>
      <c r="R1406" s="127"/>
      <c r="S1406" s="127">
        <v>1891</v>
      </c>
      <c r="T1406" s="177"/>
      <c r="U1406" s="176"/>
      <c r="V1406" s="127"/>
      <c r="W1406" s="127"/>
      <c r="X1406" s="127"/>
      <c r="Y1406" s="127"/>
      <c r="Z1406" s="127"/>
      <c r="AA1406" s="127"/>
      <c r="AB1406" s="127"/>
      <c r="AC1406" s="127"/>
      <c r="AD1406" s="127"/>
      <c r="AE1406" s="127"/>
      <c r="AF1406" s="127"/>
      <c r="AG1406" s="127"/>
      <c r="AH1406" s="127"/>
      <c r="AI1406" s="127" t="s">
        <v>482</v>
      </c>
      <c r="AJ1406" s="127"/>
      <c r="AK1406" s="127"/>
      <c r="AL1406" s="127"/>
      <c r="AM1406" s="642">
        <f t="shared" si="26"/>
        <v>5750</v>
      </c>
      <c r="AO1406" s="289"/>
    </row>
    <row r="1407" spans="1:42" s="61" customFormat="1" ht="25.5" customHeight="1" x14ac:dyDescent="0.3">
      <c r="A1407" s="706"/>
      <c r="B1407" s="180" t="s">
        <v>361</v>
      </c>
      <c r="C1407" s="300"/>
      <c r="D1407" s="173"/>
      <c r="E1407" s="173"/>
      <c r="F1407" s="266">
        <v>-311</v>
      </c>
      <c r="G1407" s="173"/>
      <c r="H1407" s="173">
        <v>4096</v>
      </c>
      <c r="I1407" s="174"/>
      <c r="J1407" s="173"/>
      <c r="K1407" s="173"/>
      <c r="L1407" s="266"/>
      <c r="M1407" s="173"/>
      <c r="N1407" s="174"/>
      <c r="O1407" s="173"/>
      <c r="P1407" s="173"/>
      <c r="Q1407" s="173"/>
      <c r="R1407" s="173"/>
      <c r="S1407" s="173">
        <v>7634</v>
      </c>
      <c r="T1407" s="327"/>
      <c r="U1407" s="300"/>
      <c r="V1407" s="173"/>
      <c r="W1407" s="173"/>
      <c r="X1407" s="173"/>
      <c r="Y1407" s="173"/>
      <c r="Z1407" s="173"/>
      <c r="AA1407" s="173"/>
      <c r="AB1407" s="173"/>
      <c r="AC1407" s="173"/>
      <c r="AD1407" s="173"/>
      <c r="AE1407" s="173"/>
      <c r="AF1407" s="173"/>
      <c r="AG1407" s="173"/>
      <c r="AH1407" s="173"/>
      <c r="AI1407" s="173" t="s">
        <v>482</v>
      </c>
      <c r="AJ1407" s="173"/>
      <c r="AK1407" s="173"/>
      <c r="AL1407" s="173"/>
      <c r="AM1407" s="643">
        <f t="shared" si="26"/>
        <v>11419</v>
      </c>
      <c r="AO1407" s="289"/>
      <c r="AP1407" s="97"/>
    </row>
    <row r="1408" spans="1:42" s="61" customFormat="1" ht="25.5" customHeight="1" x14ac:dyDescent="0.3">
      <c r="A1408" s="706"/>
      <c r="B1408" s="180" t="s">
        <v>362</v>
      </c>
      <c r="C1408" s="300"/>
      <c r="D1408" s="173"/>
      <c r="E1408" s="173"/>
      <c r="F1408" s="266"/>
      <c r="G1408" s="173"/>
      <c r="H1408" s="173">
        <v>4490</v>
      </c>
      <c r="I1408" s="174"/>
      <c r="J1408" s="173"/>
      <c r="K1408" s="173"/>
      <c r="L1408" s="266"/>
      <c r="M1408" s="173"/>
      <c r="N1408" s="174"/>
      <c r="O1408" s="173"/>
      <c r="P1408" s="173"/>
      <c r="Q1408" s="173"/>
      <c r="R1408" s="173"/>
      <c r="S1408" s="173">
        <v>4371</v>
      </c>
      <c r="T1408" s="327"/>
      <c r="U1408" s="300"/>
      <c r="V1408" s="173"/>
      <c r="W1408" s="173"/>
      <c r="X1408" s="173"/>
      <c r="Y1408" s="173"/>
      <c r="Z1408" s="173"/>
      <c r="AA1408" s="173"/>
      <c r="AB1408" s="173"/>
      <c r="AC1408" s="173"/>
      <c r="AD1408" s="173"/>
      <c r="AE1408" s="173"/>
      <c r="AF1408" s="173"/>
      <c r="AG1408" s="173"/>
      <c r="AH1408" s="173"/>
      <c r="AI1408" s="173" t="s">
        <v>482</v>
      </c>
      <c r="AJ1408" s="173"/>
      <c r="AK1408" s="173"/>
      <c r="AL1408" s="173"/>
      <c r="AM1408" s="644">
        <f t="shared" si="26"/>
        <v>8861</v>
      </c>
      <c r="AO1408" s="289"/>
      <c r="AP1408" s="97"/>
    </row>
    <row r="1409" spans="1:42" s="61" customFormat="1" ht="22.5" customHeight="1" x14ac:dyDescent="0.3">
      <c r="A1409" s="706"/>
      <c r="B1409" s="115" t="s">
        <v>402</v>
      </c>
      <c r="C1409" s="142"/>
      <c r="D1409" s="111"/>
      <c r="E1409" s="111"/>
      <c r="F1409" s="267"/>
      <c r="G1409" s="111"/>
      <c r="H1409" s="111">
        <v>5033</v>
      </c>
      <c r="I1409" s="125"/>
      <c r="J1409" s="111"/>
      <c r="K1409" s="111"/>
      <c r="L1409" s="267"/>
      <c r="M1409" s="111"/>
      <c r="N1409" s="125"/>
      <c r="O1409" s="111"/>
      <c r="P1409" s="111"/>
      <c r="Q1409" s="111"/>
      <c r="R1409" s="111"/>
      <c r="S1409" s="111">
        <v>1392</v>
      </c>
      <c r="T1409" s="143"/>
      <c r="U1409" s="142"/>
      <c r="V1409" s="111"/>
      <c r="W1409" s="111"/>
      <c r="X1409" s="111"/>
      <c r="Y1409" s="111"/>
      <c r="Z1409" s="111"/>
      <c r="AA1409" s="111"/>
      <c r="AB1409" s="111"/>
      <c r="AC1409" s="111"/>
      <c r="AD1409" s="111"/>
      <c r="AE1409" s="111"/>
      <c r="AF1409" s="111"/>
      <c r="AG1409" s="111"/>
      <c r="AH1409" s="111" t="s">
        <v>482</v>
      </c>
      <c r="AI1409" s="111" t="s">
        <v>482</v>
      </c>
      <c r="AJ1409" s="111"/>
      <c r="AK1409" s="111"/>
      <c r="AL1409" s="111"/>
      <c r="AM1409" s="645">
        <f t="shared" si="26"/>
        <v>6425</v>
      </c>
      <c r="AO1409" s="289"/>
    </row>
    <row r="1410" spans="1:42" s="61" customFormat="1" ht="21" customHeight="1" x14ac:dyDescent="0.3">
      <c r="A1410" s="707"/>
      <c r="B1410" s="181" t="s">
        <v>403</v>
      </c>
      <c r="C1410" s="144">
        <v>-6.1538500000000003</v>
      </c>
      <c r="D1410" s="112"/>
      <c r="E1410" s="112"/>
      <c r="F1410" s="268"/>
      <c r="G1410" s="112"/>
      <c r="H1410" s="112">
        <v>4875.84494</v>
      </c>
      <c r="I1410" s="126"/>
      <c r="J1410" s="112"/>
      <c r="K1410" s="112"/>
      <c r="L1410" s="268"/>
      <c r="M1410" s="112"/>
      <c r="N1410" s="126"/>
      <c r="O1410" s="112"/>
      <c r="P1410" s="112"/>
      <c r="Q1410" s="112"/>
      <c r="R1410" s="112"/>
      <c r="S1410" s="112">
        <v>3010.752</v>
      </c>
      <c r="T1410" s="145"/>
      <c r="U1410" s="144"/>
      <c r="V1410" s="112"/>
      <c r="W1410" s="112"/>
      <c r="X1410" s="112"/>
      <c r="Y1410" s="112"/>
      <c r="Z1410" s="112"/>
      <c r="AA1410" s="112"/>
      <c r="AB1410" s="112"/>
      <c r="AC1410" s="112"/>
      <c r="AD1410" s="112"/>
      <c r="AE1410" s="112"/>
      <c r="AF1410" s="112"/>
      <c r="AG1410" s="112"/>
      <c r="AH1410" s="112" t="s">
        <v>482</v>
      </c>
      <c r="AI1410" s="112" t="s">
        <v>482</v>
      </c>
      <c r="AJ1410" s="112"/>
      <c r="AK1410" s="112"/>
      <c r="AL1410" s="112"/>
      <c r="AM1410" s="646">
        <f t="shared" si="26"/>
        <v>7880.4430900000007</v>
      </c>
      <c r="AO1410" s="289"/>
    </row>
    <row r="1411" spans="1:42" s="61" customFormat="1" ht="21" customHeight="1" x14ac:dyDescent="0.3">
      <c r="A1411" s="705" t="s">
        <v>256</v>
      </c>
      <c r="B1411" s="179" t="s">
        <v>293</v>
      </c>
      <c r="C1411" s="135">
        <v>55</v>
      </c>
      <c r="D1411" s="136"/>
      <c r="E1411" s="136"/>
      <c r="F1411" s="262"/>
      <c r="G1411" s="136">
        <v>284</v>
      </c>
      <c r="H1411" s="136"/>
      <c r="I1411" s="326"/>
      <c r="J1411" s="136"/>
      <c r="K1411" s="136"/>
      <c r="L1411" s="262"/>
      <c r="M1411" s="136"/>
      <c r="N1411" s="326"/>
      <c r="O1411" s="136"/>
      <c r="P1411" s="136"/>
      <c r="Q1411" s="136"/>
      <c r="R1411" s="136"/>
      <c r="S1411" s="136"/>
      <c r="T1411" s="137">
        <v>10</v>
      </c>
      <c r="U1411" s="632"/>
      <c r="V1411" s="122"/>
      <c r="W1411" s="122"/>
      <c r="X1411" s="122"/>
      <c r="Y1411" s="122">
        <v>64</v>
      </c>
      <c r="Z1411" s="122">
        <v>69</v>
      </c>
      <c r="AA1411" s="122"/>
      <c r="AB1411" s="122"/>
      <c r="AC1411" s="122">
        <v>1.359</v>
      </c>
      <c r="AD1411" s="122">
        <v>27</v>
      </c>
      <c r="AE1411" s="122"/>
      <c r="AF1411" s="122"/>
      <c r="AG1411" s="122"/>
      <c r="AH1411" s="122">
        <v>43.36</v>
      </c>
      <c r="AI1411" s="122" t="s">
        <v>482</v>
      </c>
      <c r="AJ1411" s="122"/>
      <c r="AK1411" s="122">
        <v>5.32</v>
      </c>
      <c r="AL1411" s="122"/>
      <c r="AM1411" s="639">
        <f t="shared" si="26"/>
        <v>559.03899999999999</v>
      </c>
      <c r="AO1411" s="289"/>
    </row>
    <row r="1412" spans="1:42" s="61" customFormat="1" ht="19.5" customHeight="1" x14ac:dyDescent="0.3">
      <c r="A1412" s="706"/>
      <c r="B1412" s="116" t="s">
        <v>294</v>
      </c>
      <c r="C1412" s="138">
        <v>75</v>
      </c>
      <c r="D1412" s="109"/>
      <c r="E1412" s="109"/>
      <c r="F1412" s="263"/>
      <c r="G1412" s="109">
        <v>302</v>
      </c>
      <c r="H1412" s="109"/>
      <c r="I1412" s="123"/>
      <c r="J1412" s="109"/>
      <c r="K1412" s="109"/>
      <c r="L1412" s="263"/>
      <c r="M1412" s="109"/>
      <c r="N1412" s="123"/>
      <c r="O1412" s="109"/>
      <c r="P1412" s="109"/>
      <c r="Q1412" s="109"/>
      <c r="R1412" s="109"/>
      <c r="S1412" s="109"/>
      <c r="T1412" s="139">
        <v>54</v>
      </c>
      <c r="U1412" s="138">
        <v>29.327999999999999</v>
      </c>
      <c r="V1412" s="109"/>
      <c r="W1412" s="109"/>
      <c r="X1412" s="109">
        <v>9</v>
      </c>
      <c r="Y1412" s="109">
        <v>158</v>
      </c>
      <c r="Z1412" s="109">
        <v>189</v>
      </c>
      <c r="AA1412" s="109">
        <v>99.974000000000004</v>
      </c>
      <c r="AB1412" s="109"/>
      <c r="AC1412" s="109">
        <v>20</v>
      </c>
      <c r="AD1412" s="109">
        <v>120</v>
      </c>
      <c r="AE1412" s="109"/>
      <c r="AF1412" s="109"/>
      <c r="AG1412" s="109"/>
      <c r="AH1412" s="109">
        <v>19252.55</v>
      </c>
      <c r="AI1412" s="109" t="s">
        <v>482</v>
      </c>
      <c r="AJ1412" s="109"/>
      <c r="AK1412" s="109">
        <v>3.12</v>
      </c>
      <c r="AL1412" s="109"/>
      <c r="AM1412" s="640">
        <f t="shared" si="26"/>
        <v>20311.971999999998</v>
      </c>
      <c r="AO1412" s="289"/>
    </row>
    <row r="1413" spans="1:42" s="61" customFormat="1" ht="22.5" customHeight="1" x14ac:dyDescent="0.3">
      <c r="A1413" s="706"/>
      <c r="B1413" s="117" t="s">
        <v>326</v>
      </c>
      <c r="C1413" s="140">
        <v>140.95599999999999</v>
      </c>
      <c r="D1413" s="110"/>
      <c r="E1413" s="110"/>
      <c r="F1413" s="264">
        <v>10762</v>
      </c>
      <c r="G1413" s="110">
        <v>295</v>
      </c>
      <c r="H1413" s="110"/>
      <c r="I1413" s="124">
        <v>37</v>
      </c>
      <c r="J1413" s="110"/>
      <c r="K1413" s="110"/>
      <c r="L1413" s="264"/>
      <c r="M1413" s="110"/>
      <c r="N1413" s="124">
        <v>596.42499999999995</v>
      </c>
      <c r="O1413" s="110"/>
      <c r="P1413" s="110"/>
      <c r="Q1413" s="110"/>
      <c r="R1413" s="110"/>
      <c r="S1413" s="110">
        <v>115</v>
      </c>
      <c r="T1413" s="141"/>
      <c r="U1413" s="140">
        <v>1.661</v>
      </c>
      <c r="V1413" s="110"/>
      <c r="W1413" s="110"/>
      <c r="X1413" s="110"/>
      <c r="Y1413" s="110">
        <v>260</v>
      </c>
      <c r="Z1413" s="110">
        <v>248</v>
      </c>
      <c r="AA1413" s="110"/>
      <c r="AB1413" s="110">
        <v>22</v>
      </c>
      <c r="AC1413" s="110"/>
      <c r="AD1413" s="110">
        <v>148</v>
      </c>
      <c r="AE1413" s="110"/>
      <c r="AF1413" s="110"/>
      <c r="AG1413" s="110"/>
      <c r="AH1413" s="110">
        <v>6274.50299</v>
      </c>
      <c r="AI1413" s="110" t="s">
        <v>482</v>
      </c>
      <c r="AJ1413" s="110"/>
      <c r="AK1413" s="110">
        <v>4</v>
      </c>
      <c r="AL1413" s="110"/>
      <c r="AM1413" s="641">
        <f t="shared" si="26"/>
        <v>18904.544989999999</v>
      </c>
      <c r="AO1413" s="289"/>
      <c r="AP1413" s="97"/>
    </row>
    <row r="1414" spans="1:42" s="61" customFormat="1" ht="25.5" customHeight="1" x14ac:dyDescent="0.3">
      <c r="A1414" s="706"/>
      <c r="B1414" s="175" t="s">
        <v>327</v>
      </c>
      <c r="C1414" s="176">
        <v>246.75399999999999</v>
      </c>
      <c r="D1414" s="127"/>
      <c r="E1414" s="127"/>
      <c r="F1414" s="265"/>
      <c r="G1414" s="127">
        <v>219</v>
      </c>
      <c r="H1414" s="127"/>
      <c r="I1414" s="178"/>
      <c r="J1414" s="127"/>
      <c r="K1414" s="127"/>
      <c r="L1414" s="265">
        <v>689</v>
      </c>
      <c r="M1414" s="127"/>
      <c r="N1414" s="178">
        <v>185.30699999999999</v>
      </c>
      <c r="O1414" s="127"/>
      <c r="P1414" s="127"/>
      <c r="Q1414" s="127"/>
      <c r="R1414" s="127"/>
      <c r="S1414" s="127">
        <v>1495</v>
      </c>
      <c r="T1414" s="177"/>
      <c r="U1414" s="176">
        <v>19.321000000000002</v>
      </c>
      <c r="V1414" s="127"/>
      <c r="W1414" s="127"/>
      <c r="X1414" s="127">
        <v>10</v>
      </c>
      <c r="Y1414" s="127">
        <v>382</v>
      </c>
      <c r="Z1414" s="127">
        <v>210.51146000000003</v>
      </c>
      <c r="AA1414" s="127"/>
      <c r="AB1414" s="127">
        <v>33</v>
      </c>
      <c r="AC1414" s="127"/>
      <c r="AD1414" s="127">
        <v>174</v>
      </c>
      <c r="AE1414" s="127"/>
      <c r="AF1414" s="127"/>
      <c r="AG1414" s="127"/>
      <c r="AH1414" s="127">
        <v>5384.62</v>
      </c>
      <c r="AI1414" s="127" t="s">
        <v>482</v>
      </c>
      <c r="AJ1414" s="127"/>
      <c r="AK1414" s="127">
        <v>4</v>
      </c>
      <c r="AL1414" s="127"/>
      <c r="AM1414" s="642">
        <f t="shared" si="26"/>
        <v>9052.5134600000001</v>
      </c>
      <c r="AO1414" s="289"/>
    </row>
    <row r="1415" spans="1:42" s="61" customFormat="1" ht="25.5" customHeight="1" x14ac:dyDescent="0.3">
      <c r="A1415" s="706"/>
      <c r="B1415" s="180" t="s">
        <v>361</v>
      </c>
      <c r="C1415" s="300">
        <v>496</v>
      </c>
      <c r="D1415" s="173"/>
      <c r="E1415" s="173"/>
      <c r="F1415" s="266">
        <v>327</v>
      </c>
      <c r="G1415" s="173">
        <f>219+19</f>
        <v>238</v>
      </c>
      <c r="H1415" s="173"/>
      <c r="I1415" s="174"/>
      <c r="J1415" s="173"/>
      <c r="K1415" s="173"/>
      <c r="L1415" s="266">
        <v>650</v>
      </c>
      <c r="M1415" s="173"/>
      <c r="N1415" s="174">
        <v>47.067999999999998</v>
      </c>
      <c r="O1415" s="173"/>
      <c r="P1415" s="173"/>
      <c r="Q1415" s="173"/>
      <c r="R1415" s="173"/>
      <c r="S1415" s="173">
        <v>2750</v>
      </c>
      <c r="T1415" s="327">
        <v>150</v>
      </c>
      <c r="U1415" s="300">
        <v>26.404</v>
      </c>
      <c r="V1415" s="173">
        <f>85000/1000</f>
        <v>85</v>
      </c>
      <c r="W1415" s="173"/>
      <c r="X1415" s="173"/>
      <c r="Y1415" s="173">
        <v>462</v>
      </c>
      <c r="Z1415" s="173">
        <v>272.95359999999999</v>
      </c>
      <c r="AA1415" s="173"/>
      <c r="AB1415" s="173">
        <v>81</v>
      </c>
      <c r="AC1415" s="173">
        <v>4</v>
      </c>
      <c r="AD1415" s="173">
        <v>159</v>
      </c>
      <c r="AE1415" s="173"/>
      <c r="AF1415" s="173"/>
      <c r="AG1415" s="173"/>
      <c r="AH1415" s="173">
        <v>1112</v>
      </c>
      <c r="AI1415" s="173">
        <v>10</v>
      </c>
      <c r="AJ1415" s="173"/>
      <c r="AK1415" s="173">
        <v>31</v>
      </c>
      <c r="AL1415" s="173"/>
      <c r="AM1415" s="643">
        <f t="shared" si="26"/>
        <v>6901.4256000000005</v>
      </c>
      <c r="AO1415" s="289"/>
      <c r="AP1415" s="97"/>
    </row>
    <row r="1416" spans="1:42" s="61" customFormat="1" ht="25.5" customHeight="1" x14ac:dyDescent="0.3">
      <c r="A1416" s="706"/>
      <c r="B1416" s="180" t="s">
        <v>362</v>
      </c>
      <c r="C1416" s="300">
        <v>330</v>
      </c>
      <c r="D1416" s="173"/>
      <c r="E1416" s="173">
        <v>4</v>
      </c>
      <c r="F1416" s="266">
        <v>2724</v>
      </c>
      <c r="G1416" s="173">
        <f>226+136</f>
        <v>362</v>
      </c>
      <c r="H1416" s="173">
        <v>668</v>
      </c>
      <c r="I1416" s="174"/>
      <c r="J1416" s="173"/>
      <c r="K1416" s="173"/>
      <c r="L1416" s="266">
        <v>850</v>
      </c>
      <c r="M1416" s="173">
        <v>64.23</v>
      </c>
      <c r="N1416" s="174">
        <v>50.561999999999998</v>
      </c>
      <c r="O1416" s="173"/>
      <c r="P1416" s="173"/>
      <c r="Q1416" s="173"/>
      <c r="R1416" s="173"/>
      <c r="S1416" s="173">
        <v>1555</v>
      </c>
      <c r="T1416" s="327">
        <v>100</v>
      </c>
      <c r="U1416" s="300">
        <v>42.533000000000001</v>
      </c>
      <c r="V1416" s="173"/>
      <c r="W1416" s="173"/>
      <c r="X1416" s="173">
        <v>133</v>
      </c>
      <c r="Y1416" s="173">
        <v>268</v>
      </c>
      <c r="Z1416" s="173">
        <v>441.85742999999997</v>
      </c>
      <c r="AA1416" s="173"/>
      <c r="AB1416" s="173">
        <v>175</v>
      </c>
      <c r="AC1416" s="173"/>
      <c r="AD1416" s="173">
        <v>133</v>
      </c>
      <c r="AE1416" s="173"/>
      <c r="AF1416" s="173"/>
      <c r="AG1416" s="173"/>
      <c r="AH1416" s="173">
        <v>384</v>
      </c>
      <c r="AI1416" s="173">
        <v>36</v>
      </c>
      <c r="AJ1416" s="173">
        <v>5</v>
      </c>
      <c r="AK1416" s="173">
        <v>60</v>
      </c>
      <c r="AL1416" s="173"/>
      <c r="AM1416" s="644">
        <f t="shared" si="26"/>
        <v>8386.1824300000007</v>
      </c>
      <c r="AO1416" s="289"/>
      <c r="AP1416" s="97"/>
    </row>
    <row r="1417" spans="1:42" s="61" customFormat="1" ht="22.5" customHeight="1" x14ac:dyDescent="0.3">
      <c r="A1417" s="706"/>
      <c r="B1417" s="115" t="s">
        <v>402</v>
      </c>
      <c r="C1417" s="142">
        <v>296.99349999999998</v>
      </c>
      <c r="D1417" s="111"/>
      <c r="E1417" s="111">
        <v>25</v>
      </c>
      <c r="F1417" s="267">
        <v>70.599999999999994</v>
      </c>
      <c r="G1417" s="111"/>
      <c r="H1417" s="111">
        <v>570</v>
      </c>
      <c r="I1417" s="125"/>
      <c r="J1417" s="111"/>
      <c r="K1417" s="111"/>
      <c r="L1417" s="267">
        <v>2763</v>
      </c>
      <c r="M1417" s="111">
        <v>14.896409999999999</v>
      </c>
      <c r="N1417" s="125"/>
      <c r="O1417" s="111"/>
      <c r="P1417" s="111">
        <v>150</v>
      </c>
      <c r="Q1417" s="111"/>
      <c r="R1417" s="111"/>
      <c r="S1417" s="111">
        <v>3401</v>
      </c>
      <c r="T1417" s="143">
        <v>0</v>
      </c>
      <c r="U1417" s="142">
        <v>2.5</v>
      </c>
      <c r="V1417" s="111"/>
      <c r="W1417" s="111"/>
      <c r="X1417" s="111">
        <v>45</v>
      </c>
      <c r="Y1417" s="111">
        <v>145.98500000000001</v>
      </c>
      <c r="Z1417" s="111">
        <v>437</v>
      </c>
      <c r="AA1417" s="111">
        <v>1255</v>
      </c>
      <c r="AB1417" s="111">
        <v>228.8</v>
      </c>
      <c r="AC1417" s="111">
        <v>3</v>
      </c>
      <c r="AD1417" s="111">
        <v>148</v>
      </c>
      <c r="AE1417" s="111"/>
      <c r="AF1417" s="111"/>
      <c r="AG1417" s="111"/>
      <c r="AH1417" s="111">
        <v>315.36399999999998</v>
      </c>
      <c r="AI1417" s="111" t="s">
        <v>482</v>
      </c>
      <c r="AJ1417" s="111"/>
      <c r="AK1417" s="111">
        <f>139.308/1.097</f>
        <v>126.98997265268915</v>
      </c>
      <c r="AL1417" s="111"/>
      <c r="AM1417" s="645">
        <f t="shared" si="26"/>
        <v>9999.1288826526888</v>
      </c>
      <c r="AO1417" s="289"/>
    </row>
    <row r="1418" spans="1:42" s="61" customFormat="1" ht="21" customHeight="1" x14ac:dyDescent="0.3">
      <c r="A1418" s="707"/>
      <c r="B1418" s="181" t="s">
        <v>403</v>
      </c>
      <c r="C1418" s="144">
        <v>514.27304000000004</v>
      </c>
      <c r="D1418" s="112"/>
      <c r="E1418" s="112">
        <v>25</v>
      </c>
      <c r="F1418" s="268">
        <v>1207.2</v>
      </c>
      <c r="G1418" s="112"/>
      <c r="H1418" s="112"/>
      <c r="I1418" s="126"/>
      <c r="J1418" s="112"/>
      <c r="K1418" s="112"/>
      <c r="L1418" s="268">
        <v>1797.8999999999999</v>
      </c>
      <c r="M1418" s="112">
        <v>50</v>
      </c>
      <c r="N1418" s="126"/>
      <c r="O1418" s="112"/>
      <c r="P1418" s="112">
        <v>0</v>
      </c>
      <c r="Q1418" s="112"/>
      <c r="R1418" s="112"/>
      <c r="S1418" s="112">
        <v>2457.8709740000004</v>
      </c>
      <c r="T1418" s="145">
        <v>192</v>
      </c>
      <c r="U1418" s="144">
        <v>21.06</v>
      </c>
      <c r="V1418" s="112"/>
      <c r="W1418" s="112"/>
      <c r="X1418" s="112">
        <v>45</v>
      </c>
      <c r="Y1418" s="112"/>
      <c r="Z1418" s="112">
        <v>806</v>
      </c>
      <c r="AA1418" s="112">
        <v>2706</v>
      </c>
      <c r="AB1418" s="112">
        <v>115</v>
      </c>
      <c r="AC1418" s="112">
        <v>95</v>
      </c>
      <c r="AD1418" s="112">
        <v>236</v>
      </c>
      <c r="AE1418" s="112"/>
      <c r="AF1418" s="112"/>
      <c r="AG1418" s="112"/>
      <c r="AH1418" s="112">
        <v>672.20699999999999</v>
      </c>
      <c r="AI1418" s="112" t="s">
        <v>482</v>
      </c>
      <c r="AJ1418" s="112"/>
      <c r="AK1418" s="112">
        <f>133.563/1.001</f>
        <v>133.42957042957042</v>
      </c>
      <c r="AL1418" s="112"/>
      <c r="AM1418" s="646">
        <f t="shared" si="26"/>
        <v>11073.940584429572</v>
      </c>
      <c r="AO1418" s="289"/>
    </row>
    <row r="1419" spans="1:42" s="61" customFormat="1" ht="21" customHeight="1" x14ac:dyDescent="0.3">
      <c r="A1419" s="705" t="s">
        <v>257</v>
      </c>
      <c r="B1419" s="179" t="s">
        <v>293</v>
      </c>
      <c r="C1419" s="135">
        <v>1194.2</v>
      </c>
      <c r="D1419" s="136"/>
      <c r="E1419" s="136"/>
      <c r="F1419" s="262">
        <v>3077.7429999999999</v>
      </c>
      <c r="G1419" s="136">
        <v>512</v>
      </c>
      <c r="H1419" s="136">
        <v>35</v>
      </c>
      <c r="I1419" s="326"/>
      <c r="J1419" s="136"/>
      <c r="K1419" s="136"/>
      <c r="L1419" s="262">
        <v>2664.02</v>
      </c>
      <c r="M1419" s="136"/>
      <c r="N1419" s="326">
        <v>36.51</v>
      </c>
      <c r="O1419" s="136"/>
      <c r="P1419" s="136"/>
      <c r="Q1419" s="136">
        <v>1369</v>
      </c>
      <c r="R1419" s="136"/>
      <c r="S1419" s="136">
        <v>5956.5119999999997</v>
      </c>
      <c r="T1419" s="137">
        <v>596.625</v>
      </c>
      <c r="U1419" s="632">
        <v>319.35300000000001</v>
      </c>
      <c r="V1419" s="122"/>
      <c r="W1419" s="122"/>
      <c r="X1419" s="122">
        <v>85</v>
      </c>
      <c r="Y1419" s="122">
        <v>2980</v>
      </c>
      <c r="Z1419" s="122">
        <v>22834</v>
      </c>
      <c r="AA1419" s="122">
        <v>704.03750000000002</v>
      </c>
      <c r="AB1419" s="122"/>
      <c r="AC1419" s="122">
        <v>700.04300000000001</v>
      </c>
      <c r="AD1419" s="122">
        <v>3068</v>
      </c>
      <c r="AE1419" s="122"/>
      <c r="AF1419" s="122">
        <v>94.354791231732804</v>
      </c>
      <c r="AG1419" s="122">
        <v>4.9000000000000004</v>
      </c>
      <c r="AH1419" s="122">
        <v>2778.24</v>
      </c>
      <c r="AI1419" s="122">
        <v>1412</v>
      </c>
      <c r="AJ1419" s="122"/>
      <c r="AK1419" s="122">
        <v>177.5</v>
      </c>
      <c r="AL1419" s="122">
        <v>98.523489932885909</v>
      </c>
      <c r="AM1419" s="639">
        <f t="shared" si="26"/>
        <v>50697.561781164615</v>
      </c>
      <c r="AO1419" s="289"/>
    </row>
    <row r="1420" spans="1:42" s="61" customFormat="1" ht="19.5" customHeight="1" x14ac:dyDescent="0.3">
      <c r="A1420" s="706"/>
      <c r="B1420" s="116" t="s">
        <v>294</v>
      </c>
      <c r="C1420" s="138">
        <v>2157.56</v>
      </c>
      <c r="D1420" s="109"/>
      <c r="E1420" s="109"/>
      <c r="F1420" s="263">
        <v>4223.9399999999996</v>
      </c>
      <c r="G1420" s="109">
        <v>1572</v>
      </c>
      <c r="H1420" s="109">
        <v>76</v>
      </c>
      <c r="I1420" s="123"/>
      <c r="J1420" s="109"/>
      <c r="K1420" s="109"/>
      <c r="L1420" s="263">
        <v>2924.9920000000002</v>
      </c>
      <c r="M1420" s="109"/>
      <c r="N1420" s="123"/>
      <c r="O1420" s="109"/>
      <c r="P1420" s="109">
        <v>112</v>
      </c>
      <c r="Q1420" s="109">
        <v>576</v>
      </c>
      <c r="R1420" s="109"/>
      <c r="S1420" s="109">
        <v>6852.9080000000004</v>
      </c>
      <c r="T1420" s="139">
        <v>678.83</v>
      </c>
      <c r="U1420" s="138">
        <v>877.697</v>
      </c>
      <c r="V1420" s="109">
        <f>59923/1000</f>
        <v>59.923000000000002</v>
      </c>
      <c r="W1420" s="109"/>
      <c r="X1420" s="109">
        <v>103</v>
      </c>
      <c r="Y1420" s="109">
        <v>3993</v>
      </c>
      <c r="Z1420" s="109">
        <v>28759</v>
      </c>
      <c r="AA1420" s="109">
        <v>541.27607999999998</v>
      </c>
      <c r="AB1420" s="109"/>
      <c r="AC1420" s="109">
        <v>1070.127</v>
      </c>
      <c r="AD1420" s="109">
        <v>3426</v>
      </c>
      <c r="AE1420" s="109"/>
      <c r="AF1420" s="109">
        <v>115.03433208489388</v>
      </c>
      <c r="AG1420" s="109">
        <v>29.05</v>
      </c>
      <c r="AH1420" s="109">
        <v>4489.1899999999996</v>
      </c>
      <c r="AI1420" s="109">
        <v>3286</v>
      </c>
      <c r="AJ1420" s="109"/>
      <c r="AK1420" s="109">
        <v>235.67</v>
      </c>
      <c r="AL1420" s="109">
        <v>234.23076923076923</v>
      </c>
      <c r="AM1420" s="640">
        <f t="shared" si="26"/>
        <v>66393.42818131567</v>
      </c>
      <c r="AO1420" s="289"/>
    </row>
    <row r="1421" spans="1:42" s="61" customFormat="1" ht="22.5" customHeight="1" x14ac:dyDescent="0.3">
      <c r="A1421" s="706"/>
      <c r="B1421" s="117" t="s">
        <v>326</v>
      </c>
      <c r="C1421" s="140">
        <v>2182.5749999999998</v>
      </c>
      <c r="D1421" s="110"/>
      <c r="E1421" s="110"/>
      <c r="F1421" s="264">
        <v>5318</v>
      </c>
      <c r="G1421" s="110">
        <v>1150</v>
      </c>
      <c r="H1421" s="110">
        <v>134</v>
      </c>
      <c r="I1421" s="124"/>
      <c r="J1421" s="110"/>
      <c r="K1421" s="110"/>
      <c r="L1421" s="264">
        <v>3153</v>
      </c>
      <c r="M1421" s="110"/>
      <c r="N1421" s="124"/>
      <c r="O1421" s="110"/>
      <c r="P1421" s="110">
        <v>134</v>
      </c>
      <c r="Q1421" s="110">
        <v>260</v>
      </c>
      <c r="R1421" s="110"/>
      <c r="S1421" s="110">
        <v>1460</v>
      </c>
      <c r="T1421" s="141"/>
      <c r="U1421" s="140">
        <v>774.40499999999997</v>
      </c>
      <c r="V1421" s="110">
        <f>118719/1000</f>
        <v>118.71899999999999</v>
      </c>
      <c r="W1421" s="110"/>
      <c r="X1421" s="110">
        <v>109</v>
      </c>
      <c r="Y1421" s="110">
        <v>12902</v>
      </c>
      <c r="Z1421" s="110">
        <v>33042</v>
      </c>
      <c r="AA1421" s="110">
        <v>206.16167999999999</v>
      </c>
      <c r="AB1421" s="110"/>
      <c r="AC1421" s="110">
        <v>257.48</v>
      </c>
      <c r="AD1421" s="110">
        <v>5494</v>
      </c>
      <c r="AE1421" s="110"/>
      <c r="AF1421" s="110">
        <v>125.04459972862958</v>
      </c>
      <c r="AG1421" s="110"/>
      <c r="AH1421" s="110">
        <v>21705.733499999998</v>
      </c>
      <c r="AI1421" s="110">
        <v>2366</v>
      </c>
      <c r="AJ1421" s="110">
        <v>331</v>
      </c>
      <c r="AK1421" s="110">
        <v>129</v>
      </c>
      <c r="AL1421" s="110">
        <v>259.36842105263162</v>
      </c>
      <c r="AM1421" s="641">
        <f t="shared" si="26"/>
        <v>91611.487200781252</v>
      </c>
      <c r="AO1421" s="289"/>
      <c r="AP1421" s="97"/>
    </row>
    <row r="1422" spans="1:42" s="61" customFormat="1" ht="25.5" customHeight="1" x14ac:dyDescent="0.3">
      <c r="A1422" s="706"/>
      <c r="B1422" s="175" t="s">
        <v>327</v>
      </c>
      <c r="C1422" s="176">
        <v>5109.107</v>
      </c>
      <c r="D1422" s="127"/>
      <c r="E1422" s="127"/>
      <c r="F1422" s="265">
        <v>8042</v>
      </c>
      <c r="G1422" s="127">
        <v>2601</v>
      </c>
      <c r="H1422" s="127">
        <v>1051</v>
      </c>
      <c r="I1422" s="178"/>
      <c r="J1422" s="127"/>
      <c r="K1422" s="127"/>
      <c r="L1422" s="265">
        <v>5087</v>
      </c>
      <c r="M1422" s="127"/>
      <c r="N1422" s="178"/>
      <c r="O1422" s="127"/>
      <c r="P1422" s="127"/>
      <c r="Q1422" s="127">
        <v>1125</v>
      </c>
      <c r="R1422" s="127"/>
      <c r="S1422" s="127">
        <v>5120</v>
      </c>
      <c r="T1422" s="177"/>
      <c r="U1422" s="176">
        <v>2142.8760000000002</v>
      </c>
      <c r="V1422" s="127">
        <f>318701/1000-V1421</f>
        <v>199.98200000000003</v>
      </c>
      <c r="W1422" s="127">
        <v>706</v>
      </c>
      <c r="X1422" s="127">
        <v>152</v>
      </c>
      <c r="Y1422" s="127">
        <v>15110</v>
      </c>
      <c r="Z1422" s="127">
        <v>53114</v>
      </c>
      <c r="AA1422" s="127">
        <v>795.84100000000001</v>
      </c>
      <c r="AB1422" s="127"/>
      <c r="AC1422" s="127">
        <v>862.80499999999995</v>
      </c>
      <c r="AD1422" s="127">
        <v>6992</v>
      </c>
      <c r="AE1422" s="127"/>
      <c r="AF1422" s="127">
        <v>863.24566863905329</v>
      </c>
      <c r="AG1422" s="127"/>
      <c r="AH1422" s="127">
        <v>11163.02</v>
      </c>
      <c r="AI1422" s="127">
        <v>4734</v>
      </c>
      <c r="AJ1422" s="127">
        <v>294</v>
      </c>
      <c r="AK1422" s="127">
        <v>253</v>
      </c>
      <c r="AL1422" s="127">
        <v>376.91603053435114</v>
      </c>
      <c r="AM1422" s="642">
        <f t="shared" si="26"/>
        <v>125894.7926991734</v>
      </c>
      <c r="AO1422" s="289"/>
    </row>
    <row r="1423" spans="1:42" s="61" customFormat="1" ht="25.5" customHeight="1" x14ac:dyDescent="0.3">
      <c r="A1423" s="706"/>
      <c r="B1423" s="180" t="s">
        <v>361</v>
      </c>
      <c r="C1423" s="300">
        <v>26875.412909999999</v>
      </c>
      <c r="D1423" s="173"/>
      <c r="E1423" s="173"/>
      <c r="F1423" s="266">
        <v>17866</v>
      </c>
      <c r="G1423" s="173">
        <f>1884+1839</f>
        <v>3723</v>
      </c>
      <c r="H1423" s="173"/>
      <c r="I1423" s="174"/>
      <c r="J1423" s="173"/>
      <c r="K1423" s="173">
        <v>2630</v>
      </c>
      <c r="L1423" s="266">
        <v>5863</v>
      </c>
      <c r="M1423" s="173">
        <v>31.5</v>
      </c>
      <c r="N1423" s="174">
        <v>1521.1130000000001</v>
      </c>
      <c r="O1423" s="173"/>
      <c r="P1423" s="173">
        <v>200</v>
      </c>
      <c r="Q1423" s="173">
        <v>4368</v>
      </c>
      <c r="R1423" s="173">
        <v>0</v>
      </c>
      <c r="S1423" s="173">
        <v>34536</v>
      </c>
      <c r="T1423" s="327">
        <v>734.5</v>
      </c>
      <c r="U1423" s="300">
        <v>6218.6390000000001</v>
      </c>
      <c r="V1423" s="173">
        <f>(126904+780340)/1000</f>
        <v>907.24400000000003</v>
      </c>
      <c r="W1423" s="173">
        <v>1821</v>
      </c>
      <c r="X1423" s="173">
        <v>182</v>
      </c>
      <c r="Y1423" s="173">
        <v>27875</v>
      </c>
      <c r="Z1423" s="173">
        <v>92242.048039999994</v>
      </c>
      <c r="AA1423" s="173">
        <f>144.59239+656</f>
        <v>800.59239000000002</v>
      </c>
      <c r="AB1423" s="173">
        <v>293</v>
      </c>
      <c r="AC1423" s="173">
        <f>952+402</f>
        <v>1354</v>
      </c>
      <c r="AD1423" s="173">
        <v>14500</v>
      </c>
      <c r="AE1423" s="173"/>
      <c r="AF1423" s="173">
        <v>121</v>
      </c>
      <c r="AG1423" s="173"/>
      <c r="AH1423" s="173">
        <v>16829</v>
      </c>
      <c r="AI1423" s="173">
        <v>16870</v>
      </c>
      <c r="AJ1423" s="173">
        <v>386</v>
      </c>
      <c r="AK1423" s="173">
        <v>1416</v>
      </c>
      <c r="AL1423" s="173">
        <v>440.36033057851239</v>
      </c>
      <c r="AM1423" s="643">
        <f t="shared" si="26"/>
        <v>280604.40967057855</v>
      </c>
      <c r="AO1423" s="289"/>
      <c r="AP1423" s="97"/>
    </row>
    <row r="1424" spans="1:42" s="61" customFormat="1" ht="25.5" customHeight="1" x14ac:dyDescent="0.3">
      <c r="A1424" s="706"/>
      <c r="B1424" s="180" t="s">
        <v>362</v>
      </c>
      <c r="C1424" s="300">
        <v>49906.041080000003</v>
      </c>
      <c r="D1424" s="173"/>
      <c r="E1424" s="173"/>
      <c r="F1424" s="266">
        <v>61010</v>
      </c>
      <c r="G1424" s="173">
        <f>1945+1668</f>
        <v>3613</v>
      </c>
      <c r="H1424" s="173"/>
      <c r="I1424" s="174"/>
      <c r="J1424" s="173"/>
      <c r="K1424" s="173">
        <v>2829</v>
      </c>
      <c r="L1424" s="266">
        <v>13696</v>
      </c>
      <c r="M1424" s="173"/>
      <c r="N1424" s="174">
        <v>5952.1130000000003</v>
      </c>
      <c r="O1424" s="173"/>
      <c r="P1424" s="173"/>
      <c r="Q1424" s="173">
        <v>23313</v>
      </c>
      <c r="R1424" s="173">
        <v>1325</v>
      </c>
      <c r="S1424" s="173">
        <v>110313</v>
      </c>
      <c r="T1424" s="327">
        <v>8958</v>
      </c>
      <c r="U1424" s="300">
        <v>10273.285</v>
      </c>
      <c r="V1424" s="173">
        <f>(947946+4735476)/1000-V1423</f>
        <v>4776.1779999999999</v>
      </c>
      <c r="W1424" s="173">
        <v>11370</v>
      </c>
      <c r="X1424" s="173">
        <v>18381</v>
      </c>
      <c r="Y1424" s="173">
        <v>33550</v>
      </c>
      <c r="Z1424" s="173">
        <v>124591.21088</v>
      </c>
      <c r="AA1424" s="173">
        <v>2.0960899999999998</v>
      </c>
      <c r="AB1424" s="173">
        <v>1132</v>
      </c>
      <c r="AC1424" s="173">
        <f>1900-952+1167+1</f>
        <v>2116</v>
      </c>
      <c r="AD1424" s="173">
        <v>16580</v>
      </c>
      <c r="AE1424" s="173"/>
      <c r="AF1424" s="173">
        <v>134</v>
      </c>
      <c r="AG1424" s="173"/>
      <c r="AH1424" s="173">
        <v>29687</v>
      </c>
      <c r="AI1424" s="173">
        <v>19850</v>
      </c>
      <c r="AJ1424" s="173">
        <v>452</v>
      </c>
      <c r="AK1424" s="173">
        <v>3388</v>
      </c>
      <c r="AL1424" s="173">
        <v>650.38592857142851</v>
      </c>
      <c r="AM1424" s="644">
        <f t="shared" si="26"/>
        <v>557848.30997857149</v>
      </c>
      <c r="AO1424" s="289"/>
      <c r="AP1424" s="97"/>
    </row>
    <row r="1425" spans="1:42" s="61" customFormat="1" ht="22.5" customHeight="1" x14ac:dyDescent="0.3">
      <c r="A1425" s="706"/>
      <c r="B1425" s="115" t="s">
        <v>402</v>
      </c>
      <c r="C1425" s="142">
        <v>81990.624190000002</v>
      </c>
      <c r="D1425" s="111"/>
      <c r="E1425" s="111"/>
      <c r="F1425" s="267">
        <v>62522.2</v>
      </c>
      <c r="G1425" s="111">
        <v>1142</v>
      </c>
      <c r="H1425" s="111">
        <v>88</v>
      </c>
      <c r="I1425" s="125"/>
      <c r="J1425" s="111"/>
      <c r="K1425" s="111">
        <v>4667</v>
      </c>
      <c r="L1425" s="267">
        <v>12211</v>
      </c>
      <c r="M1425" s="111">
        <v>37.481999999999999</v>
      </c>
      <c r="N1425" s="125"/>
      <c r="O1425" s="111">
        <v>369</v>
      </c>
      <c r="P1425" s="111">
        <v>1066</v>
      </c>
      <c r="Q1425" s="111">
        <v>22433</v>
      </c>
      <c r="R1425" s="111">
        <v>1107</v>
      </c>
      <c r="S1425" s="111">
        <v>112546.34149000001</v>
      </c>
      <c r="T1425" s="143">
        <v>18852.939999999999</v>
      </c>
      <c r="U1425" s="142">
        <v>14514.436</v>
      </c>
      <c r="V1425" s="111">
        <f>2773525.1/1000</f>
        <v>2773.5251000000003</v>
      </c>
      <c r="W1425" s="111">
        <v>17673</v>
      </c>
      <c r="X1425" s="111">
        <v>19054</v>
      </c>
      <c r="Y1425" s="111">
        <v>36059.345000000001</v>
      </c>
      <c r="Z1425" s="111">
        <v>95419</v>
      </c>
      <c r="AA1425" s="111">
        <v>4057</v>
      </c>
      <c r="AB1425" s="111">
        <v>1295.3</v>
      </c>
      <c r="AC1425" s="111">
        <v>2459</v>
      </c>
      <c r="AD1425" s="111">
        <f>15747+557+422+97+572+41+3+129+13+16</f>
        <v>17597</v>
      </c>
      <c r="AE1425" s="111"/>
      <c r="AF1425" s="111">
        <v>489.96911188841204</v>
      </c>
      <c r="AG1425" s="111"/>
      <c r="AH1425" s="111">
        <v>118239.166</v>
      </c>
      <c r="AI1425" s="111">
        <v>29556</v>
      </c>
      <c r="AJ1425" s="111">
        <v>451</v>
      </c>
      <c r="AK1425" s="111">
        <f>4535.148/1.097</f>
        <v>4134.1367365542392</v>
      </c>
      <c r="AL1425" s="111">
        <v>679.44464285714287</v>
      </c>
      <c r="AM1425" s="645">
        <f t="shared" si="26"/>
        <v>683483.91027129989</v>
      </c>
      <c r="AO1425" s="289"/>
    </row>
    <row r="1426" spans="1:42" s="61" customFormat="1" ht="21" customHeight="1" x14ac:dyDescent="0.3">
      <c r="A1426" s="707"/>
      <c r="B1426" s="181" t="s">
        <v>403</v>
      </c>
      <c r="C1426" s="144">
        <v>77343.351349999997</v>
      </c>
      <c r="D1426" s="112"/>
      <c r="E1426" s="112">
        <v>179</v>
      </c>
      <c r="F1426" s="268">
        <v>86146.8</v>
      </c>
      <c r="G1426" s="112">
        <v>2058</v>
      </c>
      <c r="H1426" s="112">
        <v>129</v>
      </c>
      <c r="I1426" s="126"/>
      <c r="J1426" s="112"/>
      <c r="K1426" s="112">
        <v>2846</v>
      </c>
      <c r="L1426" s="268">
        <v>12814.6</v>
      </c>
      <c r="M1426" s="112">
        <v>42.013589999999994</v>
      </c>
      <c r="N1426" s="126"/>
      <c r="O1426" s="112">
        <v>216</v>
      </c>
      <c r="P1426" s="112">
        <v>392</v>
      </c>
      <c r="Q1426" s="112">
        <v>23918</v>
      </c>
      <c r="R1426" s="112">
        <f>1767-R1425</f>
        <v>660</v>
      </c>
      <c r="S1426" s="112">
        <v>149401.13464199999</v>
      </c>
      <c r="T1426" s="145">
        <v>1923.89</v>
      </c>
      <c r="U1426" s="144">
        <v>15661.615</v>
      </c>
      <c r="V1426" s="112">
        <f>(640265+5402996+38700-235394)/1000-V1425</f>
        <v>3073.0418999999997</v>
      </c>
      <c r="W1426" s="112">
        <f>40717-17673</f>
        <v>23044</v>
      </c>
      <c r="X1426" s="112">
        <v>15991</v>
      </c>
      <c r="Y1426" s="112">
        <v>39539.195</v>
      </c>
      <c r="Z1426" s="112">
        <v>100178</v>
      </c>
      <c r="AA1426" s="112">
        <v>453</v>
      </c>
      <c r="AB1426" s="112"/>
      <c r="AC1426" s="112">
        <v>708</v>
      </c>
      <c r="AD1426" s="112">
        <f>35475+1364+823+261+894+38+437+35+48+112+214+12+7+128+340+18+7+52+127-AD1425+247</f>
        <v>23042</v>
      </c>
      <c r="AE1426" s="112">
        <v>71</v>
      </c>
      <c r="AF1426" s="112">
        <v>565.97890331890346</v>
      </c>
      <c r="AG1426" s="112"/>
      <c r="AH1426" s="112">
        <v>215347.08</v>
      </c>
      <c r="AI1426" s="112">
        <v>29557</v>
      </c>
      <c r="AJ1426" s="112">
        <v>458</v>
      </c>
      <c r="AK1426" s="112">
        <f>4973.059/1.001</f>
        <v>4968.0909090909099</v>
      </c>
      <c r="AL1426" s="112">
        <v>475</v>
      </c>
      <c r="AM1426" s="646">
        <f t="shared" si="26"/>
        <v>831201.79129440978</v>
      </c>
      <c r="AO1426" s="289"/>
    </row>
    <row r="1427" spans="1:42" s="61" customFormat="1" ht="21" customHeight="1" x14ac:dyDescent="0.3">
      <c r="A1427" s="705" t="s">
        <v>258</v>
      </c>
      <c r="B1427" s="179" t="s">
        <v>293</v>
      </c>
      <c r="C1427" s="135">
        <v>13.99</v>
      </c>
      <c r="D1427" s="136"/>
      <c r="E1427" s="136"/>
      <c r="F1427" s="262"/>
      <c r="G1427" s="136">
        <v>6</v>
      </c>
      <c r="H1427" s="136"/>
      <c r="I1427" s="326"/>
      <c r="J1427" s="136"/>
      <c r="K1427" s="136"/>
      <c r="L1427" s="262"/>
      <c r="M1427" s="136"/>
      <c r="N1427" s="326"/>
      <c r="O1427" s="136"/>
      <c r="P1427" s="136"/>
      <c r="Q1427" s="136"/>
      <c r="R1427" s="136"/>
      <c r="S1427" s="136"/>
      <c r="T1427" s="137">
        <v>5</v>
      </c>
      <c r="U1427" s="632"/>
      <c r="V1427" s="122"/>
      <c r="W1427" s="122"/>
      <c r="X1427" s="122">
        <v>10</v>
      </c>
      <c r="Y1427" s="122">
        <v>5</v>
      </c>
      <c r="Z1427" s="122">
        <v>230</v>
      </c>
      <c r="AA1427" s="122"/>
      <c r="AB1427" s="122">
        <v>1</v>
      </c>
      <c r="AC1427" s="122">
        <v>5</v>
      </c>
      <c r="AD1427" s="122"/>
      <c r="AE1427" s="122"/>
      <c r="AF1427" s="122"/>
      <c r="AG1427" s="122"/>
      <c r="AH1427" s="122">
        <v>221.31</v>
      </c>
      <c r="AI1427" s="122">
        <v>125</v>
      </c>
      <c r="AJ1427" s="122"/>
      <c r="AK1427" s="122">
        <v>1.01</v>
      </c>
      <c r="AL1427" s="122"/>
      <c r="AM1427" s="639">
        <f t="shared" si="26"/>
        <v>623.30999999999995</v>
      </c>
      <c r="AO1427" s="289"/>
    </row>
    <row r="1428" spans="1:42" s="61" customFormat="1" ht="19.5" customHeight="1" x14ac:dyDescent="0.3">
      <c r="A1428" s="706"/>
      <c r="B1428" s="116" t="s">
        <v>294</v>
      </c>
      <c r="C1428" s="138">
        <v>12.97</v>
      </c>
      <c r="D1428" s="109"/>
      <c r="E1428" s="109"/>
      <c r="F1428" s="263"/>
      <c r="G1428" s="109"/>
      <c r="H1428" s="109"/>
      <c r="I1428" s="123"/>
      <c r="J1428" s="109"/>
      <c r="K1428" s="109"/>
      <c r="L1428" s="263"/>
      <c r="M1428" s="109"/>
      <c r="N1428" s="123"/>
      <c r="O1428" s="109"/>
      <c r="P1428" s="109"/>
      <c r="Q1428" s="109"/>
      <c r="R1428" s="109"/>
      <c r="S1428" s="109">
        <v>600</v>
      </c>
      <c r="T1428" s="139">
        <v>5</v>
      </c>
      <c r="U1428" s="138">
        <v>0.55400000000000005</v>
      </c>
      <c r="V1428" s="109"/>
      <c r="W1428" s="109"/>
      <c r="X1428" s="109">
        <v>127</v>
      </c>
      <c r="Y1428" s="109">
        <v>7</v>
      </c>
      <c r="Z1428" s="109">
        <v>242.04900000000001</v>
      </c>
      <c r="AA1428" s="109"/>
      <c r="AB1428" s="109"/>
      <c r="AC1428" s="109">
        <v>5</v>
      </c>
      <c r="AD1428" s="109"/>
      <c r="AE1428" s="109"/>
      <c r="AF1428" s="109"/>
      <c r="AG1428" s="109"/>
      <c r="AH1428" s="109">
        <v>106.44</v>
      </c>
      <c r="AI1428" s="109" t="s">
        <v>482</v>
      </c>
      <c r="AJ1428" s="109"/>
      <c r="AK1428" s="109">
        <v>2.08</v>
      </c>
      <c r="AL1428" s="109"/>
      <c r="AM1428" s="640">
        <f t="shared" si="26"/>
        <v>1108.0929999999998</v>
      </c>
      <c r="AO1428" s="289"/>
    </row>
    <row r="1429" spans="1:42" s="61" customFormat="1" ht="22.5" customHeight="1" x14ac:dyDescent="0.3">
      <c r="A1429" s="706"/>
      <c r="B1429" s="117" t="s">
        <v>326</v>
      </c>
      <c r="C1429" s="140">
        <v>12.468999999999999</v>
      </c>
      <c r="D1429" s="110"/>
      <c r="E1429" s="110"/>
      <c r="F1429" s="264"/>
      <c r="G1429" s="110"/>
      <c r="H1429" s="110">
        <v>21</v>
      </c>
      <c r="I1429" s="124"/>
      <c r="J1429" s="110"/>
      <c r="K1429" s="110"/>
      <c r="L1429" s="264"/>
      <c r="M1429" s="110"/>
      <c r="N1429" s="124"/>
      <c r="O1429" s="110"/>
      <c r="P1429" s="110"/>
      <c r="Q1429" s="110"/>
      <c r="R1429" s="110"/>
      <c r="S1429" s="110"/>
      <c r="T1429" s="141"/>
      <c r="U1429" s="140"/>
      <c r="V1429" s="110"/>
      <c r="W1429" s="110"/>
      <c r="X1429" s="110">
        <v>15</v>
      </c>
      <c r="Y1429" s="110"/>
      <c r="Z1429" s="110">
        <v>232</v>
      </c>
      <c r="AA1429" s="110"/>
      <c r="AB1429" s="110"/>
      <c r="AC1429" s="110">
        <v>5</v>
      </c>
      <c r="AD1429" s="110"/>
      <c r="AE1429" s="110"/>
      <c r="AF1429" s="110"/>
      <c r="AG1429" s="110">
        <v>1</v>
      </c>
      <c r="AH1429" s="110">
        <v>7.8650000000000012E-2</v>
      </c>
      <c r="AI1429" s="110">
        <v>125</v>
      </c>
      <c r="AJ1429" s="110"/>
      <c r="AK1429" s="110">
        <v>2</v>
      </c>
      <c r="AL1429" s="110"/>
      <c r="AM1429" s="641">
        <f t="shared" ref="AM1429:AM1500" si="27">SUM(C1429:AL1429)</f>
        <v>413.54764999999998</v>
      </c>
      <c r="AO1429" s="289"/>
      <c r="AP1429" s="97"/>
    </row>
    <row r="1430" spans="1:42" s="61" customFormat="1" ht="25.5" customHeight="1" x14ac:dyDescent="0.3">
      <c r="A1430" s="706"/>
      <c r="B1430" s="175" t="s">
        <v>327</v>
      </c>
      <c r="C1430" s="176">
        <v>10</v>
      </c>
      <c r="D1430" s="127"/>
      <c r="E1430" s="127"/>
      <c r="F1430" s="265"/>
      <c r="G1430" s="127">
        <v>7</v>
      </c>
      <c r="H1430" s="127"/>
      <c r="I1430" s="178"/>
      <c r="J1430" s="127"/>
      <c r="K1430" s="127"/>
      <c r="L1430" s="265"/>
      <c r="M1430" s="127"/>
      <c r="N1430" s="178"/>
      <c r="O1430" s="127"/>
      <c r="P1430" s="127"/>
      <c r="Q1430" s="127"/>
      <c r="R1430" s="127"/>
      <c r="S1430" s="127">
        <v>197</v>
      </c>
      <c r="T1430" s="177"/>
      <c r="U1430" s="176">
        <v>1.629</v>
      </c>
      <c r="V1430" s="127"/>
      <c r="W1430" s="127"/>
      <c r="X1430" s="127">
        <v>69</v>
      </c>
      <c r="Y1430" s="127"/>
      <c r="Z1430" s="127">
        <v>33.453119999999998</v>
      </c>
      <c r="AA1430" s="127"/>
      <c r="AB1430" s="127">
        <v>3</v>
      </c>
      <c r="AC1430" s="127">
        <v>5</v>
      </c>
      <c r="AD1430" s="127"/>
      <c r="AE1430" s="127"/>
      <c r="AF1430" s="127"/>
      <c r="AG1430" s="127"/>
      <c r="AH1430" s="127">
        <v>196.15</v>
      </c>
      <c r="AI1430" s="127" t="s">
        <v>482</v>
      </c>
      <c r="AJ1430" s="127"/>
      <c r="AK1430" s="127">
        <v>2</v>
      </c>
      <c r="AL1430" s="127"/>
      <c r="AM1430" s="642">
        <f t="shared" si="27"/>
        <v>524.23212000000001</v>
      </c>
      <c r="AO1430" s="289"/>
    </row>
    <row r="1431" spans="1:42" s="61" customFormat="1" ht="25.5" customHeight="1" x14ac:dyDescent="0.3">
      <c r="A1431" s="706"/>
      <c r="B1431" s="180" t="s">
        <v>361</v>
      </c>
      <c r="C1431" s="300">
        <v>39.869999999999997</v>
      </c>
      <c r="D1431" s="173"/>
      <c r="E1431" s="173"/>
      <c r="F1431" s="266"/>
      <c r="G1431" s="173">
        <v>1</v>
      </c>
      <c r="H1431" s="173">
        <v>397</v>
      </c>
      <c r="I1431" s="174"/>
      <c r="J1431" s="173"/>
      <c r="K1431" s="173"/>
      <c r="L1431" s="266"/>
      <c r="M1431" s="173"/>
      <c r="N1431" s="174"/>
      <c r="O1431" s="173"/>
      <c r="P1431" s="173"/>
      <c r="Q1431" s="173"/>
      <c r="R1431" s="173"/>
      <c r="S1431" s="173">
        <v>388</v>
      </c>
      <c r="T1431" s="327"/>
      <c r="U1431" s="300">
        <v>0.51900000000000002</v>
      </c>
      <c r="V1431" s="173"/>
      <c r="W1431" s="173"/>
      <c r="X1431" s="173">
        <v>15</v>
      </c>
      <c r="Y1431" s="173"/>
      <c r="Z1431" s="173">
        <v>30.95</v>
      </c>
      <c r="AA1431" s="173"/>
      <c r="AB1431" s="173">
        <v>1</v>
      </c>
      <c r="AC1431" s="173">
        <v>5</v>
      </c>
      <c r="AD1431" s="173"/>
      <c r="AE1431" s="173"/>
      <c r="AF1431" s="173"/>
      <c r="AG1431" s="173"/>
      <c r="AH1431" s="173">
        <v>230</v>
      </c>
      <c r="AI1431" s="173">
        <v>2</v>
      </c>
      <c r="AJ1431" s="173"/>
      <c r="AK1431" s="173">
        <v>2</v>
      </c>
      <c r="AL1431" s="173"/>
      <c r="AM1431" s="643">
        <f t="shared" si="27"/>
        <v>1112.3389999999999</v>
      </c>
      <c r="AO1431" s="289"/>
      <c r="AP1431" s="97"/>
    </row>
    <row r="1432" spans="1:42" s="61" customFormat="1" ht="25.5" customHeight="1" x14ac:dyDescent="0.3">
      <c r="A1432" s="706"/>
      <c r="B1432" s="180" t="s">
        <v>362</v>
      </c>
      <c r="C1432" s="300">
        <v>39.906999999999996</v>
      </c>
      <c r="D1432" s="173"/>
      <c r="E1432" s="173"/>
      <c r="F1432" s="266"/>
      <c r="G1432" s="173">
        <v>13</v>
      </c>
      <c r="H1432" s="173"/>
      <c r="I1432" s="174"/>
      <c r="J1432" s="173"/>
      <c r="K1432" s="173"/>
      <c r="L1432" s="266"/>
      <c r="M1432" s="173"/>
      <c r="N1432" s="174"/>
      <c r="O1432" s="173"/>
      <c r="P1432" s="173"/>
      <c r="Q1432" s="173"/>
      <c r="R1432" s="173"/>
      <c r="S1432" s="173">
        <v>365</v>
      </c>
      <c r="T1432" s="327"/>
      <c r="U1432" s="300">
        <v>0.48399999999999999</v>
      </c>
      <c r="V1432" s="173"/>
      <c r="W1432" s="173"/>
      <c r="X1432" s="173">
        <v>15</v>
      </c>
      <c r="Y1432" s="173"/>
      <c r="Z1432" s="173">
        <v>15.5</v>
      </c>
      <c r="AA1432" s="173"/>
      <c r="AB1432" s="173"/>
      <c r="AC1432" s="173">
        <v>5</v>
      </c>
      <c r="AD1432" s="173"/>
      <c r="AE1432" s="173"/>
      <c r="AF1432" s="173"/>
      <c r="AG1432" s="173"/>
      <c r="AH1432" s="173">
        <v>171</v>
      </c>
      <c r="AI1432" s="173">
        <v>41</v>
      </c>
      <c r="AJ1432" s="173"/>
      <c r="AK1432" s="173">
        <v>1512</v>
      </c>
      <c r="AL1432" s="173"/>
      <c r="AM1432" s="644">
        <f t="shared" si="27"/>
        <v>2177.8910000000001</v>
      </c>
      <c r="AO1432" s="289"/>
      <c r="AP1432" s="97"/>
    </row>
    <row r="1433" spans="1:42" s="61" customFormat="1" ht="22.5" customHeight="1" x14ac:dyDescent="0.3">
      <c r="A1433" s="706"/>
      <c r="B1433" s="115" t="s">
        <v>402</v>
      </c>
      <c r="C1433" s="142">
        <v>17.5</v>
      </c>
      <c r="D1433" s="111"/>
      <c r="E1433" s="111"/>
      <c r="F1433" s="267"/>
      <c r="G1433" s="111"/>
      <c r="H1433" s="111"/>
      <c r="I1433" s="125"/>
      <c r="J1433" s="111"/>
      <c r="K1433" s="111"/>
      <c r="L1433" s="267">
        <v>0</v>
      </c>
      <c r="M1433" s="111"/>
      <c r="N1433" s="125"/>
      <c r="O1433" s="111"/>
      <c r="P1433" s="111"/>
      <c r="Q1433" s="111"/>
      <c r="R1433" s="111"/>
      <c r="S1433" s="111">
        <v>11</v>
      </c>
      <c r="T1433" s="143"/>
      <c r="U1433" s="142">
        <v>0.73599999999999999</v>
      </c>
      <c r="V1433" s="111"/>
      <c r="W1433" s="111"/>
      <c r="X1433" s="111">
        <v>15</v>
      </c>
      <c r="Y1433" s="111"/>
      <c r="Z1433" s="111"/>
      <c r="AA1433" s="111"/>
      <c r="AB1433" s="111"/>
      <c r="AC1433" s="111">
        <v>5</v>
      </c>
      <c r="AD1433" s="111"/>
      <c r="AE1433" s="111"/>
      <c r="AF1433" s="111"/>
      <c r="AG1433" s="111"/>
      <c r="AH1433" s="111">
        <v>173.167</v>
      </c>
      <c r="AI1433" s="111" t="s">
        <v>482</v>
      </c>
      <c r="AJ1433" s="111"/>
      <c r="AK1433" s="111">
        <f>1515.858/1.097</f>
        <v>1381.8213309024613</v>
      </c>
      <c r="AL1433" s="111"/>
      <c r="AM1433" s="645">
        <f t="shared" si="27"/>
        <v>1604.2243309024614</v>
      </c>
      <c r="AO1433" s="289"/>
    </row>
    <row r="1434" spans="1:42" s="61" customFormat="1" ht="21" customHeight="1" x14ac:dyDescent="0.3">
      <c r="A1434" s="707"/>
      <c r="B1434" s="181" t="s">
        <v>403</v>
      </c>
      <c r="C1434" s="144">
        <v>454.95495</v>
      </c>
      <c r="D1434" s="112"/>
      <c r="E1434" s="112"/>
      <c r="F1434" s="268"/>
      <c r="G1434" s="112"/>
      <c r="H1434" s="112"/>
      <c r="I1434" s="126"/>
      <c r="J1434" s="112"/>
      <c r="K1434" s="112"/>
      <c r="L1434" s="268"/>
      <c r="M1434" s="112"/>
      <c r="N1434" s="126"/>
      <c r="O1434" s="112"/>
      <c r="P1434" s="112"/>
      <c r="Q1434" s="112"/>
      <c r="R1434" s="112"/>
      <c r="S1434" s="112">
        <v>10.293280000000001</v>
      </c>
      <c r="T1434" s="145"/>
      <c r="U1434" s="144">
        <v>1.046</v>
      </c>
      <c r="V1434" s="112"/>
      <c r="W1434" s="112"/>
      <c r="X1434" s="112"/>
      <c r="Y1434" s="112"/>
      <c r="Z1434" s="112">
        <v>1</v>
      </c>
      <c r="AA1434" s="112"/>
      <c r="AB1434" s="112"/>
      <c r="AC1434" s="112">
        <v>5</v>
      </c>
      <c r="AD1434" s="112"/>
      <c r="AE1434" s="112"/>
      <c r="AF1434" s="112"/>
      <c r="AG1434" s="112"/>
      <c r="AH1434" s="112">
        <v>27.027000000000001</v>
      </c>
      <c r="AI1434" s="112" t="s">
        <v>482</v>
      </c>
      <c r="AJ1434" s="112"/>
      <c r="AK1434" s="112">
        <f>2.0045/1.001</f>
        <v>2.0024975024975027</v>
      </c>
      <c r="AL1434" s="112"/>
      <c r="AM1434" s="646">
        <f t="shared" si="27"/>
        <v>501.32372750249743</v>
      </c>
      <c r="AO1434" s="289"/>
    </row>
    <row r="1435" spans="1:42" s="61" customFormat="1" ht="21" customHeight="1" x14ac:dyDescent="0.3">
      <c r="A1435" s="705" t="s">
        <v>259</v>
      </c>
      <c r="B1435" s="179" t="s">
        <v>293</v>
      </c>
      <c r="C1435" s="135"/>
      <c r="D1435" s="136"/>
      <c r="E1435" s="136"/>
      <c r="F1435" s="262"/>
      <c r="G1435" s="136">
        <v>4</v>
      </c>
      <c r="H1435" s="136"/>
      <c r="I1435" s="326"/>
      <c r="J1435" s="136"/>
      <c r="K1435" s="136"/>
      <c r="L1435" s="262"/>
      <c r="M1435" s="136"/>
      <c r="N1435" s="326"/>
      <c r="O1435" s="136"/>
      <c r="P1435" s="136"/>
      <c r="Q1435" s="136"/>
      <c r="R1435" s="136"/>
      <c r="S1435" s="136"/>
      <c r="T1435" s="137"/>
      <c r="U1435" s="632"/>
      <c r="V1435" s="122"/>
      <c r="W1435" s="122"/>
      <c r="X1435" s="122"/>
      <c r="Y1435" s="122"/>
      <c r="Z1435" s="122"/>
      <c r="AA1435" s="122"/>
      <c r="AB1435" s="122"/>
      <c r="AC1435" s="122"/>
      <c r="AD1435" s="122"/>
      <c r="AE1435" s="122"/>
      <c r="AF1435" s="122"/>
      <c r="AG1435" s="122"/>
      <c r="AH1435" s="122"/>
      <c r="AI1435" s="122" t="s">
        <v>482</v>
      </c>
      <c r="AJ1435" s="122"/>
      <c r="AK1435" s="122"/>
      <c r="AL1435" s="122"/>
      <c r="AM1435" s="639">
        <f t="shared" si="27"/>
        <v>4</v>
      </c>
      <c r="AO1435" s="289"/>
    </row>
    <row r="1436" spans="1:42" s="61" customFormat="1" ht="19.5" customHeight="1" x14ac:dyDescent="0.3">
      <c r="A1436" s="706"/>
      <c r="B1436" s="116" t="s">
        <v>294</v>
      </c>
      <c r="C1436" s="138"/>
      <c r="D1436" s="109"/>
      <c r="E1436" s="109"/>
      <c r="F1436" s="263"/>
      <c r="G1436" s="109">
        <v>124</v>
      </c>
      <c r="H1436" s="109"/>
      <c r="I1436" s="123"/>
      <c r="J1436" s="109"/>
      <c r="K1436" s="109"/>
      <c r="L1436" s="263"/>
      <c r="M1436" s="109"/>
      <c r="N1436" s="123"/>
      <c r="O1436" s="109"/>
      <c r="P1436" s="109"/>
      <c r="Q1436" s="109"/>
      <c r="R1436" s="109"/>
      <c r="S1436" s="109">
        <v>50.345999999999997</v>
      </c>
      <c r="T1436" s="139"/>
      <c r="U1436" s="138">
        <v>49.85</v>
      </c>
      <c r="V1436" s="109"/>
      <c r="W1436" s="109"/>
      <c r="X1436" s="109"/>
      <c r="Y1436" s="109"/>
      <c r="Z1436" s="109"/>
      <c r="AA1436" s="109"/>
      <c r="AB1436" s="109"/>
      <c r="AC1436" s="109"/>
      <c r="AD1436" s="109"/>
      <c r="AE1436" s="109"/>
      <c r="AF1436" s="109"/>
      <c r="AG1436" s="109"/>
      <c r="AH1436" s="109"/>
      <c r="AI1436" s="109" t="s">
        <v>482</v>
      </c>
      <c r="AJ1436" s="109"/>
      <c r="AK1436" s="109"/>
      <c r="AL1436" s="109"/>
      <c r="AM1436" s="640">
        <f t="shared" si="27"/>
        <v>224.196</v>
      </c>
      <c r="AO1436" s="289"/>
    </row>
    <row r="1437" spans="1:42" s="61" customFormat="1" ht="22.5" customHeight="1" x14ac:dyDescent="0.3">
      <c r="A1437" s="706"/>
      <c r="B1437" s="117" t="s">
        <v>326</v>
      </c>
      <c r="C1437" s="140">
        <v>9.4789999999999992</v>
      </c>
      <c r="D1437" s="110"/>
      <c r="E1437" s="110"/>
      <c r="F1437" s="264"/>
      <c r="G1437" s="110">
        <v>5</v>
      </c>
      <c r="H1437" s="110">
        <v>599</v>
      </c>
      <c r="I1437" s="124"/>
      <c r="J1437" s="110"/>
      <c r="K1437" s="110"/>
      <c r="L1437" s="264"/>
      <c r="M1437" s="110"/>
      <c r="N1437" s="124"/>
      <c r="O1437" s="110"/>
      <c r="P1437" s="110"/>
      <c r="Q1437" s="110"/>
      <c r="R1437" s="110"/>
      <c r="S1437" s="110">
        <v>1250</v>
      </c>
      <c r="T1437" s="141"/>
      <c r="U1437" s="140">
        <v>0.879</v>
      </c>
      <c r="V1437" s="110"/>
      <c r="W1437" s="110"/>
      <c r="X1437" s="110"/>
      <c r="Y1437" s="110"/>
      <c r="Z1437" s="110"/>
      <c r="AA1437" s="110"/>
      <c r="AB1437" s="110"/>
      <c r="AC1437" s="110"/>
      <c r="AD1437" s="110"/>
      <c r="AE1437" s="110"/>
      <c r="AF1437" s="110"/>
      <c r="AG1437" s="110">
        <f>2.7/1.3</f>
        <v>2.0769230769230771</v>
      </c>
      <c r="AH1437" s="110"/>
      <c r="AI1437" s="110" t="s">
        <v>482</v>
      </c>
      <c r="AJ1437" s="110"/>
      <c r="AK1437" s="110"/>
      <c r="AL1437" s="110"/>
      <c r="AM1437" s="641">
        <f t="shared" si="27"/>
        <v>1866.434923076923</v>
      </c>
      <c r="AO1437" s="289"/>
      <c r="AP1437" s="97"/>
    </row>
    <row r="1438" spans="1:42" s="61" customFormat="1" ht="25.5" customHeight="1" x14ac:dyDescent="0.3">
      <c r="A1438" s="706"/>
      <c r="B1438" s="175" t="s">
        <v>327</v>
      </c>
      <c r="C1438" s="176">
        <v>27.189</v>
      </c>
      <c r="D1438" s="127"/>
      <c r="E1438" s="127"/>
      <c r="F1438" s="265"/>
      <c r="G1438" s="127">
        <v>56</v>
      </c>
      <c r="H1438" s="127"/>
      <c r="I1438" s="178"/>
      <c r="J1438" s="127"/>
      <c r="K1438" s="127"/>
      <c r="L1438" s="265"/>
      <c r="M1438" s="127"/>
      <c r="N1438" s="178"/>
      <c r="O1438" s="127"/>
      <c r="P1438" s="127"/>
      <c r="Q1438" s="127"/>
      <c r="R1438" s="127"/>
      <c r="S1438" s="127">
        <v>823</v>
      </c>
      <c r="T1438" s="177"/>
      <c r="U1438" s="176">
        <v>4.2000000000000003E-2</v>
      </c>
      <c r="V1438" s="127"/>
      <c r="W1438" s="127"/>
      <c r="X1438" s="127">
        <v>67</v>
      </c>
      <c r="Y1438" s="127"/>
      <c r="Z1438" s="127"/>
      <c r="AA1438" s="127">
        <v>159.12293</v>
      </c>
      <c r="AB1438" s="127"/>
      <c r="AC1438" s="127"/>
      <c r="AD1438" s="127"/>
      <c r="AE1438" s="127"/>
      <c r="AF1438" s="127"/>
      <c r="AG1438" s="127"/>
      <c r="AH1438" s="127"/>
      <c r="AI1438" s="127" t="s">
        <v>482</v>
      </c>
      <c r="AJ1438" s="127"/>
      <c r="AK1438" s="127"/>
      <c r="AL1438" s="127"/>
      <c r="AM1438" s="642">
        <f t="shared" si="27"/>
        <v>1132.35393</v>
      </c>
      <c r="AO1438" s="289"/>
    </row>
    <row r="1439" spans="1:42" s="61" customFormat="1" ht="25.5" customHeight="1" x14ac:dyDescent="0.3">
      <c r="A1439" s="706"/>
      <c r="B1439" s="180" t="s">
        <v>361</v>
      </c>
      <c r="C1439" s="300">
        <v>4.9989399999999993</v>
      </c>
      <c r="D1439" s="173"/>
      <c r="E1439" s="173"/>
      <c r="F1439" s="266"/>
      <c r="G1439" s="173">
        <v>6</v>
      </c>
      <c r="H1439" s="173"/>
      <c r="I1439" s="174"/>
      <c r="J1439" s="173"/>
      <c r="K1439" s="173"/>
      <c r="L1439" s="266"/>
      <c r="M1439" s="173"/>
      <c r="N1439" s="174"/>
      <c r="O1439" s="173"/>
      <c r="P1439" s="173"/>
      <c r="Q1439" s="173"/>
      <c r="R1439" s="173"/>
      <c r="S1439" s="173">
        <v>6962</v>
      </c>
      <c r="T1439" s="327"/>
      <c r="U1439" s="300">
        <v>0.23100000000000001</v>
      </c>
      <c r="V1439" s="173"/>
      <c r="W1439" s="173"/>
      <c r="X1439" s="173"/>
      <c r="Y1439" s="173"/>
      <c r="Z1439" s="173"/>
      <c r="AA1439" s="173"/>
      <c r="AB1439" s="173"/>
      <c r="AC1439" s="173"/>
      <c r="AD1439" s="173"/>
      <c r="AE1439" s="173"/>
      <c r="AF1439" s="173"/>
      <c r="AG1439" s="173"/>
      <c r="AH1439" s="173">
        <v>36220</v>
      </c>
      <c r="AI1439" s="173" t="s">
        <v>482</v>
      </c>
      <c r="AJ1439" s="173"/>
      <c r="AK1439" s="173"/>
      <c r="AL1439" s="173"/>
      <c r="AM1439" s="643">
        <f t="shared" si="27"/>
        <v>43193.229939999997</v>
      </c>
      <c r="AO1439" s="289"/>
      <c r="AP1439" s="97"/>
    </row>
    <row r="1440" spans="1:42" s="61" customFormat="1" ht="25.5" customHeight="1" x14ac:dyDescent="0.3">
      <c r="A1440" s="706"/>
      <c r="B1440" s="180" t="s">
        <v>362</v>
      </c>
      <c r="C1440" s="300">
        <v>4.9123999999999999</v>
      </c>
      <c r="D1440" s="173"/>
      <c r="E1440" s="173"/>
      <c r="F1440" s="266"/>
      <c r="G1440" s="173"/>
      <c r="H1440" s="173"/>
      <c r="I1440" s="174"/>
      <c r="J1440" s="173"/>
      <c r="K1440" s="173"/>
      <c r="L1440" s="266">
        <v>406</v>
      </c>
      <c r="M1440" s="173"/>
      <c r="N1440" s="174"/>
      <c r="O1440" s="173"/>
      <c r="P1440" s="173"/>
      <c r="Q1440" s="173"/>
      <c r="R1440" s="173"/>
      <c r="S1440" s="173">
        <v>7948</v>
      </c>
      <c r="T1440" s="327"/>
      <c r="U1440" s="300">
        <v>0.28699999999999998</v>
      </c>
      <c r="V1440" s="173"/>
      <c r="W1440" s="173"/>
      <c r="X1440" s="173"/>
      <c r="Y1440" s="173"/>
      <c r="Z1440" s="173"/>
      <c r="AA1440" s="173"/>
      <c r="AB1440" s="173"/>
      <c r="AC1440" s="173"/>
      <c r="AD1440" s="173"/>
      <c r="AE1440" s="173"/>
      <c r="AF1440" s="173"/>
      <c r="AG1440" s="173"/>
      <c r="AH1440" s="173">
        <v>55379</v>
      </c>
      <c r="AI1440" s="173" t="s">
        <v>482</v>
      </c>
      <c r="AJ1440" s="173"/>
      <c r="AK1440" s="173"/>
      <c r="AL1440" s="173"/>
      <c r="AM1440" s="644">
        <f t="shared" si="27"/>
        <v>63738.199399999998</v>
      </c>
      <c r="AO1440" s="289"/>
      <c r="AP1440" s="97"/>
    </row>
    <row r="1441" spans="1:42" s="61" customFormat="1" ht="22.5" customHeight="1" x14ac:dyDescent="0.3">
      <c r="A1441" s="706"/>
      <c r="B1441" s="115" t="s">
        <v>402</v>
      </c>
      <c r="C1441" s="142">
        <v>4.9656799999999999</v>
      </c>
      <c r="D1441" s="111"/>
      <c r="E1441" s="111"/>
      <c r="F1441" s="267"/>
      <c r="G1441" s="111"/>
      <c r="H1441" s="111"/>
      <c r="I1441" s="125"/>
      <c r="J1441" s="111"/>
      <c r="K1441" s="111"/>
      <c r="L1441" s="267">
        <v>393</v>
      </c>
      <c r="M1441" s="111"/>
      <c r="N1441" s="125"/>
      <c r="O1441" s="111"/>
      <c r="P1441" s="111"/>
      <c r="Q1441" s="111"/>
      <c r="R1441" s="111"/>
      <c r="S1441" s="111">
        <v>14540</v>
      </c>
      <c r="T1441" s="143"/>
      <c r="U1441" s="142">
        <v>9.7000000000000003E-2</v>
      </c>
      <c r="V1441" s="111"/>
      <c r="W1441" s="111"/>
      <c r="X1441" s="111"/>
      <c r="Y1441" s="111"/>
      <c r="Z1441" s="111">
        <v>8357</v>
      </c>
      <c r="AA1441" s="111">
        <v>200</v>
      </c>
      <c r="AB1441" s="111"/>
      <c r="AC1441" s="111"/>
      <c r="AD1441" s="111"/>
      <c r="AE1441" s="111"/>
      <c r="AF1441" s="111"/>
      <c r="AG1441" s="111"/>
      <c r="AH1441" s="111" t="s">
        <v>482</v>
      </c>
      <c r="AI1441" s="111">
        <v>424</v>
      </c>
      <c r="AJ1441" s="111"/>
      <c r="AK1441" s="111"/>
      <c r="AL1441" s="111"/>
      <c r="AM1441" s="645">
        <f t="shared" si="27"/>
        <v>23919.062679999999</v>
      </c>
      <c r="AO1441" s="289"/>
    </row>
    <row r="1442" spans="1:42" s="61" customFormat="1" ht="21" customHeight="1" x14ac:dyDescent="0.3">
      <c r="A1442" s="707"/>
      <c r="B1442" s="181" t="s">
        <v>403</v>
      </c>
      <c r="C1442" s="144">
        <v>5.9701899999999997</v>
      </c>
      <c r="D1442" s="112"/>
      <c r="E1442" s="112"/>
      <c r="F1442" s="268"/>
      <c r="G1442" s="112"/>
      <c r="H1442" s="112"/>
      <c r="I1442" s="126"/>
      <c r="J1442" s="112"/>
      <c r="K1442" s="112"/>
      <c r="L1442" s="268">
        <v>633.29999999999995</v>
      </c>
      <c r="M1442" s="112"/>
      <c r="N1442" s="126"/>
      <c r="O1442" s="112"/>
      <c r="P1442" s="112"/>
      <c r="Q1442" s="112"/>
      <c r="R1442" s="112"/>
      <c r="S1442" s="112"/>
      <c r="T1442" s="145"/>
      <c r="U1442" s="144">
        <v>0.66300000000000003</v>
      </c>
      <c r="V1442" s="112"/>
      <c r="W1442" s="112"/>
      <c r="X1442" s="112"/>
      <c r="Y1442" s="112"/>
      <c r="Z1442" s="112">
        <v>5114</v>
      </c>
      <c r="AA1442" s="112"/>
      <c r="AB1442" s="112"/>
      <c r="AC1442" s="112"/>
      <c r="AD1442" s="112"/>
      <c r="AE1442" s="112"/>
      <c r="AF1442" s="112"/>
      <c r="AG1442" s="112"/>
      <c r="AH1442" s="112" t="s">
        <v>482</v>
      </c>
      <c r="AI1442" s="112">
        <v>425</v>
      </c>
      <c r="AJ1442" s="112"/>
      <c r="AK1442" s="112"/>
      <c r="AL1442" s="112"/>
      <c r="AM1442" s="646">
        <f t="shared" si="27"/>
        <v>6178.9331899999997</v>
      </c>
      <c r="AO1442" s="289"/>
    </row>
    <row r="1443" spans="1:42" s="61" customFormat="1" ht="21" customHeight="1" x14ac:dyDescent="0.3">
      <c r="A1443" s="705" t="s">
        <v>260</v>
      </c>
      <c r="B1443" s="179" t="s">
        <v>293</v>
      </c>
      <c r="C1443" s="135"/>
      <c r="D1443" s="136"/>
      <c r="E1443" s="136"/>
      <c r="F1443" s="262"/>
      <c r="G1443" s="136"/>
      <c r="H1443" s="136"/>
      <c r="I1443" s="326"/>
      <c r="J1443" s="136"/>
      <c r="K1443" s="136">
        <v>505</v>
      </c>
      <c r="L1443" s="262"/>
      <c r="M1443" s="136"/>
      <c r="N1443" s="326"/>
      <c r="O1443" s="136"/>
      <c r="P1443" s="136"/>
      <c r="Q1443" s="136"/>
      <c r="R1443" s="136"/>
      <c r="S1443" s="136"/>
      <c r="T1443" s="137"/>
      <c r="U1443" s="632">
        <v>8.2000000000000003E-2</v>
      </c>
      <c r="V1443" s="122"/>
      <c r="W1443" s="122"/>
      <c r="X1443" s="122"/>
      <c r="Y1443" s="122"/>
      <c r="Z1443" s="122"/>
      <c r="AA1443" s="122"/>
      <c r="AB1443" s="122"/>
      <c r="AC1443" s="122"/>
      <c r="AD1443" s="122"/>
      <c r="AE1443" s="122"/>
      <c r="AF1443" s="122"/>
      <c r="AG1443" s="122"/>
      <c r="AH1443" s="122"/>
      <c r="AI1443" s="122" t="s">
        <v>482</v>
      </c>
      <c r="AJ1443" s="122"/>
      <c r="AK1443" s="122"/>
      <c r="AL1443" s="122"/>
      <c r="AM1443" s="639">
        <f t="shared" si="27"/>
        <v>505.08199999999999</v>
      </c>
      <c r="AO1443" s="289"/>
    </row>
    <row r="1444" spans="1:42" s="61" customFormat="1" ht="19.5" customHeight="1" x14ac:dyDescent="0.3">
      <c r="A1444" s="706"/>
      <c r="B1444" s="116" t="s">
        <v>294</v>
      </c>
      <c r="C1444" s="138"/>
      <c r="D1444" s="109"/>
      <c r="E1444" s="109"/>
      <c r="F1444" s="263"/>
      <c r="G1444" s="109"/>
      <c r="H1444" s="109"/>
      <c r="I1444" s="123"/>
      <c r="J1444" s="109"/>
      <c r="K1444" s="109"/>
      <c r="L1444" s="263"/>
      <c r="M1444" s="109"/>
      <c r="N1444" s="123"/>
      <c r="O1444" s="109"/>
      <c r="P1444" s="109"/>
      <c r="Q1444" s="109"/>
      <c r="R1444" s="109"/>
      <c r="S1444" s="109"/>
      <c r="T1444" s="139"/>
      <c r="U1444" s="138">
        <v>7.1999999999999995E-2</v>
      </c>
      <c r="V1444" s="109"/>
      <c r="W1444" s="109"/>
      <c r="X1444" s="109"/>
      <c r="Y1444" s="109"/>
      <c r="Z1444" s="109"/>
      <c r="AA1444" s="109"/>
      <c r="AB1444" s="109"/>
      <c r="AC1444" s="109"/>
      <c r="AD1444" s="109"/>
      <c r="AE1444" s="109"/>
      <c r="AF1444" s="109"/>
      <c r="AG1444" s="109"/>
      <c r="AH1444" s="109"/>
      <c r="AI1444" s="109" t="s">
        <v>482</v>
      </c>
      <c r="AJ1444" s="109"/>
      <c r="AK1444" s="109"/>
      <c r="AL1444" s="109"/>
      <c r="AM1444" s="640">
        <f t="shared" si="27"/>
        <v>7.1999999999999995E-2</v>
      </c>
      <c r="AO1444" s="289"/>
    </row>
    <row r="1445" spans="1:42" s="61" customFormat="1" ht="22.5" customHeight="1" x14ac:dyDescent="0.3">
      <c r="A1445" s="706"/>
      <c r="B1445" s="117" t="s">
        <v>326</v>
      </c>
      <c r="C1445" s="140"/>
      <c r="D1445" s="110"/>
      <c r="E1445" s="110"/>
      <c r="F1445" s="264"/>
      <c r="G1445" s="110"/>
      <c r="H1445" s="110">
        <v>41</v>
      </c>
      <c r="I1445" s="124"/>
      <c r="J1445" s="110"/>
      <c r="K1445" s="110"/>
      <c r="L1445" s="264"/>
      <c r="M1445" s="110"/>
      <c r="N1445" s="124"/>
      <c r="O1445" s="110"/>
      <c r="P1445" s="110"/>
      <c r="Q1445" s="110"/>
      <c r="R1445" s="110"/>
      <c r="S1445" s="110"/>
      <c r="T1445" s="141"/>
      <c r="U1445" s="140">
        <v>3.1E-2</v>
      </c>
      <c r="V1445" s="110"/>
      <c r="W1445" s="110"/>
      <c r="X1445" s="110"/>
      <c r="Y1445" s="110"/>
      <c r="Z1445" s="110"/>
      <c r="AA1445" s="110"/>
      <c r="AB1445" s="110"/>
      <c r="AC1445" s="110"/>
      <c r="AD1445" s="110"/>
      <c r="AE1445" s="110"/>
      <c r="AF1445" s="110"/>
      <c r="AG1445" s="110"/>
      <c r="AH1445" s="110"/>
      <c r="AI1445" s="110" t="s">
        <v>482</v>
      </c>
      <c r="AJ1445" s="110"/>
      <c r="AK1445" s="110"/>
      <c r="AL1445" s="110"/>
      <c r="AM1445" s="641">
        <f t="shared" si="27"/>
        <v>41.030999999999999</v>
      </c>
      <c r="AO1445" s="289"/>
      <c r="AP1445" s="97"/>
    </row>
    <row r="1446" spans="1:42" s="61" customFormat="1" ht="25.5" customHeight="1" x14ac:dyDescent="0.3">
      <c r="A1446" s="706"/>
      <c r="B1446" s="175" t="s">
        <v>327</v>
      </c>
      <c r="C1446" s="176"/>
      <c r="D1446" s="127"/>
      <c r="E1446" s="127"/>
      <c r="F1446" s="265"/>
      <c r="G1446" s="127"/>
      <c r="H1446" s="127">
        <v>19</v>
      </c>
      <c r="I1446" s="178"/>
      <c r="J1446" s="127"/>
      <c r="K1446" s="127"/>
      <c r="L1446" s="265"/>
      <c r="M1446" s="127"/>
      <c r="N1446" s="178"/>
      <c r="O1446" s="127"/>
      <c r="P1446" s="127"/>
      <c r="Q1446" s="127">
        <v>25</v>
      </c>
      <c r="R1446" s="127"/>
      <c r="S1446" s="127">
        <v>6</v>
      </c>
      <c r="T1446" s="177"/>
      <c r="U1446" s="176"/>
      <c r="V1446" s="127"/>
      <c r="W1446" s="127"/>
      <c r="X1446" s="127"/>
      <c r="Y1446" s="127"/>
      <c r="Z1446" s="127"/>
      <c r="AA1446" s="127"/>
      <c r="AB1446" s="127"/>
      <c r="AC1446" s="127"/>
      <c r="AD1446" s="127"/>
      <c r="AE1446" s="127"/>
      <c r="AF1446" s="127"/>
      <c r="AG1446" s="127"/>
      <c r="AH1446" s="127"/>
      <c r="AI1446" s="127" t="s">
        <v>482</v>
      </c>
      <c r="AJ1446" s="127"/>
      <c r="AK1446" s="127"/>
      <c r="AL1446" s="127"/>
      <c r="AM1446" s="642">
        <f t="shared" si="27"/>
        <v>50</v>
      </c>
      <c r="AO1446" s="289"/>
    </row>
    <row r="1447" spans="1:42" s="61" customFormat="1" ht="25.5" customHeight="1" x14ac:dyDescent="0.3">
      <c r="A1447" s="706"/>
      <c r="B1447" s="180" t="s">
        <v>361</v>
      </c>
      <c r="C1447" s="300"/>
      <c r="D1447" s="173"/>
      <c r="E1447" s="173"/>
      <c r="F1447" s="266">
        <v>119</v>
      </c>
      <c r="G1447" s="173"/>
      <c r="H1447" s="173"/>
      <c r="I1447" s="174"/>
      <c r="J1447" s="173"/>
      <c r="K1447" s="173"/>
      <c r="L1447" s="266"/>
      <c r="M1447" s="173"/>
      <c r="N1447" s="174"/>
      <c r="O1447" s="173"/>
      <c r="P1447" s="173"/>
      <c r="Q1447" s="173"/>
      <c r="R1447" s="173"/>
      <c r="S1447" s="173">
        <v>7</v>
      </c>
      <c r="T1447" s="327"/>
      <c r="U1447" s="300"/>
      <c r="V1447" s="173"/>
      <c r="W1447" s="173"/>
      <c r="X1447" s="173"/>
      <c r="Y1447" s="173"/>
      <c r="Z1447" s="173"/>
      <c r="AA1447" s="173"/>
      <c r="AB1447" s="173"/>
      <c r="AC1447" s="173"/>
      <c r="AD1447" s="173"/>
      <c r="AE1447" s="173"/>
      <c r="AF1447" s="173"/>
      <c r="AG1447" s="173"/>
      <c r="AH1447" s="173"/>
      <c r="AI1447" s="173" t="s">
        <v>482</v>
      </c>
      <c r="AJ1447" s="173"/>
      <c r="AK1447" s="173"/>
      <c r="AL1447" s="173"/>
      <c r="AM1447" s="643">
        <f t="shared" si="27"/>
        <v>126</v>
      </c>
      <c r="AO1447" s="289"/>
      <c r="AP1447" s="97"/>
    </row>
    <row r="1448" spans="1:42" s="61" customFormat="1" ht="25.5" customHeight="1" x14ac:dyDescent="0.3">
      <c r="A1448" s="706"/>
      <c r="B1448" s="180" t="s">
        <v>362</v>
      </c>
      <c r="C1448" s="300"/>
      <c r="D1448" s="173"/>
      <c r="E1448" s="173"/>
      <c r="F1448" s="266"/>
      <c r="G1448" s="173"/>
      <c r="H1448" s="173"/>
      <c r="I1448" s="174"/>
      <c r="J1448" s="173"/>
      <c r="K1448" s="173"/>
      <c r="L1448" s="266"/>
      <c r="M1448" s="173"/>
      <c r="N1448" s="174"/>
      <c r="O1448" s="173"/>
      <c r="P1448" s="173"/>
      <c r="Q1448" s="173">
        <v>84</v>
      </c>
      <c r="R1448" s="173"/>
      <c r="S1448" s="173">
        <v>8</v>
      </c>
      <c r="T1448" s="327"/>
      <c r="U1448" s="300"/>
      <c r="V1448" s="173"/>
      <c r="W1448" s="173"/>
      <c r="X1448" s="173"/>
      <c r="Y1448" s="173"/>
      <c r="Z1448" s="173"/>
      <c r="AA1448" s="173"/>
      <c r="AB1448" s="173"/>
      <c r="AC1448" s="173"/>
      <c r="AD1448" s="173"/>
      <c r="AE1448" s="173"/>
      <c r="AF1448" s="173"/>
      <c r="AG1448" s="173"/>
      <c r="AH1448" s="173"/>
      <c r="AI1448" s="173" t="s">
        <v>482</v>
      </c>
      <c r="AJ1448" s="173"/>
      <c r="AK1448" s="173">
        <v>1</v>
      </c>
      <c r="AL1448" s="173"/>
      <c r="AM1448" s="644">
        <f t="shared" si="27"/>
        <v>93</v>
      </c>
      <c r="AO1448" s="289"/>
      <c r="AP1448" s="97"/>
    </row>
    <row r="1449" spans="1:42" s="61" customFormat="1" ht="22.5" customHeight="1" x14ac:dyDescent="0.3">
      <c r="A1449" s="706"/>
      <c r="B1449" s="115" t="s">
        <v>402</v>
      </c>
      <c r="C1449" s="142">
        <v>1</v>
      </c>
      <c r="D1449" s="111"/>
      <c r="E1449" s="111"/>
      <c r="F1449" s="267"/>
      <c r="G1449" s="111"/>
      <c r="H1449" s="111"/>
      <c r="I1449" s="125"/>
      <c r="J1449" s="111"/>
      <c r="K1449" s="111"/>
      <c r="L1449" s="267">
        <v>0</v>
      </c>
      <c r="M1449" s="111"/>
      <c r="N1449" s="125"/>
      <c r="O1449" s="111"/>
      <c r="P1449" s="111"/>
      <c r="Q1449" s="111">
        <v>10</v>
      </c>
      <c r="R1449" s="111"/>
      <c r="S1449" s="111">
        <v>787.283366</v>
      </c>
      <c r="T1449" s="143"/>
      <c r="U1449" s="142">
        <v>0.125</v>
      </c>
      <c r="V1449" s="111"/>
      <c r="W1449" s="111"/>
      <c r="X1449" s="111"/>
      <c r="Y1449" s="111"/>
      <c r="Z1449" s="111"/>
      <c r="AA1449" s="111"/>
      <c r="AB1449" s="111"/>
      <c r="AC1449" s="111"/>
      <c r="AD1449" s="111"/>
      <c r="AE1449" s="111"/>
      <c r="AF1449" s="111"/>
      <c r="AG1449" s="111"/>
      <c r="AH1449" s="111" t="s">
        <v>482</v>
      </c>
      <c r="AI1449" s="111" t="s">
        <v>482</v>
      </c>
      <c r="AJ1449" s="111"/>
      <c r="AK1449" s="111"/>
      <c r="AL1449" s="111"/>
      <c r="AM1449" s="645">
        <f t="shared" si="27"/>
        <v>798.408366</v>
      </c>
      <c r="AO1449" s="289"/>
    </row>
    <row r="1450" spans="1:42" s="61" customFormat="1" ht="21" customHeight="1" x14ac:dyDescent="0.3">
      <c r="A1450" s="707"/>
      <c r="B1450" s="181" t="s">
        <v>403</v>
      </c>
      <c r="C1450" s="144">
        <v>20</v>
      </c>
      <c r="D1450" s="112"/>
      <c r="E1450" s="112"/>
      <c r="F1450" s="268">
        <v>117.9</v>
      </c>
      <c r="G1450" s="112"/>
      <c r="H1450" s="112"/>
      <c r="I1450" s="126"/>
      <c r="J1450" s="112"/>
      <c r="K1450" s="112"/>
      <c r="L1450" s="268"/>
      <c r="M1450" s="112"/>
      <c r="N1450" s="126"/>
      <c r="O1450" s="112"/>
      <c r="P1450" s="112"/>
      <c r="Q1450" s="112">
        <v>7</v>
      </c>
      <c r="R1450" s="112"/>
      <c r="S1450" s="112">
        <v>1079.102345</v>
      </c>
      <c r="T1450" s="145"/>
      <c r="U1450" s="144">
        <v>3.2000000000000001E-2</v>
      </c>
      <c r="V1450" s="112"/>
      <c r="W1450" s="112"/>
      <c r="X1450" s="112"/>
      <c r="Y1450" s="112"/>
      <c r="Z1450" s="112"/>
      <c r="AA1450" s="112"/>
      <c r="AB1450" s="112"/>
      <c r="AC1450" s="112"/>
      <c r="AD1450" s="112"/>
      <c r="AE1450" s="112"/>
      <c r="AF1450" s="112"/>
      <c r="AG1450" s="112"/>
      <c r="AH1450" s="112" t="s">
        <v>482</v>
      </c>
      <c r="AI1450" s="112" t="s">
        <v>482</v>
      </c>
      <c r="AJ1450" s="112"/>
      <c r="AK1450" s="112"/>
      <c r="AL1450" s="112"/>
      <c r="AM1450" s="646">
        <f t="shared" si="27"/>
        <v>1224.034345</v>
      </c>
      <c r="AO1450" s="289"/>
    </row>
    <row r="1451" spans="1:42" s="61" customFormat="1" ht="21" customHeight="1" x14ac:dyDescent="0.3">
      <c r="A1451" s="705" t="s">
        <v>261</v>
      </c>
      <c r="B1451" s="179" t="s">
        <v>293</v>
      </c>
      <c r="C1451" s="135"/>
      <c r="D1451" s="136"/>
      <c r="E1451" s="136"/>
      <c r="F1451" s="262"/>
      <c r="G1451" s="136"/>
      <c r="H1451" s="136"/>
      <c r="I1451" s="326"/>
      <c r="J1451" s="136"/>
      <c r="K1451" s="136"/>
      <c r="L1451" s="262"/>
      <c r="M1451" s="136"/>
      <c r="N1451" s="326"/>
      <c r="O1451" s="136"/>
      <c r="P1451" s="136"/>
      <c r="Q1451" s="136"/>
      <c r="R1451" s="136"/>
      <c r="S1451" s="136">
        <v>4.774</v>
      </c>
      <c r="T1451" s="137"/>
      <c r="U1451" s="632"/>
      <c r="V1451" s="122"/>
      <c r="W1451" s="122"/>
      <c r="X1451" s="122"/>
      <c r="Y1451" s="122"/>
      <c r="Z1451" s="122">
        <v>0.85577999999999999</v>
      </c>
      <c r="AA1451" s="122"/>
      <c r="AB1451" s="122"/>
      <c r="AC1451" s="122"/>
      <c r="AD1451" s="122"/>
      <c r="AE1451" s="122"/>
      <c r="AF1451" s="122"/>
      <c r="AG1451" s="122"/>
      <c r="AH1451" s="122"/>
      <c r="AI1451" s="122" t="s">
        <v>482</v>
      </c>
      <c r="AJ1451" s="122"/>
      <c r="AK1451" s="122"/>
      <c r="AL1451" s="122"/>
      <c r="AM1451" s="639">
        <f t="shared" si="27"/>
        <v>5.6297800000000002</v>
      </c>
      <c r="AO1451" s="289"/>
    </row>
    <row r="1452" spans="1:42" s="61" customFormat="1" ht="19.5" customHeight="1" x14ac:dyDescent="0.3">
      <c r="A1452" s="706"/>
      <c r="B1452" s="116" t="s">
        <v>294</v>
      </c>
      <c r="C1452" s="138"/>
      <c r="D1452" s="109"/>
      <c r="E1452" s="109"/>
      <c r="F1452" s="263"/>
      <c r="G1452" s="109"/>
      <c r="H1452" s="109"/>
      <c r="I1452" s="123"/>
      <c r="J1452" s="109"/>
      <c r="K1452" s="109"/>
      <c r="L1452" s="263"/>
      <c r="M1452" s="109"/>
      <c r="N1452" s="123"/>
      <c r="O1452" s="109"/>
      <c r="P1452" s="109"/>
      <c r="Q1452" s="109"/>
      <c r="R1452" s="109"/>
      <c r="S1452" s="109">
        <v>6.2060000000000004</v>
      </c>
      <c r="T1452" s="139">
        <v>6</v>
      </c>
      <c r="U1452" s="138"/>
      <c r="V1452" s="109"/>
      <c r="W1452" s="109"/>
      <c r="X1452" s="109"/>
      <c r="Y1452" s="109"/>
      <c r="Z1452" s="109"/>
      <c r="AA1452" s="109"/>
      <c r="AB1452" s="109"/>
      <c r="AC1452" s="109"/>
      <c r="AD1452" s="109"/>
      <c r="AE1452" s="109"/>
      <c r="AF1452" s="109"/>
      <c r="AG1452" s="109">
        <v>0.4</v>
      </c>
      <c r="AH1452" s="109"/>
      <c r="AI1452" s="109" t="s">
        <v>482</v>
      </c>
      <c r="AJ1452" s="109"/>
      <c r="AK1452" s="109"/>
      <c r="AL1452" s="109"/>
      <c r="AM1452" s="640">
        <f t="shared" si="27"/>
        <v>12.606</v>
      </c>
      <c r="AO1452" s="289"/>
    </row>
    <row r="1453" spans="1:42" s="61" customFormat="1" ht="22.5" customHeight="1" x14ac:dyDescent="0.3">
      <c r="A1453" s="706"/>
      <c r="B1453" s="117" t="s">
        <v>326</v>
      </c>
      <c r="C1453" s="140"/>
      <c r="D1453" s="110"/>
      <c r="E1453" s="110"/>
      <c r="F1453" s="264"/>
      <c r="G1453" s="110"/>
      <c r="H1453" s="110"/>
      <c r="I1453" s="124"/>
      <c r="J1453" s="110"/>
      <c r="K1453" s="110"/>
      <c r="L1453" s="264"/>
      <c r="M1453" s="110"/>
      <c r="N1453" s="124"/>
      <c r="O1453" s="110"/>
      <c r="P1453" s="110"/>
      <c r="Q1453" s="110"/>
      <c r="R1453" s="110"/>
      <c r="S1453" s="110">
        <v>400</v>
      </c>
      <c r="T1453" s="141"/>
      <c r="U1453" s="140"/>
      <c r="V1453" s="110"/>
      <c r="W1453" s="110"/>
      <c r="X1453" s="110"/>
      <c r="Y1453" s="110"/>
      <c r="Z1453" s="110"/>
      <c r="AA1453" s="110"/>
      <c r="AB1453" s="110"/>
      <c r="AC1453" s="110"/>
      <c r="AD1453" s="110"/>
      <c r="AE1453" s="110"/>
      <c r="AF1453" s="110"/>
      <c r="AG1453" s="110"/>
      <c r="AH1453" s="110">
        <v>963.22500000000002</v>
      </c>
      <c r="AI1453" s="110" t="s">
        <v>482</v>
      </c>
      <c r="AJ1453" s="110"/>
      <c r="AK1453" s="110"/>
      <c r="AL1453" s="110"/>
      <c r="AM1453" s="641">
        <f t="shared" si="27"/>
        <v>1363.2249999999999</v>
      </c>
      <c r="AO1453" s="289"/>
      <c r="AP1453" s="97"/>
    </row>
    <row r="1454" spans="1:42" s="61" customFormat="1" ht="25.5" customHeight="1" x14ac:dyDescent="0.3">
      <c r="A1454" s="706"/>
      <c r="B1454" s="175" t="s">
        <v>327</v>
      </c>
      <c r="C1454" s="176"/>
      <c r="D1454" s="127"/>
      <c r="E1454" s="127"/>
      <c r="F1454" s="265"/>
      <c r="G1454" s="127"/>
      <c r="H1454" s="127"/>
      <c r="I1454" s="178"/>
      <c r="J1454" s="127"/>
      <c r="K1454" s="127"/>
      <c r="L1454" s="265"/>
      <c r="M1454" s="127"/>
      <c r="N1454" s="178"/>
      <c r="O1454" s="127"/>
      <c r="P1454" s="127"/>
      <c r="Q1454" s="127"/>
      <c r="R1454" s="127"/>
      <c r="S1454" s="127">
        <v>361</v>
      </c>
      <c r="T1454" s="177"/>
      <c r="U1454" s="176"/>
      <c r="V1454" s="127"/>
      <c r="W1454" s="127"/>
      <c r="X1454" s="127"/>
      <c r="Y1454" s="127"/>
      <c r="Z1454" s="127"/>
      <c r="AA1454" s="127"/>
      <c r="AB1454" s="127"/>
      <c r="AC1454" s="127"/>
      <c r="AD1454" s="127"/>
      <c r="AE1454" s="127"/>
      <c r="AF1454" s="127"/>
      <c r="AG1454" s="127"/>
      <c r="AH1454" s="127"/>
      <c r="AI1454" s="127" t="s">
        <v>482</v>
      </c>
      <c r="AJ1454" s="127"/>
      <c r="AK1454" s="127"/>
      <c r="AL1454" s="127"/>
      <c r="AM1454" s="642">
        <f t="shared" si="27"/>
        <v>361</v>
      </c>
      <c r="AO1454" s="289"/>
    </row>
    <row r="1455" spans="1:42" s="61" customFormat="1" ht="25.5" customHeight="1" x14ac:dyDescent="0.3">
      <c r="A1455" s="706"/>
      <c r="B1455" s="180" t="s">
        <v>361</v>
      </c>
      <c r="C1455" s="300"/>
      <c r="D1455" s="173"/>
      <c r="E1455" s="173"/>
      <c r="F1455" s="266"/>
      <c r="G1455" s="173"/>
      <c r="H1455" s="173"/>
      <c r="I1455" s="174"/>
      <c r="J1455" s="173"/>
      <c r="K1455" s="173"/>
      <c r="L1455" s="266"/>
      <c r="M1455" s="173"/>
      <c r="N1455" s="174"/>
      <c r="O1455" s="173"/>
      <c r="P1455" s="173"/>
      <c r="Q1455" s="173"/>
      <c r="R1455" s="173"/>
      <c r="S1455" s="173">
        <v>408</v>
      </c>
      <c r="T1455" s="327"/>
      <c r="U1455" s="300"/>
      <c r="V1455" s="173"/>
      <c r="W1455" s="173"/>
      <c r="X1455" s="173"/>
      <c r="Y1455" s="173"/>
      <c r="Z1455" s="173"/>
      <c r="AA1455" s="173"/>
      <c r="AB1455" s="173"/>
      <c r="AC1455" s="173"/>
      <c r="AD1455" s="173"/>
      <c r="AE1455" s="173"/>
      <c r="AF1455" s="173"/>
      <c r="AG1455" s="173"/>
      <c r="AH1455" s="173">
        <v>617</v>
      </c>
      <c r="AI1455" s="173" t="s">
        <v>482</v>
      </c>
      <c r="AJ1455" s="173"/>
      <c r="AK1455" s="173"/>
      <c r="AL1455" s="173"/>
      <c r="AM1455" s="643">
        <f t="shared" si="27"/>
        <v>1025</v>
      </c>
      <c r="AO1455" s="289"/>
      <c r="AP1455" s="97"/>
    </row>
    <row r="1456" spans="1:42" s="61" customFormat="1" ht="25.5" customHeight="1" x14ac:dyDescent="0.3">
      <c r="A1456" s="706"/>
      <c r="B1456" s="180" t="s">
        <v>362</v>
      </c>
      <c r="C1456" s="300"/>
      <c r="D1456" s="173"/>
      <c r="E1456" s="173"/>
      <c r="F1456" s="266"/>
      <c r="G1456" s="173"/>
      <c r="H1456" s="173"/>
      <c r="I1456" s="174"/>
      <c r="J1456" s="173"/>
      <c r="K1456" s="173"/>
      <c r="L1456" s="266"/>
      <c r="M1456" s="173"/>
      <c r="N1456" s="174"/>
      <c r="O1456" s="173"/>
      <c r="P1456" s="173"/>
      <c r="Q1456" s="173"/>
      <c r="R1456" s="173"/>
      <c r="S1456" s="173">
        <v>335</v>
      </c>
      <c r="T1456" s="327"/>
      <c r="U1456" s="300">
        <v>2.6219999999999999</v>
      </c>
      <c r="V1456" s="173"/>
      <c r="W1456" s="173"/>
      <c r="X1456" s="173"/>
      <c r="Y1456" s="173"/>
      <c r="Z1456" s="173"/>
      <c r="AA1456" s="173"/>
      <c r="AB1456" s="173"/>
      <c r="AC1456" s="173"/>
      <c r="AD1456" s="173"/>
      <c r="AE1456" s="173"/>
      <c r="AF1456" s="173"/>
      <c r="AG1456" s="173"/>
      <c r="AH1456" s="173">
        <v>460</v>
      </c>
      <c r="AI1456" s="173" t="s">
        <v>482</v>
      </c>
      <c r="AJ1456" s="173"/>
      <c r="AK1456" s="173"/>
      <c r="AL1456" s="173"/>
      <c r="AM1456" s="644">
        <f t="shared" si="27"/>
        <v>797.62200000000007</v>
      </c>
      <c r="AO1456" s="289"/>
      <c r="AP1456" s="97"/>
    </row>
    <row r="1457" spans="1:42" s="61" customFormat="1" ht="22.5" customHeight="1" x14ac:dyDescent="0.3">
      <c r="A1457" s="706"/>
      <c r="B1457" s="115" t="s">
        <v>402</v>
      </c>
      <c r="C1457" s="142"/>
      <c r="D1457" s="111"/>
      <c r="E1457" s="111"/>
      <c r="F1457" s="267"/>
      <c r="G1457" s="111"/>
      <c r="H1457" s="111"/>
      <c r="I1457" s="125"/>
      <c r="J1457" s="111"/>
      <c r="K1457" s="111"/>
      <c r="L1457" s="267">
        <v>0</v>
      </c>
      <c r="M1457" s="111"/>
      <c r="N1457" s="125"/>
      <c r="O1457" s="111"/>
      <c r="P1457" s="111"/>
      <c r="Q1457" s="111"/>
      <c r="R1457" s="111"/>
      <c r="S1457" s="111">
        <v>248</v>
      </c>
      <c r="T1457" s="143"/>
      <c r="U1457" s="142"/>
      <c r="V1457" s="111"/>
      <c r="W1457" s="111"/>
      <c r="X1457" s="111"/>
      <c r="Y1457" s="111"/>
      <c r="Z1457" s="111"/>
      <c r="AA1457" s="111"/>
      <c r="AB1457" s="111"/>
      <c r="AC1457" s="111"/>
      <c r="AD1457" s="111"/>
      <c r="AE1457" s="111"/>
      <c r="AF1457" s="111"/>
      <c r="AG1457" s="111"/>
      <c r="AH1457" s="111" t="s">
        <v>482</v>
      </c>
      <c r="AI1457" s="111" t="s">
        <v>482</v>
      </c>
      <c r="AJ1457" s="111"/>
      <c r="AK1457" s="111"/>
      <c r="AL1457" s="111"/>
      <c r="AM1457" s="645">
        <f t="shared" si="27"/>
        <v>248</v>
      </c>
      <c r="AO1457" s="289"/>
    </row>
    <row r="1458" spans="1:42" s="61" customFormat="1" ht="21" customHeight="1" x14ac:dyDescent="0.3">
      <c r="A1458" s="707"/>
      <c r="B1458" s="181" t="s">
        <v>403</v>
      </c>
      <c r="C1458" s="144"/>
      <c r="D1458" s="112"/>
      <c r="E1458" s="112"/>
      <c r="F1458" s="268"/>
      <c r="G1458" s="112"/>
      <c r="H1458" s="112"/>
      <c r="I1458" s="126"/>
      <c r="J1458" s="112"/>
      <c r="K1458" s="112"/>
      <c r="L1458" s="268"/>
      <c r="M1458" s="112"/>
      <c r="N1458" s="126"/>
      <c r="O1458" s="112"/>
      <c r="P1458" s="112"/>
      <c r="Q1458" s="112"/>
      <c r="R1458" s="112"/>
      <c r="S1458" s="112">
        <v>222.49800200000001</v>
      </c>
      <c r="T1458" s="145"/>
      <c r="U1458" s="144">
        <v>0.126</v>
      </c>
      <c r="V1458" s="112"/>
      <c r="W1458" s="112"/>
      <c r="X1458" s="112"/>
      <c r="Y1458" s="112"/>
      <c r="Z1458" s="112"/>
      <c r="AA1458" s="112"/>
      <c r="AB1458" s="112"/>
      <c r="AC1458" s="112"/>
      <c r="AD1458" s="112"/>
      <c r="AE1458" s="112"/>
      <c r="AF1458" s="112"/>
      <c r="AG1458" s="112"/>
      <c r="AH1458" s="112" t="s">
        <v>482</v>
      </c>
      <c r="AI1458" s="112" t="s">
        <v>482</v>
      </c>
      <c r="AJ1458" s="112"/>
      <c r="AK1458" s="112">
        <f>254.9935/1.001</f>
        <v>254.73876123876127</v>
      </c>
      <c r="AL1458" s="112"/>
      <c r="AM1458" s="646">
        <f t="shared" si="27"/>
        <v>477.36276323876132</v>
      </c>
      <c r="AO1458" s="289"/>
    </row>
    <row r="1459" spans="1:42" s="61" customFormat="1" ht="21" customHeight="1" x14ac:dyDescent="0.3">
      <c r="A1459" s="705" t="s">
        <v>262</v>
      </c>
      <c r="B1459" s="179" t="s">
        <v>293</v>
      </c>
      <c r="C1459" s="135">
        <v>17302.62</v>
      </c>
      <c r="D1459" s="136"/>
      <c r="E1459" s="136"/>
      <c r="F1459" s="262">
        <v>5186.4939999999997</v>
      </c>
      <c r="G1459" s="136">
        <v>743</v>
      </c>
      <c r="H1459" s="136">
        <v>31</v>
      </c>
      <c r="I1459" s="326"/>
      <c r="J1459" s="136"/>
      <c r="K1459" s="136">
        <v>369</v>
      </c>
      <c r="L1459" s="262">
        <v>5836.32</v>
      </c>
      <c r="M1459" s="136"/>
      <c r="N1459" s="326">
        <v>3870.8589999999999</v>
      </c>
      <c r="O1459" s="136">
        <v>1400</v>
      </c>
      <c r="P1459" s="136">
        <v>213</v>
      </c>
      <c r="Q1459" s="136">
        <v>4458</v>
      </c>
      <c r="R1459" s="136">
        <f>+(56+660)/2</f>
        <v>358</v>
      </c>
      <c r="S1459" s="136">
        <v>53686.976999999999</v>
      </c>
      <c r="T1459" s="137">
        <v>2210.3110000000001</v>
      </c>
      <c r="U1459" s="632">
        <v>3472.0569999999998</v>
      </c>
      <c r="V1459" s="122">
        <f>90693/1000</f>
        <v>90.692999999999998</v>
      </c>
      <c r="W1459" s="122">
        <v>391</v>
      </c>
      <c r="X1459" s="122">
        <v>1855</v>
      </c>
      <c r="Y1459" s="122">
        <v>42457</v>
      </c>
      <c r="Z1459" s="122">
        <v>76880</v>
      </c>
      <c r="AA1459" s="122">
        <v>139.76408000000001</v>
      </c>
      <c r="AB1459" s="122"/>
      <c r="AC1459" s="122">
        <v>4419.5559999999996</v>
      </c>
      <c r="AD1459" s="122">
        <v>20155</v>
      </c>
      <c r="AE1459" s="122">
        <v>54</v>
      </c>
      <c r="AF1459" s="122"/>
      <c r="AG1459" s="122">
        <v>2.5499999999999998</v>
      </c>
      <c r="AH1459" s="122">
        <v>29308.67</v>
      </c>
      <c r="AI1459" s="122">
        <v>13869</v>
      </c>
      <c r="AJ1459" s="122"/>
      <c r="AK1459" s="122">
        <v>11.86</v>
      </c>
      <c r="AL1459" s="122">
        <v>2759.1949597315438</v>
      </c>
      <c r="AM1459" s="639">
        <f t="shared" si="27"/>
        <v>291530.92603973154</v>
      </c>
      <c r="AO1459" s="289"/>
    </row>
    <row r="1460" spans="1:42" s="61" customFormat="1" ht="19.5" customHeight="1" x14ac:dyDescent="0.3">
      <c r="A1460" s="706"/>
      <c r="B1460" s="116" t="s">
        <v>294</v>
      </c>
      <c r="C1460" s="138">
        <v>19018.919999999998</v>
      </c>
      <c r="D1460" s="109"/>
      <c r="E1460" s="109"/>
      <c r="F1460" s="263">
        <v>10382.82</v>
      </c>
      <c r="G1460" s="109">
        <v>783</v>
      </c>
      <c r="H1460" s="109">
        <v>64</v>
      </c>
      <c r="I1460" s="123"/>
      <c r="J1460" s="109"/>
      <c r="K1460" s="109">
        <f>712+128-56</f>
        <v>784</v>
      </c>
      <c r="L1460" s="263">
        <v>3608.5250000000001</v>
      </c>
      <c r="M1460" s="109"/>
      <c r="N1460" s="123">
        <v>8116.9830000000002</v>
      </c>
      <c r="O1460" s="109">
        <v>1802.5</v>
      </c>
      <c r="P1460" s="109"/>
      <c r="Q1460" s="109">
        <v>3244</v>
      </c>
      <c r="R1460" s="109">
        <f>+(56+660)/2</f>
        <v>358</v>
      </c>
      <c r="S1460" s="109">
        <v>62445.692999999999</v>
      </c>
      <c r="T1460" s="139">
        <v>2503.1289999999999</v>
      </c>
      <c r="U1460" s="138">
        <v>4656.4549999999999</v>
      </c>
      <c r="V1460" s="109">
        <f>(90693+156216)/1000-V1459</f>
        <v>156.21600000000001</v>
      </c>
      <c r="W1460" s="109">
        <f>3215-391</f>
        <v>2824</v>
      </c>
      <c r="X1460" s="109">
        <v>1619</v>
      </c>
      <c r="Y1460" s="109">
        <v>53389</v>
      </c>
      <c r="Z1460" s="109">
        <v>110409</v>
      </c>
      <c r="AA1460" s="109">
        <v>230.98429999999999</v>
      </c>
      <c r="AB1460" s="109"/>
      <c r="AC1460" s="109">
        <v>5167.5129999999999</v>
      </c>
      <c r="AD1460" s="109">
        <v>24648</v>
      </c>
      <c r="AE1460" s="109">
        <v>245</v>
      </c>
      <c r="AF1460" s="109"/>
      <c r="AG1460" s="109">
        <v>3.95</v>
      </c>
      <c r="AH1460" s="109">
        <v>37886.67</v>
      </c>
      <c r="AI1460" s="109">
        <v>13631</v>
      </c>
      <c r="AJ1460" s="109">
        <v>19</v>
      </c>
      <c r="AK1460" s="109">
        <v>54.16</v>
      </c>
      <c r="AL1460" s="109">
        <v>2025.2169846153845</v>
      </c>
      <c r="AM1460" s="640">
        <f t="shared" si="27"/>
        <v>370076.73528461531</v>
      </c>
      <c r="AO1460" s="289"/>
    </row>
    <row r="1461" spans="1:42" s="61" customFormat="1" ht="22.5" customHeight="1" x14ac:dyDescent="0.3">
      <c r="A1461" s="706"/>
      <c r="B1461" s="117" t="s">
        <v>326</v>
      </c>
      <c r="C1461" s="140">
        <v>24401.52</v>
      </c>
      <c r="D1461" s="110"/>
      <c r="E1461" s="110"/>
      <c r="F1461" s="264">
        <v>11380</v>
      </c>
      <c r="G1461" s="110">
        <v>830</v>
      </c>
      <c r="H1461" s="110">
        <v>76</v>
      </c>
      <c r="I1461" s="124"/>
      <c r="J1461" s="110"/>
      <c r="K1461" s="110">
        <f>535+100+10000</f>
        <v>10635</v>
      </c>
      <c r="L1461" s="264">
        <v>5150</v>
      </c>
      <c r="M1461" s="110"/>
      <c r="N1461" s="124">
        <v>9853.143</v>
      </c>
      <c r="O1461" s="110">
        <v>1883</v>
      </c>
      <c r="P1461" s="110"/>
      <c r="Q1461" s="110">
        <v>2904</v>
      </c>
      <c r="R1461" s="110">
        <f>(3982+2491+816)/2</f>
        <v>3644.5</v>
      </c>
      <c r="S1461" s="110">
        <v>75031</v>
      </c>
      <c r="T1461" s="141"/>
      <c r="U1461" s="140">
        <v>7262.7849999999999</v>
      </c>
      <c r="V1461" s="110">
        <f>(134834+87183)/1000</f>
        <v>222.017</v>
      </c>
      <c r="W1461" s="110">
        <f>3316+350</f>
        <v>3666</v>
      </c>
      <c r="X1461" s="110">
        <v>4282</v>
      </c>
      <c r="Y1461" s="110">
        <v>60836</v>
      </c>
      <c r="Z1461" s="110">
        <v>122029</v>
      </c>
      <c r="AA1461" s="110"/>
      <c r="AB1461" s="110"/>
      <c r="AC1461" s="110">
        <v>7672.299</v>
      </c>
      <c r="AD1461" s="110">
        <v>31775</v>
      </c>
      <c r="AE1461" s="110">
        <v>718</v>
      </c>
      <c r="AF1461" s="110"/>
      <c r="AG1461" s="110"/>
      <c r="AH1461" s="110">
        <v>45213.18144</v>
      </c>
      <c r="AI1461" s="110">
        <v>56166</v>
      </c>
      <c r="AJ1461" s="110"/>
      <c r="AK1461" s="110">
        <v>62</v>
      </c>
      <c r="AL1461" s="110">
        <v>2134.6141491228072</v>
      </c>
      <c r="AM1461" s="641">
        <f t="shared" si="27"/>
        <v>487827.05958912277</v>
      </c>
      <c r="AO1461" s="289"/>
      <c r="AP1461" s="97"/>
    </row>
    <row r="1462" spans="1:42" s="61" customFormat="1" ht="25.5" customHeight="1" x14ac:dyDescent="0.3">
      <c r="A1462" s="706"/>
      <c r="B1462" s="175" t="s">
        <v>327</v>
      </c>
      <c r="C1462" s="176">
        <v>75337.025999999998</v>
      </c>
      <c r="D1462" s="127"/>
      <c r="E1462" s="127"/>
      <c r="F1462" s="265">
        <v>14810</v>
      </c>
      <c r="G1462" s="127">
        <v>844</v>
      </c>
      <c r="H1462" s="127"/>
      <c r="I1462" s="178"/>
      <c r="J1462" s="127"/>
      <c r="K1462" s="127">
        <v>92</v>
      </c>
      <c r="L1462" s="265">
        <v>8932</v>
      </c>
      <c r="M1462" s="127"/>
      <c r="N1462" s="178">
        <v>14639.862999999999</v>
      </c>
      <c r="O1462" s="127">
        <v>1866</v>
      </c>
      <c r="P1462" s="127"/>
      <c r="Q1462" s="127">
        <v>4224</v>
      </c>
      <c r="R1462" s="127">
        <f>(3982+2491+816)/2</f>
        <v>3644.5</v>
      </c>
      <c r="S1462" s="127">
        <v>80506</v>
      </c>
      <c r="T1462" s="177"/>
      <c r="U1462" s="176">
        <v>7800.7460000000001</v>
      </c>
      <c r="V1462" s="127">
        <f>(257489+760660)/1000-V1461</f>
        <v>796.13200000000006</v>
      </c>
      <c r="W1462" s="127">
        <f>13848+350-3666</f>
        <v>10532</v>
      </c>
      <c r="X1462" s="127">
        <v>4678</v>
      </c>
      <c r="Y1462" s="127">
        <v>85200</v>
      </c>
      <c r="Z1462" s="127">
        <v>145044</v>
      </c>
      <c r="AA1462" s="127">
        <v>253.334</v>
      </c>
      <c r="AB1462" s="127"/>
      <c r="AC1462" s="127">
        <v>10609.548999999999</v>
      </c>
      <c r="AD1462" s="127">
        <v>39066</v>
      </c>
      <c r="AE1462" s="127"/>
      <c r="AF1462" s="127"/>
      <c r="AG1462" s="127"/>
      <c r="AH1462" s="127">
        <v>84566.38</v>
      </c>
      <c r="AI1462" s="127">
        <v>40065</v>
      </c>
      <c r="AJ1462" s="127"/>
      <c r="AK1462" s="127">
        <v>50</v>
      </c>
      <c r="AL1462" s="127">
        <v>2883.1450381679388</v>
      </c>
      <c r="AM1462" s="642">
        <f t="shared" si="27"/>
        <v>636439.67503816797</v>
      </c>
      <c r="AO1462" s="289"/>
    </row>
    <row r="1463" spans="1:42" s="61" customFormat="1" ht="25.5" customHeight="1" x14ac:dyDescent="0.3">
      <c r="A1463" s="706"/>
      <c r="B1463" s="180" t="s">
        <v>361</v>
      </c>
      <c r="C1463" s="300">
        <v>67963.59474</v>
      </c>
      <c r="D1463" s="173"/>
      <c r="E1463" s="173"/>
      <c r="F1463" s="266">
        <v>22960</v>
      </c>
      <c r="G1463" s="173">
        <f>746+77</f>
        <v>823</v>
      </c>
      <c r="H1463" s="173"/>
      <c r="I1463" s="174"/>
      <c r="J1463" s="173"/>
      <c r="K1463" s="173">
        <v>7256</v>
      </c>
      <c r="L1463" s="266">
        <v>8666</v>
      </c>
      <c r="M1463" s="173">
        <v>517.92999999999995</v>
      </c>
      <c r="N1463" s="174">
        <v>14261.732</v>
      </c>
      <c r="O1463" s="173">
        <v>3233</v>
      </c>
      <c r="P1463" s="173"/>
      <c r="Q1463" s="173">
        <v>4244</v>
      </c>
      <c r="R1463" s="173">
        <f>32+341+197</f>
        <v>570</v>
      </c>
      <c r="S1463" s="173">
        <v>135766</v>
      </c>
      <c r="T1463" s="327">
        <v>7205.9</v>
      </c>
      <c r="U1463" s="300">
        <v>11234.938</v>
      </c>
      <c r="V1463" s="173">
        <f>(204926+317370)/1000</f>
        <v>522.29600000000005</v>
      </c>
      <c r="W1463" s="173">
        <v>7497</v>
      </c>
      <c r="X1463" s="173">
        <v>14811</v>
      </c>
      <c r="Y1463" s="173">
        <v>68059</v>
      </c>
      <c r="Z1463" s="173">
        <v>162089.38066</v>
      </c>
      <c r="AA1463" s="173"/>
      <c r="AB1463" s="173">
        <v>203</v>
      </c>
      <c r="AC1463" s="173">
        <f>10611+2579</f>
        <v>13190</v>
      </c>
      <c r="AD1463" s="173">
        <v>41188</v>
      </c>
      <c r="AE1463" s="173">
        <v>956</v>
      </c>
      <c r="AF1463" s="173"/>
      <c r="AG1463" s="173">
        <v>16</v>
      </c>
      <c r="AH1463" s="173">
        <v>55693</v>
      </c>
      <c r="AI1463" s="173">
        <v>41921</v>
      </c>
      <c r="AJ1463" s="173">
        <v>71</v>
      </c>
      <c r="AK1463" s="173">
        <v>118</v>
      </c>
      <c r="AL1463" s="173">
        <v>2746.1157024793388</v>
      </c>
      <c r="AM1463" s="643">
        <f t="shared" si="27"/>
        <v>693782.88710247935</v>
      </c>
      <c r="AO1463" s="289"/>
      <c r="AP1463" s="97"/>
    </row>
    <row r="1464" spans="1:42" s="61" customFormat="1" ht="25.5" customHeight="1" x14ac:dyDescent="0.3">
      <c r="A1464" s="706"/>
      <c r="B1464" s="180" t="s">
        <v>362</v>
      </c>
      <c r="C1464" s="300">
        <v>71811.423450000002</v>
      </c>
      <c r="D1464" s="173"/>
      <c r="E1464" s="173"/>
      <c r="F1464" s="266">
        <v>25138</v>
      </c>
      <c r="G1464" s="173">
        <f>770+133</f>
        <v>903</v>
      </c>
      <c r="H1464" s="173"/>
      <c r="I1464" s="174"/>
      <c r="J1464" s="173"/>
      <c r="K1464" s="173"/>
      <c r="L1464" s="266">
        <v>11439</v>
      </c>
      <c r="M1464" s="173">
        <v>703.97</v>
      </c>
      <c r="N1464" s="174">
        <v>15244.641</v>
      </c>
      <c r="O1464" s="173">
        <v>3189</v>
      </c>
      <c r="P1464" s="173"/>
      <c r="Q1464" s="173">
        <v>5707</v>
      </c>
      <c r="R1464" s="173">
        <f>5514+220-R1463</f>
        <v>5164</v>
      </c>
      <c r="S1464" s="173">
        <v>119278</v>
      </c>
      <c r="T1464" s="327">
        <v>11840.1</v>
      </c>
      <c r="U1464" s="300">
        <v>9158.7440000000006</v>
      </c>
      <c r="V1464" s="173">
        <f>(490601+1194769)/1000-V1463</f>
        <v>1163.0739999999998</v>
      </c>
      <c r="W1464" s="173">
        <v>7716</v>
      </c>
      <c r="X1464" s="173">
        <v>16528</v>
      </c>
      <c r="Y1464" s="173">
        <v>85167</v>
      </c>
      <c r="Z1464" s="173">
        <v>193857.83568000002</v>
      </c>
      <c r="AA1464" s="173">
        <v>210</v>
      </c>
      <c r="AB1464" s="173">
        <v>236</v>
      </c>
      <c r="AC1464" s="173">
        <f>22548-10611+3155+1</f>
        <v>15093</v>
      </c>
      <c r="AD1464" s="173">
        <v>44713</v>
      </c>
      <c r="AE1464" s="173">
        <f>986</f>
        <v>986</v>
      </c>
      <c r="AF1464" s="173"/>
      <c r="AG1464" s="173">
        <v>8</v>
      </c>
      <c r="AH1464" s="173">
        <v>60166</v>
      </c>
      <c r="AI1464" s="173">
        <v>45353</v>
      </c>
      <c r="AJ1464" s="173"/>
      <c r="AK1464" s="173">
        <v>63</v>
      </c>
      <c r="AL1464" s="173">
        <v>4114.3751339285718</v>
      </c>
      <c r="AM1464" s="644">
        <f t="shared" si="27"/>
        <v>754951.16326392861</v>
      </c>
      <c r="AO1464" s="289"/>
      <c r="AP1464" s="97"/>
    </row>
    <row r="1465" spans="1:42" s="61" customFormat="1" ht="22.5" customHeight="1" x14ac:dyDescent="0.3">
      <c r="A1465" s="706"/>
      <c r="B1465" s="115" t="s">
        <v>402</v>
      </c>
      <c r="C1465" s="142">
        <v>120230.86148000001</v>
      </c>
      <c r="D1465" s="111"/>
      <c r="E1465" s="111">
        <v>55</v>
      </c>
      <c r="F1465" s="267">
        <v>39033.9</v>
      </c>
      <c r="G1465" s="111">
        <v>12</v>
      </c>
      <c r="H1465" s="111"/>
      <c r="I1465" s="125"/>
      <c r="J1465" s="111"/>
      <c r="K1465" s="111">
        <v>103</v>
      </c>
      <c r="L1465" s="267">
        <v>3616</v>
      </c>
      <c r="M1465" s="111">
        <v>689.57751000000007</v>
      </c>
      <c r="N1465" s="125"/>
      <c r="O1465" s="111">
        <v>3162</v>
      </c>
      <c r="P1465" s="111"/>
      <c r="Q1465" s="111">
        <v>2517</v>
      </c>
      <c r="R1465" s="111">
        <v>4423</v>
      </c>
      <c r="S1465" s="111">
        <v>88732</v>
      </c>
      <c r="T1465" s="143">
        <v>6369.89</v>
      </c>
      <c r="U1465" s="142">
        <v>7141.4560000000001</v>
      </c>
      <c r="V1465" s="111">
        <f>846853.81/1000</f>
        <v>846.85381000000007</v>
      </c>
      <c r="W1465" s="111">
        <v>5634</v>
      </c>
      <c r="X1465" s="111">
        <v>10990</v>
      </c>
      <c r="Y1465" s="111">
        <v>105366.742</v>
      </c>
      <c r="Z1465" s="111">
        <v>138553</v>
      </c>
      <c r="AA1465" s="111">
        <v>121</v>
      </c>
      <c r="AB1465" s="111">
        <v>818.2</v>
      </c>
      <c r="AC1465" s="111">
        <v>12566</v>
      </c>
      <c r="AD1465" s="111">
        <v>51568</v>
      </c>
      <c r="AE1465" s="111">
        <v>751</v>
      </c>
      <c r="AF1465" s="111"/>
      <c r="AG1465" s="111"/>
      <c r="AH1465" s="111">
        <v>81673.463000000003</v>
      </c>
      <c r="AI1465" s="111">
        <v>27300</v>
      </c>
      <c r="AJ1465" s="111"/>
      <c r="AK1465" s="111">
        <f>1049.256/1.097</f>
        <v>956.47766636280778</v>
      </c>
      <c r="AL1465" s="111">
        <v>2408.2857142857142</v>
      </c>
      <c r="AM1465" s="645">
        <f t="shared" si="27"/>
        <v>715638.70718064846</v>
      </c>
      <c r="AO1465" s="289"/>
    </row>
    <row r="1466" spans="1:42" s="61" customFormat="1" ht="21" customHeight="1" x14ac:dyDescent="0.3">
      <c r="A1466" s="707"/>
      <c r="B1466" s="181" t="s">
        <v>403</v>
      </c>
      <c r="C1466" s="144">
        <v>130934.94561</v>
      </c>
      <c r="D1466" s="112"/>
      <c r="E1466" s="112"/>
      <c r="F1466" s="268">
        <v>8559.9</v>
      </c>
      <c r="G1466" s="112">
        <v>198</v>
      </c>
      <c r="H1466" s="112"/>
      <c r="I1466" s="126"/>
      <c r="J1466" s="112"/>
      <c r="K1466" s="112">
        <v>13996</v>
      </c>
      <c r="L1466" s="268">
        <v>9199.9</v>
      </c>
      <c r="M1466" s="112">
        <v>233.29003</v>
      </c>
      <c r="N1466" s="126"/>
      <c r="O1466" s="112">
        <v>4209</v>
      </c>
      <c r="P1466" s="112"/>
      <c r="Q1466" s="112">
        <v>2864</v>
      </c>
      <c r="R1466" s="112">
        <f>9231-R1465</f>
        <v>4808</v>
      </c>
      <c r="S1466" s="112">
        <v>131661.58263600001</v>
      </c>
      <c r="T1466" s="145">
        <v>6583.68</v>
      </c>
      <c r="U1466" s="144">
        <v>7994.4250000000002</v>
      </c>
      <c r="V1466" s="112">
        <f>(1278504+1332285+28016+25)/1000-V1465</f>
        <v>1791.9761899999999</v>
      </c>
      <c r="W1466" s="112">
        <f>11502-5634</f>
        <v>5868</v>
      </c>
      <c r="X1466" s="112">
        <v>10388</v>
      </c>
      <c r="Y1466" s="112">
        <v>107885.397</v>
      </c>
      <c r="Z1466" s="112">
        <v>135965</v>
      </c>
      <c r="AA1466" s="112">
        <v>-24</v>
      </c>
      <c r="AB1466" s="112">
        <v>264.7</v>
      </c>
      <c r="AC1466" s="112">
        <v>15340</v>
      </c>
      <c r="AD1466" s="112">
        <v>48577</v>
      </c>
      <c r="AE1466" s="112">
        <v>579</v>
      </c>
      <c r="AF1466" s="112"/>
      <c r="AG1466" s="112"/>
      <c r="AH1466" s="112">
        <v>72487.335000000006</v>
      </c>
      <c r="AI1466" s="112">
        <v>27301</v>
      </c>
      <c r="AJ1466" s="112"/>
      <c r="AK1466" s="112">
        <f>229.99/1.001</f>
        <v>229.76023976023978</v>
      </c>
      <c r="AL1466" s="112">
        <v>2971</v>
      </c>
      <c r="AM1466" s="646">
        <f t="shared" si="27"/>
        <v>750866.89170576015</v>
      </c>
      <c r="AO1466" s="289"/>
    </row>
    <row r="1467" spans="1:42" s="61" customFormat="1" ht="21" customHeight="1" x14ac:dyDescent="0.3">
      <c r="A1467" s="705" t="s">
        <v>263</v>
      </c>
      <c r="B1467" s="179" t="s">
        <v>293</v>
      </c>
      <c r="C1467" s="135">
        <v>6250.69</v>
      </c>
      <c r="D1467" s="136"/>
      <c r="E1467" s="136"/>
      <c r="F1467" s="262">
        <v>2003.402</v>
      </c>
      <c r="G1467" s="136">
        <v>944</v>
      </c>
      <c r="H1467" s="136">
        <v>175</v>
      </c>
      <c r="I1467" s="326"/>
      <c r="J1467" s="136">
        <v>99</v>
      </c>
      <c r="K1467" s="136">
        <f>92+138+423</f>
        <v>653</v>
      </c>
      <c r="L1467" s="262">
        <v>3555.7179999999998</v>
      </c>
      <c r="M1467" s="136"/>
      <c r="N1467" s="326">
        <v>2779.07</v>
      </c>
      <c r="O1467" s="136">
        <v>6357</v>
      </c>
      <c r="P1467" s="136">
        <v>33</v>
      </c>
      <c r="Q1467" s="136">
        <v>40</v>
      </c>
      <c r="R1467" s="136">
        <v>83</v>
      </c>
      <c r="S1467" s="136">
        <v>33333.332999999999</v>
      </c>
      <c r="T1467" s="137">
        <v>2161.538</v>
      </c>
      <c r="U1467" s="632">
        <v>307.15800000000002</v>
      </c>
      <c r="V1467" s="122">
        <f>125776/1000</f>
        <v>125.776</v>
      </c>
      <c r="W1467" s="122">
        <v>398</v>
      </c>
      <c r="X1467" s="122">
        <v>12</v>
      </c>
      <c r="Y1467" s="122">
        <v>15856</v>
      </c>
      <c r="Z1467" s="122">
        <v>27595</v>
      </c>
      <c r="AA1467" s="122">
        <v>5240.5370199999998</v>
      </c>
      <c r="AB1467" s="122">
        <v>56</v>
      </c>
      <c r="AC1467" s="122">
        <v>110</v>
      </c>
      <c r="AD1467" s="122">
        <v>6755</v>
      </c>
      <c r="AE1467" s="122"/>
      <c r="AF1467" s="122"/>
      <c r="AG1467" s="122">
        <v>12</v>
      </c>
      <c r="AH1467" s="122">
        <v>21315.37</v>
      </c>
      <c r="AI1467" s="122">
        <v>1955</v>
      </c>
      <c r="AJ1467" s="122"/>
      <c r="AK1467" s="122">
        <v>48.32</v>
      </c>
      <c r="AL1467" s="122">
        <v>503.3557046979866</v>
      </c>
      <c r="AM1467" s="639">
        <f t="shared" si="27"/>
        <v>138757.267724698</v>
      </c>
      <c r="AO1467" s="289"/>
    </row>
    <row r="1468" spans="1:42" s="61" customFormat="1" ht="19.5" customHeight="1" x14ac:dyDescent="0.3">
      <c r="A1468" s="706"/>
      <c r="B1468" s="116" t="s">
        <v>294</v>
      </c>
      <c r="C1468" s="138">
        <v>10347.219999999999</v>
      </c>
      <c r="D1468" s="109"/>
      <c r="E1468" s="109"/>
      <c r="F1468" s="263">
        <v>2100.4079999999999</v>
      </c>
      <c r="G1468" s="109">
        <v>907</v>
      </c>
      <c r="H1468" s="109"/>
      <c r="I1468" s="123"/>
      <c r="J1468" s="109">
        <v>80</v>
      </c>
      <c r="K1468" s="109">
        <f>66+124+360</f>
        <v>550</v>
      </c>
      <c r="L1468" s="263">
        <v>2305.6950000000002</v>
      </c>
      <c r="M1468" s="109"/>
      <c r="N1468" s="123">
        <v>2859.3229999999999</v>
      </c>
      <c r="O1468" s="109">
        <v>4072.8</v>
      </c>
      <c r="P1468" s="109">
        <v>609</v>
      </c>
      <c r="Q1468" s="109">
        <v>76</v>
      </c>
      <c r="R1468" s="109">
        <v>83</v>
      </c>
      <c r="S1468" s="109">
        <v>38518.519</v>
      </c>
      <c r="T1468" s="139">
        <v>2582.2049999999999</v>
      </c>
      <c r="U1468" s="138">
        <v>1626.867</v>
      </c>
      <c r="V1468" s="109">
        <f>201974/1000-V1467</f>
        <v>76.197999999999993</v>
      </c>
      <c r="W1468" s="109">
        <f>839-398</f>
        <v>441</v>
      </c>
      <c r="X1468" s="109"/>
      <c r="Y1468" s="109">
        <v>22459</v>
      </c>
      <c r="Z1468" s="109">
        <v>32030</v>
      </c>
      <c r="AA1468" s="109">
        <v>5081.2339299999994</v>
      </c>
      <c r="AB1468" s="109">
        <v>69</v>
      </c>
      <c r="AC1468" s="109">
        <v>800.3420000000001</v>
      </c>
      <c r="AD1468" s="109">
        <v>9267</v>
      </c>
      <c r="AE1468" s="109"/>
      <c r="AF1468" s="109"/>
      <c r="AG1468" s="109">
        <v>2.1</v>
      </c>
      <c r="AH1468" s="109">
        <v>29336.54</v>
      </c>
      <c r="AI1468" s="109">
        <v>9080</v>
      </c>
      <c r="AJ1468" s="109"/>
      <c r="AK1468" s="109">
        <v>689.8</v>
      </c>
      <c r="AL1468" s="109">
        <v>576.92307692307691</v>
      </c>
      <c r="AM1468" s="640">
        <f t="shared" si="27"/>
        <v>176627.17400692307</v>
      </c>
      <c r="AO1468" s="289"/>
    </row>
    <row r="1469" spans="1:42" s="61" customFormat="1" ht="22.5" customHeight="1" x14ac:dyDescent="0.3">
      <c r="A1469" s="706"/>
      <c r="B1469" s="117" t="s">
        <v>326</v>
      </c>
      <c r="C1469" s="140">
        <v>15136.901</v>
      </c>
      <c r="D1469" s="110"/>
      <c r="E1469" s="110"/>
      <c r="F1469" s="264">
        <v>3265</v>
      </c>
      <c r="G1469" s="110">
        <v>281</v>
      </c>
      <c r="H1469" s="110">
        <v>2</v>
      </c>
      <c r="I1469" s="124"/>
      <c r="J1469" s="110">
        <v>280</v>
      </c>
      <c r="K1469" s="110">
        <f>-28+105+20+3276+850</f>
        <v>4223</v>
      </c>
      <c r="L1469" s="264">
        <v>1363</v>
      </c>
      <c r="M1469" s="110"/>
      <c r="N1469" s="124">
        <v>4027.9569999999999</v>
      </c>
      <c r="O1469" s="110">
        <v>8965</v>
      </c>
      <c r="P1469" s="110">
        <v>12</v>
      </c>
      <c r="Q1469" s="110">
        <v>74</v>
      </c>
      <c r="R1469" s="110">
        <f>(160+410)/2</f>
        <v>285</v>
      </c>
      <c r="S1469" s="110">
        <v>16232</v>
      </c>
      <c r="T1469" s="141"/>
      <c r="U1469" s="140">
        <v>2401.1610000000001</v>
      </c>
      <c r="V1469" s="110">
        <f>(36197+202226)/1000</f>
        <v>238.423</v>
      </c>
      <c r="W1469" s="110">
        <f>463+551</f>
        <v>1014</v>
      </c>
      <c r="X1469" s="110">
        <v>304</v>
      </c>
      <c r="Y1469" s="110">
        <v>22241</v>
      </c>
      <c r="Z1469" s="110">
        <v>32463</v>
      </c>
      <c r="AA1469" s="110">
        <v>8100.7414600000002</v>
      </c>
      <c r="AB1469" s="110">
        <v>80</v>
      </c>
      <c r="AC1469" s="110">
        <v>1174.2840000000001</v>
      </c>
      <c r="AD1469" s="110">
        <v>11438</v>
      </c>
      <c r="AE1469" s="110"/>
      <c r="AF1469" s="110"/>
      <c r="AG1469" s="110">
        <f>20/1.3</f>
        <v>15.384615384615383</v>
      </c>
      <c r="AH1469" s="110">
        <v>30934.789350000003</v>
      </c>
      <c r="AI1469" s="110">
        <v>6212</v>
      </c>
      <c r="AJ1469" s="110"/>
      <c r="AK1469" s="110">
        <f>189+3</f>
        <v>192</v>
      </c>
      <c r="AL1469" s="110"/>
      <c r="AM1469" s="641">
        <f t="shared" si="27"/>
        <v>170955.64142538465</v>
      </c>
      <c r="AO1469" s="289"/>
      <c r="AP1469" s="97"/>
    </row>
    <row r="1470" spans="1:42" s="61" customFormat="1" ht="25.5" customHeight="1" x14ac:dyDescent="0.3">
      <c r="A1470" s="706"/>
      <c r="B1470" s="175" t="s">
        <v>327</v>
      </c>
      <c r="C1470" s="176">
        <v>14018.81</v>
      </c>
      <c r="D1470" s="127"/>
      <c r="E1470" s="127"/>
      <c r="F1470" s="265">
        <v>2997</v>
      </c>
      <c r="G1470" s="127">
        <v>147</v>
      </c>
      <c r="H1470" s="127"/>
      <c r="I1470" s="178"/>
      <c r="J1470" s="127">
        <v>334</v>
      </c>
      <c r="K1470" s="127">
        <f>365-223-45-2+40</f>
        <v>135</v>
      </c>
      <c r="L1470" s="265">
        <v>2298</v>
      </c>
      <c r="M1470" s="127"/>
      <c r="N1470" s="178">
        <v>5520.527</v>
      </c>
      <c r="O1470" s="127">
        <v>1800</v>
      </c>
      <c r="P1470" s="127">
        <v>167</v>
      </c>
      <c r="Q1470" s="127">
        <v>60</v>
      </c>
      <c r="R1470" s="127">
        <f>(160+410)/2</f>
        <v>285</v>
      </c>
      <c r="S1470" s="127">
        <v>13392</v>
      </c>
      <c r="T1470" s="177"/>
      <c r="U1470" s="176">
        <v>2415.672</v>
      </c>
      <c r="V1470" s="127">
        <f>(74530+688353)/1000-V1469</f>
        <v>524.46</v>
      </c>
      <c r="W1470" s="127">
        <f>463+551-1014</f>
        <v>0</v>
      </c>
      <c r="X1470" s="127"/>
      <c r="Y1470" s="127">
        <v>23702</v>
      </c>
      <c r="Z1470" s="127">
        <v>36511</v>
      </c>
      <c r="AA1470" s="127">
        <v>3796.1073900000001</v>
      </c>
      <c r="AB1470" s="127">
        <v>86</v>
      </c>
      <c r="AC1470" s="127">
        <v>649.76</v>
      </c>
      <c r="AD1470" s="127">
        <v>9850</v>
      </c>
      <c r="AE1470" s="127"/>
      <c r="AF1470" s="127"/>
      <c r="AG1470" s="127">
        <v>20</v>
      </c>
      <c r="AH1470" s="127">
        <v>34446.78</v>
      </c>
      <c r="AI1470" s="127">
        <v>7329</v>
      </c>
      <c r="AJ1470" s="127"/>
      <c r="AK1470" s="127">
        <v>294</v>
      </c>
      <c r="AL1470" s="127"/>
      <c r="AM1470" s="642">
        <f t="shared" si="27"/>
        <v>160779.11638999998</v>
      </c>
      <c r="AO1470" s="289"/>
    </row>
    <row r="1471" spans="1:42" s="61" customFormat="1" ht="25.5" customHeight="1" x14ac:dyDescent="0.3">
      <c r="A1471" s="706"/>
      <c r="B1471" s="180" t="s">
        <v>361</v>
      </c>
      <c r="C1471" s="300">
        <v>17983.661059999999</v>
      </c>
      <c r="D1471" s="173"/>
      <c r="E1471" s="173"/>
      <c r="F1471" s="266">
        <v>1954</v>
      </c>
      <c r="G1471" s="173">
        <f>895+114</f>
        <v>1009</v>
      </c>
      <c r="H1471" s="173">
        <v>172</v>
      </c>
      <c r="I1471" s="174"/>
      <c r="J1471" s="173"/>
      <c r="K1471" s="173">
        <v>375</v>
      </c>
      <c r="L1471" s="266">
        <v>1612</v>
      </c>
      <c r="M1471" s="173"/>
      <c r="N1471" s="174">
        <v>5428.6850000000004</v>
      </c>
      <c r="O1471" s="173">
        <v>5360</v>
      </c>
      <c r="P1471" s="173"/>
      <c r="Q1471" s="173">
        <v>80</v>
      </c>
      <c r="R1471" s="173">
        <v>95</v>
      </c>
      <c r="S1471" s="173">
        <v>16980</v>
      </c>
      <c r="T1471" s="327">
        <v>7206</v>
      </c>
      <c r="U1471" s="300">
        <v>2312.1660000000002</v>
      </c>
      <c r="V1471" s="173">
        <f>306860/1000</f>
        <v>306.86</v>
      </c>
      <c r="W1471" s="173">
        <v>372</v>
      </c>
      <c r="X1471" s="173">
        <v>827</v>
      </c>
      <c r="Y1471" s="173">
        <v>25590</v>
      </c>
      <c r="Z1471" s="173">
        <v>35704.995820000004</v>
      </c>
      <c r="AA1471" s="173">
        <v>8095.4037799999996</v>
      </c>
      <c r="AB1471" s="173">
        <v>2257</v>
      </c>
      <c r="AC1471" s="173">
        <f>165+538</f>
        <v>703</v>
      </c>
      <c r="AD1471" s="173">
        <v>12805</v>
      </c>
      <c r="AE1471" s="173"/>
      <c r="AF1471" s="173"/>
      <c r="AG1471" s="173">
        <v>114</v>
      </c>
      <c r="AH1471" s="173">
        <v>31863</v>
      </c>
      <c r="AI1471" s="173">
        <v>10986.48</v>
      </c>
      <c r="AJ1471" s="173">
        <v>97</v>
      </c>
      <c r="AK1471" s="173">
        <v>1076</v>
      </c>
      <c r="AL1471" s="173"/>
      <c r="AM1471" s="643">
        <f t="shared" si="27"/>
        <v>191365.25166000001</v>
      </c>
      <c r="AO1471" s="289"/>
      <c r="AP1471" s="97"/>
    </row>
    <row r="1472" spans="1:42" s="61" customFormat="1" ht="25.5" customHeight="1" x14ac:dyDescent="0.3">
      <c r="A1472" s="706"/>
      <c r="B1472" s="180" t="s">
        <v>362</v>
      </c>
      <c r="C1472" s="300">
        <v>20866.442510000001</v>
      </c>
      <c r="D1472" s="173"/>
      <c r="E1472" s="173"/>
      <c r="F1472" s="266">
        <v>2995</v>
      </c>
      <c r="G1472" s="173">
        <f>924</f>
        <v>924</v>
      </c>
      <c r="H1472" s="173">
        <v>150</v>
      </c>
      <c r="I1472" s="174"/>
      <c r="J1472" s="173"/>
      <c r="K1472" s="173"/>
      <c r="L1472" s="266">
        <v>2133</v>
      </c>
      <c r="M1472" s="173"/>
      <c r="N1472" s="174">
        <v>6226.3410000000003</v>
      </c>
      <c r="O1472" s="173">
        <v>2418</v>
      </c>
      <c r="P1472" s="173"/>
      <c r="Q1472" s="173">
        <v>75</v>
      </c>
      <c r="R1472" s="173">
        <f>69-R1471</f>
        <v>-26</v>
      </c>
      <c r="S1472" s="173">
        <v>23419</v>
      </c>
      <c r="T1472" s="327">
        <v>12216.2</v>
      </c>
      <c r="U1472" s="300">
        <v>2173.346</v>
      </c>
      <c r="V1472" s="173">
        <f>(24804+338925)/1000-V1471</f>
        <v>56.868999999999971</v>
      </c>
      <c r="W1472" s="173">
        <v>617</v>
      </c>
      <c r="X1472" s="173"/>
      <c r="Y1472" s="173">
        <v>21288</v>
      </c>
      <c r="Z1472" s="173">
        <v>30340.248369999998</v>
      </c>
      <c r="AA1472" s="173">
        <v>4908.2739199999996</v>
      </c>
      <c r="AB1472" s="173">
        <v>1603</v>
      </c>
      <c r="AC1472" s="173">
        <f>347-165+782</f>
        <v>964</v>
      </c>
      <c r="AD1472" s="173">
        <v>13194</v>
      </c>
      <c r="AE1472" s="173"/>
      <c r="AF1472" s="173">
        <v>160</v>
      </c>
      <c r="AG1472" s="173">
        <v>108</v>
      </c>
      <c r="AH1472" s="173">
        <v>30610</v>
      </c>
      <c r="AI1472" s="173">
        <v>6835.52</v>
      </c>
      <c r="AJ1472" s="173">
        <v>181</v>
      </c>
      <c r="AK1472" s="173">
        <v>290</v>
      </c>
      <c r="AL1472" s="173">
        <v>178.57142857142856</v>
      </c>
      <c r="AM1472" s="644">
        <f t="shared" si="27"/>
        <v>184904.81222857142</v>
      </c>
      <c r="AO1472" s="289"/>
      <c r="AP1472" s="97"/>
    </row>
    <row r="1473" spans="1:42" s="61" customFormat="1" ht="22.5" customHeight="1" x14ac:dyDescent="0.3">
      <c r="A1473" s="706"/>
      <c r="B1473" s="115" t="s">
        <v>402</v>
      </c>
      <c r="C1473" s="142">
        <v>23330.05229</v>
      </c>
      <c r="D1473" s="111"/>
      <c r="E1473" s="111"/>
      <c r="F1473" s="267">
        <v>3379.7</v>
      </c>
      <c r="G1473" s="111">
        <v>14</v>
      </c>
      <c r="H1473" s="111">
        <v>16</v>
      </c>
      <c r="I1473" s="125"/>
      <c r="J1473" s="111"/>
      <c r="K1473" s="111">
        <v>49</v>
      </c>
      <c r="L1473" s="267">
        <v>2111</v>
      </c>
      <c r="M1473" s="111"/>
      <c r="N1473" s="125"/>
      <c r="O1473" s="111">
        <v>2523</v>
      </c>
      <c r="P1473" s="111">
        <v>1</v>
      </c>
      <c r="Q1473" s="111">
        <v>55</v>
      </c>
      <c r="R1473" s="111"/>
      <c r="S1473" s="111">
        <v>17787.058591000001</v>
      </c>
      <c r="T1473" s="143">
        <v>2477.73</v>
      </c>
      <c r="U1473" s="142">
        <v>3483.2829999999999</v>
      </c>
      <c r="V1473" s="111"/>
      <c r="W1473" s="111">
        <v>629</v>
      </c>
      <c r="X1473" s="111"/>
      <c r="Y1473" s="111">
        <v>25481.287</v>
      </c>
      <c r="Z1473" s="111">
        <v>22774</v>
      </c>
      <c r="AA1473" s="111">
        <v>4169</v>
      </c>
      <c r="AB1473" s="111">
        <v>1668.7</v>
      </c>
      <c r="AC1473" s="111">
        <v>618</v>
      </c>
      <c r="AD1473" s="111">
        <v>15701</v>
      </c>
      <c r="AE1473" s="111">
        <v>10</v>
      </c>
      <c r="AF1473" s="111"/>
      <c r="AG1473" s="111"/>
      <c r="AH1473" s="111">
        <v>45667.964999999997</v>
      </c>
      <c r="AI1473" s="111">
        <v>9768</v>
      </c>
      <c r="AJ1473" s="111">
        <v>96</v>
      </c>
      <c r="AK1473" s="111">
        <f>1187.082/1.097</f>
        <v>1082.1166818596173</v>
      </c>
      <c r="AL1473" s="111">
        <v>892.85714285714278</v>
      </c>
      <c r="AM1473" s="645">
        <f t="shared" si="27"/>
        <v>183784.74970571673</v>
      </c>
      <c r="AO1473" s="289"/>
    </row>
    <row r="1474" spans="1:42" s="61" customFormat="1" ht="21" customHeight="1" x14ac:dyDescent="0.3">
      <c r="A1474" s="707"/>
      <c r="B1474" s="181" t="s">
        <v>403</v>
      </c>
      <c r="C1474" s="144">
        <v>21686.13855</v>
      </c>
      <c r="D1474" s="112"/>
      <c r="E1474" s="112"/>
      <c r="F1474" s="268">
        <v>3195.2</v>
      </c>
      <c r="G1474" s="112"/>
      <c r="H1474" s="112"/>
      <c r="I1474" s="126"/>
      <c r="J1474" s="112"/>
      <c r="K1474" s="112">
        <v>450</v>
      </c>
      <c r="L1474" s="268">
        <v>5390.2</v>
      </c>
      <c r="M1474" s="112"/>
      <c r="N1474" s="126"/>
      <c r="O1474" s="112">
        <v>2246</v>
      </c>
      <c r="P1474" s="112">
        <v>0</v>
      </c>
      <c r="Q1474" s="112">
        <v>0</v>
      </c>
      <c r="R1474" s="112"/>
      <c r="S1474" s="112">
        <v>21267.018894000001</v>
      </c>
      <c r="T1474" s="145">
        <v>1748.47</v>
      </c>
      <c r="U1474" s="144">
        <v>3012.6529999999998</v>
      </c>
      <c r="V1474" s="112">
        <f>149943/1000-V1473</f>
        <v>149.94300000000001</v>
      </c>
      <c r="W1474" s="112">
        <f>1555-629</f>
        <v>926</v>
      </c>
      <c r="X1474" s="112"/>
      <c r="Y1474" s="112">
        <v>25607.741000000002</v>
      </c>
      <c r="Z1474" s="112">
        <v>18770</v>
      </c>
      <c r="AA1474" s="112">
        <v>3481</v>
      </c>
      <c r="AB1474" s="112">
        <v>2494.4</v>
      </c>
      <c r="AC1474" s="112">
        <v>917</v>
      </c>
      <c r="AD1474" s="112">
        <v>17654</v>
      </c>
      <c r="AE1474" s="112">
        <v>30</v>
      </c>
      <c r="AF1474" s="112"/>
      <c r="AG1474" s="112"/>
      <c r="AH1474" s="112">
        <v>39089.307999999997</v>
      </c>
      <c r="AI1474" s="112">
        <v>9769</v>
      </c>
      <c r="AJ1474" s="112"/>
      <c r="AK1474" s="112">
        <f>1165.353/1.001</f>
        <v>1164.1888111888113</v>
      </c>
      <c r="AL1474" s="112">
        <v>660</v>
      </c>
      <c r="AM1474" s="646">
        <f t="shared" si="27"/>
        <v>179708.26125518882</v>
      </c>
      <c r="AO1474" s="289"/>
    </row>
    <row r="1475" spans="1:42" s="61" customFormat="1" ht="21" customHeight="1" x14ac:dyDescent="0.3">
      <c r="A1475" s="705" t="s">
        <v>264</v>
      </c>
      <c r="B1475" s="179" t="s">
        <v>293</v>
      </c>
      <c r="C1475" s="135"/>
      <c r="D1475" s="136"/>
      <c r="E1475" s="136"/>
      <c r="F1475" s="262"/>
      <c r="G1475" s="136">
        <v>98</v>
      </c>
      <c r="H1475" s="136">
        <v>3151</v>
      </c>
      <c r="I1475" s="326"/>
      <c r="J1475" s="136"/>
      <c r="K1475" s="136"/>
      <c r="L1475" s="262"/>
      <c r="M1475" s="136"/>
      <c r="N1475" s="326"/>
      <c r="O1475" s="136"/>
      <c r="P1475" s="136"/>
      <c r="Q1475" s="136"/>
      <c r="R1475" s="136"/>
      <c r="S1475" s="136">
        <v>21.507000000000001</v>
      </c>
      <c r="T1475" s="137"/>
      <c r="U1475" s="632">
        <v>5.8019999999999996</v>
      </c>
      <c r="V1475" s="122"/>
      <c r="W1475" s="122">
        <v>387</v>
      </c>
      <c r="X1475" s="122"/>
      <c r="Y1475" s="122"/>
      <c r="Z1475" s="122">
        <v>55</v>
      </c>
      <c r="AA1475" s="122"/>
      <c r="AB1475" s="122"/>
      <c r="AC1475" s="122"/>
      <c r="AD1475" s="122">
        <v>34</v>
      </c>
      <c r="AE1475" s="122"/>
      <c r="AF1475" s="122"/>
      <c r="AG1475" s="122"/>
      <c r="AH1475" s="122">
        <v>32.61</v>
      </c>
      <c r="AI1475" s="122" t="s">
        <v>482</v>
      </c>
      <c r="AJ1475" s="122"/>
      <c r="AK1475" s="122"/>
      <c r="AL1475" s="122"/>
      <c r="AM1475" s="639">
        <f t="shared" si="27"/>
        <v>3784.9190000000003</v>
      </c>
      <c r="AO1475" s="289"/>
    </row>
    <row r="1476" spans="1:42" s="61" customFormat="1" ht="19.5" customHeight="1" x14ac:dyDescent="0.3">
      <c r="A1476" s="706"/>
      <c r="B1476" s="116" t="s">
        <v>294</v>
      </c>
      <c r="C1476" s="138"/>
      <c r="D1476" s="109"/>
      <c r="E1476" s="109"/>
      <c r="F1476" s="263"/>
      <c r="G1476" s="109">
        <v>48</v>
      </c>
      <c r="H1476" s="109">
        <v>30180</v>
      </c>
      <c r="I1476" s="123"/>
      <c r="J1476" s="109"/>
      <c r="K1476" s="109"/>
      <c r="L1476" s="263"/>
      <c r="M1476" s="109"/>
      <c r="N1476" s="123"/>
      <c r="O1476" s="109"/>
      <c r="P1476" s="109"/>
      <c r="Q1476" s="109"/>
      <c r="R1476" s="109"/>
      <c r="S1476" s="109">
        <v>23.712</v>
      </c>
      <c r="T1476" s="139"/>
      <c r="U1476" s="138">
        <v>2.9079999999999999</v>
      </c>
      <c r="V1476" s="109"/>
      <c r="W1476" s="109">
        <f>692-387</f>
        <v>305</v>
      </c>
      <c r="X1476" s="109"/>
      <c r="Y1476" s="109"/>
      <c r="Z1476" s="109">
        <v>7</v>
      </c>
      <c r="AA1476" s="109"/>
      <c r="AB1476" s="109"/>
      <c r="AC1476" s="109"/>
      <c r="AD1476" s="109">
        <v>28</v>
      </c>
      <c r="AE1476" s="109"/>
      <c r="AF1476" s="109"/>
      <c r="AG1476" s="109">
        <v>2.7</v>
      </c>
      <c r="AH1476" s="109"/>
      <c r="AI1476" s="109" t="s">
        <v>482</v>
      </c>
      <c r="AJ1476" s="109"/>
      <c r="AK1476" s="109"/>
      <c r="AL1476" s="109"/>
      <c r="AM1476" s="640">
        <f t="shared" si="27"/>
        <v>30597.32</v>
      </c>
      <c r="AO1476" s="289"/>
    </row>
    <row r="1477" spans="1:42" s="61" customFormat="1" ht="22.5" customHeight="1" x14ac:dyDescent="0.3">
      <c r="A1477" s="706"/>
      <c r="B1477" s="117" t="s">
        <v>326</v>
      </c>
      <c r="C1477" s="140"/>
      <c r="D1477" s="110"/>
      <c r="E1477" s="110"/>
      <c r="F1477" s="264"/>
      <c r="G1477" s="110">
        <v>49</v>
      </c>
      <c r="H1477" s="110">
        <f>7+10450</f>
        <v>10457</v>
      </c>
      <c r="I1477" s="124"/>
      <c r="J1477" s="110"/>
      <c r="K1477" s="110"/>
      <c r="L1477" s="264"/>
      <c r="M1477" s="110"/>
      <c r="N1477" s="124"/>
      <c r="O1477" s="110"/>
      <c r="P1477" s="110"/>
      <c r="Q1477" s="110"/>
      <c r="R1477" s="110"/>
      <c r="S1477" s="110">
        <v>195</v>
      </c>
      <c r="T1477" s="141"/>
      <c r="U1477" s="140">
        <v>1.1359999999999999</v>
      </c>
      <c r="V1477" s="110"/>
      <c r="W1477" s="110">
        <v>304</v>
      </c>
      <c r="X1477" s="110"/>
      <c r="Y1477" s="110"/>
      <c r="Z1477" s="110"/>
      <c r="AA1477" s="110"/>
      <c r="AB1477" s="110"/>
      <c r="AC1477" s="110"/>
      <c r="AD1477" s="110">
        <v>120</v>
      </c>
      <c r="AE1477" s="110"/>
      <c r="AF1477" s="110"/>
      <c r="AG1477" s="110">
        <v>1</v>
      </c>
      <c r="AH1477" s="110">
        <v>1004.16432</v>
      </c>
      <c r="AI1477" s="110" t="s">
        <v>482</v>
      </c>
      <c r="AJ1477" s="110"/>
      <c r="AK1477" s="110"/>
      <c r="AL1477" s="110"/>
      <c r="AM1477" s="641">
        <f t="shared" si="27"/>
        <v>12131.30032</v>
      </c>
      <c r="AO1477" s="289"/>
      <c r="AP1477" s="97"/>
    </row>
    <row r="1478" spans="1:42" s="61" customFormat="1" ht="25.5" customHeight="1" x14ac:dyDescent="0.3">
      <c r="A1478" s="706"/>
      <c r="B1478" s="175" t="s">
        <v>327</v>
      </c>
      <c r="C1478" s="176">
        <v>5</v>
      </c>
      <c r="D1478" s="127"/>
      <c r="E1478" s="127"/>
      <c r="F1478" s="265">
        <v>-22</v>
      </c>
      <c r="G1478" s="127">
        <v>50</v>
      </c>
      <c r="H1478" s="127"/>
      <c r="I1478" s="178"/>
      <c r="J1478" s="127"/>
      <c r="K1478" s="127"/>
      <c r="L1478" s="265"/>
      <c r="M1478" s="127"/>
      <c r="N1478" s="178"/>
      <c r="O1478" s="127"/>
      <c r="P1478" s="127"/>
      <c r="Q1478" s="127"/>
      <c r="R1478" s="127"/>
      <c r="S1478" s="127">
        <v>9283</v>
      </c>
      <c r="T1478" s="177"/>
      <c r="U1478" s="176">
        <v>1.159</v>
      </c>
      <c r="V1478" s="127"/>
      <c r="W1478" s="127">
        <f>1154-304</f>
        <v>850</v>
      </c>
      <c r="X1478" s="127"/>
      <c r="Y1478" s="127"/>
      <c r="Z1478" s="127">
        <v>7</v>
      </c>
      <c r="AA1478" s="127"/>
      <c r="AB1478" s="127"/>
      <c r="AC1478" s="127"/>
      <c r="AD1478" s="127">
        <v>155</v>
      </c>
      <c r="AE1478" s="127"/>
      <c r="AF1478" s="127"/>
      <c r="AG1478" s="127">
        <v>1</v>
      </c>
      <c r="AH1478" s="127">
        <v>1565.37</v>
      </c>
      <c r="AI1478" s="127" t="s">
        <v>482</v>
      </c>
      <c r="AJ1478" s="127"/>
      <c r="AK1478" s="127"/>
      <c r="AL1478" s="127"/>
      <c r="AM1478" s="642">
        <f t="shared" si="27"/>
        <v>11895.528999999999</v>
      </c>
      <c r="AO1478" s="289"/>
    </row>
    <row r="1479" spans="1:42" s="61" customFormat="1" ht="25.5" customHeight="1" x14ac:dyDescent="0.3">
      <c r="A1479" s="706"/>
      <c r="B1479" s="180" t="s">
        <v>361</v>
      </c>
      <c r="C1479" s="300">
        <v>907.5</v>
      </c>
      <c r="D1479" s="173"/>
      <c r="E1479" s="173"/>
      <c r="F1479" s="266"/>
      <c r="G1479" s="173">
        <f>30+304</f>
        <v>334</v>
      </c>
      <c r="H1479" s="173"/>
      <c r="I1479" s="174"/>
      <c r="J1479" s="173"/>
      <c r="K1479" s="173"/>
      <c r="L1479" s="266">
        <v>110</v>
      </c>
      <c r="M1479" s="173"/>
      <c r="N1479" s="174"/>
      <c r="O1479" s="173"/>
      <c r="P1479" s="173"/>
      <c r="Q1479" s="173"/>
      <c r="R1479" s="173"/>
      <c r="S1479" s="173">
        <v>7894</v>
      </c>
      <c r="T1479" s="327"/>
      <c r="U1479" s="300">
        <v>1.159</v>
      </c>
      <c r="V1479" s="173"/>
      <c r="W1479" s="173">
        <v>982</v>
      </c>
      <c r="X1479" s="173"/>
      <c r="Y1479" s="173"/>
      <c r="Z1479" s="173">
        <v>8.2065000000000001</v>
      </c>
      <c r="AA1479" s="173"/>
      <c r="AB1479" s="173"/>
      <c r="AC1479" s="173"/>
      <c r="AD1479" s="173">
        <v>85</v>
      </c>
      <c r="AE1479" s="173"/>
      <c r="AF1479" s="173"/>
      <c r="AG1479" s="173"/>
      <c r="AH1479" s="173">
        <v>1356</v>
      </c>
      <c r="AI1479" s="173" t="s">
        <v>482</v>
      </c>
      <c r="AJ1479" s="173"/>
      <c r="AK1479" s="173"/>
      <c r="AL1479" s="173"/>
      <c r="AM1479" s="643">
        <f t="shared" si="27"/>
        <v>11677.8655</v>
      </c>
      <c r="AO1479" s="289"/>
      <c r="AP1479" s="97"/>
    </row>
    <row r="1480" spans="1:42" s="61" customFormat="1" ht="25.5" customHeight="1" x14ac:dyDescent="0.3">
      <c r="A1480" s="706"/>
      <c r="B1480" s="180" t="s">
        <v>362</v>
      </c>
      <c r="C1480" s="300">
        <v>297.44299999999998</v>
      </c>
      <c r="D1480" s="173"/>
      <c r="E1480" s="173"/>
      <c r="F1480" s="266"/>
      <c r="G1480" s="173">
        <v>30</v>
      </c>
      <c r="H1480" s="173"/>
      <c r="I1480" s="174"/>
      <c r="J1480" s="173"/>
      <c r="K1480" s="173"/>
      <c r="L1480" s="266"/>
      <c r="M1480" s="173"/>
      <c r="N1480" s="174"/>
      <c r="O1480" s="173"/>
      <c r="P1480" s="173"/>
      <c r="Q1480" s="173"/>
      <c r="R1480" s="173"/>
      <c r="S1480" s="173">
        <v>2870</v>
      </c>
      <c r="T1480" s="327"/>
      <c r="U1480" s="300">
        <v>1.7709999999999999</v>
      </c>
      <c r="V1480" s="173"/>
      <c r="W1480" s="173">
        <v>922</v>
      </c>
      <c r="X1480" s="173"/>
      <c r="Y1480" s="173"/>
      <c r="Z1480" s="173"/>
      <c r="AA1480" s="173"/>
      <c r="AB1480" s="173"/>
      <c r="AC1480" s="173"/>
      <c r="AD1480" s="173">
        <v>197</v>
      </c>
      <c r="AE1480" s="173"/>
      <c r="AF1480" s="173"/>
      <c r="AG1480" s="173"/>
      <c r="AH1480" s="173"/>
      <c r="AI1480" s="173">
        <v>5</v>
      </c>
      <c r="AJ1480" s="173"/>
      <c r="AK1480" s="173"/>
      <c r="AL1480" s="173"/>
      <c r="AM1480" s="644">
        <f t="shared" si="27"/>
        <v>4323.2139999999999</v>
      </c>
      <c r="AO1480" s="289"/>
      <c r="AP1480" s="97"/>
    </row>
    <row r="1481" spans="1:42" s="61" customFormat="1" ht="22.5" customHeight="1" x14ac:dyDescent="0.3">
      <c r="A1481" s="706"/>
      <c r="B1481" s="115" t="s">
        <v>402</v>
      </c>
      <c r="C1481" s="142">
        <v>1010</v>
      </c>
      <c r="D1481" s="111"/>
      <c r="E1481" s="111"/>
      <c r="F1481" s="267"/>
      <c r="G1481" s="111"/>
      <c r="H1481" s="111"/>
      <c r="I1481" s="125"/>
      <c r="J1481" s="111"/>
      <c r="K1481" s="111"/>
      <c r="L1481" s="267">
        <v>0</v>
      </c>
      <c r="M1481" s="111"/>
      <c r="N1481" s="125"/>
      <c r="O1481" s="111"/>
      <c r="P1481" s="111"/>
      <c r="Q1481" s="111"/>
      <c r="R1481" s="111"/>
      <c r="S1481" s="111">
        <v>4262.4932099999996</v>
      </c>
      <c r="T1481" s="143"/>
      <c r="U1481" s="142"/>
      <c r="V1481" s="111"/>
      <c r="W1481" s="111">
        <v>1934</v>
      </c>
      <c r="X1481" s="111"/>
      <c r="Y1481" s="111"/>
      <c r="Z1481" s="111"/>
      <c r="AA1481" s="111"/>
      <c r="AB1481" s="111"/>
      <c r="AC1481" s="111"/>
      <c r="AD1481" s="111">
        <v>119</v>
      </c>
      <c r="AE1481" s="111"/>
      <c r="AF1481" s="111"/>
      <c r="AG1481" s="111"/>
      <c r="AH1481" s="111">
        <v>62.63</v>
      </c>
      <c r="AI1481" s="111">
        <v>100</v>
      </c>
      <c r="AJ1481" s="111"/>
      <c r="AK1481" s="111"/>
      <c r="AL1481" s="111"/>
      <c r="AM1481" s="645">
        <f t="shared" si="27"/>
        <v>7488.1232099999997</v>
      </c>
      <c r="AO1481" s="289"/>
    </row>
    <row r="1482" spans="1:42" s="61" customFormat="1" ht="21" customHeight="1" x14ac:dyDescent="0.3">
      <c r="A1482" s="707"/>
      <c r="B1482" s="181" t="s">
        <v>403</v>
      </c>
      <c r="C1482" s="144">
        <v>16.149190000000001</v>
      </c>
      <c r="D1482" s="112"/>
      <c r="E1482" s="112"/>
      <c r="F1482" s="268"/>
      <c r="G1482" s="112">
        <v>383</v>
      </c>
      <c r="H1482" s="112">
        <v>10</v>
      </c>
      <c r="I1482" s="126"/>
      <c r="J1482" s="112"/>
      <c r="K1482" s="112"/>
      <c r="L1482" s="268"/>
      <c r="M1482" s="112"/>
      <c r="N1482" s="126"/>
      <c r="O1482" s="112"/>
      <c r="P1482" s="112"/>
      <c r="Q1482" s="112"/>
      <c r="R1482" s="112"/>
      <c r="S1482" s="112">
        <v>6184.9670249999999</v>
      </c>
      <c r="T1482" s="145"/>
      <c r="U1482" s="144">
        <v>2.02</v>
      </c>
      <c r="V1482" s="112"/>
      <c r="W1482" s="112">
        <f>3852-1934</f>
        <v>1918</v>
      </c>
      <c r="X1482" s="112"/>
      <c r="Y1482" s="112"/>
      <c r="Z1482" s="112"/>
      <c r="AA1482" s="112"/>
      <c r="AB1482" s="112"/>
      <c r="AC1482" s="112"/>
      <c r="AD1482" s="112">
        <v>579</v>
      </c>
      <c r="AE1482" s="112"/>
      <c r="AF1482" s="112"/>
      <c r="AG1482" s="112"/>
      <c r="AH1482" s="112">
        <v>66.683999999999997</v>
      </c>
      <c r="AI1482" s="112">
        <v>100</v>
      </c>
      <c r="AJ1482" s="112"/>
      <c r="AK1482" s="112"/>
      <c r="AL1482" s="112"/>
      <c r="AM1482" s="646">
        <f t="shared" si="27"/>
        <v>9259.8202149999997</v>
      </c>
      <c r="AO1482" s="289"/>
    </row>
    <row r="1483" spans="1:42" s="61" customFormat="1" ht="21" customHeight="1" x14ac:dyDescent="0.3">
      <c r="A1483" s="705" t="s">
        <v>785</v>
      </c>
      <c r="B1483" s="179" t="s">
        <v>293</v>
      </c>
      <c r="C1483" s="135"/>
      <c r="D1483" s="136"/>
      <c r="E1483" s="136"/>
      <c r="F1483" s="311"/>
      <c r="G1483" s="136"/>
      <c r="H1483" s="136"/>
      <c r="I1483" s="326"/>
      <c r="J1483" s="136"/>
      <c r="K1483" s="136"/>
      <c r="L1483" s="311"/>
      <c r="M1483" s="136"/>
      <c r="N1483" s="326"/>
      <c r="O1483" s="136"/>
      <c r="P1483" s="136"/>
      <c r="Q1483" s="136"/>
      <c r="R1483" s="136"/>
      <c r="S1483" s="136"/>
      <c r="T1483" s="137"/>
      <c r="U1483" s="632"/>
      <c r="V1483" s="122"/>
      <c r="W1483" s="122"/>
      <c r="X1483" s="122"/>
      <c r="Y1483" s="122"/>
      <c r="Z1483" s="122"/>
      <c r="AA1483" s="122"/>
      <c r="AB1483" s="122"/>
      <c r="AC1483" s="122"/>
      <c r="AD1483" s="122"/>
      <c r="AE1483" s="122"/>
      <c r="AF1483" s="122"/>
      <c r="AG1483" s="122"/>
      <c r="AH1483" s="122"/>
      <c r="AI1483" s="122" t="s">
        <v>482</v>
      </c>
      <c r="AJ1483" s="122"/>
      <c r="AK1483" s="122"/>
      <c r="AL1483" s="122">
        <v>318</v>
      </c>
      <c r="AM1483" s="639">
        <f t="shared" ref="AM1483:AM1490" si="28">SUM(C1483:AL1483)</f>
        <v>318</v>
      </c>
      <c r="AO1483" s="289"/>
    </row>
    <row r="1484" spans="1:42" s="61" customFormat="1" ht="19.5" customHeight="1" x14ac:dyDescent="0.3">
      <c r="A1484" s="706"/>
      <c r="B1484" s="116" t="s">
        <v>294</v>
      </c>
      <c r="C1484" s="138"/>
      <c r="D1484" s="109"/>
      <c r="E1484" s="109"/>
      <c r="F1484" s="312"/>
      <c r="G1484" s="109"/>
      <c r="H1484" s="109"/>
      <c r="I1484" s="123"/>
      <c r="J1484" s="109"/>
      <c r="K1484" s="109"/>
      <c r="L1484" s="312"/>
      <c r="M1484" s="109"/>
      <c r="N1484" s="123"/>
      <c r="O1484" s="109"/>
      <c r="P1484" s="109"/>
      <c r="Q1484" s="109"/>
      <c r="R1484" s="109"/>
      <c r="S1484" s="109"/>
      <c r="T1484" s="139"/>
      <c r="U1484" s="138"/>
      <c r="V1484" s="109"/>
      <c r="W1484" s="109"/>
      <c r="X1484" s="109"/>
      <c r="Y1484" s="109"/>
      <c r="Z1484" s="109"/>
      <c r="AA1484" s="109"/>
      <c r="AB1484" s="109"/>
      <c r="AC1484" s="109"/>
      <c r="AD1484" s="109"/>
      <c r="AE1484" s="109"/>
      <c r="AF1484" s="109"/>
      <c r="AG1484" s="109"/>
      <c r="AH1484" s="109"/>
      <c r="AI1484" s="109" t="s">
        <v>482</v>
      </c>
      <c r="AJ1484" s="109"/>
      <c r="AK1484" s="109"/>
      <c r="AL1484" s="109">
        <v>254</v>
      </c>
      <c r="AM1484" s="640">
        <f t="shared" si="28"/>
        <v>254</v>
      </c>
      <c r="AO1484" s="289"/>
    </row>
    <row r="1485" spans="1:42" s="61" customFormat="1" ht="22.5" customHeight="1" x14ac:dyDescent="0.3">
      <c r="A1485" s="706"/>
      <c r="B1485" s="117" t="s">
        <v>326</v>
      </c>
      <c r="C1485" s="140"/>
      <c r="D1485" s="110"/>
      <c r="E1485" s="110"/>
      <c r="F1485" s="313"/>
      <c r="G1485" s="110"/>
      <c r="H1485" s="110"/>
      <c r="I1485" s="124"/>
      <c r="J1485" s="110"/>
      <c r="K1485" s="110"/>
      <c r="L1485" s="313"/>
      <c r="M1485" s="110"/>
      <c r="N1485" s="124"/>
      <c r="O1485" s="110"/>
      <c r="P1485" s="110"/>
      <c r="Q1485" s="110"/>
      <c r="R1485" s="110"/>
      <c r="S1485" s="110"/>
      <c r="T1485" s="141"/>
      <c r="U1485" s="140"/>
      <c r="V1485" s="110"/>
      <c r="W1485" s="110"/>
      <c r="X1485" s="110"/>
      <c r="Y1485" s="110"/>
      <c r="Z1485" s="110"/>
      <c r="AA1485" s="110"/>
      <c r="AB1485" s="110"/>
      <c r="AC1485" s="110"/>
      <c r="AD1485" s="110"/>
      <c r="AE1485" s="110"/>
      <c r="AF1485" s="110"/>
      <c r="AG1485" s="110"/>
      <c r="AH1485" s="110"/>
      <c r="AI1485" s="110" t="s">
        <v>482</v>
      </c>
      <c r="AJ1485" s="110"/>
      <c r="AK1485" s="110"/>
      <c r="AL1485" s="110">
        <v>0</v>
      </c>
      <c r="AM1485" s="641">
        <f t="shared" si="28"/>
        <v>0</v>
      </c>
      <c r="AO1485" s="289"/>
    </row>
    <row r="1486" spans="1:42" s="61" customFormat="1" ht="25.5" customHeight="1" x14ac:dyDescent="0.3">
      <c r="A1486" s="706"/>
      <c r="B1486" s="175" t="s">
        <v>327</v>
      </c>
      <c r="C1486" s="176"/>
      <c r="D1486" s="127"/>
      <c r="E1486" s="127"/>
      <c r="F1486" s="314"/>
      <c r="G1486" s="127"/>
      <c r="H1486" s="127"/>
      <c r="I1486" s="178"/>
      <c r="J1486" s="127"/>
      <c r="K1486" s="127"/>
      <c r="L1486" s="314"/>
      <c r="M1486" s="127"/>
      <c r="N1486" s="178"/>
      <c r="O1486" s="127"/>
      <c r="P1486" s="127"/>
      <c r="Q1486" s="127"/>
      <c r="R1486" s="127"/>
      <c r="S1486" s="127"/>
      <c r="T1486" s="177"/>
      <c r="U1486" s="176"/>
      <c r="V1486" s="127"/>
      <c r="W1486" s="127"/>
      <c r="X1486" s="127"/>
      <c r="Y1486" s="127"/>
      <c r="Z1486" s="127"/>
      <c r="AA1486" s="127"/>
      <c r="AB1486" s="127"/>
      <c r="AC1486" s="127"/>
      <c r="AD1486" s="127"/>
      <c r="AE1486" s="127"/>
      <c r="AF1486" s="127"/>
      <c r="AG1486" s="127"/>
      <c r="AH1486" s="127"/>
      <c r="AI1486" s="127" t="s">
        <v>482</v>
      </c>
      <c r="AJ1486" s="127"/>
      <c r="AK1486" s="127"/>
      <c r="AL1486" s="127">
        <v>19</v>
      </c>
      <c r="AM1486" s="642">
        <f t="shared" si="28"/>
        <v>19</v>
      </c>
      <c r="AO1486" s="289"/>
    </row>
    <row r="1487" spans="1:42" s="61" customFormat="1" ht="25.5" customHeight="1" x14ac:dyDescent="0.3">
      <c r="A1487" s="706"/>
      <c r="B1487" s="180" t="s">
        <v>361</v>
      </c>
      <c r="C1487" s="300"/>
      <c r="D1487" s="173"/>
      <c r="E1487" s="173"/>
      <c r="F1487" s="315"/>
      <c r="G1487" s="173"/>
      <c r="H1487" s="173"/>
      <c r="I1487" s="174"/>
      <c r="J1487" s="173"/>
      <c r="K1487" s="173"/>
      <c r="L1487" s="315"/>
      <c r="M1487" s="173"/>
      <c r="N1487" s="174"/>
      <c r="O1487" s="173"/>
      <c r="P1487" s="173"/>
      <c r="Q1487" s="173"/>
      <c r="R1487" s="173"/>
      <c r="S1487" s="173"/>
      <c r="T1487" s="243"/>
      <c r="U1487" s="300"/>
      <c r="V1487" s="173"/>
      <c r="W1487" s="173"/>
      <c r="X1487" s="173"/>
      <c r="Y1487" s="173"/>
      <c r="Z1487" s="173"/>
      <c r="AA1487" s="173"/>
      <c r="AB1487" s="173"/>
      <c r="AC1487" s="173"/>
      <c r="AD1487" s="173"/>
      <c r="AE1487" s="173"/>
      <c r="AF1487" s="173"/>
      <c r="AG1487" s="173"/>
      <c r="AH1487" s="173"/>
      <c r="AI1487" s="173" t="s">
        <v>482</v>
      </c>
      <c r="AJ1487" s="173"/>
      <c r="AK1487" s="173"/>
      <c r="AL1487" s="173">
        <v>188</v>
      </c>
      <c r="AM1487" s="643">
        <f t="shared" si="28"/>
        <v>188</v>
      </c>
      <c r="AO1487" s="289"/>
    </row>
    <row r="1488" spans="1:42" s="61" customFormat="1" ht="25.5" customHeight="1" x14ac:dyDescent="0.3">
      <c r="A1488" s="706"/>
      <c r="B1488" s="180" t="s">
        <v>362</v>
      </c>
      <c r="C1488" s="300"/>
      <c r="D1488" s="173"/>
      <c r="E1488" s="173"/>
      <c r="F1488" s="315"/>
      <c r="G1488" s="173"/>
      <c r="H1488" s="173"/>
      <c r="I1488" s="174"/>
      <c r="J1488" s="173"/>
      <c r="K1488" s="173"/>
      <c r="L1488" s="315"/>
      <c r="M1488" s="173"/>
      <c r="N1488" s="174"/>
      <c r="O1488" s="173"/>
      <c r="P1488" s="173"/>
      <c r="Q1488" s="173"/>
      <c r="R1488" s="173"/>
      <c r="S1488" s="173"/>
      <c r="T1488" s="243"/>
      <c r="U1488" s="300"/>
      <c r="V1488" s="173"/>
      <c r="W1488" s="173"/>
      <c r="X1488" s="173"/>
      <c r="Y1488" s="173"/>
      <c r="Z1488" s="173"/>
      <c r="AA1488" s="173"/>
      <c r="AB1488" s="173"/>
      <c r="AC1488" s="173"/>
      <c r="AD1488" s="173"/>
      <c r="AE1488" s="173"/>
      <c r="AF1488" s="173"/>
      <c r="AG1488" s="173"/>
      <c r="AH1488" s="173"/>
      <c r="AI1488" s="173" t="s">
        <v>482</v>
      </c>
      <c r="AJ1488" s="173"/>
      <c r="AK1488" s="173"/>
      <c r="AL1488" s="173">
        <v>55.357142857142854</v>
      </c>
      <c r="AM1488" s="644">
        <f t="shared" si="28"/>
        <v>55.357142857142854</v>
      </c>
      <c r="AO1488" s="289"/>
    </row>
    <row r="1489" spans="1:42" s="61" customFormat="1" ht="22.5" customHeight="1" x14ac:dyDescent="0.3">
      <c r="A1489" s="706"/>
      <c r="B1489" s="115" t="s">
        <v>402</v>
      </c>
      <c r="C1489" s="142"/>
      <c r="D1489" s="111"/>
      <c r="E1489" s="111"/>
      <c r="F1489" s="316"/>
      <c r="G1489" s="111"/>
      <c r="H1489" s="111"/>
      <c r="I1489" s="125"/>
      <c r="J1489" s="111"/>
      <c r="K1489" s="111"/>
      <c r="L1489" s="316"/>
      <c r="M1489" s="111"/>
      <c r="N1489" s="125"/>
      <c r="O1489" s="111"/>
      <c r="P1489" s="111"/>
      <c r="Q1489" s="111"/>
      <c r="R1489" s="111"/>
      <c r="S1489" s="111"/>
      <c r="T1489" s="143"/>
      <c r="U1489" s="142"/>
      <c r="V1489" s="111"/>
      <c r="W1489" s="111"/>
      <c r="X1489" s="111"/>
      <c r="Y1489" s="111"/>
      <c r="Z1489" s="111"/>
      <c r="AA1489" s="111"/>
      <c r="AB1489" s="111"/>
      <c r="AC1489" s="111"/>
      <c r="AD1489" s="111"/>
      <c r="AE1489" s="111"/>
      <c r="AF1489" s="111"/>
      <c r="AG1489" s="111"/>
      <c r="AH1489" s="111"/>
      <c r="AI1489" s="111" t="s">
        <v>482</v>
      </c>
      <c r="AJ1489" s="111"/>
      <c r="AK1489" s="111"/>
      <c r="AL1489" s="111">
        <v>0</v>
      </c>
      <c r="AM1489" s="645">
        <f t="shared" si="28"/>
        <v>0</v>
      </c>
      <c r="AO1489" s="289"/>
    </row>
    <row r="1490" spans="1:42" s="61" customFormat="1" ht="21" customHeight="1" x14ac:dyDescent="0.3">
      <c r="A1490" s="707"/>
      <c r="B1490" s="181" t="s">
        <v>403</v>
      </c>
      <c r="C1490" s="144"/>
      <c r="D1490" s="112"/>
      <c r="E1490" s="112"/>
      <c r="F1490" s="317"/>
      <c r="G1490" s="112"/>
      <c r="H1490" s="112"/>
      <c r="I1490" s="126"/>
      <c r="J1490" s="112"/>
      <c r="K1490" s="112"/>
      <c r="L1490" s="317"/>
      <c r="M1490" s="112"/>
      <c r="N1490" s="126"/>
      <c r="O1490" s="112"/>
      <c r="P1490" s="112"/>
      <c r="Q1490" s="112"/>
      <c r="R1490" s="112"/>
      <c r="S1490" s="112"/>
      <c r="T1490" s="145"/>
      <c r="U1490" s="144"/>
      <c r="V1490" s="112"/>
      <c r="W1490" s="112"/>
      <c r="X1490" s="112"/>
      <c r="Y1490" s="112"/>
      <c r="Z1490" s="112"/>
      <c r="AA1490" s="112"/>
      <c r="AB1490" s="112"/>
      <c r="AC1490" s="112"/>
      <c r="AD1490" s="112"/>
      <c r="AE1490" s="112"/>
      <c r="AF1490" s="112"/>
      <c r="AG1490" s="112"/>
      <c r="AH1490" s="112"/>
      <c r="AI1490" s="112" t="s">
        <v>482</v>
      </c>
      <c r="AJ1490" s="112"/>
      <c r="AK1490" s="112"/>
      <c r="AL1490" s="112">
        <v>18.7</v>
      </c>
      <c r="AM1490" s="646">
        <f t="shared" si="28"/>
        <v>18.7</v>
      </c>
      <c r="AO1490" s="289"/>
    </row>
    <row r="1491" spans="1:42" s="61" customFormat="1" ht="21" customHeight="1" x14ac:dyDescent="0.3">
      <c r="A1491" s="705" t="s">
        <v>265</v>
      </c>
      <c r="B1491" s="179" t="s">
        <v>293</v>
      </c>
      <c r="C1491" s="135"/>
      <c r="D1491" s="136"/>
      <c r="E1491" s="136"/>
      <c r="F1491" s="262"/>
      <c r="G1491" s="136"/>
      <c r="H1491" s="136"/>
      <c r="I1491" s="326"/>
      <c r="J1491" s="136"/>
      <c r="K1491" s="136"/>
      <c r="L1491" s="262"/>
      <c r="M1491" s="136"/>
      <c r="N1491" s="326"/>
      <c r="O1491" s="136"/>
      <c r="P1491" s="136"/>
      <c r="Q1491" s="136"/>
      <c r="R1491" s="136"/>
      <c r="S1491" s="136"/>
      <c r="T1491" s="137">
        <v>10.95</v>
      </c>
      <c r="U1491" s="632">
        <v>0.5</v>
      </c>
      <c r="V1491" s="122"/>
      <c r="W1491" s="122"/>
      <c r="X1491" s="122"/>
      <c r="Y1491" s="122"/>
      <c r="Z1491" s="122"/>
      <c r="AA1491" s="122"/>
      <c r="AB1491" s="122"/>
      <c r="AC1491" s="122"/>
      <c r="AD1491" s="122"/>
      <c r="AE1491" s="122"/>
      <c r="AF1491" s="122"/>
      <c r="AG1491" s="122"/>
      <c r="AH1491" s="122"/>
      <c r="AI1491" s="122" t="s">
        <v>482</v>
      </c>
      <c r="AJ1491" s="122"/>
      <c r="AK1491" s="122"/>
      <c r="AL1491" s="122"/>
      <c r="AM1491" s="639">
        <f t="shared" si="27"/>
        <v>11.45</v>
      </c>
      <c r="AO1491" s="289"/>
    </row>
    <row r="1492" spans="1:42" s="61" customFormat="1" ht="19.5" customHeight="1" x14ac:dyDescent="0.3">
      <c r="A1492" s="706"/>
      <c r="B1492" s="116" t="s">
        <v>294</v>
      </c>
      <c r="C1492" s="138"/>
      <c r="D1492" s="109"/>
      <c r="E1492" s="109"/>
      <c r="F1492" s="263"/>
      <c r="G1492" s="109"/>
      <c r="H1492" s="109"/>
      <c r="I1492" s="123"/>
      <c r="J1492" s="109"/>
      <c r="K1492" s="109"/>
      <c r="L1492" s="263"/>
      <c r="M1492" s="109"/>
      <c r="N1492" s="123"/>
      <c r="O1492" s="109"/>
      <c r="P1492" s="109"/>
      <c r="Q1492" s="109"/>
      <c r="R1492" s="109"/>
      <c r="S1492" s="109"/>
      <c r="T1492" s="139">
        <v>10.95</v>
      </c>
      <c r="U1492" s="138"/>
      <c r="V1492" s="109"/>
      <c r="W1492" s="109"/>
      <c r="X1492" s="109"/>
      <c r="Y1492" s="109"/>
      <c r="Z1492" s="109"/>
      <c r="AA1492" s="109"/>
      <c r="AB1492" s="109"/>
      <c r="AC1492" s="109"/>
      <c r="AD1492" s="109"/>
      <c r="AE1492" s="109"/>
      <c r="AF1492" s="109"/>
      <c r="AG1492" s="109"/>
      <c r="AH1492" s="109"/>
      <c r="AI1492" s="109" t="s">
        <v>482</v>
      </c>
      <c r="AJ1492" s="109"/>
      <c r="AK1492" s="109"/>
      <c r="AL1492" s="109"/>
      <c r="AM1492" s="640">
        <f t="shared" si="27"/>
        <v>10.95</v>
      </c>
      <c r="AO1492" s="289"/>
    </row>
    <row r="1493" spans="1:42" s="61" customFormat="1" ht="22.5" customHeight="1" x14ac:dyDescent="0.3">
      <c r="A1493" s="706"/>
      <c r="B1493" s="117" t="s">
        <v>326</v>
      </c>
      <c r="C1493" s="140"/>
      <c r="D1493" s="110"/>
      <c r="E1493" s="110"/>
      <c r="F1493" s="264"/>
      <c r="G1493" s="110">
        <v>1</v>
      </c>
      <c r="H1493" s="110"/>
      <c r="I1493" s="124"/>
      <c r="J1493" s="110"/>
      <c r="K1493" s="110"/>
      <c r="L1493" s="264"/>
      <c r="M1493" s="110"/>
      <c r="N1493" s="124"/>
      <c r="O1493" s="110"/>
      <c r="P1493" s="110"/>
      <c r="Q1493" s="110"/>
      <c r="R1493" s="110"/>
      <c r="S1493" s="110"/>
      <c r="T1493" s="141"/>
      <c r="U1493" s="140">
        <v>0.7</v>
      </c>
      <c r="V1493" s="110"/>
      <c r="W1493" s="110"/>
      <c r="X1493" s="110"/>
      <c r="Y1493" s="110"/>
      <c r="Z1493" s="110">
        <v>25</v>
      </c>
      <c r="AA1493" s="110"/>
      <c r="AB1493" s="110"/>
      <c r="AC1493" s="110"/>
      <c r="AD1493" s="110"/>
      <c r="AE1493" s="110"/>
      <c r="AF1493" s="110"/>
      <c r="AG1493" s="110"/>
      <c r="AH1493" s="110"/>
      <c r="AI1493" s="110" t="s">
        <v>482</v>
      </c>
      <c r="AJ1493" s="110"/>
      <c r="AK1493" s="110"/>
      <c r="AL1493" s="110"/>
      <c r="AM1493" s="641">
        <f t="shared" si="27"/>
        <v>26.7</v>
      </c>
      <c r="AO1493" s="289"/>
      <c r="AP1493" s="97"/>
    </row>
    <row r="1494" spans="1:42" s="61" customFormat="1" ht="25.5" customHeight="1" x14ac:dyDescent="0.3">
      <c r="A1494" s="706"/>
      <c r="B1494" s="175" t="s">
        <v>327</v>
      </c>
      <c r="C1494" s="176"/>
      <c r="D1494" s="127"/>
      <c r="E1494" s="127"/>
      <c r="F1494" s="265"/>
      <c r="G1494" s="127">
        <v>1</v>
      </c>
      <c r="H1494" s="127"/>
      <c r="I1494" s="178"/>
      <c r="J1494" s="127"/>
      <c r="K1494" s="127"/>
      <c r="L1494" s="265"/>
      <c r="M1494" s="127"/>
      <c r="N1494" s="178"/>
      <c r="O1494" s="127"/>
      <c r="P1494" s="127"/>
      <c r="Q1494" s="127"/>
      <c r="R1494" s="127"/>
      <c r="S1494" s="127">
        <v>446</v>
      </c>
      <c r="T1494" s="177"/>
      <c r="U1494" s="176">
        <v>0.72599999999999998</v>
      </c>
      <c r="V1494" s="127"/>
      <c r="W1494" s="127"/>
      <c r="X1494" s="127"/>
      <c r="Y1494" s="127"/>
      <c r="Z1494" s="127"/>
      <c r="AA1494" s="127"/>
      <c r="AB1494" s="127"/>
      <c r="AC1494" s="127"/>
      <c r="AD1494" s="127"/>
      <c r="AE1494" s="127"/>
      <c r="AF1494" s="127"/>
      <c r="AG1494" s="127"/>
      <c r="AH1494" s="127"/>
      <c r="AI1494" s="127" t="s">
        <v>482</v>
      </c>
      <c r="AJ1494" s="127"/>
      <c r="AK1494" s="127"/>
      <c r="AL1494" s="127"/>
      <c r="AM1494" s="642">
        <f t="shared" si="27"/>
        <v>447.726</v>
      </c>
      <c r="AO1494" s="289"/>
    </row>
    <row r="1495" spans="1:42" s="61" customFormat="1" ht="25.5" customHeight="1" x14ac:dyDescent="0.3">
      <c r="A1495" s="706"/>
      <c r="B1495" s="180" t="s">
        <v>361</v>
      </c>
      <c r="C1495" s="300"/>
      <c r="D1495" s="173"/>
      <c r="E1495" s="173"/>
      <c r="F1495" s="266"/>
      <c r="G1495" s="173">
        <v>1</v>
      </c>
      <c r="H1495" s="173"/>
      <c r="I1495" s="174"/>
      <c r="J1495" s="173"/>
      <c r="K1495" s="173"/>
      <c r="L1495" s="266"/>
      <c r="M1495" s="173"/>
      <c r="N1495" s="174"/>
      <c r="O1495" s="173"/>
      <c r="P1495" s="173"/>
      <c r="Q1495" s="173"/>
      <c r="R1495" s="173"/>
      <c r="S1495" s="173">
        <v>685</v>
      </c>
      <c r="T1495" s="327"/>
      <c r="U1495" s="300">
        <v>1.5</v>
      </c>
      <c r="V1495" s="173"/>
      <c r="W1495" s="173"/>
      <c r="X1495" s="173"/>
      <c r="Y1495" s="173"/>
      <c r="Z1495" s="173"/>
      <c r="AA1495" s="173"/>
      <c r="AB1495" s="173"/>
      <c r="AC1495" s="173"/>
      <c r="AD1495" s="173"/>
      <c r="AE1495" s="173"/>
      <c r="AF1495" s="173"/>
      <c r="AG1495" s="173"/>
      <c r="AH1495" s="173"/>
      <c r="AI1495" s="173" t="s">
        <v>482</v>
      </c>
      <c r="AJ1495" s="173"/>
      <c r="AK1495" s="173"/>
      <c r="AL1495" s="173"/>
      <c r="AM1495" s="643">
        <f t="shared" si="27"/>
        <v>687.5</v>
      </c>
      <c r="AO1495" s="289"/>
      <c r="AP1495" s="97"/>
    </row>
    <row r="1496" spans="1:42" s="61" customFormat="1" ht="25.5" customHeight="1" x14ac:dyDescent="0.3">
      <c r="A1496" s="706"/>
      <c r="B1496" s="180" t="s">
        <v>362</v>
      </c>
      <c r="C1496" s="300"/>
      <c r="D1496" s="173"/>
      <c r="E1496" s="173"/>
      <c r="F1496" s="266"/>
      <c r="G1496" s="173">
        <v>1</v>
      </c>
      <c r="H1496" s="173"/>
      <c r="I1496" s="174"/>
      <c r="J1496" s="173"/>
      <c r="K1496" s="173"/>
      <c r="L1496" s="266"/>
      <c r="M1496" s="173"/>
      <c r="N1496" s="174"/>
      <c r="O1496" s="173"/>
      <c r="P1496" s="173"/>
      <c r="Q1496" s="173"/>
      <c r="R1496" s="173"/>
      <c r="S1496" s="173">
        <v>567</v>
      </c>
      <c r="T1496" s="327"/>
      <c r="U1496" s="300">
        <v>1.71</v>
      </c>
      <c r="V1496" s="173"/>
      <c r="W1496" s="173"/>
      <c r="X1496" s="173"/>
      <c r="Y1496" s="173"/>
      <c r="Z1496" s="173"/>
      <c r="AA1496" s="173"/>
      <c r="AB1496" s="173"/>
      <c r="AC1496" s="173"/>
      <c r="AD1496" s="173"/>
      <c r="AE1496" s="173"/>
      <c r="AF1496" s="173"/>
      <c r="AG1496" s="173"/>
      <c r="AH1496" s="173"/>
      <c r="AI1496" s="173" t="s">
        <v>482</v>
      </c>
      <c r="AJ1496" s="173"/>
      <c r="AK1496" s="173"/>
      <c r="AL1496" s="173"/>
      <c r="AM1496" s="644">
        <f t="shared" si="27"/>
        <v>569.71</v>
      </c>
      <c r="AO1496" s="289"/>
      <c r="AP1496" s="97"/>
    </row>
    <row r="1497" spans="1:42" s="61" customFormat="1" ht="22.5" customHeight="1" x14ac:dyDescent="0.3">
      <c r="A1497" s="706"/>
      <c r="B1497" s="115" t="s">
        <v>402</v>
      </c>
      <c r="C1497" s="142">
        <v>0.2</v>
      </c>
      <c r="D1497" s="111"/>
      <c r="E1497" s="111"/>
      <c r="F1497" s="267"/>
      <c r="G1497" s="111"/>
      <c r="H1497" s="111"/>
      <c r="I1497" s="125"/>
      <c r="J1497" s="111"/>
      <c r="K1497" s="111"/>
      <c r="L1497" s="267">
        <v>0</v>
      </c>
      <c r="M1497" s="111"/>
      <c r="N1497" s="125"/>
      <c r="O1497" s="111"/>
      <c r="P1497" s="111"/>
      <c r="Q1497" s="111"/>
      <c r="R1497" s="111"/>
      <c r="S1497" s="111">
        <v>132.141051</v>
      </c>
      <c r="T1497" s="143"/>
      <c r="U1497" s="142"/>
      <c r="V1497" s="111"/>
      <c r="W1497" s="111"/>
      <c r="X1497" s="111"/>
      <c r="Y1497" s="111"/>
      <c r="Z1497" s="111">
        <v>605</v>
      </c>
      <c r="AA1497" s="111"/>
      <c r="AB1497" s="111"/>
      <c r="AC1497" s="111"/>
      <c r="AD1497" s="111"/>
      <c r="AE1497" s="111"/>
      <c r="AF1497" s="111"/>
      <c r="AG1497" s="111"/>
      <c r="AH1497" s="111" t="s">
        <v>482</v>
      </c>
      <c r="AI1497" s="111">
        <v>75</v>
      </c>
      <c r="AJ1497" s="111"/>
      <c r="AK1497" s="111"/>
      <c r="AL1497" s="111"/>
      <c r="AM1497" s="645">
        <f t="shared" si="27"/>
        <v>812.34105099999999</v>
      </c>
      <c r="AO1497" s="289"/>
    </row>
    <row r="1498" spans="1:42" s="61" customFormat="1" ht="21" customHeight="1" x14ac:dyDescent="0.3">
      <c r="A1498" s="707"/>
      <c r="B1498" s="181" t="s">
        <v>403</v>
      </c>
      <c r="C1498" s="144">
        <v>0.2</v>
      </c>
      <c r="D1498" s="112"/>
      <c r="E1498" s="112"/>
      <c r="F1498" s="268">
        <v>5000</v>
      </c>
      <c r="G1498" s="112"/>
      <c r="H1498" s="112"/>
      <c r="I1498" s="126"/>
      <c r="J1498" s="112"/>
      <c r="K1498" s="112"/>
      <c r="L1498" s="268"/>
      <c r="M1498" s="112"/>
      <c r="N1498" s="126"/>
      <c r="O1498" s="112"/>
      <c r="P1498" s="112"/>
      <c r="Q1498" s="112"/>
      <c r="R1498" s="112"/>
      <c r="S1498" s="112">
        <v>1.642779</v>
      </c>
      <c r="T1498" s="145"/>
      <c r="U1498" s="144"/>
      <c r="V1498" s="112"/>
      <c r="W1498" s="112"/>
      <c r="X1498" s="112"/>
      <c r="Y1498" s="112"/>
      <c r="Z1498" s="112">
        <v>326</v>
      </c>
      <c r="AA1498" s="112"/>
      <c r="AB1498" s="112"/>
      <c r="AC1498" s="112"/>
      <c r="AD1498" s="112"/>
      <c r="AE1498" s="112"/>
      <c r="AF1498" s="112"/>
      <c r="AG1498" s="112"/>
      <c r="AH1498" s="112" t="s">
        <v>482</v>
      </c>
      <c r="AI1498" s="112">
        <v>75</v>
      </c>
      <c r="AJ1498" s="112"/>
      <c r="AK1498" s="112"/>
      <c r="AL1498" s="112"/>
      <c r="AM1498" s="646">
        <f t="shared" si="27"/>
        <v>5402.8427789999996</v>
      </c>
      <c r="AO1498" s="289"/>
    </row>
    <row r="1499" spans="1:42" s="61" customFormat="1" ht="21" customHeight="1" x14ac:dyDescent="0.3">
      <c r="A1499" s="705" t="s">
        <v>266</v>
      </c>
      <c r="B1499" s="179" t="s">
        <v>293</v>
      </c>
      <c r="C1499" s="135">
        <v>81.06</v>
      </c>
      <c r="D1499" s="136"/>
      <c r="E1499" s="136"/>
      <c r="F1499" s="262"/>
      <c r="G1499" s="136">
        <v>196</v>
      </c>
      <c r="H1499" s="136">
        <v>148</v>
      </c>
      <c r="I1499" s="326"/>
      <c r="J1499" s="136"/>
      <c r="K1499" s="136"/>
      <c r="L1499" s="262"/>
      <c r="M1499" s="136"/>
      <c r="N1499" s="326"/>
      <c r="O1499" s="136"/>
      <c r="P1499" s="136"/>
      <c r="Q1499" s="136"/>
      <c r="R1499" s="136"/>
      <c r="S1499" s="136"/>
      <c r="T1499" s="137"/>
      <c r="U1499" s="632">
        <v>12.478999999999999</v>
      </c>
      <c r="V1499" s="122"/>
      <c r="W1499" s="122"/>
      <c r="X1499" s="122"/>
      <c r="Y1499" s="122">
        <v>15</v>
      </c>
      <c r="Z1499" s="122">
        <v>2377</v>
      </c>
      <c r="AA1499" s="122">
        <v>11.13386</v>
      </c>
      <c r="AB1499" s="122">
        <v>2</v>
      </c>
      <c r="AC1499" s="122">
        <v>20</v>
      </c>
      <c r="AD1499" s="122"/>
      <c r="AE1499" s="122"/>
      <c r="AF1499" s="122"/>
      <c r="AG1499" s="122">
        <v>3.0290000000000004</v>
      </c>
      <c r="AH1499" s="122">
        <v>20</v>
      </c>
      <c r="AI1499" s="122">
        <v>36</v>
      </c>
      <c r="AJ1499" s="122"/>
      <c r="AK1499" s="122">
        <v>13.09</v>
      </c>
      <c r="AL1499" s="122"/>
      <c r="AM1499" s="639">
        <f t="shared" si="27"/>
        <v>2934.7918599999998</v>
      </c>
      <c r="AO1499" s="289"/>
    </row>
    <row r="1500" spans="1:42" s="61" customFormat="1" ht="19.5" customHeight="1" x14ac:dyDescent="0.3">
      <c r="A1500" s="706"/>
      <c r="B1500" s="116" t="s">
        <v>294</v>
      </c>
      <c r="C1500" s="138">
        <v>70</v>
      </c>
      <c r="D1500" s="109"/>
      <c r="E1500" s="109"/>
      <c r="F1500" s="263"/>
      <c r="G1500" s="109">
        <v>180</v>
      </c>
      <c r="H1500" s="109">
        <v>4290</v>
      </c>
      <c r="I1500" s="123"/>
      <c r="J1500" s="109"/>
      <c r="K1500" s="109"/>
      <c r="L1500" s="263">
        <v>23.850999999999999</v>
      </c>
      <c r="M1500" s="109"/>
      <c r="N1500" s="123"/>
      <c r="O1500" s="109"/>
      <c r="P1500" s="109">
        <v>20</v>
      </c>
      <c r="Q1500" s="109"/>
      <c r="R1500" s="109"/>
      <c r="S1500" s="109">
        <v>1648.8589999999999</v>
      </c>
      <c r="T1500" s="139">
        <v>19.631</v>
      </c>
      <c r="U1500" s="138">
        <v>9.1180000000000003</v>
      </c>
      <c r="V1500" s="109"/>
      <c r="W1500" s="109"/>
      <c r="X1500" s="109"/>
      <c r="Y1500" s="109">
        <v>25</v>
      </c>
      <c r="Z1500" s="109">
        <v>2435</v>
      </c>
      <c r="AA1500" s="109">
        <v>26.847999999999999</v>
      </c>
      <c r="AB1500" s="109">
        <v>2</v>
      </c>
      <c r="AC1500" s="109">
        <v>30</v>
      </c>
      <c r="AD1500" s="109">
        <v>30</v>
      </c>
      <c r="AE1500" s="109"/>
      <c r="AF1500" s="109"/>
      <c r="AG1500" s="109"/>
      <c r="AH1500" s="109">
        <v>378.37</v>
      </c>
      <c r="AI1500" s="109">
        <v>57</v>
      </c>
      <c r="AJ1500" s="109"/>
      <c r="AK1500" s="109">
        <v>13.5</v>
      </c>
      <c r="AL1500" s="109"/>
      <c r="AM1500" s="640">
        <f t="shared" si="27"/>
        <v>9259.1769999999997</v>
      </c>
      <c r="AO1500" s="289"/>
    </row>
    <row r="1501" spans="1:42" s="61" customFormat="1" ht="22.5" customHeight="1" x14ac:dyDescent="0.3">
      <c r="A1501" s="706"/>
      <c r="B1501" s="117" t="s">
        <v>326</v>
      </c>
      <c r="C1501" s="140">
        <v>165.03</v>
      </c>
      <c r="D1501" s="110"/>
      <c r="E1501" s="110"/>
      <c r="F1501" s="264"/>
      <c r="G1501" s="110">
        <v>209</v>
      </c>
      <c r="H1501" s="110">
        <v>1488</v>
      </c>
      <c r="I1501" s="124"/>
      <c r="J1501" s="110"/>
      <c r="K1501" s="110"/>
      <c r="L1501" s="264">
        <v>15</v>
      </c>
      <c r="M1501" s="110"/>
      <c r="N1501" s="124">
        <v>10</v>
      </c>
      <c r="O1501" s="110"/>
      <c r="P1501" s="110"/>
      <c r="Q1501" s="110"/>
      <c r="R1501" s="110"/>
      <c r="S1501" s="110">
        <v>15</v>
      </c>
      <c r="T1501" s="141"/>
      <c r="U1501" s="140">
        <v>7.81</v>
      </c>
      <c r="V1501" s="110"/>
      <c r="W1501" s="110"/>
      <c r="X1501" s="110">
        <v>10</v>
      </c>
      <c r="Y1501" s="110">
        <v>20</v>
      </c>
      <c r="Z1501" s="110">
        <v>3093</v>
      </c>
      <c r="AA1501" s="110"/>
      <c r="AB1501" s="110">
        <v>2</v>
      </c>
      <c r="AC1501" s="110">
        <v>30</v>
      </c>
      <c r="AD1501" s="110">
        <v>30</v>
      </c>
      <c r="AE1501" s="110"/>
      <c r="AF1501" s="110"/>
      <c r="AG1501" s="110"/>
      <c r="AH1501" s="110"/>
      <c r="AI1501" s="110">
        <v>19</v>
      </c>
      <c r="AJ1501" s="110"/>
      <c r="AK1501" s="110">
        <v>16</v>
      </c>
      <c r="AL1501" s="110"/>
      <c r="AM1501" s="641">
        <f t="shared" ref="AM1501:AM1564" si="29">SUM(C1501:AL1501)</f>
        <v>5129.84</v>
      </c>
      <c r="AO1501" s="289"/>
      <c r="AP1501" s="97"/>
    </row>
    <row r="1502" spans="1:42" s="61" customFormat="1" ht="25.5" customHeight="1" x14ac:dyDescent="0.3">
      <c r="A1502" s="706"/>
      <c r="B1502" s="175" t="s">
        <v>327</v>
      </c>
      <c r="C1502" s="176">
        <v>10394.757</v>
      </c>
      <c r="D1502" s="127"/>
      <c r="E1502" s="127"/>
      <c r="F1502" s="265"/>
      <c r="G1502" s="127">
        <v>157</v>
      </c>
      <c r="H1502" s="127">
        <v>2172</v>
      </c>
      <c r="I1502" s="178"/>
      <c r="J1502" s="127"/>
      <c r="K1502" s="127"/>
      <c r="L1502" s="265"/>
      <c r="M1502" s="127"/>
      <c r="N1502" s="178">
        <v>3.6040000000000001</v>
      </c>
      <c r="O1502" s="127"/>
      <c r="P1502" s="127"/>
      <c r="Q1502" s="127"/>
      <c r="R1502" s="127"/>
      <c r="S1502" s="127">
        <v>100</v>
      </c>
      <c r="T1502" s="177"/>
      <c r="U1502" s="176">
        <v>6.4050000000000002</v>
      </c>
      <c r="V1502" s="127"/>
      <c r="W1502" s="127"/>
      <c r="X1502" s="127"/>
      <c r="Y1502" s="127">
        <v>20</v>
      </c>
      <c r="Z1502" s="127">
        <v>4796</v>
      </c>
      <c r="AA1502" s="127">
        <v>-2.7521399999999998</v>
      </c>
      <c r="AB1502" s="127">
        <v>2</v>
      </c>
      <c r="AC1502" s="127">
        <v>344.64299999999997</v>
      </c>
      <c r="AD1502" s="127">
        <v>30</v>
      </c>
      <c r="AE1502" s="127"/>
      <c r="AF1502" s="127">
        <v>4.6000591715976338</v>
      </c>
      <c r="AG1502" s="127">
        <f>3.9/1.3</f>
        <v>3</v>
      </c>
      <c r="AH1502" s="127">
        <v>254.33</v>
      </c>
      <c r="AI1502" s="127">
        <v>59</v>
      </c>
      <c r="AJ1502" s="127"/>
      <c r="AK1502" s="127">
        <v>12</v>
      </c>
      <c r="AL1502" s="127"/>
      <c r="AM1502" s="642">
        <f t="shared" si="29"/>
        <v>18356.586919171597</v>
      </c>
      <c r="AO1502" s="289"/>
    </row>
    <row r="1503" spans="1:42" s="61" customFormat="1" ht="25.5" customHeight="1" x14ac:dyDescent="0.3">
      <c r="A1503" s="706"/>
      <c r="B1503" s="180" t="s">
        <v>361</v>
      </c>
      <c r="C1503" s="300">
        <v>130</v>
      </c>
      <c r="D1503" s="173"/>
      <c r="E1503" s="173"/>
      <c r="F1503" s="266"/>
      <c r="G1503" s="173">
        <f>156+14</f>
        <v>170</v>
      </c>
      <c r="H1503" s="173">
        <v>70</v>
      </c>
      <c r="I1503" s="174"/>
      <c r="J1503" s="173"/>
      <c r="K1503" s="173"/>
      <c r="L1503" s="266"/>
      <c r="M1503" s="173">
        <v>6.09</v>
      </c>
      <c r="N1503" s="174"/>
      <c r="O1503" s="173"/>
      <c r="P1503" s="173"/>
      <c r="Q1503" s="173"/>
      <c r="R1503" s="173"/>
      <c r="S1503" s="173">
        <v>111</v>
      </c>
      <c r="T1503" s="327"/>
      <c r="U1503" s="300">
        <v>6.4050000000000002</v>
      </c>
      <c r="V1503" s="173"/>
      <c r="W1503" s="173"/>
      <c r="X1503" s="173"/>
      <c r="Y1503" s="173">
        <v>20</v>
      </c>
      <c r="Z1503" s="173">
        <v>2614</v>
      </c>
      <c r="AA1503" s="173">
        <v>13.420310000000001</v>
      </c>
      <c r="AB1503" s="173">
        <v>41</v>
      </c>
      <c r="AC1503" s="173">
        <v>30</v>
      </c>
      <c r="AD1503" s="173">
        <v>30</v>
      </c>
      <c r="AE1503" s="173"/>
      <c r="AF1503" s="173"/>
      <c r="AG1503" s="173">
        <v>4</v>
      </c>
      <c r="AH1503" s="173">
        <v>39</v>
      </c>
      <c r="AI1503" s="173">
        <v>46</v>
      </c>
      <c r="AJ1503" s="173"/>
      <c r="AK1503" s="173">
        <v>15</v>
      </c>
      <c r="AL1503" s="173"/>
      <c r="AM1503" s="643">
        <f t="shared" si="29"/>
        <v>3345.9153099999999</v>
      </c>
      <c r="AO1503" s="289"/>
      <c r="AP1503" s="97"/>
    </row>
    <row r="1504" spans="1:42" s="61" customFormat="1" ht="25.5" customHeight="1" x14ac:dyDescent="0.3">
      <c r="A1504" s="706"/>
      <c r="B1504" s="180" t="s">
        <v>362</v>
      </c>
      <c r="C1504" s="300">
        <v>122</v>
      </c>
      <c r="D1504" s="173"/>
      <c r="E1504" s="173"/>
      <c r="F1504" s="266"/>
      <c r="G1504" s="173">
        <f>161+200</f>
        <v>361</v>
      </c>
      <c r="H1504" s="173">
        <v>1071</v>
      </c>
      <c r="I1504" s="174"/>
      <c r="J1504" s="173"/>
      <c r="K1504" s="173"/>
      <c r="L1504" s="266"/>
      <c r="M1504" s="173">
        <v>7.02</v>
      </c>
      <c r="N1504" s="174">
        <v>3.5</v>
      </c>
      <c r="O1504" s="173"/>
      <c r="P1504" s="173">
        <v>113</v>
      </c>
      <c r="Q1504" s="173"/>
      <c r="R1504" s="173"/>
      <c r="S1504" s="173">
        <v>95</v>
      </c>
      <c r="T1504" s="327"/>
      <c r="U1504" s="300">
        <v>5.7039999999999997</v>
      </c>
      <c r="V1504" s="173"/>
      <c r="W1504" s="173"/>
      <c r="X1504" s="173"/>
      <c r="Y1504" s="173">
        <v>20</v>
      </c>
      <c r="Z1504" s="173">
        <v>3193</v>
      </c>
      <c r="AA1504" s="173"/>
      <c r="AB1504" s="173">
        <v>90</v>
      </c>
      <c r="AC1504" s="173">
        <v>30</v>
      </c>
      <c r="AD1504" s="173">
        <v>30</v>
      </c>
      <c r="AE1504" s="173"/>
      <c r="AF1504" s="173">
        <v>6</v>
      </c>
      <c r="AG1504" s="173"/>
      <c r="AH1504" s="173"/>
      <c r="AI1504" s="173">
        <v>235</v>
      </c>
      <c r="AJ1504" s="173"/>
      <c r="AK1504" s="173">
        <v>15</v>
      </c>
      <c r="AL1504" s="173"/>
      <c r="AM1504" s="644">
        <f t="shared" si="29"/>
        <v>5397.2240000000002</v>
      </c>
      <c r="AO1504" s="289"/>
      <c r="AP1504" s="97"/>
    </row>
    <row r="1505" spans="1:42" s="61" customFormat="1" ht="22.5" customHeight="1" x14ac:dyDescent="0.3">
      <c r="A1505" s="706"/>
      <c r="B1505" s="115" t="s">
        <v>402</v>
      </c>
      <c r="C1505" s="142">
        <v>3192.3283099999999</v>
      </c>
      <c r="D1505" s="111"/>
      <c r="E1505" s="111"/>
      <c r="F1505" s="267"/>
      <c r="G1505" s="111"/>
      <c r="H1505" s="111">
        <v>200</v>
      </c>
      <c r="I1505" s="125"/>
      <c r="J1505" s="111"/>
      <c r="K1505" s="111"/>
      <c r="L1505" s="267">
        <v>0</v>
      </c>
      <c r="M1505" s="111">
        <v>7.7942099999999996</v>
      </c>
      <c r="N1505" s="125"/>
      <c r="O1505" s="111"/>
      <c r="P1505" s="111">
        <v>70</v>
      </c>
      <c r="Q1505" s="111"/>
      <c r="R1505" s="111"/>
      <c r="S1505" s="111">
        <v>106</v>
      </c>
      <c r="T1505" s="143"/>
      <c r="U1505" s="142">
        <v>5.8680000000000003</v>
      </c>
      <c r="V1505" s="111"/>
      <c r="W1505" s="111"/>
      <c r="X1505" s="111"/>
      <c r="Y1505" s="111">
        <v>20</v>
      </c>
      <c r="Z1505" s="111">
        <v>4722</v>
      </c>
      <c r="AA1505" s="111">
        <v>39</v>
      </c>
      <c r="AB1505" s="111">
        <v>2</v>
      </c>
      <c r="AC1505" s="111">
        <v>40</v>
      </c>
      <c r="AD1505" s="111">
        <v>30</v>
      </c>
      <c r="AE1505" s="111"/>
      <c r="AF1505" s="111"/>
      <c r="AG1505" s="111"/>
      <c r="AH1505" s="111">
        <v>137.864</v>
      </c>
      <c r="AI1505" s="111">
        <v>207</v>
      </c>
      <c r="AJ1505" s="111"/>
      <c r="AK1505" s="111">
        <f>18.012/1.097</f>
        <v>16.419325432999088</v>
      </c>
      <c r="AL1505" s="111"/>
      <c r="AM1505" s="645">
        <f t="shared" si="29"/>
        <v>8796.2738454329974</v>
      </c>
      <c r="AO1505" s="289"/>
    </row>
    <row r="1506" spans="1:42" s="61" customFormat="1" ht="21" customHeight="1" x14ac:dyDescent="0.3">
      <c r="A1506" s="707"/>
      <c r="B1506" s="181" t="s">
        <v>403</v>
      </c>
      <c r="C1506" s="144">
        <v>4607.2440100000003</v>
      </c>
      <c r="D1506" s="112"/>
      <c r="E1506" s="112"/>
      <c r="F1506" s="268"/>
      <c r="G1506" s="112"/>
      <c r="H1506" s="112">
        <v>238.17361</v>
      </c>
      <c r="I1506" s="126"/>
      <c r="J1506" s="112"/>
      <c r="K1506" s="112"/>
      <c r="L1506" s="268">
        <v>41.8</v>
      </c>
      <c r="M1506" s="112"/>
      <c r="N1506" s="126"/>
      <c r="O1506" s="112"/>
      <c r="P1506" s="112">
        <v>520</v>
      </c>
      <c r="Q1506" s="112"/>
      <c r="R1506" s="112"/>
      <c r="S1506" s="112">
        <v>1.4854400000000001</v>
      </c>
      <c r="T1506" s="145"/>
      <c r="U1506" s="144">
        <v>5.8680000000000003</v>
      </c>
      <c r="V1506" s="112"/>
      <c r="W1506" s="112"/>
      <c r="X1506" s="112"/>
      <c r="Y1506" s="112">
        <v>20</v>
      </c>
      <c r="Z1506" s="112">
        <v>6069</v>
      </c>
      <c r="AA1506" s="112"/>
      <c r="AB1506" s="112">
        <v>2</v>
      </c>
      <c r="AC1506" s="112">
        <v>80</v>
      </c>
      <c r="AD1506" s="112">
        <v>58</v>
      </c>
      <c r="AE1506" s="112"/>
      <c r="AF1506" s="112"/>
      <c r="AG1506" s="112"/>
      <c r="AH1506" s="112">
        <v>96.652000000000001</v>
      </c>
      <c r="AI1506" s="112">
        <v>207</v>
      </c>
      <c r="AJ1506" s="112"/>
      <c r="AK1506" s="112">
        <f>15.2975/1.001</f>
        <v>15.282217782217783</v>
      </c>
      <c r="AL1506" s="112"/>
      <c r="AM1506" s="646">
        <f t="shared" si="29"/>
        <v>11962.50527778222</v>
      </c>
      <c r="AO1506" s="289"/>
    </row>
    <row r="1507" spans="1:42" s="61" customFormat="1" ht="21" customHeight="1" x14ac:dyDescent="0.3">
      <c r="A1507" s="712" t="s">
        <v>439</v>
      </c>
      <c r="B1507" s="179" t="s">
        <v>293</v>
      </c>
      <c r="C1507" s="135"/>
      <c r="D1507" s="136"/>
      <c r="E1507" s="136"/>
      <c r="F1507" s="262"/>
      <c r="G1507" s="136">
        <v>1</v>
      </c>
      <c r="H1507" s="136"/>
      <c r="I1507" s="326"/>
      <c r="J1507" s="136"/>
      <c r="K1507" s="136"/>
      <c r="L1507" s="262"/>
      <c r="M1507" s="136"/>
      <c r="N1507" s="326"/>
      <c r="O1507" s="136"/>
      <c r="P1507" s="136"/>
      <c r="Q1507" s="136"/>
      <c r="R1507" s="136"/>
      <c r="S1507" s="136"/>
      <c r="T1507" s="137"/>
      <c r="U1507" s="632"/>
      <c r="V1507" s="122"/>
      <c r="W1507" s="122"/>
      <c r="X1507" s="122"/>
      <c r="Y1507" s="122"/>
      <c r="Z1507" s="122"/>
      <c r="AA1507" s="122"/>
      <c r="AB1507" s="122"/>
      <c r="AC1507" s="122"/>
      <c r="AD1507" s="122"/>
      <c r="AE1507" s="122"/>
      <c r="AF1507" s="122"/>
      <c r="AG1507" s="122">
        <v>0.69</v>
      </c>
      <c r="AH1507" s="122"/>
      <c r="AI1507" s="122" t="s">
        <v>482</v>
      </c>
      <c r="AJ1507" s="122"/>
      <c r="AK1507" s="122"/>
      <c r="AL1507" s="122"/>
      <c r="AM1507" s="639">
        <f t="shared" si="29"/>
        <v>1.69</v>
      </c>
      <c r="AO1507" s="289"/>
    </row>
    <row r="1508" spans="1:42" s="61" customFormat="1" ht="19.5" customHeight="1" x14ac:dyDescent="0.3">
      <c r="A1508" s="713"/>
      <c r="B1508" s="116" t="s">
        <v>294</v>
      </c>
      <c r="C1508" s="138"/>
      <c r="D1508" s="109"/>
      <c r="E1508" s="109"/>
      <c r="F1508" s="263"/>
      <c r="G1508" s="109"/>
      <c r="H1508" s="109"/>
      <c r="I1508" s="123"/>
      <c r="J1508" s="109"/>
      <c r="K1508" s="109"/>
      <c r="L1508" s="263"/>
      <c r="M1508" s="109"/>
      <c r="N1508" s="123"/>
      <c r="O1508" s="109"/>
      <c r="P1508" s="109"/>
      <c r="Q1508" s="109"/>
      <c r="R1508" s="109"/>
      <c r="S1508" s="109"/>
      <c r="T1508" s="139"/>
      <c r="U1508" s="138"/>
      <c r="V1508" s="109"/>
      <c r="W1508" s="109"/>
      <c r="X1508" s="109"/>
      <c r="Y1508" s="109"/>
      <c r="Z1508" s="109">
        <v>2.5</v>
      </c>
      <c r="AA1508" s="109"/>
      <c r="AB1508" s="109"/>
      <c r="AC1508" s="109"/>
      <c r="AD1508" s="109"/>
      <c r="AE1508" s="109"/>
      <c r="AF1508" s="109"/>
      <c r="AG1508" s="109"/>
      <c r="AH1508" s="109"/>
      <c r="AI1508" s="109" t="s">
        <v>482</v>
      </c>
      <c r="AJ1508" s="109"/>
      <c r="AK1508" s="109"/>
      <c r="AL1508" s="109"/>
      <c r="AM1508" s="640">
        <f t="shared" si="29"/>
        <v>2.5</v>
      </c>
      <c r="AO1508" s="289"/>
    </row>
    <row r="1509" spans="1:42" s="61" customFormat="1" ht="22.5" customHeight="1" x14ac:dyDescent="0.3">
      <c r="A1509" s="713"/>
      <c r="B1509" s="117" t="s">
        <v>326</v>
      </c>
      <c r="C1509" s="140">
        <v>89.341999999999999</v>
      </c>
      <c r="D1509" s="110"/>
      <c r="E1509" s="110"/>
      <c r="F1509" s="264"/>
      <c r="G1509" s="110">
        <v>39</v>
      </c>
      <c r="H1509" s="110"/>
      <c r="I1509" s="124"/>
      <c r="J1509" s="110"/>
      <c r="K1509" s="110"/>
      <c r="L1509" s="264"/>
      <c r="M1509" s="110"/>
      <c r="N1509" s="124"/>
      <c r="O1509" s="110"/>
      <c r="P1509" s="110"/>
      <c r="Q1509" s="110"/>
      <c r="R1509" s="110"/>
      <c r="S1509" s="110">
        <v>-227</v>
      </c>
      <c r="T1509" s="141"/>
      <c r="U1509" s="140"/>
      <c r="V1509" s="110"/>
      <c r="W1509" s="110"/>
      <c r="X1509" s="110"/>
      <c r="Y1509" s="110"/>
      <c r="Z1509" s="110"/>
      <c r="AA1509" s="110"/>
      <c r="AB1509" s="110"/>
      <c r="AC1509" s="110"/>
      <c r="AD1509" s="110"/>
      <c r="AE1509" s="110"/>
      <c r="AF1509" s="110"/>
      <c r="AG1509" s="110"/>
      <c r="AH1509" s="110"/>
      <c r="AI1509" s="110" t="s">
        <v>482</v>
      </c>
      <c r="AJ1509" s="110"/>
      <c r="AK1509" s="110"/>
      <c r="AL1509" s="110"/>
      <c r="AM1509" s="641">
        <f t="shared" si="29"/>
        <v>-98.658000000000015</v>
      </c>
      <c r="AO1509" s="289"/>
      <c r="AP1509" s="97"/>
    </row>
    <row r="1510" spans="1:42" s="61" customFormat="1" ht="25.5" customHeight="1" x14ac:dyDescent="0.3">
      <c r="A1510" s="713"/>
      <c r="B1510" s="175" t="s">
        <v>327</v>
      </c>
      <c r="C1510" s="176">
        <v>30.172999999999998</v>
      </c>
      <c r="D1510" s="127"/>
      <c r="E1510" s="127"/>
      <c r="F1510" s="265"/>
      <c r="G1510" s="127">
        <v>70</v>
      </c>
      <c r="H1510" s="127"/>
      <c r="I1510" s="178"/>
      <c r="J1510" s="127"/>
      <c r="K1510" s="127"/>
      <c r="L1510" s="265"/>
      <c r="M1510" s="127"/>
      <c r="N1510" s="178"/>
      <c r="O1510" s="127"/>
      <c r="P1510" s="127"/>
      <c r="Q1510" s="127"/>
      <c r="R1510" s="127"/>
      <c r="S1510" s="127">
        <v>700</v>
      </c>
      <c r="T1510" s="177"/>
      <c r="U1510" s="176">
        <v>1.1619999999999999</v>
      </c>
      <c r="V1510" s="127"/>
      <c r="W1510" s="127"/>
      <c r="X1510" s="127"/>
      <c r="Y1510" s="127"/>
      <c r="Z1510" s="127"/>
      <c r="AA1510" s="127"/>
      <c r="AB1510" s="127"/>
      <c r="AC1510" s="127"/>
      <c r="AD1510" s="127"/>
      <c r="AE1510" s="127"/>
      <c r="AF1510" s="127"/>
      <c r="AG1510" s="127"/>
      <c r="AH1510" s="127"/>
      <c r="AI1510" s="127" t="s">
        <v>482</v>
      </c>
      <c r="AJ1510" s="127"/>
      <c r="AK1510" s="127"/>
      <c r="AL1510" s="127"/>
      <c r="AM1510" s="642">
        <f t="shared" si="29"/>
        <v>801.33500000000004</v>
      </c>
      <c r="AO1510" s="289"/>
    </row>
    <row r="1511" spans="1:42" s="61" customFormat="1" ht="25.5" customHeight="1" x14ac:dyDescent="0.3">
      <c r="A1511" s="713"/>
      <c r="B1511" s="180" t="s">
        <v>361</v>
      </c>
      <c r="C1511" s="300"/>
      <c r="D1511" s="173"/>
      <c r="E1511" s="173"/>
      <c r="F1511" s="266"/>
      <c r="G1511" s="173">
        <v>60</v>
      </c>
      <c r="H1511" s="173"/>
      <c r="I1511" s="174"/>
      <c r="J1511" s="173"/>
      <c r="K1511" s="173"/>
      <c r="L1511" s="266"/>
      <c r="M1511" s="173"/>
      <c r="N1511" s="174"/>
      <c r="O1511" s="173"/>
      <c r="P1511" s="173"/>
      <c r="Q1511" s="173"/>
      <c r="R1511" s="173"/>
      <c r="S1511" s="173">
        <v>2107</v>
      </c>
      <c r="T1511" s="327"/>
      <c r="U1511" s="300"/>
      <c r="V1511" s="173"/>
      <c r="W1511" s="173"/>
      <c r="X1511" s="173"/>
      <c r="Y1511" s="173"/>
      <c r="Z1511" s="173">
        <v>6</v>
      </c>
      <c r="AA1511" s="173"/>
      <c r="AB1511" s="173"/>
      <c r="AC1511" s="173"/>
      <c r="AD1511" s="173"/>
      <c r="AE1511" s="173"/>
      <c r="AF1511" s="173"/>
      <c r="AG1511" s="173"/>
      <c r="AH1511" s="173"/>
      <c r="AI1511" s="173" t="s">
        <v>482</v>
      </c>
      <c r="AJ1511" s="173"/>
      <c r="AK1511" s="173"/>
      <c r="AL1511" s="173"/>
      <c r="AM1511" s="643">
        <f t="shared" si="29"/>
        <v>2173</v>
      </c>
      <c r="AO1511" s="289"/>
      <c r="AP1511" s="97"/>
    </row>
    <row r="1512" spans="1:42" s="61" customFormat="1" ht="25.5" customHeight="1" x14ac:dyDescent="0.3">
      <c r="A1512" s="713"/>
      <c r="B1512" s="180" t="s">
        <v>362</v>
      </c>
      <c r="C1512" s="300"/>
      <c r="D1512" s="173"/>
      <c r="E1512" s="173"/>
      <c r="F1512" s="266"/>
      <c r="G1512" s="173">
        <v>125</v>
      </c>
      <c r="H1512" s="173"/>
      <c r="I1512" s="174"/>
      <c r="J1512" s="173"/>
      <c r="K1512" s="173"/>
      <c r="L1512" s="266"/>
      <c r="M1512" s="173"/>
      <c r="N1512" s="174"/>
      <c r="O1512" s="173"/>
      <c r="P1512" s="173"/>
      <c r="Q1512" s="173"/>
      <c r="R1512" s="173"/>
      <c r="S1512" s="173">
        <v>1743</v>
      </c>
      <c r="T1512" s="327"/>
      <c r="U1512" s="300"/>
      <c r="V1512" s="173"/>
      <c r="W1512" s="173"/>
      <c r="X1512" s="173"/>
      <c r="Y1512" s="173"/>
      <c r="Z1512" s="173"/>
      <c r="AA1512" s="173"/>
      <c r="AB1512" s="173"/>
      <c r="AC1512" s="173"/>
      <c r="AD1512" s="173"/>
      <c r="AE1512" s="173"/>
      <c r="AF1512" s="173"/>
      <c r="AG1512" s="173"/>
      <c r="AH1512" s="173"/>
      <c r="AI1512" s="173" t="s">
        <v>482</v>
      </c>
      <c r="AJ1512" s="173"/>
      <c r="AK1512" s="173"/>
      <c r="AL1512" s="173"/>
      <c r="AM1512" s="644">
        <f t="shared" si="29"/>
        <v>1868</v>
      </c>
      <c r="AO1512" s="289"/>
      <c r="AP1512" s="97"/>
    </row>
    <row r="1513" spans="1:42" s="61" customFormat="1" ht="22.5" customHeight="1" x14ac:dyDescent="0.3">
      <c r="A1513" s="713"/>
      <c r="B1513" s="115" t="s">
        <v>402</v>
      </c>
      <c r="C1513" s="142">
        <v>6.5439999999999996</v>
      </c>
      <c r="D1513" s="111"/>
      <c r="E1513" s="111"/>
      <c r="F1513" s="267"/>
      <c r="G1513" s="111">
        <v>18</v>
      </c>
      <c r="H1513" s="111">
        <v>1</v>
      </c>
      <c r="I1513" s="125"/>
      <c r="J1513" s="111"/>
      <c r="K1513" s="111"/>
      <c r="L1513" s="267"/>
      <c r="M1513" s="111"/>
      <c r="N1513" s="125"/>
      <c r="O1513" s="111"/>
      <c r="P1513" s="111"/>
      <c r="Q1513" s="111"/>
      <c r="R1513" s="111"/>
      <c r="S1513" s="111">
        <v>3206</v>
      </c>
      <c r="T1513" s="143"/>
      <c r="U1513" s="142">
        <v>0.36599999999999999</v>
      </c>
      <c r="V1513" s="111"/>
      <c r="W1513" s="111"/>
      <c r="X1513" s="111"/>
      <c r="Y1513" s="111"/>
      <c r="Z1513" s="111"/>
      <c r="AA1513" s="111"/>
      <c r="AB1513" s="111"/>
      <c r="AC1513" s="111"/>
      <c r="AD1513" s="111"/>
      <c r="AE1513" s="111"/>
      <c r="AF1513" s="111"/>
      <c r="AG1513" s="111"/>
      <c r="AH1513" s="111" t="s">
        <v>482</v>
      </c>
      <c r="AI1513" s="111" t="s">
        <v>482</v>
      </c>
      <c r="AJ1513" s="111"/>
      <c r="AK1513" s="111"/>
      <c r="AL1513" s="111"/>
      <c r="AM1513" s="645">
        <f t="shared" si="29"/>
        <v>3231.91</v>
      </c>
      <c r="AO1513" s="289"/>
    </row>
    <row r="1514" spans="1:42" s="61" customFormat="1" ht="21" customHeight="1" x14ac:dyDescent="0.3">
      <c r="A1514" s="714"/>
      <c r="B1514" s="181" t="s">
        <v>403</v>
      </c>
      <c r="C1514" s="144">
        <v>10.744</v>
      </c>
      <c r="D1514" s="112"/>
      <c r="E1514" s="112"/>
      <c r="F1514" s="268"/>
      <c r="G1514" s="112"/>
      <c r="H1514" s="112"/>
      <c r="I1514" s="126"/>
      <c r="J1514" s="112"/>
      <c r="K1514" s="112"/>
      <c r="L1514" s="268"/>
      <c r="M1514" s="112"/>
      <c r="N1514" s="126"/>
      <c r="O1514" s="112"/>
      <c r="P1514" s="112"/>
      <c r="Q1514" s="112"/>
      <c r="R1514" s="112"/>
      <c r="S1514" s="112">
        <v>4246.4339330000003</v>
      </c>
      <c r="T1514" s="145"/>
      <c r="U1514" s="144">
        <v>0.86099999999999999</v>
      </c>
      <c r="V1514" s="112">
        <f>2825/1000</f>
        <v>2.8250000000000002</v>
      </c>
      <c r="W1514" s="112"/>
      <c r="X1514" s="112"/>
      <c r="Y1514" s="112"/>
      <c r="Z1514" s="112"/>
      <c r="AA1514" s="112"/>
      <c r="AB1514" s="112"/>
      <c r="AC1514" s="112"/>
      <c r="AD1514" s="112"/>
      <c r="AE1514" s="112"/>
      <c r="AF1514" s="112"/>
      <c r="AG1514" s="112"/>
      <c r="AH1514" s="112" t="s">
        <v>482</v>
      </c>
      <c r="AI1514" s="112" t="s">
        <v>482</v>
      </c>
      <c r="AJ1514" s="112"/>
      <c r="AK1514" s="112"/>
      <c r="AL1514" s="112"/>
      <c r="AM1514" s="646">
        <f t="shared" si="29"/>
        <v>4260.8639329999996</v>
      </c>
      <c r="AO1514" s="289"/>
    </row>
    <row r="1515" spans="1:42" s="61" customFormat="1" ht="21" customHeight="1" x14ac:dyDescent="0.3">
      <c r="A1515" s="712" t="s">
        <v>557</v>
      </c>
      <c r="B1515" s="179" t="s">
        <v>293</v>
      </c>
      <c r="C1515" s="135"/>
      <c r="D1515" s="136"/>
      <c r="E1515" s="136"/>
      <c r="F1515" s="262"/>
      <c r="G1515" s="136"/>
      <c r="H1515" s="136"/>
      <c r="I1515" s="326"/>
      <c r="J1515" s="136"/>
      <c r="K1515" s="136"/>
      <c r="L1515" s="262"/>
      <c r="M1515" s="136"/>
      <c r="N1515" s="326"/>
      <c r="O1515" s="136"/>
      <c r="P1515" s="136"/>
      <c r="Q1515" s="136"/>
      <c r="R1515" s="136"/>
      <c r="S1515" s="136"/>
      <c r="T1515" s="137"/>
      <c r="U1515" s="632"/>
      <c r="V1515" s="122"/>
      <c r="W1515" s="122"/>
      <c r="X1515" s="122"/>
      <c r="Y1515" s="122"/>
      <c r="Z1515" s="122"/>
      <c r="AA1515" s="122"/>
      <c r="AB1515" s="122"/>
      <c r="AC1515" s="122"/>
      <c r="AD1515" s="122"/>
      <c r="AE1515" s="122"/>
      <c r="AF1515" s="122"/>
      <c r="AG1515" s="122"/>
      <c r="AH1515" s="122"/>
      <c r="AI1515" s="122" t="s">
        <v>482</v>
      </c>
      <c r="AJ1515" s="122"/>
      <c r="AK1515" s="122"/>
      <c r="AL1515" s="122"/>
      <c r="AM1515" s="639">
        <f t="shared" ref="AM1515:AM1522" si="30">SUM(C1515:AL1515)</f>
        <v>0</v>
      </c>
      <c r="AO1515" s="289"/>
    </row>
    <row r="1516" spans="1:42" s="61" customFormat="1" ht="19.5" customHeight="1" x14ac:dyDescent="0.3">
      <c r="A1516" s="713"/>
      <c r="B1516" s="116" t="s">
        <v>294</v>
      </c>
      <c r="C1516" s="138"/>
      <c r="D1516" s="109"/>
      <c r="E1516" s="109"/>
      <c r="F1516" s="263"/>
      <c r="G1516" s="109"/>
      <c r="H1516" s="109"/>
      <c r="I1516" s="123"/>
      <c r="J1516" s="109"/>
      <c r="K1516" s="109"/>
      <c r="L1516" s="263"/>
      <c r="M1516" s="109"/>
      <c r="N1516" s="123"/>
      <c r="O1516" s="109"/>
      <c r="P1516" s="109"/>
      <c r="Q1516" s="109"/>
      <c r="R1516" s="109"/>
      <c r="S1516" s="109"/>
      <c r="T1516" s="139"/>
      <c r="U1516" s="138"/>
      <c r="V1516" s="109"/>
      <c r="W1516" s="109"/>
      <c r="X1516" s="109"/>
      <c r="Y1516" s="109"/>
      <c r="Z1516" s="109"/>
      <c r="AA1516" s="109"/>
      <c r="AB1516" s="109"/>
      <c r="AC1516" s="109"/>
      <c r="AD1516" s="109"/>
      <c r="AE1516" s="109"/>
      <c r="AF1516" s="109"/>
      <c r="AG1516" s="109"/>
      <c r="AH1516" s="109"/>
      <c r="AI1516" s="109" t="s">
        <v>482</v>
      </c>
      <c r="AJ1516" s="109"/>
      <c r="AK1516" s="109"/>
      <c r="AL1516" s="109"/>
      <c r="AM1516" s="640">
        <f t="shared" si="30"/>
        <v>0</v>
      </c>
      <c r="AO1516" s="289"/>
    </row>
    <row r="1517" spans="1:42" s="61" customFormat="1" ht="22.5" customHeight="1" x14ac:dyDescent="0.3">
      <c r="A1517" s="713"/>
      <c r="B1517" s="117" t="s">
        <v>326</v>
      </c>
      <c r="C1517" s="140"/>
      <c r="D1517" s="110"/>
      <c r="E1517" s="110"/>
      <c r="F1517" s="264"/>
      <c r="G1517" s="110"/>
      <c r="H1517" s="110"/>
      <c r="I1517" s="124"/>
      <c r="J1517" s="110"/>
      <c r="K1517" s="110"/>
      <c r="L1517" s="264"/>
      <c r="M1517" s="110"/>
      <c r="N1517" s="124"/>
      <c r="O1517" s="110"/>
      <c r="P1517" s="110"/>
      <c r="Q1517" s="110"/>
      <c r="R1517" s="110"/>
      <c r="S1517" s="110"/>
      <c r="T1517" s="141"/>
      <c r="U1517" s="140"/>
      <c r="V1517" s="110"/>
      <c r="W1517" s="110"/>
      <c r="X1517" s="110"/>
      <c r="Y1517" s="110"/>
      <c r="Z1517" s="110"/>
      <c r="AA1517" s="110"/>
      <c r="AB1517" s="110"/>
      <c r="AC1517" s="110"/>
      <c r="AD1517" s="110"/>
      <c r="AE1517" s="110"/>
      <c r="AF1517" s="110"/>
      <c r="AG1517" s="110"/>
      <c r="AH1517" s="110"/>
      <c r="AI1517" s="110" t="s">
        <v>482</v>
      </c>
      <c r="AJ1517" s="110"/>
      <c r="AK1517" s="110"/>
      <c r="AL1517" s="110"/>
      <c r="AM1517" s="641">
        <f t="shared" si="30"/>
        <v>0</v>
      </c>
      <c r="AO1517" s="289"/>
      <c r="AP1517" s="97"/>
    </row>
    <row r="1518" spans="1:42" s="61" customFormat="1" ht="25.5" customHeight="1" x14ac:dyDescent="0.3">
      <c r="A1518" s="713"/>
      <c r="B1518" s="175" t="s">
        <v>327</v>
      </c>
      <c r="C1518" s="176">
        <v>59.378999999999998</v>
      </c>
      <c r="D1518" s="127"/>
      <c r="E1518" s="127"/>
      <c r="F1518" s="265"/>
      <c r="G1518" s="127"/>
      <c r="H1518" s="127">
        <v>40</v>
      </c>
      <c r="I1518" s="178"/>
      <c r="J1518" s="127"/>
      <c r="K1518" s="127"/>
      <c r="L1518" s="265"/>
      <c r="M1518" s="127"/>
      <c r="N1518" s="178"/>
      <c r="O1518" s="127"/>
      <c r="P1518" s="127"/>
      <c r="Q1518" s="127"/>
      <c r="R1518" s="127"/>
      <c r="S1518" s="127"/>
      <c r="T1518" s="177"/>
      <c r="U1518" s="176"/>
      <c r="V1518" s="127"/>
      <c r="W1518" s="127"/>
      <c r="X1518" s="127"/>
      <c r="Y1518" s="127"/>
      <c r="Z1518" s="127"/>
      <c r="AA1518" s="127"/>
      <c r="AB1518" s="127"/>
      <c r="AC1518" s="127"/>
      <c r="AD1518" s="127"/>
      <c r="AE1518" s="127"/>
      <c r="AF1518" s="127"/>
      <c r="AG1518" s="127"/>
      <c r="AH1518" s="127"/>
      <c r="AI1518" s="127" t="s">
        <v>482</v>
      </c>
      <c r="AJ1518" s="127"/>
      <c r="AK1518" s="127"/>
      <c r="AL1518" s="127"/>
      <c r="AM1518" s="642">
        <f t="shared" si="30"/>
        <v>99.378999999999991</v>
      </c>
      <c r="AO1518" s="289"/>
    </row>
    <row r="1519" spans="1:42" s="61" customFormat="1" ht="25.5" customHeight="1" x14ac:dyDescent="0.3">
      <c r="A1519" s="713"/>
      <c r="B1519" s="180" t="s">
        <v>361</v>
      </c>
      <c r="C1519" s="300">
        <v>56.274000000000001</v>
      </c>
      <c r="D1519" s="173"/>
      <c r="E1519" s="173"/>
      <c r="F1519" s="266"/>
      <c r="G1519" s="173"/>
      <c r="H1519" s="173"/>
      <c r="I1519" s="174"/>
      <c r="J1519" s="173"/>
      <c r="K1519" s="173"/>
      <c r="L1519" s="266"/>
      <c r="M1519" s="173"/>
      <c r="N1519" s="174"/>
      <c r="O1519" s="173"/>
      <c r="P1519" s="173"/>
      <c r="Q1519" s="173"/>
      <c r="R1519" s="173"/>
      <c r="S1519" s="173">
        <v>346</v>
      </c>
      <c r="T1519" s="327"/>
      <c r="U1519" s="300"/>
      <c r="V1519" s="173"/>
      <c r="W1519" s="173"/>
      <c r="X1519" s="173"/>
      <c r="Y1519" s="173"/>
      <c r="Z1519" s="173"/>
      <c r="AA1519" s="173"/>
      <c r="AB1519" s="173"/>
      <c r="AC1519" s="173"/>
      <c r="AD1519" s="173"/>
      <c r="AE1519" s="173"/>
      <c r="AF1519" s="173"/>
      <c r="AG1519" s="173"/>
      <c r="AH1519" s="173"/>
      <c r="AI1519" s="173" t="s">
        <v>482</v>
      </c>
      <c r="AJ1519" s="173"/>
      <c r="AK1519" s="173"/>
      <c r="AL1519" s="173"/>
      <c r="AM1519" s="643">
        <f t="shared" si="30"/>
        <v>402.274</v>
      </c>
      <c r="AO1519" s="289"/>
      <c r="AP1519" s="97"/>
    </row>
    <row r="1520" spans="1:42" s="61" customFormat="1" ht="25.5" customHeight="1" x14ac:dyDescent="0.3">
      <c r="A1520" s="713"/>
      <c r="B1520" s="180" t="s">
        <v>362</v>
      </c>
      <c r="C1520" s="300"/>
      <c r="D1520" s="173"/>
      <c r="E1520" s="173"/>
      <c r="F1520" s="266"/>
      <c r="G1520" s="173"/>
      <c r="H1520" s="173"/>
      <c r="I1520" s="174"/>
      <c r="J1520" s="173"/>
      <c r="K1520" s="173"/>
      <c r="L1520" s="266"/>
      <c r="M1520" s="173"/>
      <c r="N1520" s="174"/>
      <c r="O1520" s="173"/>
      <c r="P1520" s="173"/>
      <c r="Q1520" s="173"/>
      <c r="R1520" s="173"/>
      <c r="S1520" s="173">
        <v>518</v>
      </c>
      <c r="T1520" s="327"/>
      <c r="U1520" s="300"/>
      <c r="V1520" s="173"/>
      <c r="W1520" s="173"/>
      <c r="X1520" s="173"/>
      <c r="Y1520" s="173"/>
      <c r="Z1520" s="173"/>
      <c r="AA1520" s="173"/>
      <c r="AB1520" s="173"/>
      <c r="AC1520" s="173"/>
      <c r="AD1520" s="173"/>
      <c r="AE1520" s="173"/>
      <c r="AF1520" s="173"/>
      <c r="AG1520" s="173"/>
      <c r="AH1520" s="173"/>
      <c r="AI1520" s="173" t="s">
        <v>482</v>
      </c>
      <c r="AJ1520" s="173"/>
      <c r="AK1520" s="173"/>
      <c r="AL1520" s="173"/>
      <c r="AM1520" s="644">
        <f t="shared" si="30"/>
        <v>518</v>
      </c>
      <c r="AO1520" s="289"/>
      <c r="AP1520" s="97"/>
    </row>
    <row r="1521" spans="1:42" s="61" customFormat="1" ht="22.5" customHeight="1" x14ac:dyDescent="0.3">
      <c r="A1521" s="713"/>
      <c r="B1521" s="115" t="s">
        <v>402</v>
      </c>
      <c r="C1521" s="142">
        <v>56.274000000000001</v>
      </c>
      <c r="D1521" s="111"/>
      <c r="E1521" s="111"/>
      <c r="F1521" s="267"/>
      <c r="G1521" s="111"/>
      <c r="H1521" s="111"/>
      <c r="I1521" s="125"/>
      <c r="J1521" s="111"/>
      <c r="K1521" s="111"/>
      <c r="L1521" s="267"/>
      <c r="M1521" s="111"/>
      <c r="N1521" s="125"/>
      <c r="O1521" s="111"/>
      <c r="P1521" s="111"/>
      <c r="Q1521" s="111"/>
      <c r="R1521" s="111"/>
      <c r="S1521" s="111"/>
      <c r="T1521" s="143"/>
      <c r="U1521" s="142"/>
      <c r="V1521" s="111"/>
      <c r="W1521" s="111"/>
      <c r="X1521" s="111"/>
      <c r="Y1521" s="111"/>
      <c r="Z1521" s="111"/>
      <c r="AA1521" s="111"/>
      <c r="AB1521" s="111"/>
      <c r="AC1521" s="111"/>
      <c r="AD1521" s="111"/>
      <c r="AE1521" s="111"/>
      <c r="AF1521" s="111">
        <v>79</v>
      </c>
      <c r="AG1521" s="111"/>
      <c r="AH1521" s="111">
        <v>350</v>
      </c>
      <c r="AI1521" s="111">
        <v>368</v>
      </c>
      <c r="AJ1521" s="111"/>
      <c r="AK1521" s="111"/>
      <c r="AL1521" s="111"/>
      <c r="AM1521" s="645">
        <f t="shared" si="30"/>
        <v>853.274</v>
      </c>
      <c r="AO1521" s="289"/>
    </row>
    <row r="1522" spans="1:42" s="61" customFormat="1" ht="21" customHeight="1" x14ac:dyDescent="0.3">
      <c r="A1522" s="714"/>
      <c r="B1522" s="181" t="s">
        <v>403</v>
      </c>
      <c r="C1522" s="144">
        <v>57.473999999999997</v>
      </c>
      <c r="D1522" s="112"/>
      <c r="E1522" s="112"/>
      <c r="F1522" s="268"/>
      <c r="G1522" s="112"/>
      <c r="H1522" s="112"/>
      <c r="I1522" s="126"/>
      <c r="J1522" s="112"/>
      <c r="K1522" s="112"/>
      <c r="L1522" s="268"/>
      <c r="M1522" s="112"/>
      <c r="N1522" s="126"/>
      <c r="O1522" s="112"/>
      <c r="P1522" s="112"/>
      <c r="Q1522" s="112"/>
      <c r="R1522" s="112"/>
      <c r="S1522" s="112"/>
      <c r="T1522" s="145"/>
      <c r="U1522" s="144"/>
      <c r="V1522" s="112"/>
      <c r="W1522" s="112"/>
      <c r="X1522" s="112"/>
      <c r="Y1522" s="112"/>
      <c r="Z1522" s="112"/>
      <c r="AA1522" s="112"/>
      <c r="AB1522" s="112"/>
      <c r="AC1522" s="112"/>
      <c r="AD1522" s="112"/>
      <c r="AE1522" s="112"/>
      <c r="AF1522" s="112"/>
      <c r="AG1522" s="112"/>
      <c r="AH1522" s="112" t="s">
        <v>482</v>
      </c>
      <c r="AI1522" s="112">
        <v>369</v>
      </c>
      <c r="AJ1522" s="112"/>
      <c r="AK1522" s="112"/>
      <c r="AL1522" s="112"/>
      <c r="AM1522" s="646">
        <f t="shared" si="30"/>
        <v>426.47399999999999</v>
      </c>
      <c r="AO1522" s="289"/>
    </row>
    <row r="1523" spans="1:42" s="61" customFormat="1" ht="21" customHeight="1" x14ac:dyDescent="0.3">
      <c r="A1523" s="705" t="s">
        <v>267</v>
      </c>
      <c r="B1523" s="179" t="s">
        <v>293</v>
      </c>
      <c r="C1523" s="135"/>
      <c r="D1523" s="136"/>
      <c r="E1523" s="136"/>
      <c r="F1523" s="262"/>
      <c r="G1523" s="136"/>
      <c r="H1523" s="136">
        <v>2</v>
      </c>
      <c r="I1523" s="326"/>
      <c r="J1523" s="136"/>
      <c r="K1523" s="136"/>
      <c r="L1523" s="262"/>
      <c r="M1523" s="136"/>
      <c r="N1523" s="326"/>
      <c r="O1523" s="136"/>
      <c r="P1523" s="136"/>
      <c r="Q1523" s="136"/>
      <c r="R1523" s="136"/>
      <c r="S1523" s="136"/>
      <c r="T1523" s="137"/>
      <c r="U1523" s="632"/>
      <c r="V1523" s="122"/>
      <c r="W1523" s="122"/>
      <c r="X1523" s="122"/>
      <c r="Y1523" s="122"/>
      <c r="Z1523" s="122"/>
      <c r="AA1523" s="122"/>
      <c r="AB1523" s="122"/>
      <c r="AC1523" s="122"/>
      <c r="AD1523" s="122"/>
      <c r="AE1523" s="122"/>
      <c r="AF1523" s="122"/>
      <c r="AG1523" s="122"/>
      <c r="AH1523" s="122"/>
      <c r="AI1523" s="122" t="s">
        <v>482</v>
      </c>
      <c r="AJ1523" s="122"/>
      <c r="AK1523" s="122"/>
      <c r="AL1523" s="122"/>
      <c r="AM1523" s="639">
        <f t="shared" si="29"/>
        <v>2</v>
      </c>
      <c r="AO1523" s="289"/>
    </row>
    <row r="1524" spans="1:42" s="61" customFormat="1" ht="19.5" customHeight="1" x14ac:dyDescent="0.3">
      <c r="A1524" s="706"/>
      <c r="B1524" s="116" t="s">
        <v>294</v>
      </c>
      <c r="C1524" s="138"/>
      <c r="D1524" s="109"/>
      <c r="E1524" s="109"/>
      <c r="F1524" s="263"/>
      <c r="G1524" s="109"/>
      <c r="H1524" s="109">
        <v>3</v>
      </c>
      <c r="I1524" s="123"/>
      <c r="J1524" s="109"/>
      <c r="K1524" s="109"/>
      <c r="L1524" s="263"/>
      <c r="M1524" s="109"/>
      <c r="N1524" s="123"/>
      <c r="O1524" s="109"/>
      <c r="P1524" s="109"/>
      <c r="Q1524" s="109"/>
      <c r="R1524" s="109"/>
      <c r="S1524" s="109"/>
      <c r="T1524" s="139"/>
      <c r="U1524" s="138"/>
      <c r="V1524" s="109"/>
      <c r="W1524" s="109"/>
      <c r="X1524" s="109"/>
      <c r="Y1524" s="109"/>
      <c r="Z1524" s="109"/>
      <c r="AA1524" s="109"/>
      <c r="AB1524" s="109"/>
      <c r="AC1524" s="109"/>
      <c r="AD1524" s="109"/>
      <c r="AE1524" s="109"/>
      <c r="AF1524" s="109"/>
      <c r="AG1524" s="109"/>
      <c r="AH1524" s="109"/>
      <c r="AI1524" s="109" t="s">
        <v>482</v>
      </c>
      <c r="AJ1524" s="109"/>
      <c r="AK1524" s="109"/>
      <c r="AL1524" s="109"/>
      <c r="AM1524" s="640">
        <f t="shared" si="29"/>
        <v>3</v>
      </c>
      <c r="AO1524" s="289"/>
    </row>
    <row r="1525" spans="1:42" s="61" customFormat="1" ht="22.5" customHeight="1" x14ac:dyDescent="0.3">
      <c r="A1525" s="706"/>
      <c r="B1525" s="117" t="s">
        <v>326</v>
      </c>
      <c r="C1525" s="140">
        <v>219.636</v>
      </c>
      <c r="D1525" s="110"/>
      <c r="E1525" s="110"/>
      <c r="F1525" s="264"/>
      <c r="G1525" s="110"/>
      <c r="H1525" s="110">
        <v>4</v>
      </c>
      <c r="I1525" s="124"/>
      <c r="J1525" s="110"/>
      <c r="K1525" s="110"/>
      <c r="L1525" s="264"/>
      <c r="M1525" s="110"/>
      <c r="N1525" s="124"/>
      <c r="O1525" s="110"/>
      <c r="P1525" s="110"/>
      <c r="Q1525" s="110"/>
      <c r="R1525" s="110"/>
      <c r="S1525" s="110"/>
      <c r="T1525" s="141"/>
      <c r="U1525" s="140"/>
      <c r="V1525" s="110"/>
      <c r="W1525" s="110"/>
      <c r="X1525" s="110"/>
      <c r="Y1525" s="110"/>
      <c r="Z1525" s="110">
        <v>66.449850000000012</v>
      </c>
      <c r="AA1525" s="110"/>
      <c r="AB1525" s="110"/>
      <c r="AC1525" s="110"/>
      <c r="AD1525" s="110"/>
      <c r="AE1525" s="110"/>
      <c r="AF1525" s="110"/>
      <c r="AG1525" s="110"/>
      <c r="AH1525" s="110"/>
      <c r="AI1525" s="110" t="s">
        <v>482</v>
      </c>
      <c r="AJ1525" s="110"/>
      <c r="AK1525" s="110"/>
      <c r="AL1525" s="110"/>
      <c r="AM1525" s="641">
        <f t="shared" si="29"/>
        <v>290.08584999999999</v>
      </c>
      <c r="AO1525" s="289"/>
      <c r="AP1525" s="97"/>
    </row>
    <row r="1526" spans="1:42" s="61" customFormat="1" ht="25.5" customHeight="1" x14ac:dyDescent="0.3">
      <c r="A1526" s="706"/>
      <c r="B1526" s="175" t="s">
        <v>327</v>
      </c>
      <c r="C1526" s="176">
        <v>43.296999999999997</v>
      </c>
      <c r="D1526" s="127"/>
      <c r="E1526" s="127"/>
      <c r="F1526" s="265"/>
      <c r="G1526" s="127"/>
      <c r="H1526" s="127"/>
      <c r="I1526" s="178"/>
      <c r="J1526" s="127"/>
      <c r="K1526" s="127"/>
      <c r="L1526" s="265"/>
      <c r="M1526" s="127"/>
      <c r="N1526" s="178"/>
      <c r="O1526" s="127"/>
      <c r="P1526" s="127"/>
      <c r="Q1526" s="127"/>
      <c r="R1526" s="127"/>
      <c r="S1526" s="127"/>
      <c r="T1526" s="177"/>
      <c r="U1526" s="176"/>
      <c r="V1526" s="127"/>
      <c r="W1526" s="127"/>
      <c r="X1526" s="127"/>
      <c r="Y1526" s="127"/>
      <c r="Z1526" s="127"/>
      <c r="AA1526" s="127"/>
      <c r="AB1526" s="127"/>
      <c r="AC1526" s="127"/>
      <c r="AD1526" s="127"/>
      <c r="AE1526" s="127"/>
      <c r="AF1526" s="127"/>
      <c r="AG1526" s="127"/>
      <c r="AH1526" s="127"/>
      <c r="AI1526" s="127" t="s">
        <v>482</v>
      </c>
      <c r="AJ1526" s="127"/>
      <c r="AK1526" s="127"/>
      <c r="AL1526" s="127"/>
      <c r="AM1526" s="642">
        <f t="shared" si="29"/>
        <v>43.296999999999997</v>
      </c>
      <c r="AO1526" s="289"/>
    </row>
    <row r="1527" spans="1:42" s="61" customFormat="1" ht="25.5" customHeight="1" x14ac:dyDescent="0.3">
      <c r="A1527" s="706"/>
      <c r="B1527" s="180" t="s">
        <v>361</v>
      </c>
      <c r="C1527" s="300">
        <v>13.273</v>
      </c>
      <c r="D1527" s="173"/>
      <c r="E1527" s="173"/>
      <c r="F1527" s="266"/>
      <c r="G1527" s="173"/>
      <c r="H1527" s="173"/>
      <c r="I1527" s="174"/>
      <c r="J1527" s="173"/>
      <c r="K1527" s="173"/>
      <c r="L1527" s="266"/>
      <c r="M1527" s="173"/>
      <c r="N1527" s="174"/>
      <c r="O1527" s="173"/>
      <c r="P1527" s="173"/>
      <c r="Q1527" s="173"/>
      <c r="R1527" s="173"/>
      <c r="S1527" s="173">
        <v>79</v>
      </c>
      <c r="T1527" s="327"/>
      <c r="U1527" s="300">
        <v>1.1619999999999999</v>
      </c>
      <c r="V1527" s="173"/>
      <c r="W1527" s="173"/>
      <c r="X1527" s="173"/>
      <c r="Y1527" s="173"/>
      <c r="Z1527" s="173"/>
      <c r="AA1527" s="173"/>
      <c r="AB1527" s="173"/>
      <c r="AC1527" s="173"/>
      <c r="AD1527" s="173"/>
      <c r="AE1527" s="173"/>
      <c r="AF1527" s="173"/>
      <c r="AG1527" s="173"/>
      <c r="AH1527" s="173"/>
      <c r="AI1527" s="173" t="s">
        <v>482</v>
      </c>
      <c r="AJ1527" s="173"/>
      <c r="AK1527" s="173"/>
      <c r="AL1527" s="173"/>
      <c r="AM1527" s="643">
        <f t="shared" si="29"/>
        <v>93.435000000000002</v>
      </c>
      <c r="AO1527" s="289"/>
      <c r="AP1527" s="97"/>
    </row>
    <row r="1528" spans="1:42" s="61" customFormat="1" ht="25.5" customHeight="1" x14ac:dyDescent="0.3">
      <c r="A1528" s="706"/>
      <c r="B1528" s="180" t="s">
        <v>362</v>
      </c>
      <c r="C1528" s="300">
        <v>161.64874</v>
      </c>
      <c r="D1528" s="173"/>
      <c r="E1528" s="173"/>
      <c r="F1528" s="266"/>
      <c r="G1528" s="173"/>
      <c r="H1528" s="173"/>
      <c r="I1528" s="174"/>
      <c r="J1528" s="173"/>
      <c r="K1528" s="173"/>
      <c r="L1528" s="266"/>
      <c r="M1528" s="173"/>
      <c r="N1528" s="174"/>
      <c r="O1528" s="173"/>
      <c r="P1528" s="173"/>
      <c r="Q1528" s="173"/>
      <c r="R1528" s="173"/>
      <c r="S1528" s="173">
        <v>86</v>
      </c>
      <c r="T1528" s="327"/>
      <c r="U1528" s="300">
        <v>2.5910000000000002</v>
      </c>
      <c r="V1528" s="173"/>
      <c r="W1528" s="173"/>
      <c r="X1528" s="173"/>
      <c r="Y1528" s="173"/>
      <c r="Z1528" s="173"/>
      <c r="AA1528" s="173"/>
      <c r="AB1528" s="173"/>
      <c r="AC1528" s="173"/>
      <c r="AD1528" s="173"/>
      <c r="AE1528" s="173"/>
      <c r="AF1528" s="173"/>
      <c r="AG1528" s="173"/>
      <c r="AH1528" s="173"/>
      <c r="AI1528" s="173" t="s">
        <v>482</v>
      </c>
      <c r="AJ1528" s="173"/>
      <c r="AK1528" s="173"/>
      <c r="AL1528" s="173"/>
      <c r="AM1528" s="644">
        <f t="shared" si="29"/>
        <v>250.23974000000001</v>
      </c>
      <c r="AO1528" s="289"/>
      <c r="AP1528" s="97"/>
    </row>
    <row r="1529" spans="1:42" s="61" customFormat="1" ht="22.5" customHeight="1" x14ac:dyDescent="0.3">
      <c r="A1529" s="706"/>
      <c r="B1529" s="115" t="s">
        <v>402</v>
      </c>
      <c r="C1529" s="142">
        <v>151.77171999999999</v>
      </c>
      <c r="D1529" s="111"/>
      <c r="E1529" s="111"/>
      <c r="F1529" s="267"/>
      <c r="G1529" s="111"/>
      <c r="H1529" s="111"/>
      <c r="I1529" s="125"/>
      <c r="J1529" s="111"/>
      <c r="K1529" s="111"/>
      <c r="L1529" s="267"/>
      <c r="M1529" s="111"/>
      <c r="N1529" s="125"/>
      <c r="O1529" s="111"/>
      <c r="P1529" s="111"/>
      <c r="Q1529" s="111"/>
      <c r="R1529" s="111"/>
      <c r="S1529" s="111">
        <v>10</v>
      </c>
      <c r="T1529" s="143"/>
      <c r="U1529" s="142">
        <v>2.4630000000000001</v>
      </c>
      <c r="V1529" s="111"/>
      <c r="W1529" s="111"/>
      <c r="X1529" s="111"/>
      <c r="Y1529" s="111"/>
      <c r="Z1529" s="111"/>
      <c r="AA1529" s="111"/>
      <c r="AB1529" s="111"/>
      <c r="AC1529" s="111"/>
      <c r="AD1529" s="111"/>
      <c r="AE1529" s="111"/>
      <c r="AF1529" s="111"/>
      <c r="AG1529" s="111"/>
      <c r="AH1529" s="111" t="s">
        <v>482</v>
      </c>
      <c r="AI1529" s="111" t="s">
        <v>482</v>
      </c>
      <c r="AJ1529" s="111"/>
      <c r="AK1529" s="111"/>
      <c r="AL1529" s="111"/>
      <c r="AM1529" s="645">
        <f t="shared" si="29"/>
        <v>164.23471999999998</v>
      </c>
      <c r="AO1529" s="289"/>
    </row>
    <row r="1530" spans="1:42" s="61" customFormat="1" ht="21" customHeight="1" x14ac:dyDescent="0.3">
      <c r="A1530" s="707"/>
      <c r="B1530" s="181" t="s">
        <v>403</v>
      </c>
      <c r="C1530" s="144">
        <v>5.15</v>
      </c>
      <c r="D1530" s="112"/>
      <c r="E1530" s="112"/>
      <c r="F1530" s="268"/>
      <c r="G1530" s="112"/>
      <c r="H1530" s="112"/>
      <c r="I1530" s="126"/>
      <c r="J1530" s="112"/>
      <c r="K1530" s="112"/>
      <c r="L1530" s="268"/>
      <c r="M1530" s="112"/>
      <c r="N1530" s="126"/>
      <c r="O1530" s="112"/>
      <c r="P1530" s="112"/>
      <c r="Q1530" s="112"/>
      <c r="R1530" s="112"/>
      <c r="S1530" s="112">
        <v>0.99441999999999997</v>
      </c>
      <c r="T1530" s="145"/>
      <c r="U1530" s="144">
        <v>0.03</v>
      </c>
      <c r="V1530" s="112"/>
      <c r="W1530" s="112"/>
      <c r="X1530" s="112"/>
      <c r="Y1530" s="112"/>
      <c r="Z1530" s="112"/>
      <c r="AA1530" s="112"/>
      <c r="AB1530" s="112"/>
      <c r="AC1530" s="112"/>
      <c r="AD1530" s="112"/>
      <c r="AE1530" s="112"/>
      <c r="AF1530" s="112"/>
      <c r="AG1530" s="112"/>
      <c r="AH1530" s="112" t="s">
        <v>482</v>
      </c>
      <c r="AI1530" s="112" t="s">
        <v>482</v>
      </c>
      <c r="AJ1530" s="112"/>
      <c r="AK1530" s="112"/>
      <c r="AL1530" s="112"/>
      <c r="AM1530" s="646">
        <f t="shared" si="29"/>
        <v>6.1744200000000005</v>
      </c>
      <c r="AO1530" s="289"/>
    </row>
    <row r="1531" spans="1:42" s="61" customFormat="1" ht="21" customHeight="1" x14ac:dyDescent="0.3">
      <c r="A1531" s="705" t="s">
        <v>269</v>
      </c>
      <c r="B1531" s="179" t="s">
        <v>293</v>
      </c>
      <c r="C1531" s="135">
        <v>1</v>
      </c>
      <c r="D1531" s="136"/>
      <c r="E1531" s="136"/>
      <c r="F1531" s="262"/>
      <c r="G1531" s="136"/>
      <c r="H1531" s="136"/>
      <c r="I1531" s="326"/>
      <c r="J1531" s="136"/>
      <c r="K1531" s="136"/>
      <c r="L1531" s="262"/>
      <c r="M1531" s="136"/>
      <c r="N1531" s="326"/>
      <c r="O1531" s="136"/>
      <c r="P1531" s="136"/>
      <c r="Q1531" s="136"/>
      <c r="R1531" s="136"/>
      <c r="S1531" s="136">
        <v>5.2329999999999997</v>
      </c>
      <c r="T1531" s="137"/>
      <c r="U1531" s="632"/>
      <c r="V1531" s="122"/>
      <c r="W1531" s="122"/>
      <c r="X1531" s="122"/>
      <c r="Y1531" s="122"/>
      <c r="Z1531" s="122"/>
      <c r="AA1531" s="122"/>
      <c r="AB1531" s="122"/>
      <c r="AC1531" s="122"/>
      <c r="AD1531" s="122"/>
      <c r="AE1531" s="122"/>
      <c r="AF1531" s="122"/>
      <c r="AG1531" s="122"/>
      <c r="AH1531" s="122"/>
      <c r="AI1531" s="122" t="s">
        <v>482</v>
      </c>
      <c r="AJ1531" s="122"/>
      <c r="AK1531" s="122"/>
      <c r="AL1531" s="122"/>
      <c r="AM1531" s="639">
        <f t="shared" si="29"/>
        <v>6.2329999999999997</v>
      </c>
      <c r="AO1531" s="289"/>
    </row>
    <row r="1532" spans="1:42" s="61" customFormat="1" ht="19.5" customHeight="1" x14ac:dyDescent="0.3">
      <c r="A1532" s="706"/>
      <c r="B1532" s="116" t="s">
        <v>294</v>
      </c>
      <c r="C1532" s="138">
        <v>1</v>
      </c>
      <c r="D1532" s="109"/>
      <c r="E1532" s="109"/>
      <c r="F1532" s="263"/>
      <c r="G1532" s="109"/>
      <c r="H1532" s="109"/>
      <c r="I1532" s="123"/>
      <c r="J1532" s="109"/>
      <c r="K1532" s="109"/>
      <c r="L1532" s="263"/>
      <c r="M1532" s="109"/>
      <c r="N1532" s="123"/>
      <c r="O1532" s="109"/>
      <c r="P1532" s="109"/>
      <c r="Q1532" s="109"/>
      <c r="R1532" s="109"/>
      <c r="S1532" s="109">
        <v>-2.8860000000000001</v>
      </c>
      <c r="T1532" s="139">
        <v>0.6</v>
      </c>
      <c r="U1532" s="138"/>
      <c r="V1532" s="109"/>
      <c r="W1532" s="109"/>
      <c r="X1532" s="109"/>
      <c r="Y1532" s="109"/>
      <c r="Z1532" s="109"/>
      <c r="AA1532" s="109"/>
      <c r="AB1532" s="109"/>
      <c r="AC1532" s="109"/>
      <c r="AD1532" s="109"/>
      <c r="AE1532" s="109"/>
      <c r="AF1532" s="109"/>
      <c r="AG1532" s="109"/>
      <c r="AH1532" s="109"/>
      <c r="AI1532" s="109" t="s">
        <v>482</v>
      </c>
      <c r="AJ1532" s="109"/>
      <c r="AK1532" s="109"/>
      <c r="AL1532" s="109"/>
      <c r="AM1532" s="640">
        <f t="shared" si="29"/>
        <v>-1.286</v>
      </c>
      <c r="AO1532" s="289"/>
    </row>
    <row r="1533" spans="1:42" s="61" customFormat="1" ht="22.5" customHeight="1" x14ac:dyDescent="0.3">
      <c r="A1533" s="706"/>
      <c r="B1533" s="117" t="s">
        <v>326</v>
      </c>
      <c r="C1533" s="140">
        <v>1</v>
      </c>
      <c r="D1533" s="110"/>
      <c r="E1533" s="110"/>
      <c r="F1533" s="264"/>
      <c r="G1533" s="110"/>
      <c r="H1533" s="110"/>
      <c r="I1533" s="124"/>
      <c r="J1533" s="110"/>
      <c r="K1533" s="110"/>
      <c r="L1533" s="264"/>
      <c r="M1533" s="110"/>
      <c r="N1533" s="124"/>
      <c r="O1533" s="110"/>
      <c r="P1533" s="110"/>
      <c r="Q1533" s="110"/>
      <c r="R1533" s="110"/>
      <c r="S1533" s="110"/>
      <c r="T1533" s="141"/>
      <c r="U1533" s="140"/>
      <c r="V1533" s="110"/>
      <c r="W1533" s="110"/>
      <c r="X1533" s="110"/>
      <c r="Y1533" s="110"/>
      <c r="Z1533" s="110"/>
      <c r="AA1533" s="110"/>
      <c r="AB1533" s="110"/>
      <c r="AC1533" s="110"/>
      <c r="AD1533" s="110"/>
      <c r="AE1533" s="110"/>
      <c r="AF1533" s="110"/>
      <c r="AG1533" s="110"/>
      <c r="AH1533" s="110"/>
      <c r="AI1533" s="110" t="s">
        <v>482</v>
      </c>
      <c r="AJ1533" s="110"/>
      <c r="AK1533" s="110">
        <v>1</v>
      </c>
      <c r="AL1533" s="110"/>
      <c r="AM1533" s="641">
        <f t="shared" si="29"/>
        <v>2</v>
      </c>
      <c r="AO1533" s="289"/>
      <c r="AP1533" s="97"/>
    </row>
    <row r="1534" spans="1:42" s="61" customFormat="1" ht="25.5" customHeight="1" x14ac:dyDescent="0.3">
      <c r="A1534" s="706"/>
      <c r="B1534" s="175" t="s">
        <v>327</v>
      </c>
      <c r="C1534" s="176"/>
      <c r="D1534" s="127"/>
      <c r="E1534" s="127"/>
      <c r="F1534" s="265"/>
      <c r="G1534" s="127"/>
      <c r="H1534" s="127">
        <v>7</v>
      </c>
      <c r="I1534" s="178"/>
      <c r="J1534" s="127"/>
      <c r="K1534" s="127"/>
      <c r="L1534" s="265"/>
      <c r="M1534" s="127"/>
      <c r="N1534" s="178"/>
      <c r="O1534" s="127"/>
      <c r="P1534" s="127"/>
      <c r="Q1534" s="127"/>
      <c r="R1534" s="127"/>
      <c r="S1534" s="127"/>
      <c r="T1534" s="177"/>
      <c r="U1534" s="176">
        <v>6.2E-2</v>
      </c>
      <c r="V1534" s="127"/>
      <c r="W1534" s="127"/>
      <c r="X1534" s="127"/>
      <c r="Y1534" s="127"/>
      <c r="Z1534" s="127"/>
      <c r="AA1534" s="127"/>
      <c r="AB1534" s="127"/>
      <c r="AC1534" s="127"/>
      <c r="AD1534" s="127"/>
      <c r="AE1534" s="127"/>
      <c r="AF1534" s="127"/>
      <c r="AG1534" s="127"/>
      <c r="AH1534" s="127"/>
      <c r="AI1534" s="127" t="s">
        <v>482</v>
      </c>
      <c r="AJ1534" s="127"/>
      <c r="AK1534" s="127"/>
      <c r="AL1534" s="127"/>
      <c r="AM1534" s="642">
        <f t="shared" si="29"/>
        <v>7.0620000000000003</v>
      </c>
      <c r="AO1534" s="289"/>
    </row>
    <row r="1535" spans="1:42" s="61" customFormat="1" ht="25.5" customHeight="1" x14ac:dyDescent="0.3">
      <c r="A1535" s="706"/>
      <c r="B1535" s="180" t="s">
        <v>361</v>
      </c>
      <c r="C1535" s="300">
        <v>1</v>
      </c>
      <c r="D1535" s="173"/>
      <c r="E1535" s="173"/>
      <c r="F1535" s="266"/>
      <c r="G1535" s="173"/>
      <c r="H1535" s="173"/>
      <c r="I1535" s="174"/>
      <c r="J1535" s="173"/>
      <c r="K1535" s="173"/>
      <c r="L1535" s="266"/>
      <c r="M1535" s="173"/>
      <c r="N1535" s="174"/>
      <c r="O1535" s="173"/>
      <c r="P1535" s="173"/>
      <c r="Q1535" s="173"/>
      <c r="R1535" s="173"/>
      <c r="S1535" s="173"/>
      <c r="T1535" s="327"/>
      <c r="U1535" s="300"/>
      <c r="V1535" s="173"/>
      <c r="W1535" s="173"/>
      <c r="X1535" s="173"/>
      <c r="Y1535" s="173"/>
      <c r="Z1535" s="173"/>
      <c r="AA1535" s="173"/>
      <c r="AB1535" s="173"/>
      <c r="AC1535" s="173"/>
      <c r="AD1535" s="173"/>
      <c r="AE1535" s="173"/>
      <c r="AF1535" s="173"/>
      <c r="AG1535" s="173"/>
      <c r="AH1535" s="173"/>
      <c r="AI1535" s="173" t="s">
        <v>482</v>
      </c>
      <c r="AJ1535" s="173"/>
      <c r="AK1535" s="173"/>
      <c r="AL1535" s="173"/>
      <c r="AM1535" s="643">
        <f t="shared" si="29"/>
        <v>1</v>
      </c>
      <c r="AO1535" s="289"/>
      <c r="AP1535" s="97"/>
    </row>
    <row r="1536" spans="1:42" s="61" customFormat="1" ht="25.5" customHeight="1" x14ac:dyDescent="0.3">
      <c r="A1536" s="706"/>
      <c r="B1536" s="180" t="s">
        <v>362</v>
      </c>
      <c r="C1536" s="300">
        <v>1</v>
      </c>
      <c r="D1536" s="173"/>
      <c r="E1536" s="173"/>
      <c r="F1536" s="266"/>
      <c r="G1536" s="173"/>
      <c r="H1536" s="173"/>
      <c r="I1536" s="174"/>
      <c r="J1536" s="173"/>
      <c r="K1536" s="173"/>
      <c r="L1536" s="266"/>
      <c r="M1536" s="173"/>
      <c r="N1536" s="174"/>
      <c r="O1536" s="173"/>
      <c r="P1536" s="173"/>
      <c r="Q1536" s="173"/>
      <c r="R1536" s="173"/>
      <c r="S1536" s="173"/>
      <c r="T1536" s="327"/>
      <c r="U1536" s="300">
        <v>6.2E-2</v>
      </c>
      <c r="V1536" s="173"/>
      <c r="W1536" s="173"/>
      <c r="X1536" s="173"/>
      <c r="Y1536" s="173"/>
      <c r="Z1536" s="173"/>
      <c r="AA1536" s="173"/>
      <c r="AB1536" s="173"/>
      <c r="AC1536" s="173"/>
      <c r="AD1536" s="173"/>
      <c r="AE1536" s="173"/>
      <c r="AF1536" s="173"/>
      <c r="AG1536" s="173"/>
      <c r="AH1536" s="173"/>
      <c r="AI1536" s="173" t="s">
        <v>482</v>
      </c>
      <c r="AJ1536" s="173"/>
      <c r="AK1536" s="173"/>
      <c r="AL1536" s="173"/>
      <c r="AM1536" s="644">
        <f t="shared" si="29"/>
        <v>1.0620000000000001</v>
      </c>
      <c r="AO1536" s="289"/>
      <c r="AP1536" s="97"/>
    </row>
    <row r="1537" spans="1:42" s="61" customFormat="1" ht="22.5" customHeight="1" x14ac:dyDescent="0.3">
      <c r="A1537" s="706"/>
      <c r="B1537" s="115" t="s">
        <v>402</v>
      </c>
      <c r="C1537" s="142">
        <v>1</v>
      </c>
      <c r="D1537" s="111"/>
      <c r="E1537" s="111"/>
      <c r="F1537" s="267"/>
      <c r="G1537" s="111"/>
      <c r="H1537" s="111"/>
      <c r="I1537" s="125"/>
      <c r="J1537" s="111"/>
      <c r="K1537" s="111"/>
      <c r="L1537" s="267"/>
      <c r="M1537" s="111"/>
      <c r="N1537" s="125"/>
      <c r="O1537" s="111"/>
      <c r="P1537" s="111"/>
      <c r="Q1537" s="111"/>
      <c r="R1537" s="111"/>
      <c r="S1537" s="111"/>
      <c r="T1537" s="143"/>
      <c r="U1537" s="142"/>
      <c r="V1537" s="111"/>
      <c r="W1537" s="111"/>
      <c r="X1537" s="111"/>
      <c r="Y1537" s="111"/>
      <c r="Z1537" s="111"/>
      <c r="AA1537" s="111"/>
      <c r="AB1537" s="111"/>
      <c r="AC1537" s="111"/>
      <c r="AD1537" s="111"/>
      <c r="AE1537" s="111"/>
      <c r="AF1537" s="111"/>
      <c r="AG1537" s="111"/>
      <c r="AH1537" s="111" t="s">
        <v>482</v>
      </c>
      <c r="AI1537" s="111" t="s">
        <v>482</v>
      </c>
      <c r="AJ1537" s="111"/>
      <c r="AK1537" s="111"/>
      <c r="AL1537" s="111"/>
      <c r="AM1537" s="645">
        <f t="shared" si="29"/>
        <v>1</v>
      </c>
      <c r="AO1537" s="289"/>
    </row>
    <row r="1538" spans="1:42" s="61" customFormat="1" ht="21" customHeight="1" x14ac:dyDescent="0.3">
      <c r="A1538" s="707"/>
      <c r="B1538" s="181" t="s">
        <v>403</v>
      </c>
      <c r="C1538" s="144">
        <v>1.4750000000000001</v>
      </c>
      <c r="D1538" s="112"/>
      <c r="E1538" s="112"/>
      <c r="F1538" s="268"/>
      <c r="G1538" s="112"/>
      <c r="H1538" s="112"/>
      <c r="I1538" s="126"/>
      <c r="J1538" s="112"/>
      <c r="K1538" s="112"/>
      <c r="L1538" s="268"/>
      <c r="M1538" s="112"/>
      <c r="N1538" s="126"/>
      <c r="O1538" s="112"/>
      <c r="P1538" s="112"/>
      <c r="Q1538" s="112"/>
      <c r="R1538" s="112"/>
      <c r="S1538" s="112"/>
      <c r="T1538" s="145"/>
      <c r="U1538" s="144">
        <v>6.4000000000000001E-2</v>
      </c>
      <c r="V1538" s="112"/>
      <c r="W1538" s="112"/>
      <c r="X1538" s="112"/>
      <c r="Y1538" s="112"/>
      <c r="Z1538" s="112"/>
      <c r="AA1538" s="112"/>
      <c r="AB1538" s="112"/>
      <c r="AC1538" s="112"/>
      <c r="AD1538" s="112"/>
      <c r="AE1538" s="112"/>
      <c r="AF1538" s="112"/>
      <c r="AG1538" s="112"/>
      <c r="AH1538" s="112" t="s">
        <v>482</v>
      </c>
      <c r="AI1538" s="112" t="s">
        <v>482</v>
      </c>
      <c r="AJ1538" s="112"/>
      <c r="AK1538" s="112"/>
      <c r="AL1538" s="112"/>
      <c r="AM1538" s="646">
        <f t="shared" si="29"/>
        <v>1.5390000000000001</v>
      </c>
      <c r="AO1538" s="289"/>
    </row>
    <row r="1539" spans="1:42" s="61" customFormat="1" ht="21" customHeight="1" x14ac:dyDescent="0.3">
      <c r="A1539" s="705" t="s">
        <v>270</v>
      </c>
      <c r="B1539" s="179" t="s">
        <v>293</v>
      </c>
      <c r="C1539" s="135">
        <v>8</v>
      </c>
      <c r="D1539" s="136"/>
      <c r="E1539" s="136"/>
      <c r="F1539" s="262"/>
      <c r="G1539" s="136"/>
      <c r="H1539" s="136">
        <v>1478</v>
      </c>
      <c r="I1539" s="326"/>
      <c r="J1539" s="136"/>
      <c r="K1539" s="136"/>
      <c r="L1539" s="262"/>
      <c r="M1539" s="136"/>
      <c r="N1539" s="326"/>
      <c r="O1539" s="136"/>
      <c r="P1539" s="136"/>
      <c r="Q1539" s="136">
        <v>81</v>
      </c>
      <c r="R1539" s="136"/>
      <c r="S1539" s="136"/>
      <c r="T1539" s="137"/>
      <c r="U1539" s="632"/>
      <c r="V1539" s="122"/>
      <c r="W1539" s="122"/>
      <c r="X1539" s="122">
        <v>3</v>
      </c>
      <c r="Y1539" s="122"/>
      <c r="Z1539" s="122">
        <v>1.8320000000000001</v>
      </c>
      <c r="AA1539" s="122"/>
      <c r="AB1539" s="122"/>
      <c r="AC1539" s="122"/>
      <c r="AD1539" s="122"/>
      <c r="AE1539" s="122"/>
      <c r="AF1539" s="122"/>
      <c r="AG1539" s="122"/>
      <c r="AH1539" s="122"/>
      <c r="AI1539" s="122" t="s">
        <v>482</v>
      </c>
      <c r="AJ1539" s="122"/>
      <c r="AK1539" s="122"/>
      <c r="AL1539" s="122"/>
      <c r="AM1539" s="639">
        <f t="shared" si="29"/>
        <v>1571.8320000000001</v>
      </c>
      <c r="AO1539" s="289"/>
    </row>
    <row r="1540" spans="1:42" s="61" customFormat="1" ht="19.5" customHeight="1" x14ac:dyDescent="0.3">
      <c r="A1540" s="706"/>
      <c r="B1540" s="116" t="s">
        <v>294</v>
      </c>
      <c r="C1540" s="138">
        <v>1</v>
      </c>
      <c r="D1540" s="109"/>
      <c r="E1540" s="109"/>
      <c r="F1540" s="263"/>
      <c r="G1540" s="109"/>
      <c r="H1540" s="109">
        <v>1476</v>
      </c>
      <c r="I1540" s="123"/>
      <c r="J1540" s="109"/>
      <c r="K1540" s="109"/>
      <c r="L1540" s="263"/>
      <c r="M1540" s="109"/>
      <c r="N1540" s="123"/>
      <c r="O1540" s="109"/>
      <c r="P1540" s="109"/>
      <c r="Q1540" s="109"/>
      <c r="R1540" s="109"/>
      <c r="S1540" s="109"/>
      <c r="T1540" s="139">
        <v>10.199999999999999</v>
      </c>
      <c r="U1540" s="138"/>
      <c r="V1540" s="109"/>
      <c r="W1540" s="109"/>
      <c r="X1540" s="109"/>
      <c r="Y1540" s="109"/>
      <c r="Z1540" s="109">
        <v>3.8824399999999999</v>
      </c>
      <c r="AA1540" s="109"/>
      <c r="AB1540" s="109"/>
      <c r="AC1540" s="109"/>
      <c r="AD1540" s="109"/>
      <c r="AE1540" s="109"/>
      <c r="AF1540" s="109"/>
      <c r="AG1540" s="109"/>
      <c r="AH1540" s="109"/>
      <c r="AI1540" s="109" t="s">
        <v>482</v>
      </c>
      <c r="AJ1540" s="109"/>
      <c r="AK1540" s="109">
        <v>86.77</v>
      </c>
      <c r="AL1540" s="109"/>
      <c r="AM1540" s="640">
        <f t="shared" si="29"/>
        <v>1577.8524400000001</v>
      </c>
      <c r="AO1540" s="289"/>
    </row>
    <row r="1541" spans="1:42" s="61" customFormat="1" ht="22.5" customHeight="1" x14ac:dyDescent="0.3">
      <c r="A1541" s="706"/>
      <c r="B1541" s="117" t="s">
        <v>326</v>
      </c>
      <c r="C1541" s="140">
        <v>584.38</v>
      </c>
      <c r="D1541" s="110"/>
      <c r="E1541" s="110"/>
      <c r="F1541" s="264"/>
      <c r="G1541" s="110"/>
      <c r="H1541" s="110">
        <v>623</v>
      </c>
      <c r="I1541" s="124"/>
      <c r="J1541" s="110"/>
      <c r="K1541" s="110"/>
      <c r="L1541" s="264"/>
      <c r="M1541" s="110"/>
      <c r="N1541" s="124"/>
      <c r="O1541" s="110"/>
      <c r="P1541" s="110"/>
      <c r="Q1541" s="110"/>
      <c r="R1541" s="110"/>
      <c r="S1541" s="110">
        <v>8278</v>
      </c>
      <c r="T1541" s="141"/>
      <c r="U1541" s="140"/>
      <c r="V1541" s="110"/>
      <c r="W1541" s="110"/>
      <c r="X1541" s="110">
        <v>3</v>
      </c>
      <c r="Y1541" s="110"/>
      <c r="Z1541" s="110">
        <v>3</v>
      </c>
      <c r="AA1541" s="110"/>
      <c r="AB1541" s="110"/>
      <c r="AC1541" s="110"/>
      <c r="AD1541" s="110"/>
      <c r="AE1541" s="110"/>
      <c r="AF1541" s="110"/>
      <c r="AG1541" s="110"/>
      <c r="AH1541" s="110"/>
      <c r="AI1541" s="110" t="s">
        <v>482</v>
      </c>
      <c r="AJ1541" s="110"/>
      <c r="AK1541" s="110"/>
      <c r="AL1541" s="110"/>
      <c r="AM1541" s="641">
        <f t="shared" si="29"/>
        <v>9491.380000000001</v>
      </c>
      <c r="AO1541" s="289"/>
      <c r="AP1541" s="97"/>
    </row>
    <row r="1542" spans="1:42" s="61" customFormat="1" ht="25.5" customHeight="1" x14ac:dyDescent="0.3">
      <c r="A1542" s="706"/>
      <c r="B1542" s="175" t="s">
        <v>327</v>
      </c>
      <c r="C1542" s="176">
        <v>2011.3409999999999</v>
      </c>
      <c r="D1542" s="127"/>
      <c r="E1542" s="127"/>
      <c r="F1542" s="265"/>
      <c r="G1542" s="127"/>
      <c r="H1542" s="127">
        <v>612</v>
      </c>
      <c r="I1542" s="178"/>
      <c r="J1542" s="127"/>
      <c r="K1542" s="127"/>
      <c r="L1542" s="265"/>
      <c r="M1542" s="127"/>
      <c r="N1542" s="178"/>
      <c r="O1542" s="127"/>
      <c r="P1542" s="127"/>
      <c r="Q1542" s="127"/>
      <c r="R1542" s="127"/>
      <c r="S1542" s="127">
        <v>7346</v>
      </c>
      <c r="T1542" s="177"/>
      <c r="U1542" s="176"/>
      <c r="V1542" s="127"/>
      <c r="W1542" s="127"/>
      <c r="X1542" s="127">
        <v>1</v>
      </c>
      <c r="Y1542" s="127"/>
      <c r="Z1542" s="127">
        <v>17</v>
      </c>
      <c r="AA1542" s="127"/>
      <c r="AB1542" s="127"/>
      <c r="AC1542" s="127"/>
      <c r="AD1542" s="127"/>
      <c r="AE1542" s="127"/>
      <c r="AF1542" s="127"/>
      <c r="AG1542" s="127"/>
      <c r="AH1542" s="127">
        <v>15</v>
      </c>
      <c r="AI1542" s="127" t="s">
        <v>482</v>
      </c>
      <c r="AJ1542" s="127"/>
      <c r="AK1542" s="127">
        <v>10</v>
      </c>
      <c r="AL1542" s="127"/>
      <c r="AM1542" s="642">
        <f t="shared" si="29"/>
        <v>10012.341</v>
      </c>
      <c r="AO1542" s="289"/>
    </row>
    <row r="1543" spans="1:42" s="61" customFormat="1" ht="25.5" customHeight="1" x14ac:dyDescent="0.3">
      <c r="A1543" s="706"/>
      <c r="B1543" s="180" t="s">
        <v>361</v>
      </c>
      <c r="C1543" s="300">
        <v>45</v>
      </c>
      <c r="D1543" s="173"/>
      <c r="E1543" s="173"/>
      <c r="F1543" s="266"/>
      <c r="G1543" s="173"/>
      <c r="H1543" s="173">
        <v>38</v>
      </c>
      <c r="I1543" s="174"/>
      <c r="J1543" s="173"/>
      <c r="K1543" s="173"/>
      <c r="L1543" s="266">
        <v>233</v>
      </c>
      <c r="M1543" s="173"/>
      <c r="N1543" s="174"/>
      <c r="O1543" s="173"/>
      <c r="P1543" s="173"/>
      <c r="Q1543" s="173"/>
      <c r="R1543" s="173"/>
      <c r="S1543" s="173">
        <v>4546</v>
      </c>
      <c r="T1543" s="327"/>
      <c r="U1543" s="300">
        <v>1.3420000000000001</v>
      </c>
      <c r="V1543" s="173"/>
      <c r="W1543" s="173"/>
      <c r="X1543" s="173">
        <v>2</v>
      </c>
      <c r="Y1543" s="173"/>
      <c r="Z1543" s="173">
        <v>10.7</v>
      </c>
      <c r="AA1543" s="173"/>
      <c r="AB1543" s="173"/>
      <c r="AC1543" s="173"/>
      <c r="AD1543" s="173"/>
      <c r="AE1543" s="173"/>
      <c r="AF1543" s="173"/>
      <c r="AG1543" s="173"/>
      <c r="AH1543" s="173">
        <v>15</v>
      </c>
      <c r="AI1543" s="173" t="s">
        <v>482</v>
      </c>
      <c r="AJ1543" s="173"/>
      <c r="AK1543" s="173"/>
      <c r="AL1543" s="173"/>
      <c r="AM1543" s="643">
        <f t="shared" si="29"/>
        <v>4891.0419999999995</v>
      </c>
      <c r="AO1543" s="289"/>
      <c r="AP1543" s="97"/>
    </row>
    <row r="1544" spans="1:42" s="61" customFormat="1" ht="25.5" customHeight="1" x14ac:dyDescent="0.3">
      <c r="A1544" s="706"/>
      <c r="B1544" s="180" t="s">
        <v>362</v>
      </c>
      <c r="C1544" s="300">
        <v>30</v>
      </c>
      <c r="D1544" s="173"/>
      <c r="E1544" s="173"/>
      <c r="F1544" s="266">
        <v>69</v>
      </c>
      <c r="G1544" s="173"/>
      <c r="H1544" s="173"/>
      <c r="I1544" s="174"/>
      <c r="J1544" s="173"/>
      <c r="K1544" s="173"/>
      <c r="L1544" s="266">
        <v>12</v>
      </c>
      <c r="M1544" s="173"/>
      <c r="N1544" s="174"/>
      <c r="O1544" s="173"/>
      <c r="P1544" s="173"/>
      <c r="Q1544" s="173"/>
      <c r="R1544" s="173"/>
      <c r="S1544" s="173">
        <v>2742</v>
      </c>
      <c r="T1544" s="327"/>
      <c r="U1544" s="300">
        <v>0.78800000000000003</v>
      </c>
      <c r="V1544" s="173"/>
      <c r="W1544" s="173"/>
      <c r="X1544" s="173">
        <v>1</v>
      </c>
      <c r="Y1544" s="173"/>
      <c r="Z1544" s="173">
        <v>10.7</v>
      </c>
      <c r="AA1544" s="173"/>
      <c r="AB1544" s="173">
        <v>5</v>
      </c>
      <c r="AC1544" s="173"/>
      <c r="AD1544" s="173"/>
      <c r="AE1544" s="173"/>
      <c r="AF1544" s="173"/>
      <c r="AG1544" s="173"/>
      <c r="AH1544" s="173"/>
      <c r="AI1544" s="173">
        <v>3</v>
      </c>
      <c r="AJ1544" s="173"/>
      <c r="AK1544" s="173"/>
      <c r="AL1544" s="173"/>
      <c r="AM1544" s="644">
        <f t="shared" si="29"/>
        <v>2873.4879999999998</v>
      </c>
      <c r="AO1544" s="289"/>
      <c r="AP1544" s="97"/>
    </row>
    <row r="1545" spans="1:42" s="61" customFormat="1" ht="22.5" customHeight="1" x14ac:dyDescent="0.3">
      <c r="A1545" s="706"/>
      <c r="B1545" s="115" t="s">
        <v>402</v>
      </c>
      <c r="C1545" s="142">
        <v>451.22852</v>
      </c>
      <c r="D1545" s="111"/>
      <c r="E1545" s="111"/>
      <c r="F1545" s="267"/>
      <c r="G1545" s="111"/>
      <c r="H1545" s="111"/>
      <c r="I1545" s="125"/>
      <c r="J1545" s="111"/>
      <c r="K1545" s="111"/>
      <c r="L1545" s="267"/>
      <c r="M1545" s="111"/>
      <c r="N1545" s="125"/>
      <c r="O1545" s="111"/>
      <c r="P1545" s="111"/>
      <c r="Q1545" s="111"/>
      <c r="R1545" s="111"/>
      <c r="S1545" s="111">
        <v>3630.1331519999999</v>
      </c>
      <c r="T1545" s="143"/>
      <c r="U1545" s="142"/>
      <c r="V1545" s="111"/>
      <c r="W1545" s="111"/>
      <c r="X1545" s="111"/>
      <c r="Y1545" s="111"/>
      <c r="Z1545" s="111"/>
      <c r="AA1545" s="111"/>
      <c r="AB1545" s="111">
        <v>5.2</v>
      </c>
      <c r="AC1545" s="111"/>
      <c r="AD1545" s="111"/>
      <c r="AE1545" s="111"/>
      <c r="AF1545" s="111"/>
      <c r="AG1545" s="111"/>
      <c r="AH1545" s="111" t="s">
        <v>482</v>
      </c>
      <c r="AI1545" s="111" t="s">
        <v>482</v>
      </c>
      <c r="AJ1545" s="111"/>
      <c r="AK1545" s="111"/>
      <c r="AL1545" s="111"/>
      <c r="AM1545" s="645">
        <f t="shared" si="29"/>
        <v>4086.5616719999998</v>
      </c>
      <c r="AO1545" s="289"/>
    </row>
    <row r="1546" spans="1:42" s="61" customFormat="1" ht="21" customHeight="1" x14ac:dyDescent="0.3">
      <c r="A1546" s="707"/>
      <c r="B1546" s="181" t="s">
        <v>403</v>
      </c>
      <c r="C1546" s="144">
        <v>276.27</v>
      </c>
      <c r="D1546" s="112"/>
      <c r="E1546" s="112"/>
      <c r="F1546" s="268"/>
      <c r="G1546" s="112"/>
      <c r="H1546" s="112"/>
      <c r="I1546" s="126"/>
      <c r="J1546" s="112"/>
      <c r="K1546" s="112"/>
      <c r="L1546" s="268"/>
      <c r="M1546" s="112"/>
      <c r="N1546" s="126"/>
      <c r="O1546" s="112"/>
      <c r="P1546" s="112"/>
      <c r="Q1546" s="112"/>
      <c r="R1546" s="112"/>
      <c r="S1546" s="112">
        <v>1832.368084</v>
      </c>
      <c r="T1546" s="145"/>
      <c r="U1546" s="144"/>
      <c r="V1546" s="112"/>
      <c r="W1546" s="112"/>
      <c r="X1546" s="112">
        <v>1</v>
      </c>
      <c r="Y1546" s="112"/>
      <c r="Z1546" s="112"/>
      <c r="AA1546" s="112">
        <v>127</v>
      </c>
      <c r="AB1546" s="112">
        <v>5.2</v>
      </c>
      <c r="AC1546" s="112"/>
      <c r="AD1546" s="112"/>
      <c r="AE1546" s="112"/>
      <c r="AF1546" s="112"/>
      <c r="AG1546" s="112"/>
      <c r="AH1546" s="112" t="s">
        <v>482</v>
      </c>
      <c r="AI1546" s="112" t="s">
        <v>482</v>
      </c>
      <c r="AJ1546" s="112"/>
      <c r="AK1546" s="112"/>
      <c r="AL1546" s="112"/>
      <c r="AM1546" s="646">
        <f t="shared" si="29"/>
        <v>2241.838084</v>
      </c>
      <c r="AO1546" s="289"/>
    </row>
    <row r="1547" spans="1:42" s="61" customFormat="1" ht="21" customHeight="1" x14ac:dyDescent="0.3">
      <c r="A1547" s="705" t="s">
        <v>271</v>
      </c>
      <c r="B1547" s="179" t="s">
        <v>293</v>
      </c>
      <c r="C1547" s="135">
        <v>9</v>
      </c>
      <c r="D1547" s="136"/>
      <c r="E1547" s="136"/>
      <c r="F1547" s="262">
        <v>221.60400000000001</v>
      </c>
      <c r="G1547" s="136">
        <v>27</v>
      </c>
      <c r="H1547" s="136"/>
      <c r="I1547" s="326"/>
      <c r="J1547" s="136"/>
      <c r="K1547" s="136"/>
      <c r="L1547" s="262"/>
      <c r="M1547" s="136"/>
      <c r="N1547" s="326"/>
      <c r="O1547" s="136"/>
      <c r="P1547" s="136"/>
      <c r="Q1547" s="136"/>
      <c r="R1547" s="136"/>
      <c r="S1547" s="136">
        <v>179.72</v>
      </c>
      <c r="T1547" s="137"/>
      <c r="U1547" s="632"/>
      <c r="V1547" s="122"/>
      <c r="W1547" s="122"/>
      <c r="X1547" s="122">
        <v>1</v>
      </c>
      <c r="Y1547" s="122">
        <v>5</v>
      </c>
      <c r="Z1547" s="122">
        <v>152</v>
      </c>
      <c r="AA1547" s="122"/>
      <c r="AB1547" s="122">
        <v>2</v>
      </c>
      <c r="AC1547" s="122">
        <v>3.851</v>
      </c>
      <c r="AD1547" s="122">
        <v>11</v>
      </c>
      <c r="AE1547" s="122"/>
      <c r="AF1547" s="122"/>
      <c r="AG1547" s="122">
        <v>1.6</v>
      </c>
      <c r="AH1547" s="122"/>
      <c r="AI1547" s="122" t="s">
        <v>482</v>
      </c>
      <c r="AJ1547" s="122"/>
      <c r="AK1547" s="122"/>
      <c r="AL1547" s="122"/>
      <c r="AM1547" s="639">
        <f t="shared" si="29"/>
        <v>613.77500000000009</v>
      </c>
      <c r="AO1547" s="289"/>
    </row>
    <row r="1548" spans="1:42" s="61" customFormat="1" ht="19.5" customHeight="1" x14ac:dyDescent="0.3">
      <c r="A1548" s="706"/>
      <c r="B1548" s="116" t="s">
        <v>294</v>
      </c>
      <c r="C1548" s="138">
        <v>5</v>
      </c>
      <c r="D1548" s="109"/>
      <c r="E1548" s="109"/>
      <c r="F1548" s="263"/>
      <c r="G1548" s="109">
        <v>22</v>
      </c>
      <c r="H1548" s="109"/>
      <c r="I1548" s="123"/>
      <c r="J1548" s="109"/>
      <c r="K1548" s="109"/>
      <c r="L1548" s="263"/>
      <c r="M1548" s="109"/>
      <c r="N1548" s="123"/>
      <c r="O1548" s="109"/>
      <c r="P1548" s="109"/>
      <c r="Q1548" s="109"/>
      <c r="R1548" s="109"/>
      <c r="S1548" s="109">
        <v>133.077</v>
      </c>
      <c r="T1548" s="139"/>
      <c r="U1548" s="138"/>
      <c r="V1548" s="109"/>
      <c r="W1548" s="109"/>
      <c r="X1548" s="109"/>
      <c r="Y1548" s="109">
        <v>5</v>
      </c>
      <c r="Z1548" s="109">
        <v>187</v>
      </c>
      <c r="AA1548" s="109"/>
      <c r="AB1548" s="109"/>
      <c r="AC1548" s="109">
        <v>1.6850000000000001</v>
      </c>
      <c r="AD1548" s="109"/>
      <c r="AE1548" s="109"/>
      <c r="AF1548" s="109"/>
      <c r="AG1548" s="109">
        <v>1.3</v>
      </c>
      <c r="AH1548" s="109"/>
      <c r="AI1548" s="109">
        <v>103</v>
      </c>
      <c r="AJ1548" s="109"/>
      <c r="AK1548" s="109"/>
      <c r="AL1548" s="109"/>
      <c r="AM1548" s="640">
        <f t="shared" si="29"/>
        <v>458.06200000000001</v>
      </c>
      <c r="AO1548" s="289"/>
    </row>
    <row r="1549" spans="1:42" s="61" customFormat="1" ht="22.5" customHeight="1" x14ac:dyDescent="0.3">
      <c r="A1549" s="706"/>
      <c r="B1549" s="117" t="s">
        <v>326</v>
      </c>
      <c r="C1549" s="140">
        <v>8.1880000000000006</v>
      </c>
      <c r="D1549" s="110"/>
      <c r="E1549" s="110"/>
      <c r="F1549" s="264"/>
      <c r="G1549" s="110">
        <v>115</v>
      </c>
      <c r="H1549" s="110"/>
      <c r="I1549" s="124"/>
      <c r="J1549" s="110"/>
      <c r="K1549" s="110"/>
      <c r="L1549" s="264"/>
      <c r="M1549" s="110"/>
      <c r="N1549" s="124"/>
      <c r="O1549" s="110"/>
      <c r="P1549" s="110">
        <v>121</v>
      </c>
      <c r="Q1549" s="110"/>
      <c r="R1549" s="110"/>
      <c r="S1549" s="110">
        <v>252</v>
      </c>
      <c r="T1549" s="141"/>
      <c r="U1549" s="140">
        <v>3.1659999999999999</v>
      </c>
      <c r="V1549" s="110"/>
      <c r="W1549" s="110">
        <v>278</v>
      </c>
      <c r="X1549" s="110">
        <v>1</v>
      </c>
      <c r="Y1549" s="110">
        <v>8</v>
      </c>
      <c r="Z1549" s="110">
        <v>198</v>
      </c>
      <c r="AA1549" s="110"/>
      <c r="AB1549" s="110">
        <v>4</v>
      </c>
      <c r="AC1549" s="110">
        <v>4.9260000000000002</v>
      </c>
      <c r="AD1549" s="110">
        <v>10</v>
      </c>
      <c r="AE1549" s="110"/>
      <c r="AF1549" s="110"/>
      <c r="AG1549" s="110"/>
      <c r="AH1549" s="110"/>
      <c r="AI1549" s="110">
        <v>80</v>
      </c>
      <c r="AJ1549" s="110"/>
      <c r="AK1549" s="110">
        <v>110</v>
      </c>
      <c r="AL1549" s="110"/>
      <c r="AM1549" s="641">
        <f t="shared" si="29"/>
        <v>1193.2800000000002</v>
      </c>
      <c r="AO1549" s="289"/>
      <c r="AP1549" s="97"/>
    </row>
    <row r="1550" spans="1:42" s="61" customFormat="1" ht="25.5" customHeight="1" x14ac:dyDescent="0.3">
      <c r="A1550" s="706"/>
      <c r="B1550" s="175" t="s">
        <v>327</v>
      </c>
      <c r="C1550" s="176">
        <v>41.186</v>
      </c>
      <c r="D1550" s="127"/>
      <c r="E1550" s="127"/>
      <c r="F1550" s="265">
        <v>555</v>
      </c>
      <c r="G1550" s="127">
        <v>144</v>
      </c>
      <c r="H1550" s="127">
        <v>3</v>
      </c>
      <c r="I1550" s="178"/>
      <c r="J1550" s="127"/>
      <c r="K1550" s="127"/>
      <c r="L1550" s="265"/>
      <c r="M1550" s="127"/>
      <c r="N1550" s="178"/>
      <c r="O1550" s="127"/>
      <c r="P1550" s="127"/>
      <c r="Q1550" s="127"/>
      <c r="R1550" s="127"/>
      <c r="S1550" s="127">
        <v>347</v>
      </c>
      <c r="T1550" s="177"/>
      <c r="U1550" s="176">
        <v>0.97599999999999998</v>
      </c>
      <c r="V1550" s="127"/>
      <c r="W1550" s="127">
        <f>316-278</f>
        <v>38</v>
      </c>
      <c r="X1550" s="127">
        <v>1</v>
      </c>
      <c r="Y1550" s="127">
        <v>4</v>
      </c>
      <c r="Z1550" s="127">
        <v>126</v>
      </c>
      <c r="AA1550" s="127"/>
      <c r="AB1550" s="127">
        <v>2</v>
      </c>
      <c r="AC1550" s="127">
        <v>2.4779999999999998</v>
      </c>
      <c r="AD1550" s="127">
        <v>10</v>
      </c>
      <c r="AE1550" s="127"/>
      <c r="AF1550" s="127"/>
      <c r="AG1550" s="127"/>
      <c r="AH1550" s="127"/>
      <c r="AI1550" s="127">
        <v>329</v>
      </c>
      <c r="AJ1550" s="127"/>
      <c r="AK1550" s="127"/>
      <c r="AL1550" s="127"/>
      <c r="AM1550" s="642">
        <f t="shared" si="29"/>
        <v>1603.6400000000003</v>
      </c>
      <c r="AO1550" s="289"/>
    </row>
    <row r="1551" spans="1:42" s="61" customFormat="1" ht="25.5" customHeight="1" x14ac:dyDescent="0.3">
      <c r="A1551" s="706"/>
      <c r="B1551" s="180" t="s">
        <v>361</v>
      </c>
      <c r="C1551" s="300">
        <v>3</v>
      </c>
      <c r="D1551" s="173"/>
      <c r="E1551" s="173"/>
      <c r="F1551" s="266"/>
      <c r="G1551" s="173">
        <f>24+51</f>
        <v>75</v>
      </c>
      <c r="H1551" s="173"/>
      <c r="I1551" s="174"/>
      <c r="J1551" s="173"/>
      <c r="K1551" s="173"/>
      <c r="L1551" s="266"/>
      <c r="M1551" s="173"/>
      <c r="N1551" s="174"/>
      <c r="O1551" s="173"/>
      <c r="P1551" s="173"/>
      <c r="Q1551" s="173"/>
      <c r="R1551" s="173"/>
      <c r="S1551" s="173">
        <v>452</v>
      </c>
      <c r="T1551" s="327"/>
      <c r="U1551" s="300"/>
      <c r="V1551" s="173"/>
      <c r="W1551" s="173">
        <v>38</v>
      </c>
      <c r="X1551" s="173">
        <v>1</v>
      </c>
      <c r="Y1551" s="173"/>
      <c r="Z1551" s="173">
        <v>155.58584999999999</v>
      </c>
      <c r="AA1551" s="173"/>
      <c r="AB1551" s="173"/>
      <c r="AC1551" s="173">
        <f>1.6+1.1</f>
        <v>2.7</v>
      </c>
      <c r="AD1551" s="173">
        <v>9</v>
      </c>
      <c r="AE1551" s="173"/>
      <c r="AF1551" s="173"/>
      <c r="AG1551" s="173"/>
      <c r="AH1551" s="173"/>
      <c r="AI1551" s="173">
        <v>32</v>
      </c>
      <c r="AJ1551" s="173"/>
      <c r="AK1551" s="173"/>
      <c r="AL1551" s="173"/>
      <c r="AM1551" s="643">
        <f t="shared" si="29"/>
        <v>768.28584999999998</v>
      </c>
      <c r="AO1551" s="289"/>
      <c r="AP1551" s="97"/>
    </row>
    <row r="1552" spans="1:42" s="61" customFormat="1" ht="25.5" customHeight="1" x14ac:dyDescent="0.3">
      <c r="A1552" s="706"/>
      <c r="B1552" s="180" t="s">
        <v>362</v>
      </c>
      <c r="C1552" s="300">
        <v>3</v>
      </c>
      <c r="D1552" s="173"/>
      <c r="E1552" s="173"/>
      <c r="F1552" s="266"/>
      <c r="G1552" s="173">
        <v>25</v>
      </c>
      <c r="H1552" s="173">
        <f>6+2</f>
        <v>8</v>
      </c>
      <c r="I1552" s="174"/>
      <c r="J1552" s="173"/>
      <c r="K1552" s="173"/>
      <c r="L1552" s="266"/>
      <c r="M1552" s="173"/>
      <c r="N1552" s="174"/>
      <c r="O1552" s="173"/>
      <c r="P1552" s="173"/>
      <c r="Q1552" s="173"/>
      <c r="R1552" s="173"/>
      <c r="S1552" s="173">
        <v>387</v>
      </c>
      <c r="T1552" s="327"/>
      <c r="U1552" s="300"/>
      <c r="V1552" s="173"/>
      <c r="W1552" s="173"/>
      <c r="X1552" s="173">
        <v>1</v>
      </c>
      <c r="Y1552" s="173"/>
      <c r="Z1552" s="173">
        <v>155.39385000000001</v>
      </c>
      <c r="AA1552" s="173"/>
      <c r="AB1552" s="173">
        <v>2</v>
      </c>
      <c r="AC1552" s="173">
        <v>1</v>
      </c>
      <c r="AD1552" s="173">
        <v>10</v>
      </c>
      <c r="AE1552" s="173"/>
      <c r="AF1552" s="173"/>
      <c r="AG1552" s="173"/>
      <c r="AH1552" s="173">
        <v>100</v>
      </c>
      <c r="AI1552" s="173">
        <v>272</v>
      </c>
      <c r="AJ1552" s="173"/>
      <c r="AK1552" s="173"/>
      <c r="AL1552" s="173"/>
      <c r="AM1552" s="644">
        <f t="shared" si="29"/>
        <v>964.39385000000004</v>
      </c>
      <c r="AO1552" s="289"/>
      <c r="AP1552" s="97"/>
    </row>
    <row r="1553" spans="1:42" s="61" customFormat="1" ht="22.5" customHeight="1" x14ac:dyDescent="0.3">
      <c r="A1553" s="706"/>
      <c r="B1553" s="115" t="s">
        <v>402</v>
      </c>
      <c r="C1553" s="142">
        <v>120.06084</v>
      </c>
      <c r="D1553" s="111"/>
      <c r="E1553" s="111"/>
      <c r="F1553" s="267">
        <v>-16.100000000000001</v>
      </c>
      <c r="G1553" s="111"/>
      <c r="H1553" s="111">
        <v>6</v>
      </c>
      <c r="I1553" s="125"/>
      <c r="J1553" s="111"/>
      <c r="K1553" s="111"/>
      <c r="L1553" s="267"/>
      <c r="M1553" s="111"/>
      <c r="N1553" s="125"/>
      <c r="O1553" s="111"/>
      <c r="P1553" s="111"/>
      <c r="Q1553" s="111"/>
      <c r="R1553" s="111"/>
      <c r="S1553" s="111">
        <v>785</v>
      </c>
      <c r="T1553" s="143"/>
      <c r="U1553" s="142">
        <v>2.109</v>
      </c>
      <c r="V1553" s="111"/>
      <c r="W1553" s="111"/>
      <c r="X1553" s="111">
        <v>1</v>
      </c>
      <c r="Y1553" s="111"/>
      <c r="Z1553" s="111">
        <v>120</v>
      </c>
      <c r="AA1553" s="111"/>
      <c r="AB1553" s="111"/>
      <c r="AC1553" s="111">
        <v>2</v>
      </c>
      <c r="AD1553" s="111">
        <v>10</v>
      </c>
      <c r="AE1553" s="111"/>
      <c r="AF1553" s="111"/>
      <c r="AG1553" s="111"/>
      <c r="AH1553" s="111" t="s">
        <v>482</v>
      </c>
      <c r="AI1553" s="111">
        <v>70</v>
      </c>
      <c r="AJ1553" s="111"/>
      <c r="AK1553" s="111"/>
      <c r="AL1553" s="111"/>
      <c r="AM1553" s="645">
        <f t="shared" si="29"/>
        <v>1100.0698400000001</v>
      </c>
      <c r="AO1553" s="289"/>
    </row>
    <row r="1554" spans="1:42" s="61" customFormat="1" ht="21" customHeight="1" x14ac:dyDescent="0.3">
      <c r="A1554" s="707"/>
      <c r="B1554" s="181" t="s">
        <v>403</v>
      </c>
      <c r="C1554" s="144">
        <v>96.301429999999996</v>
      </c>
      <c r="D1554" s="112"/>
      <c r="E1554" s="112"/>
      <c r="F1554" s="268"/>
      <c r="G1554" s="112">
        <v>87</v>
      </c>
      <c r="H1554" s="112"/>
      <c r="I1554" s="126"/>
      <c r="J1554" s="112"/>
      <c r="K1554" s="112"/>
      <c r="L1554" s="268"/>
      <c r="M1554" s="112"/>
      <c r="N1554" s="126"/>
      <c r="O1554" s="112"/>
      <c r="P1554" s="112"/>
      <c r="Q1554" s="112"/>
      <c r="R1554" s="112"/>
      <c r="S1554" s="112">
        <v>274.27808199999998</v>
      </c>
      <c r="T1554" s="145"/>
      <c r="U1554" s="144">
        <v>4.79</v>
      </c>
      <c r="V1554" s="112"/>
      <c r="W1554" s="112"/>
      <c r="X1554" s="112">
        <v>1</v>
      </c>
      <c r="Y1554" s="112"/>
      <c r="Z1554" s="112">
        <v>110</v>
      </c>
      <c r="AA1554" s="112"/>
      <c r="AB1554" s="112">
        <v>1.4</v>
      </c>
      <c r="AC1554" s="112">
        <v>1</v>
      </c>
      <c r="AD1554" s="112">
        <v>9</v>
      </c>
      <c r="AE1554" s="112"/>
      <c r="AF1554" s="112"/>
      <c r="AG1554" s="112"/>
      <c r="AH1554" s="112" t="s">
        <v>482</v>
      </c>
      <c r="AI1554" s="112">
        <v>71</v>
      </c>
      <c r="AJ1554" s="112"/>
      <c r="AK1554" s="112"/>
      <c r="AL1554" s="112"/>
      <c r="AM1554" s="646">
        <f t="shared" si="29"/>
        <v>655.76951199999996</v>
      </c>
      <c r="AO1554" s="289"/>
    </row>
    <row r="1555" spans="1:42" s="61" customFormat="1" ht="21" customHeight="1" x14ac:dyDescent="0.3">
      <c r="A1555" s="705" t="s">
        <v>272</v>
      </c>
      <c r="B1555" s="179" t="s">
        <v>293</v>
      </c>
      <c r="C1555" s="135">
        <v>108.45</v>
      </c>
      <c r="D1555" s="136"/>
      <c r="E1555" s="136"/>
      <c r="F1555" s="262">
        <v>-81.534999999999997</v>
      </c>
      <c r="G1555" s="136">
        <v>316</v>
      </c>
      <c r="H1555" s="136"/>
      <c r="I1555" s="326"/>
      <c r="J1555" s="136"/>
      <c r="K1555" s="136"/>
      <c r="L1555" s="262"/>
      <c r="M1555" s="136"/>
      <c r="N1555" s="326"/>
      <c r="O1555" s="136"/>
      <c r="P1555" s="136">
        <v>56</v>
      </c>
      <c r="Q1555" s="136"/>
      <c r="R1555" s="136"/>
      <c r="S1555" s="136"/>
      <c r="T1555" s="137">
        <v>100</v>
      </c>
      <c r="U1555" s="632">
        <v>65.923000000000002</v>
      </c>
      <c r="V1555" s="122"/>
      <c r="W1555" s="122"/>
      <c r="X1555" s="122"/>
      <c r="Y1555" s="122">
        <v>150</v>
      </c>
      <c r="Z1555" s="122">
        <v>474</v>
      </c>
      <c r="AA1555" s="122">
        <v>224.63706999999999</v>
      </c>
      <c r="AB1555" s="122"/>
      <c r="AC1555" s="122">
        <v>250</v>
      </c>
      <c r="AD1555" s="122">
        <v>400</v>
      </c>
      <c r="AE1555" s="122"/>
      <c r="AF1555" s="122"/>
      <c r="AG1555" s="122"/>
      <c r="AH1555" s="122"/>
      <c r="AI1555" s="122">
        <v>5</v>
      </c>
      <c r="AJ1555" s="122"/>
      <c r="AK1555" s="122"/>
      <c r="AL1555" s="122"/>
      <c r="AM1555" s="639">
        <f t="shared" si="29"/>
        <v>2068.47507</v>
      </c>
      <c r="AO1555" s="289"/>
    </row>
    <row r="1556" spans="1:42" s="61" customFormat="1" ht="19.5" customHeight="1" x14ac:dyDescent="0.3">
      <c r="A1556" s="706"/>
      <c r="B1556" s="116" t="s">
        <v>294</v>
      </c>
      <c r="C1556" s="138">
        <v>503.88</v>
      </c>
      <c r="D1556" s="109"/>
      <c r="E1556" s="109"/>
      <c r="F1556" s="263">
        <v>83.468000000000004</v>
      </c>
      <c r="G1556" s="109">
        <v>319</v>
      </c>
      <c r="H1556" s="109">
        <v>18</v>
      </c>
      <c r="I1556" s="123"/>
      <c r="J1556" s="109"/>
      <c r="K1556" s="109"/>
      <c r="L1556" s="263"/>
      <c r="M1556" s="109"/>
      <c r="N1556" s="123"/>
      <c r="O1556" s="109"/>
      <c r="P1556" s="109"/>
      <c r="Q1556" s="109"/>
      <c r="R1556" s="109"/>
      <c r="S1556" s="109"/>
      <c r="T1556" s="139">
        <v>100</v>
      </c>
      <c r="U1556" s="138">
        <v>65.748000000000005</v>
      </c>
      <c r="V1556" s="109"/>
      <c r="W1556" s="109"/>
      <c r="X1556" s="109"/>
      <c r="Y1556" s="109">
        <v>250</v>
      </c>
      <c r="Z1556" s="109">
        <v>955</v>
      </c>
      <c r="AA1556" s="109">
        <v>120.79838000000001</v>
      </c>
      <c r="AB1556" s="109"/>
      <c r="AC1556" s="109">
        <v>500</v>
      </c>
      <c r="AD1556" s="109">
        <v>200</v>
      </c>
      <c r="AE1556" s="109"/>
      <c r="AF1556" s="109"/>
      <c r="AG1556" s="109"/>
      <c r="AH1556" s="109"/>
      <c r="AI1556" s="109">
        <v>5</v>
      </c>
      <c r="AJ1556" s="109"/>
      <c r="AK1556" s="109"/>
      <c r="AL1556" s="109"/>
      <c r="AM1556" s="640">
        <f t="shared" si="29"/>
        <v>3120.8943800000002</v>
      </c>
      <c r="AO1556" s="289"/>
    </row>
    <row r="1557" spans="1:42" s="61" customFormat="1" ht="22.5" customHeight="1" x14ac:dyDescent="0.3">
      <c r="A1557" s="706"/>
      <c r="B1557" s="117" t="s">
        <v>326</v>
      </c>
      <c r="C1557" s="140">
        <v>122.124</v>
      </c>
      <c r="D1557" s="110"/>
      <c r="E1557" s="110"/>
      <c r="F1557" s="264">
        <v>2</v>
      </c>
      <c r="G1557" s="110">
        <v>317</v>
      </c>
      <c r="H1557" s="110"/>
      <c r="I1557" s="124"/>
      <c r="J1557" s="110"/>
      <c r="K1557" s="110"/>
      <c r="L1557" s="264"/>
      <c r="M1557" s="110"/>
      <c r="N1557" s="124"/>
      <c r="O1557" s="110"/>
      <c r="P1557" s="110"/>
      <c r="Q1557" s="110"/>
      <c r="R1557" s="110"/>
      <c r="S1557" s="110">
        <v>2423</v>
      </c>
      <c r="T1557" s="141"/>
      <c r="U1557" s="140">
        <v>11.407</v>
      </c>
      <c r="V1557" s="110"/>
      <c r="W1557" s="110"/>
      <c r="X1557" s="110"/>
      <c r="Y1557" s="110"/>
      <c r="Z1557" s="110">
        <v>1136</v>
      </c>
      <c r="AA1557" s="110">
        <v>1551.98</v>
      </c>
      <c r="AB1557" s="110">
        <v>3</v>
      </c>
      <c r="AC1557" s="110">
        <v>1100</v>
      </c>
      <c r="AD1557" s="110"/>
      <c r="AE1557" s="110"/>
      <c r="AF1557" s="110"/>
      <c r="AG1557" s="110"/>
      <c r="AH1557" s="110"/>
      <c r="AI1557" s="110" t="s">
        <v>482</v>
      </c>
      <c r="AJ1557" s="110"/>
      <c r="AK1557" s="110"/>
      <c r="AL1557" s="110"/>
      <c r="AM1557" s="641">
        <f t="shared" si="29"/>
        <v>6666.5110000000004</v>
      </c>
      <c r="AO1557" s="289"/>
      <c r="AP1557" s="97"/>
    </row>
    <row r="1558" spans="1:42" s="61" customFormat="1" ht="25.5" customHeight="1" x14ac:dyDescent="0.3">
      <c r="A1558" s="706"/>
      <c r="B1558" s="175" t="s">
        <v>327</v>
      </c>
      <c r="C1558" s="176">
        <v>813.79399999999998</v>
      </c>
      <c r="D1558" s="127"/>
      <c r="E1558" s="127"/>
      <c r="F1558" s="265"/>
      <c r="G1558" s="127">
        <v>278</v>
      </c>
      <c r="H1558" s="127">
        <f>6+2</f>
        <v>8</v>
      </c>
      <c r="I1558" s="178"/>
      <c r="J1558" s="127"/>
      <c r="K1558" s="127"/>
      <c r="L1558" s="265"/>
      <c r="M1558" s="127"/>
      <c r="N1558" s="178">
        <v>100</v>
      </c>
      <c r="O1558" s="127"/>
      <c r="P1558" s="127"/>
      <c r="Q1558" s="127"/>
      <c r="R1558" s="127"/>
      <c r="S1558" s="127">
        <v>9605</v>
      </c>
      <c r="T1558" s="177"/>
      <c r="U1558" s="176">
        <v>11.407</v>
      </c>
      <c r="V1558" s="127"/>
      <c r="W1558" s="127"/>
      <c r="X1558" s="127">
        <v>40</v>
      </c>
      <c r="Y1558" s="127">
        <v>1100</v>
      </c>
      <c r="Z1558" s="127">
        <v>2375</v>
      </c>
      <c r="AA1558" s="127">
        <v>10433.955</v>
      </c>
      <c r="AB1558" s="127"/>
      <c r="AC1558" s="127">
        <v>-100</v>
      </c>
      <c r="AD1558" s="127">
        <v>400</v>
      </c>
      <c r="AE1558" s="127"/>
      <c r="AF1558" s="127"/>
      <c r="AG1558" s="127"/>
      <c r="AH1558" s="127">
        <v>3050</v>
      </c>
      <c r="AI1558" s="127">
        <v>1019</v>
      </c>
      <c r="AJ1558" s="127"/>
      <c r="AK1558" s="127"/>
      <c r="AL1558" s="127"/>
      <c r="AM1558" s="642">
        <f t="shared" si="29"/>
        <v>29134.155999999999</v>
      </c>
      <c r="AO1558" s="289"/>
    </row>
    <row r="1559" spans="1:42" s="61" customFormat="1" ht="25.5" customHeight="1" x14ac:dyDescent="0.3">
      <c r="A1559" s="706"/>
      <c r="B1559" s="180" t="s">
        <v>361</v>
      </c>
      <c r="C1559" s="300">
        <v>1991.53557</v>
      </c>
      <c r="D1559" s="173"/>
      <c r="E1559" s="173"/>
      <c r="F1559" s="266">
        <v>20</v>
      </c>
      <c r="G1559" s="173">
        <f>282+5</f>
        <v>287</v>
      </c>
      <c r="H1559" s="173"/>
      <c r="I1559" s="174"/>
      <c r="J1559" s="173"/>
      <c r="K1559" s="173"/>
      <c r="L1559" s="266"/>
      <c r="M1559" s="173"/>
      <c r="N1559" s="174">
        <v>25</v>
      </c>
      <c r="O1559" s="173"/>
      <c r="P1559" s="173"/>
      <c r="Q1559" s="173"/>
      <c r="R1559" s="173"/>
      <c r="S1559" s="173">
        <v>5384</v>
      </c>
      <c r="T1559" s="327"/>
      <c r="U1559" s="300">
        <v>5.875</v>
      </c>
      <c r="V1559" s="173"/>
      <c r="W1559" s="173"/>
      <c r="X1559" s="173"/>
      <c r="Y1559" s="173">
        <v>200</v>
      </c>
      <c r="Z1559" s="173">
        <v>1294.41947</v>
      </c>
      <c r="AA1559" s="173">
        <v>588</v>
      </c>
      <c r="AB1559" s="173"/>
      <c r="AC1559" s="173">
        <f>500+50</f>
        <v>550</v>
      </c>
      <c r="AD1559" s="173">
        <v>1752</v>
      </c>
      <c r="AE1559" s="173"/>
      <c r="AF1559" s="173"/>
      <c r="AG1559" s="173"/>
      <c r="AH1559" s="173">
        <v>1200</v>
      </c>
      <c r="AI1559" s="173">
        <v>5</v>
      </c>
      <c r="AJ1559" s="173"/>
      <c r="AK1559" s="173"/>
      <c r="AL1559" s="173"/>
      <c r="AM1559" s="643">
        <f t="shared" si="29"/>
        <v>13302.830040000001</v>
      </c>
      <c r="AO1559" s="289"/>
      <c r="AP1559" s="97"/>
    </row>
    <row r="1560" spans="1:42" s="61" customFormat="1" ht="25.5" customHeight="1" x14ac:dyDescent="0.3">
      <c r="A1560" s="706"/>
      <c r="B1560" s="180" t="s">
        <v>362</v>
      </c>
      <c r="C1560" s="300">
        <v>3002.40443</v>
      </c>
      <c r="D1560" s="173"/>
      <c r="E1560" s="173"/>
      <c r="F1560" s="266">
        <v>2000</v>
      </c>
      <c r="G1560" s="173">
        <v>287</v>
      </c>
      <c r="H1560" s="173"/>
      <c r="I1560" s="174"/>
      <c r="J1560" s="173"/>
      <c r="K1560" s="173"/>
      <c r="L1560" s="266"/>
      <c r="M1560" s="173"/>
      <c r="N1560" s="174"/>
      <c r="O1560" s="173"/>
      <c r="P1560" s="173"/>
      <c r="Q1560" s="173"/>
      <c r="R1560" s="173"/>
      <c r="S1560" s="173">
        <v>6172</v>
      </c>
      <c r="T1560" s="327"/>
      <c r="U1560" s="300">
        <v>34.771000000000001</v>
      </c>
      <c r="V1560" s="173">
        <f>5000/1000</f>
        <v>5</v>
      </c>
      <c r="W1560" s="173"/>
      <c r="X1560" s="173">
        <v>100</v>
      </c>
      <c r="Y1560" s="173">
        <v>3200</v>
      </c>
      <c r="Z1560" s="173">
        <v>1821.91788</v>
      </c>
      <c r="AA1560" s="173">
        <f>288.44+11840</f>
        <v>12128.44</v>
      </c>
      <c r="AB1560" s="173"/>
      <c r="AC1560" s="173">
        <f>1350-500+200</f>
        <v>1050</v>
      </c>
      <c r="AD1560" s="173">
        <v>1901</v>
      </c>
      <c r="AE1560" s="173"/>
      <c r="AF1560" s="173"/>
      <c r="AG1560" s="173"/>
      <c r="AH1560" s="173">
        <v>3050</v>
      </c>
      <c r="AI1560" s="173">
        <v>352</v>
      </c>
      <c r="AJ1560" s="173"/>
      <c r="AK1560" s="173"/>
      <c r="AL1560" s="173">
        <v>53.571428571428562</v>
      </c>
      <c r="AM1560" s="644">
        <f t="shared" si="29"/>
        <v>35158.104738571426</v>
      </c>
      <c r="AO1560" s="289"/>
      <c r="AP1560" s="97"/>
    </row>
    <row r="1561" spans="1:42" s="61" customFormat="1" ht="22.5" customHeight="1" x14ac:dyDescent="0.3">
      <c r="A1561" s="706"/>
      <c r="B1561" s="115" t="s">
        <v>402</v>
      </c>
      <c r="C1561" s="142">
        <v>2075.9803499999998</v>
      </c>
      <c r="D1561" s="111"/>
      <c r="E1561" s="111">
        <v>6</v>
      </c>
      <c r="F1561" s="267">
        <v>2000</v>
      </c>
      <c r="G1561" s="111"/>
      <c r="H1561" s="111"/>
      <c r="I1561" s="125"/>
      <c r="J1561" s="111"/>
      <c r="K1561" s="111"/>
      <c r="L1561" s="267"/>
      <c r="M1561" s="111"/>
      <c r="N1561" s="125"/>
      <c r="O1561" s="111"/>
      <c r="P1561" s="111"/>
      <c r="Q1561" s="111"/>
      <c r="R1561" s="111"/>
      <c r="S1561" s="111">
        <v>15464.236813</v>
      </c>
      <c r="T1561" s="143"/>
      <c r="U1561" s="142">
        <v>126.179</v>
      </c>
      <c r="V1561" s="111"/>
      <c r="W1561" s="111"/>
      <c r="X1561" s="111"/>
      <c r="Y1561" s="111">
        <v>450</v>
      </c>
      <c r="Z1561" s="111">
        <v>1746</v>
      </c>
      <c r="AA1561" s="111">
        <v>-81</v>
      </c>
      <c r="AB1561" s="111">
        <v>120</v>
      </c>
      <c r="AC1561" s="111">
        <v>600</v>
      </c>
      <c r="AD1561" s="111">
        <v>750</v>
      </c>
      <c r="AE1561" s="111"/>
      <c r="AF1561" s="111"/>
      <c r="AG1561" s="111"/>
      <c r="AH1561" s="111">
        <v>4100</v>
      </c>
      <c r="AI1561" s="111">
        <v>140</v>
      </c>
      <c r="AJ1561" s="111"/>
      <c r="AK1561" s="111"/>
      <c r="AL1561" s="111">
        <v>44.642857142857139</v>
      </c>
      <c r="AM1561" s="645">
        <f t="shared" si="29"/>
        <v>27542.03902014286</v>
      </c>
      <c r="AO1561" s="289"/>
    </row>
    <row r="1562" spans="1:42" s="61" customFormat="1" ht="21" customHeight="1" x14ac:dyDescent="0.3">
      <c r="A1562" s="707"/>
      <c r="B1562" s="181" t="s">
        <v>403</v>
      </c>
      <c r="C1562" s="144">
        <v>2584.2237599999999</v>
      </c>
      <c r="D1562" s="112"/>
      <c r="E1562" s="112">
        <v>6</v>
      </c>
      <c r="F1562" s="268">
        <v>1918.3</v>
      </c>
      <c r="G1562" s="112">
        <v>90</v>
      </c>
      <c r="H1562" s="112"/>
      <c r="I1562" s="126"/>
      <c r="J1562" s="112"/>
      <c r="K1562" s="112">
        <v>100</v>
      </c>
      <c r="L1562" s="268">
        <v>100</v>
      </c>
      <c r="M1562" s="112"/>
      <c r="N1562" s="126"/>
      <c r="O1562" s="112"/>
      <c r="P1562" s="112"/>
      <c r="Q1562" s="112"/>
      <c r="R1562" s="112"/>
      <c r="S1562" s="112">
        <v>17588.502352000003</v>
      </c>
      <c r="T1562" s="145"/>
      <c r="U1562" s="144">
        <v>24.042000000000002</v>
      </c>
      <c r="V1562" s="112"/>
      <c r="W1562" s="112"/>
      <c r="X1562" s="112"/>
      <c r="Y1562" s="112">
        <v>400</v>
      </c>
      <c r="Z1562" s="112">
        <v>1191</v>
      </c>
      <c r="AA1562" s="112">
        <v>3413</v>
      </c>
      <c r="AB1562" s="112">
        <v>30</v>
      </c>
      <c r="AC1562" s="112">
        <v>690</v>
      </c>
      <c r="AD1562" s="112">
        <v>1078</v>
      </c>
      <c r="AE1562" s="112"/>
      <c r="AF1562" s="112"/>
      <c r="AG1562" s="112"/>
      <c r="AH1562" s="112">
        <v>2432.087</v>
      </c>
      <c r="AI1562" s="112">
        <v>140</v>
      </c>
      <c r="AJ1562" s="112"/>
      <c r="AK1562" s="112">
        <f>1.5825/1.001</f>
        <v>1.5809190809190812</v>
      </c>
      <c r="AL1562" s="112">
        <v>0</v>
      </c>
      <c r="AM1562" s="646">
        <f t="shared" si="29"/>
        <v>31786.736031080924</v>
      </c>
      <c r="AO1562" s="289"/>
    </row>
    <row r="1563" spans="1:42" s="61" customFormat="1" ht="21" customHeight="1" x14ac:dyDescent="0.3">
      <c r="A1563" s="705" t="s">
        <v>273</v>
      </c>
      <c r="B1563" s="179" t="s">
        <v>293</v>
      </c>
      <c r="C1563" s="135"/>
      <c r="D1563" s="136"/>
      <c r="E1563" s="136"/>
      <c r="F1563" s="262"/>
      <c r="G1563" s="136"/>
      <c r="H1563" s="136"/>
      <c r="I1563" s="326"/>
      <c r="J1563" s="136"/>
      <c r="K1563" s="136"/>
      <c r="L1563" s="262"/>
      <c r="M1563" s="136"/>
      <c r="N1563" s="326"/>
      <c r="O1563" s="136"/>
      <c r="P1563" s="136"/>
      <c r="Q1563" s="136"/>
      <c r="R1563" s="136"/>
      <c r="S1563" s="136">
        <v>2.5</v>
      </c>
      <c r="T1563" s="137"/>
      <c r="U1563" s="632"/>
      <c r="V1563" s="122"/>
      <c r="W1563" s="122"/>
      <c r="X1563" s="122"/>
      <c r="Y1563" s="122"/>
      <c r="Z1563" s="122"/>
      <c r="AA1563" s="122"/>
      <c r="AB1563" s="122"/>
      <c r="AC1563" s="122"/>
      <c r="AD1563" s="122"/>
      <c r="AE1563" s="122"/>
      <c r="AF1563" s="122"/>
      <c r="AG1563" s="122"/>
      <c r="AH1563" s="122"/>
      <c r="AI1563" s="122" t="s">
        <v>482</v>
      </c>
      <c r="AJ1563" s="122"/>
      <c r="AK1563" s="122"/>
      <c r="AL1563" s="122"/>
      <c r="AM1563" s="639">
        <f t="shared" si="29"/>
        <v>2.5</v>
      </c>
      <c r="AO1563" s="289"/>
    </row>
    <row r="1564" spans="1:42" s="61" customFormat="1" ht="19.5" customHeight="1" x14ac:dyDescent="0.3">
      <c r="A1564" s="706"/>
      <c r="B1564" s="116" t="s">
        <v>294</v>
      </c>
      <c r="C1564" s="138"/>
      <c r="D1564" s="109"/>
      <c r="E1564" s="109"/>
      <c r="F1564" s="263"/>
      <c r="G1564" s="109"/>
      <c r="H1564" s="109"/>
      <c r="I1564" s="123"/>
      <c r="J1564" s="109"/>
      <c r="K1564" s="109"/>
      <c r="L1564" s="263"/>
      <c r="M1564" s="109"/>
      <c r="N1564" s="123"/>
      <c r="O1564" s="109"/>
      <c r="P1564" s="109"/>
      <c r="Q1564" s="109"/>
      <c r="R1564" s="109"/>
      <c r="S1564" s="109"/>
      <c r="T1564" s="139"/>
      <c r="U1564" s="138"/>
      <c r="V1564" s="109"/>
      <c r="W1564" s="109"/>
      <c r="X1564" s="109"/>
      <c r="Y1564" s="109"/>
      <c r="Z1564" s="109"/>
      <c r="AA1564" s="109"/>
      <c r="AB1564" s="109"/>
      <c r="AC1564" s="109"/>
      <c r="AD1564" s="109"/>
      <c r="AE1564" s="109"/>
      <c r="AF1564" s="109"/>
      <c r="AG1564" s="109"/>
      <c r="AH1564" s="109"/>
      <c r="AI1564" s="109" t="s">
        <v>482</v>
      </c>
      <c r="AJ1564" s="109"/>
      <c r="AK1564" s="109"/>
      <c r="AL1564" s="109"/>
      <c r="AM1564" s="640">
        <f t="shared" si="29"/>
        <v>0</v>
      </c>
      <c r="AO1564" s="289"/>
    </row>
    <row r="1565" spans="1:42" s="61" customFormat="1" ht="22.5" customHeight="1" x14ac:dyDescent="0.3">
      <c r="A1565" s="706"/>
      <c r="B1565" s="117" t="s">
        <v>326</v>
      </c>
      <c r="C1565" s="140"/>
      <c r="D1565" s="110"/>
      <c r="E1565" s="110"/>
      <c r="F1565" s="264"/>
      <c r="G1565" s="110"/>
      <c r="H1565" s="110"/>
      <c r="I1565" s="124"/>
      <c r="J1565" s="110"/>
      <c r="K1565" s="110"/>
      <c r="L1565" s="264"/>
      <c r="M1565" s="110"/>
      <c r="N1565" s="124"/>
      <c r="O1565" s="110"/>
      <c r="P1565" s="110"/>
      <c r="Q1565" s="110"/>
      <c r="R1565" s="110"/>
      <c r="S1565" s="110">
        <v>66</v>
      </c>
      <c r="T1565" s="141"/>
      <c r="U1565" s="140">
        <v>0.26</v>
      </c>
      <c r="V1565" s="110"/>
      <c r="W1565" s="110"/>
      <c r="X1565" s="110"/>
      <c r="Y1565" s="110"/>
      <c r="Z1565" s="110"/>
      <c r="AA1565" s="110"/>
      <c r="AB1565" s="110"/>
      <c r="AC1565" s="110"/>
      <c r="AD1565" s="110"/>
      <c r="AE1565" s="110"/>
      <c r="AF1565" s="110"/>
      <c r="AG1565" s="110"/>
      <c r="AH1565" s="110"/>
      <c r="AI1565" s="110" t="s">
        <v>482</v>
      </c>
      <c r="AJ1565" s="110"/>
      <c r="AK1565" s="110"/>
      <c r="AL1565" s="110"/>
      <c r="AM1565" s="641">
        <f t="shared" ref="AM1565:AM1636" si="31">SUM(C1565:AL1565)</f>
        <v>66.260000000000005</v>
      </c>
      <c r="AO1565" s="289"/>
      <c r="AP1565" s="97"/>
    </row>
    <row r="1566" spans="1:42" s="61" customFormat="1" ht="25.5" customHeight="1" x14ac:dyDescent="0.3">
      <c r="A1566" s="706"/>
      <c r="B1566" s="175" t="s">
        <v>327</v>
      </c>
      <c r="C1566" s="176"/>
      <c r="D1566" s="127"/>
      <c r="E1566" s="127"/>
      <c r="F1566" s="265"/>
      <c r="G1566" s="127"/>
      <c r="H1566" s="127"/>
      <c r="I1566" s="178"/>
      <c r="J1566" s="127"/>
      <c r="K1566" s="127"/>
      <c r="L1566" s="265"/>
      <c r="M1566" s="127"/>
      <c r="N1566" s="178"/>
      <c r="O1566" s="127"/>
      <c r="P1566" s="127"/>
      <c r="Q1566" s="127"/>
      <c r="R1566" s="127"/>
      <c r="S1566" s="127">
        <v>18</v>
      </c>
      <c r="T1566" s="177"/>
      <c r="U1566" s="176"/>
      <c r="V1566" s="127"/>
      <c r="W1566" s="127"/>
      <c r="X1566" s="127"/>
      <c r="Y1566" s="127"/>
      <c r="Z1566" s="127"/>
      <c r="AA1566" s="127"/>
      <c r="AB1566" s="127"/>
      <c r="AC1566" s="127"/>
      <c r="AD1566" s="127"/>
      <c r="AE1566" s="127"/>
      <c r="AF1566" s="127"/>
      <c r="AG1566" s="127"/>
      <c r="AH1566" s="127"/>
      <c r="AI1566" s="127" t="s">
        <v>482</v>
      </c>
      <c r="AJ1566" s="127"/>
      <c r="AK1566" s="127"/>
      <c r="AL1566" s="127"/>
      <c r="AM1566" s="642">
        <f t="shared" si="31"/>
        <v>18</v>
      </c>
      <c r="AO1566" s="289"/>
    </row>
    <row r="1567" spans="1:42" s="61" customFormat="1" ht="25.5" customHeight="1" x14ac:dyDescent="0.3">
      <c r="A1567" s="706"/>
      <c r="B1567" s="180" t="s">
        <v>361</v>
      </c>
      <c r="C1567" s="300"/>
      <c r="D1567" s="173"/>
      <c r="E1567" s="173"/>
      <c r="F1567" s="266"/>
      <c r="G1567" s="173"/>
      <c r="H1567" s="173"/>
      <c r="I1567" s="174"/>
      <c r="J1567" s="173"/>
      <c r="K1567" s="173"/>
      <c r="L1567" s="266"/>
      <c r="M1567" s="173"/>
      <c r="N1567" s="174"/>
      <c r="O1567" s="173"/>
      <c r="P1567" s="173"/>
      <c r="Q1567" s="173"/>
      <c r="R1567" s="173"/>
      <c r="S1567" s="173">
        <v>61</v>
      </c>
      <c r="T1567" s="327"/>
      <c r="U1567" s="300">
        <v>0.153</v>
      </c>
      <c r="V1567" s="173"/>
      <c r="W1567" s="173"/>
      <c r="X1567" s="173"/>
      <c r="Y1567" s="173"/>
      <c r="Z1567" s="173"/>
      <c r="AA1567" s="173"/>
      <c r="AB1567" s="173"/>
      <c r="AC1567" s="173"/>
      <c r="AD1567" s="173"/>
      <c r="AE1567" s="173"/>
      <c r="AF1567" s="173"/>
      <c r="AG1567" s="173"/>
      <c r="AH1567" s="173"/>
      <c r="AI1567" s="173" t="s">
        <v>482</v>
      </c>
      <c r="AJ1567" s="173"/>
      <c r="AK1567" s="173"/>
      <c r="AL1567" s="173"/>
      <c r="AM1567" s="643">
        <f t="shared" si="31"/>
        <v>61.152999999999999</v>
      </c>
      <c r="AO1567" s="289"/>
      <c r="AP1567" s="97"/>
    </row>
    <row r="1568" spans="1:42" s="61" customFormat="1" ht="25.5" customHeight="1" x14ac:dyDescent="0.3">
      <c r="A1568" s="706"/>
      <c r="B1568" s="180" t="s">
        <v>362</v>
      </c>
      <c r="C1568" s="300"/>
      <c r="D1568" s="173"/>
      <c r="E1568" s="173"/>
      <c r="F1568" s="266"/>
      <c r="G1568" s="173"/>
      <c r="H1568" s="173"/>
      <c r="I1568" s="174"/>
      <c r="J1568" s="173"/>
      <c r="K1568" s="173"/>
      <c r="L1568" s="266"/>
      <c r="M1568" s="173"/>
      <c r="N1568" s="174"/>
      <c r="O1568" s="173"/>
      <c r="P1568" s="173"/>
      <c r="Q1568" s="173"/>
      <c r="R1568" s="173"/>
      <c r="S1568" s="173">
        <v>6</v>
      </c>
      <c r="T1568" s="327"/>
      <c r="U1568" s="300">
        <v>0.33600000000000002</v>
      </c>
      <c r="V1568" s="173"/>
      <c r="W1568" s="173"/>
      <c r="X1568" s="173"/>
      <c r="Y1568" s="173"/>
      <c r="Z1568" s="173">
        <v>2</v>
      </c>
      <c r="AA1568" s="173"/>
      <c r="AB1568" s="173"/>
      <c r="AC1568" s="173"/>
      <c r="AD1568" s="173"/>
      <c r="AE1568" s="173"/>
      <c r="AF1568" s="173"/>
      <c r="AG1568" s="173"/>
      <c r="AH1568" s="173"/>
      <c r="AI1568" s="173" t="s">
        <v>482</v>
      </c>
      <c r="AJ1568" s="173"/>
      <c r="AK1568" s="173"/>
      <c r="AL1568" s="173"/>
      <c r="AM1568" s="644">
        <f t="shared" si="31"/>
        <v>8.3360000000000003</v>
      </c>
      <c r="AO1568" s="289"/>
      <c r="AP1568" s="97"/>
    </row>
    <row r="1569" spans="1:42" s="61" customFormat="1" ht="22.5" customHeight="1" x14ac:dyDescent="0.3">
      <c r="A1569" s="706"/>
      <c r="B1569" s="115" t="s">
        <v>402</v>
      </c>
      <c r="C1569" s="142">
        <v>0.35604000000000002</v>
      </c>
      <c r="D1569" s="111"/>
      <c r="E1569" s="111"/>
      <c r="F1569" s="267"/>
      <c r="G1569" s="111"/>
      <c r="H1569" s="111"/>
      <c r="I1569" s="125"/>
      <c r="J1569" s="111"/>
      <c r="K1569" s="111"/>
      <c r="L1569" s="267"/>
      <c r="M1569" s="111"/>
      <c r="N1569" s="125"/>
      <c r="O1569" s="111"/>
      <c r="P1569" s="111"/>
      <c r="Q1569" s="111"/>
      <c r="R1569" s="111"/>
      <c r="S1569" s="111">
        <v>223.359646</v>
      </c>
      <c r="T1569" s="143"/>
      <c r="U1569" s="142"/>
      <c r="V1569" s="111"/>
      <c r="W1569" s="111"/>
      <c r="X1569" s="111"/>
      <c r="Y1569" s="111"/>
      <c r="Z1569" s="111"/>
      <c r="AA1569" s="111"/>
      <c r="AB1569" s="111"/>
      <c r="AC1569" s="111"/>
      <c r="AD1569" s="111"/>
      <c r="AE1569" s="111"/>
      <c r="AF1569" s="111"/>
      <c r="AG1569" s="111"/>
      <c r="AH1569" s="111" t="s">
        <v>482</v>
      </c>
      <c r="AI1569" s="111" t="s">
        <v>482</v>
      </c>
      <c r="AJ1569" s="111"/>
      <c r="AK1569" s="111"/>
      <c r="AL1569" s="111"/>
      <c r="AM1569" s="645">
        <f t="shared" si="31"/>
        <v>223.71568600000001</v>
      </c>
      <c r="AO1569" s="289"/>
    </row>
    <row r="1570" spans="1:42" s="61" customFormat="1" ht="21" customHeight="1" x14ac:dyDescent="0.3">
      <c r="A1570" s="707"/>
      <c r="B1570" s="181" t="s">
        <v>403</v>
      </c>
      <c r="C1570" s="144"/>
      <c r="D1570" s="112"/>
      <c r="E1570" s="112"/>
      <c r="F1570" s="268"/>
      <c r="G1570" s="112"/>
      <c r="H1570" s="112"/>
      <c r="I1570" s="126"/>
      <c r="J1570" s="112"/>
      <c r="K1570" s="112"/>
      <c r="L1570" s="268"/>
      <c r="M1570" s="112"/>
      <c r="N1570" s="126"/>
      <c r="O1570" s="112"/>
      <c r="P1570" s="112"/>
      <c r="Q1570" s="112"/>
      <c r="R1570" s="112"/>
      <c r="S1570" s="112">
        <v>1316.4863690000002</v>
      </c>
      <c r="T1570" s="145"/>
      <c r="U1570" s="144">
        <v>0.378</v>
      </c>
      <c r="V1570" s="112"/>
      <c r="W1570" s="112"/>
      <c r="X1570" s="112"/>
      <c r="Y1570" s="112"/>
      <c r="Z1570" s="112"/>
      <c r="AA1570" s="112"/>
      <c r="AB1570" s="112"/>
      <c r="AC1570" s="112"/>
      <c r="AD1570" s="112"/>
      <c r="AE1570" s="112"/>
      <c r="AF1570" s="112"/>
      <c r="AG1570" s="112"/>
      <c r="AH1570" s="112" t="s">
        <v>482</v>
      </c>
      <c r="AI1570" s="112" t="s">
        <v>482</v>
      </c>
      <c r="AJ1570" s="112"/>
      <c r="AK1570" s="112"/>
      <c r="AL1570" s="112"/>
      <c r="AM1570" s="646">
        <f t="shared" si="31"/>
        <v>1316.8643690000001</v>
      </c>
      <c r="AO1570" s="289"/>
    </row>
    <row r="1571" spans="1:42" s="61" customFormat="1" ht="21" customHeight="1" x14ac:dyDescent="0.3">
      <c r="A1571" s="705" t="s">
        <v>782</v>
      </c>
      <c r="B1571" s="179" t="s">
        <v>293</v>
      </c>
      <c r="C1571" s="135"/>
      <c r="D1571" s="136"/>
      <c r="E1571" s="136"/>
      <c r="F1571" s="262"/>
      <c r="G1571" s="136"/>
      <c r="H1571" s="136"/>
      <c r="I1571" s="326"/>
      <c r="J1571" s="136"/>
      <c r="K1571" s="136"/>
      <c r="L1571" s="262"/>
      <c r="M1571" s="136"/>
      <c r="N1571" s="326"/>
      <c r="O1571" s="136"/>
      <c r="P1571" s="136"/>
      <c r="Q1571" s="136"/>
      <c r="R1571" s="136"/>
      <c r="S1571" s="136"/>
      <c r="T1571" s="137"/>
      <c r="U1571" s="632"/>
      <c r="V1571" s="122"/>
      <c r="W1571" s="122"/>
      <c r="X1571" s="122"/>
      <c r="Y1571" s="122"/>
      <c r="Z1571" s="122"/>
      <c r="AA1571" s="122"/>
      <c r="AB1571" s="122"/>
      <c r="AC1571" s="122"/>
      <c r="AD1571" s="122"/>
      <c r="AE1571" s="122"/>
      <c r="AF1571" s="122"/>
      <c r="AG1571" s="122"/>
      <c r="AH1571" s="122"/>
      <c r="AI1571" s="122"/>
      <c r="AJ1571" s="122"/>
      <c r="AK1571" s="122"/>
      <c r="AL1571" s="122"/>
      <c r="AM1571" s="639">
        <f t="shared" ref="AM1571:AM1578" si="32">SUM(C1571:AL1571)</f>
        <v>0</v>
      </c>
      <c r="AO1571" s="289"/>
    </row>
    <row r="1572" spans="1:42" s="61" customFormat="1" ht="19.5" customHeight="1" x14ac:dyDescent="0.3">
      <c r="A1572" s="706"/>
      <c r="B1572" s="116" t="s">
        <v>294</v>
      </c>
      <c r="C1572" s="138"/>
      <c r="D1572" s="109"/>
      <c r="E1572" s="109"/>
      <c r="F1572" s="263"/>
      <c r="G1572" s="109"/>
      <c r="H1572" s="109"/>
      <c r="I1572" s="123"/>
      <c r="J1572" s="109"/>
      <c r="K1572" s="109"/>
      <c r="L1572" s="263"/>
      <c r="M1572" s="109"/>
      <c r="N1572" s="123"/>
      <c r="O1572" s="109"/>
      <c r="P1572" s="109"/>
      <c r="Q1572" s="109"/>
      <c r="R1572" s="109"/>
      <c r="S1572" s="109"/>
      <c r="T1572" s="139"/>
      <c r="U1572" s="138"/>
      <c r="V1572" s="109"/>
      <c r="W1572" s="109"/>
      <c r="X1572" s="109"/>
      <c r="Y1572" s="109"/>
      <c r="Z1572" s="109"/>
      <c r="AA1572" s="109"/>
      <c r="AB1572" s="109"/>
      <c r="AC1572" s="109"/>
      <c r="AD1572" s="109"/>
      <c r="AE1572" s="109"/>
      <c r="AF1572" s="109"/>
      <c r="AG1572" s="109"/>
      <c r="AH1572" s="109"/>
      <c r="AI1572" s="109"/>
      <c r="AJ1572" s="109"/>
      <c r="AK1572" s="109"/>
      <c r="AL1572" s="109"/>
      <c r="AM1572" s="640">
        <f t="shared" si="32"/>
        <v>0</v>
      </c>
      <c r="AO1572" s="289"/>
    </row>
    <row r="1573" spans="1:42" s="61" customFormat="1" ht="22.5" customHeight="1" x14ac:dyDescent="0.3">
      <c r="A1573" s="706"/>
      <c r="B1573" s="117" t="s">
        <v>326</v>
      </c>
      <c r="C1573" s="140"/>
      <c r="D1573" s="110"/>
      <c r="E1573" s="110"/>
      <c r="F1573" s="264"/>
      <c r="G1573" s="110"/>
      <c r="H1573" s="110"/>
      <c r="I1573" s="124"/>
      <c r="J1573" s="110"/>
      <c r="K1573" s="110"/>
      <c r="L1573" s="264"/>
      <c r="M1573" s="110"/>
      <c r="N1573" s="124"/>
      <c r="O1573" s="110"/>
      <c r="P1573" s="110"/>
      <c r="Q1573" s="110"/>
      <c r="R1573" s="110"/>
      <c r="S1573" s="110"/>
      <c r="T1573" s="141"/>
      <c r="U1573" s="140"/>
      <c r="V1573" s="110"/>
      <c r="W1573" s="110"/>
      <c r="X1573" s="110"/>
      <c r="Y1573" s="110"/>
      <c r="Z1573" s="110"/>
      <c r="AA1573" s="110"/>
      <c r="AB1573" s="110"/>
      <c r="AC1573" s="110"/>
      <c r="AD1573" s="110"/>
      <c r="AE1573" s="110"/>
      <c r="AF1573" s="110"/>
      <c r="AG1573" s="110"/>
      <c r="AH1573" s="110"/>
      <c r="AI1573" s="110"/>
      <c r="AJ1573" s="110"/>
      <c r="AK1573" s="110"/>
      <c r="AL1573" s="110"/>
      <c r="AM1573" s="641">
        <f t="shared" si="32"/>
        <v>0</v>
      </c>
      <c r="AO1573" s="289"/>
      <c r="AP1573" s="97"/>
    </row>
    <row r="1574" spans="1:42" s="61" customFormat="1" ht="25.5" customHeight="1" x14ac:dyDescent="0.3">
      <c r="A1574" s="706"/>
      <c r="B1574" s="175" t="s">
        <v>327</v>
      </c>
      <c r="C1574" s="176"/>
      <c r="D1574" s="127"/>
      <c r="E1574" s="127"/>
      <c r="F1574" s="265"/>
      <c r="G1574" s="127"/>
      <c r="H1574" s="127"/>
      <c r="I1574" s="178"/>
      <c r="J1574" s="127"/>
      <c r="K1574" s="127"/>
      <c r="L1574" s="265"/>
      <c r="M1574" s="127"/>
      <c r="N1574" s="178"/>
      <c r="O1574" s="127"/>
      <c r="P1574" s="127"/>
      <c r="Q1574" s="127"/>
      <c r="R1574" s="127"/>
      <c r="S1574" s="127"/>
      <c r="T1574" s="177"/>
      <c r="U1574" s="176"/>
      <c r="V1574" s="127"/>
      <c r="W1574" s="127"/>
      <c r="X1574" s="127"/>
      <c r="Y1574" s="127"/>
      <c r="Z1574" s="127"/>
      <c r="AA1574" s="127"/>
      <c r="AB1574" s="127"/>
      <c r="AC1574" s="127"/>
      <c r="AD1574" s="127"/>
      <c r="AE1574" s="127"/>
      <c r="AF1574" s="127"/>
      <c r="AG1574" s="127"/>
      <c r="AH1574" s="127"/>
      <c r="AI1574" s="127"/>
      <c r="AJ1574" s="127"/>
      <c r="AK1574" s="127"/>
      <c r="AL1574" s="127"/>
      <c r="AM1574" s="642">
        <f t="shared" si="32"/>
        <v>0</v>
      </c>
      <c r="AO1574" s="289"/>
    </row>
    <row r="1575" spans="1:42" s="61" customFormat="1" ht="25.5" customHeight="1" x14ac:dyDescent="0.3">
      <c r="A1575" s="706"/>
      <c r="B1575" s="180" t="s">
        <v>361</v>
      </c>
      <c r="C1575" s="300"/>
      <c r="D1575" s="173"/>
      <c r="E1575" s="173"/>
      <c r="F1575" s="266"/>
      <c r="G1575" s="173"/>
      <c r="H1575" s="173"/>
      <c r="I1575" s="174"/>
      <c r="J1575" s="173"/>
      <c r="K1575" s="173"/>
      <c r="L1575" s="266"/>
      <c r="M1575" s="173"/>
      <c r="N1575" s="174"/>
      <c r="O1575" s="173"/>
      <c r="P1575" s="173"/>
      <c r="Q1575" s="173"/>
      <c r="R1575" s="173"/>
      <c r="S1575" s="173"/>
      <c r="T1575" s="327"/>
      <c r="U1575" s="300"/>
      <c r="V1575" s="173"/>
      <c r="W1575" s="173"/>
      <c r="X1575" s="173"/>
      <c r="Y1575" s="173"/>
      <c r="Z1575" s="173"/>
      <c r="AA1575" s="173"/>
      <c r="AB1575" s="173"/>
      <c r="AC1575" s="173"/>
      <c r="AD1575" s="173"/>
      <c r="AE1575" s="173"/>
      <c r="AF1575" s="173"/>
      <c r="AG1575" s="173"/>
      <c r="AH1575" s="173"/>
      <c r="AI1575" s="173"/>
      <c r="AJ1575" s="173"/>
      <c r="AK1575" s="173"/>
      <c r="AL1575" s="173"/>
      <c r="AM1575" s="643">
        <f t="shared" si="32"/>
        <v>0</v>
      </c>
      <c r="AO1575" s="289"/>
      <c r="AP1575" s="97"/>
    </row>
    <row r="1576" spans="1:42" s="61" customFormat="1" ht="25.5" customHeight="1" x14ac:dyDescent="0.3">
      <c r="A1576" s="706"/>
      <c r="B1576" s="180" t="s">
        <v>362</v>
      </c>
      <c r="C1576" s="300"/>
      <c r="D1576" s="173"/>
      <c r="E1576" s="173"/>
      <c r="F1576" s="266"/>
      <c r="G1576" s="173"/>
      <c r="H1576" s="173"/>
      <c r="I1576" s="174"/>
      <c r="J1576" s="173"/>
      <c r="K1576" s="173"/>
      <c r="L1576" s="266"/>
      <c r="M1576" s="173"/>
      <c r="N1576" s="174"/>
      <c r="O1576" s="173"/>
      <c r="P1576" s="173"/>
      <c r="Q1576" s="173"/>
      <c r="R1576" s="173"/>
      <c r="S1576" s="173"/>
      <c r="T1576" s="327"/>
      <c r="U1576" s="300"/>
      <c r="V1576" s="173"/>
      <c r="W1576" s="173"/>
      <c r="X1576" s="173"/>
      <c r="Y1576" s="173"/>
      <c r="Z1576" s="173"/>
      <c r="AA1576" s="173"/>
      <c r="AB1576" s="173"/>
      <c r="AC1576" s="173"/>
      <c r="AD1576" s="173"/>
      <c r="AE1576" s="173"/>
      <c r="AF1576" s="173"/>
      <c r="AG1576" s="173"/>
      <c r="AH1576" s="173"/>
      <c r="AI1576" s="173"/>
      <c r="AJ1576" s="173"/>
      <c r="AK1576" s="173"/>
      <c r="AL1576" s="173"/>
      <c r="AM1576" s="644">
        <f t="shared" si="32"/>
        <v>0</v>
      </c>
      <c r="AO1576" s="289"/>
      <c r="AP1576" s="97"/>
    </row>
    <row r="1577" spans="1:42" s="61" customFormat="1" ht="22.5" customHeight="1" x14ac:dyDescent="0.3">
      <c r="A1577" s="706"/>
      <c r="B1577" s="115" t="s">
        <v>402</v>
      </c>
      <c r="C1577" s="142"/>
      <c r="D1577" s="111"/>
      <c r="E1577" s="111"/>
      <c r="F1577" s="267"/>
      <c r="G1577" s="111"/>
      <c r="H1577" s="111"/>
      <c r="I1577" s="125"/>
      <c r="J1577" s="111"/>
      <c r="K1577" s="111"/>
      <c r="L1577" s="267"/>
      <c r="M1577" s="111"/>
      <c r="N1577" s="125"/>
      <c r="O1577" s="111"/>
      <c r="P1577" s="111"/>
      <c r="Q1577" s="111"/>
      <c r="R1577" s="111"/>
      <c r="S1577" s="111">
        <v>50</v>
      </c>
      <c r="T1577" s="143"/>
      <c r="U1577" s="142"/>
      <c r="V1577" s="111"/>
      <c r="W1577" s="111"/>
      <c r="X1577" s="111"/>
      <c r="Y1577" s="111"/>
      <c r="Z1577" s="111"/>
      <c r="AA1577" s="111"/>
      <c r="AB1577" s="111"/>
      <c r="AC1577" s="111"/>
      <c r="AD1577" s="111"/>
      <c r="AE1577" s="111"/>
      <c r="AF1577" s="111"/>
      <c r="AG1577" s="111"/>
      <c r="AH1577" s="111"/>
      <c r="AI1577" s="111"/>
      <c r="AJ1577" s="111"/>
      <c r="AK1577" s="111"/>
      <c r="AL1577" s="111"/>
      <c r="AM1577" s="645">
        <f t="shared" si="32"/>
        <v>50</v>
      </c>
      <c r="AO1577" s="289"/>
    </row>
    <row r="1578" spans="1:42" s="61" customFormat="1" ht="21" customHeight="1" x14ac:dyDescent="0.3">
      <c r="A1578" s="707"/>
      <c r="B1578" s="181" t="s">
        <v>403</v>
      </c>
      <c r="C1578" s="144"/>
      <c r="D1578" s="112"/>
      <c r="E1578" s="112"/>
      <c r="F1578" s="268"/>
      <c r="G1578" s="112"/>
      <c r="H1578" s="112"/>
      <c r="I1578" s="126"/>
      <c r="J1578" s="112"/>
      <c r="K1578" s="112"/>
      <c r="L1578" s="268"/>
      <c r="M1578" s="112"/>
      <c r="N1578" s="126"/>
      <c r="O1578" s="112"/>
      <c r="P1578" s="112"/>
      <c r="Q1578" s="112"/>
      <c r="R1578" s="112"/>
      <c r="S1578" s="112">
        <v>0</v>
      </c>
      <c r="T1578" s="145"/>
      <c r="U1578" s="144"/>
      <c r="V1578" s="112"/>
      <c r="W1578" s="112"/>
      <c r="X1578" s="112"/>
      <c r="Y1578" s="112"/>
      <c r="Z1578" s="112"/>
      <c r="AA1578" s="112"/>
      <c r="AB1578" s="112"/>
      <c r="AC1578" s="112"/>
      <c r="AD1578" s="112"/>
      <c r="AE1578" s="112"/>
      <c r="AF1578" s="112"/>
      <c r="AG1578" s="112"/>
      <c r="AH1578" s="112"/>
      <c r="AI1578" s="112"/>
      <c r="AJ1578" s="112"/>
      <c r="AK1578" s="112"/>
      <c r="AL1578" s="112"/>
      <c r="AM1578" s="646">
        <f t="shared" si="32"/>
        <v>0</v>
      </c>
      <c r="AO1578" s="289"/>
    </row>
    <row r="1579" spans="1:42" s="61" customFormat="1" ht="21" customHeight="1" x14ac:dyDescent="0.3">
      <c r="A1579" s="705" t="s">
        <v>274</v>
      </c>
      <c r="B1579" s="179" t="s">
        <v>293</v>
      </c>
      <c r="C1579" s="135"/>
      <c r="D1579" s="136"/>
      <c r="E1579" s="136"/>
      <c r="F1579" s="262"/>
      <c r="G1579" s="136"/>
      <c r="H1579" s="136"/>
      <c r="I1579" s="326"/>
      <c r="J1579" s="136"/>
      <c r="K1579" s="136"/>
      <c r="L1579" s="262"/>
      <c r="M1579" s="136"/>
      <c r="N1579" s="326"/>
      <c r="O1579" s="136"/>
      <c r="P1579" s="136"/>
      <c r="Q1579" s="136"/>
      <c r="R1579" s="136"/>
      <c r="S1579" s="136">
        <v>14.827999999999999</v>
      </c>
      <c r="T1579" s="137"/>
      <c r="U1579" s="632"/>
      <c r="V1579" s="122"/>
      <c r="W1579" s="122"/>
      <c r="X1579" s="122"/>
      <c r="Y1579" s="122"/>
      <c r="Z1579" s="122"/>
      <c r="AA1579" s="122"/>
      <c r="AB1579" s="122"/>
      <c r="AC1579" s="122"/>
      <c r="AD1579" s="122"/>
      <c r="AE1579" s="122"/>
      <c r="AF1579" s="122"/>
      <c r="AG1579" s="122"/>
      <c r="AH1579" s="122"/>
      <c r="AI1579" s="122" t="s">
        <v>482</v>
      </c>
      <c r="AJ1579" s="122"/>
      <c r="AK1579" s="122"/>
      <c r="AL1579" s="122"/>
      <c r="AM1579" s="639">
        <f t="shared" si="31"/>
        <v>14.827999999999999</v>
      </c>
      <c r="AO1579" s="289"/>
    </row>
    <row r="1580" spans="1:42" s="61" customFormat="1" ht="19.5" customHeight="1" x14ac:dyDescent="0.3">
      <c r="A1580" s="706"/>
      <c r="B1580" s="116" t="s">
        <v>294</v>
      </c>
      <c r="C1580" s="138"/>
      <c r="D1580" s="109"/>
      <c r="E1580" s="109"/>
      <c r="F1580" s="263"/>
      <c r="G1580" s="109"/>
      <c r="H1580" s="109"/>
      <c r="I1580" s="123"/>
      <c r="J1580" s="109"/>
      <c r="K1580" s="109"/>
      <c r="L1580" s="263"/>
      <c r="M1580" s="109"/>
      <c r="N1580" s="123"/>
      <c r="O1580" s="109"/>
      <c r="P1580" s="109"/>
      <c r="Q1580" s="109"/>
      <c r="R1580" s="109"/>
      <c r="S1580" s="109">
        <v>-14.827999999999999</v>
      </c>
      <c r="T1580" s="139">
        <v>0.6</v>
      </c>
      <c r="U1580" s="138"/>
      <c r="V1580" s="109"/>
      <c r="W1580" s="109"/>
      <c r="X1580" s="109"/>
      <c r="Y1580" s="109"/>
      <c r="Z1580" s="109"/>
      <c r="AA1580" s="109"/>
      <c r="AB1580" s="109"/>
      <c r="AC1580" s="109"/>
      <c r="AD1580" s="109"/>
      <c r="AE1580" s="109"/>
      <c r="AF1580" s="109"/>
      <c r="AG1580" s="109"/>
      <c r="AH1580" s="109"/>
      <c r="AI1580" s="109" t="s">
        <v>482</v>
      </c>
      <c r="AJ1580" s="109"/>
      <c r="AK1580" s="109"/>
      <c r="AL1580" s="109"/>
      <c r="AM1580" s="640">
        <f t="shared" si="31"/>
        <v>-14.228</v>
      </c>
      <c r="AO1580" s="289"/>
    </row>
    <row r="1581" spans="1:42" s="61" customFormat="1" ht="22.5" customHeight="1" x14ac:dyDescent="0.3">
      <c r="A1581" s="706"/>
      <c r="B1581" s="117" t="s">
        <v>326</v>
      </c>
      <c r="C1581" s="140"/>
      <c r="D1581" s="110"/>
      <c r="E1581" s="110"/>
      <c r="F1581" s="264"/>
      <c r="G1581" s="110"/>
      <c r="H1581" s="110"/>
      <c r="I1581" s="124"/>
      <c r="J1581" s="110"/>
      <c r="K1581" s="110"/>
      <c r="L1581" s="264"/>
      <c r="M1581" s="110"/>
      <c r="N1581" s="124"/>
      <c r="O1581" s="110"/>
      <c r="P1581" s="110"/>
      <c r="Q1581" s="110"/>
      <c r="R1581" s="110"/>
      <c r="S1581" s="110"/>
      <c r="T1581" s="141"/>
      <c r="U1581" s="140"/>
      <c r="V1581" s="110"/>
      <c r="W1581" s="110"/>
      <c r="X1581" s="110"/>
      <c r="Y1581" s="110"/>
      <c r="Z1581" s="110"/>
      <c r="AA1581" s="110"/>
      <c r="AB1581" s="110"/>
      <c r="AC1581" s="110"/>
      <c r="AD1581" s="110"/>
      <c r="AE1581" s="110"/>
      <c r="AF1581" s="110"/>
      <c r="AG1581" s="110"/>
      <c r="AH1581" s="110"/>
      <c r="AI1581" s="110" t="s">
        <v>482</v>
      </c>
      <c r="AJ1581" s="110"/>
      <c r="AK1581" s="110"/>
      <c r="AL1581" s="110"/>
      <c r="AM1581" s="641">
        <f t="shared" si="31"/>
        <v>0</v>
      </c>
      <c r="AO1581" s="289"/>
      <c r="AP1581" s="97"/>
    </row>
    <row r="1582" spans="1:42" s="61" customFormat="1" ht="25.5" customHeight="1" x14ac:dyDescent="0.3">
      <c r="A1582" s="706"/>
      <c r="B1582" s="175" t="s">
        <v>327</v>
      </c>
      <c r="C1582" s="176"/>
      <c r="D1582" s="127"/>
      <c r="E1582" s="127"/>
      <c r="F1582" s="265"/>
      <c r="G1582" s="127"/>
      <c r="H1582" s="127"/>
      <c r="I1582" s="178"/>
      <c r="J1582" s="127"/>
      <c r="K1582" s="127"/>
      <c r="L1582" s="265"/>
      <c r="M1582" s="127"/>
      <c r="N1582" s="178"/>
      <c r="O1582" s="127"/>
      <c r="P1582" s="127"/>
      <c r="Q1582" s="127"/>
      <c r="R1582" s="127"/>
      <c r="S1582" s="127">
        <v>10</v>
      </c>
      <c r="T1582" s="177"/>
      <c r="U1582" s="176"/>
      <c r="V1582" s="127"/>
      <c r="W1582" s="127"/>
      <c r="X1582" s="127"/>
      <c r="Y1582" s="127"/>
      <c r="Z1582" s="127"/>
      <c r="AA1582" s="127"/>
      <c r="AB1582" s="127"/>
      <c r="AC1582" s="127"/>
      <c r="AD1582" s="127"/>
      <c r="AE1582" s="127"/>
      <c r="AF1582" s="127"/>
      <c r="AG1582" s="127"/>
      <c r="AH1582" s="127"/>
      <c r="AI1582" s="127" t="s">
        <v>482</v>
      </c>
      <c r="AJ1582" s="127"/>
      <c r="AK1582" s="127"/>
      <c r="AL1582" s="127"/>
      <c r="AM1582" s="642">
        <f t="shared" si="31"/>
        <v>10</v>
      </c>
      <c r="AO1582" s="289"/>
    </row>
    <row r="1583" spans="1:42" s="61" customFormat="1" ht="25.5" customHeight="1" x14ac:dyDescent="0.3">
      <c r="A1583" s="706"/>
      <c r="B1583" s="180" t="s">
        <v>361</v>
      </c>
      <c r="C1583" s="300"/>
      <c r="D1583" s="173"/>
      <c r="E1583" s="173"/>
      <c r="F1583" s="266"/>
      <c r="G1583" s="173"/>
      <c r="H1583" s="173"/>
      <c r="I1583" s="174"/>
      <c r="J1583" s="173"/>
      <c r="K1583" s="173"/>
      <c r="L1583" s="266"/>
      <c r="M1583" s="173"/>
      <c r="N1583" s="174"/>
      <c r="O1583" s="173"/>
      <c r="P1583" s="173"/>
      <c r="Q1583" s="173"/>
      <c r="R1583" s="173"/>
      <c r="S1583" s="173"/>
      <c r="T1583" s="327"/>
      <c r="U1583" s="300"/>
      <c r="V1583" s="173"/>
      <c r="W1583" s="173"/>
      <c r="X1583" s="173"/>
      <c r="Y1583" s="173"/>
      <c r="Z1583" s="173"/>
      <c r="AA1583" s="173"/>
      <c r="AB1583" s="173"/>
      <c r="AC1583" s="173"/>
      <c r="AD1583" s="173"/>
      <c r="AE1583" s="173"/>
      <c r="AF1583" s="173"/>
      <c r="AG1583" s="173"/>
      <c r="AH1583" s="173"/>
      <c r="AI1583" s="173" t="s">
        <v>482</v>
      </c>
      <c r="AJ1583" s="173"/>
      <c r="AK1583" s="173"/>
      <c r="AL1583" s="173"/>
      <c r="AM1583" s="643">
        <f t="shared" si="31"/>
        <v>0</v>
      </c>
      <c r="AO1583" s="289"/>
      <c r="AP1583" s="97"/>
    </row>
    <row r="1584" spans="1:42" s="61" customFormat="1" ht="25.5" customHeight="1" x14ac:dyDescent="0.3">
      <c r="A1584" s="706"/>
      <c r="B1584" s="180" t="s">
        <v>362</v>
      </c>
      <c r="C1584" s="300"/>
      <c r="D1584" s="173"/>
      <c r="E1584" s="173"/>
      <c r="F1584" s="266"/>
      <c r="G1584" s="173"/>
      <c r="H1584" s="173"/>
      <c r="I1584" s="174"/>
      <c r="J1584" s="173"/>
      <c r="K1584" s="173"/>
      <c r="L1584" s="266"/>
      <c r="M1584" s="173"/>
      <c r="N1584" s="174"/>
      <c r="O1584" s="173"/>
      <c r="P1584" s="173"/>
      <c r="Q1584" s="173"/>
      <c r="R1584" s="173"/>
      <c r="S1584" s="173"/>
      <c r="T1584" s="327"/>
      <c r="U1584" s="300"/>
      <c r="V1584" s="173"/>
      <c r="W1584" s="173"/>
      <c r="X1584" s="173"/>
      <c r="Y1584" s="173"/>
      <c r="Z1584" s="173"/>
      <c r="AA1584" s="173"/>
      <c r="AB1584" s="173"/>
      <c r="AC1584" s="173"/>
      <c r="AD1584" s="173"/>
      <c r="AE1584" s="173"/>
      <c r="AF1584" s="173"/>
      <c r="AG1584" s="173"/>
      <c r="AH1584" s="173"/>
      <c r="AI1584" s="173" t="s">
        <v>482</v>
      </c>
      <c r="AJ1584" s="173"/>
      <c r="AK1584" s="173"/>
      <c r="AL1584" s="173"/>
      <c r="AM1584" s="644">
        <f t="shared" si="31"/>
        <v>0</v>
      </c>
      <c r="AO1584" s="289"/>
      <c r="AP1584" s="97"/>
    </row>
    <row r="1585" spans="1:42" s="61" customFormat="1" ht="22.5" customHeight="1" x14ac:dyDescent="0.3">
      <c r="A1585" s="706"/>
      <c r="B1585" s="115" t="s">
        <v>402</v>
      </c>
      <c r="C1585" s="142"/>
      <c r="D1585" s="111"/>
      <c r="E1585" s="111"/>
      <c r="F1585" s="267"/>
      <c r="G1585" s="111"/>
      <c r="H1585" s="111"/>
      <c r="I1585" s="125"/>
      <c r="J1585" s="111"/>
      <c r="K1585" s="111"/>
      <c r="L1585" s="267"/>
      <c r="M1585" s="111"/>
      <c r="N1585" s="125"/>
      <c r="O1585" s="111"/>
      <c r="P1585" s="111"/>
      <c r="Q1585" s="111"/>
      <c r="R1585" s="111"/>
      <c r="S1585" s="111"/>
      <c r="T1585" s="143"/>
      <c r="U1585" s="142"/>
      <c r="V1585" s="111"/>
      <c r="W1585" s="111"/>
      <c r="X1585" s="111"/>
      <c r="Y1585" s="111"/>
      <c r="Z1585" s="111"/>
      <c r="AA1585" s="111"/>
      <c r="AB1585" s="111"/>
      <c r="AC1585" s="111"/>
      <c r="AD1585" s="111"/>
      <c r="AE1585" s="111"/>
      <c r="AF1585" s="111"/>
      <c r="AG1585" s="111"/>
      <c r="AH1585" s="111" t="s">
        <v>482</v>
      </c>
      <c r="AI1585" s="111" t="s">
        <v>482</v>
      </c>
      <c r="AJ1585" s="111"/>
      <c r="AK1585" s="111"/>
      <c r="AL1585" s="111"/>
      <c r="AM1585" s="645">
        <f t="shared" si="31"/>
        <v>0</v>
      </c>
      <c r="AO1585" s="289"/>
    </row>
    <row r="1586" spans="1:42" s="61" customFormat="1" ht="21" customHeight="1" x14ac:dyDescent="0.3">
      <c r="A1586" s="707"/>
      <c r="B1586" s="181" t="s">
        <v>403</v>
      </c>
      <c r="C1586" s="144">
        <v>1</v>
      </c>
      <c r="D1586" s="112"/>
      <c r="E1586" s="112"/>
      <c r="F1586" s="268"/>
      <c r="G1586" s="112"/>
      <c r="H1586" s="112"/>
      <c r="I1586" s="126"/>
      <c r="J1586" s="112"/>
      <c r="K1586" s="112"/>
      <c r="L1586" s="268"/>
      <c r="M1586" s="112"/>
      <c r="N1586" s="126"/>
      <c r="O1586" s="112"/>
      <c r="P1586" s="112"/>
      <c r="Q1586" s="112"/>
      <c r="R1586" s="112"/>
      <c r="S1586" s="112"/>
      <c r="T1586" s="145"/>
      <c r="U1586" s="144"/>
      <c r="V1586" s="112"/>
      <c r="W1586" s="112"/>
      <c r="X1586" s="112"/>
      <c r="Y1586" s="112"/>
      <c r="Z1586" s="112"/>
      <c r="AA1586" s="112"/>
      <c r="AB1586" s="112"/>
      <c r="AC1586" s="112"/>
      <c r="AD1586" s="112"/>
      <c r="AE1586" s="112"/>
      <c r="AF1586" s="112"/>
      <c r="AG1586" s="112"/>
      <c r="AH1586" s="112" t="s">
        <v>482</v>
      </c>
      <c r="AI1586" s="112" t="s">
        <v>482</v>
      </c>
      <c r="AJ1586" s="112"/>
      <c r="AK1586" s="112"/>
      <c r="AL1586" s="112"/>
      <c r="AM1586" s="646">
        <f t="shared" si="31"/>
        <v>1</v>
      </c>
      <c r="AO1586" s="289"/>
    </row>
    <row r="1587" spans="1:42" s="61" customFormat="1" ht="21" customHeight="1" x14ac:dyDescent="0.3">
      <c r="A1587" s="705" t="s">
        <v>275</v>
      </c>
      <c r="B1587" s="179" t="s">
        <v>293</v>
      </c>
      <c r="C1587" s="135"/>
      <c r="D1587" s="136"/>
      <c r="E1587" s="136"/>
      <c r="F1587" s="262"/>
      <c r="G1587" s="136">
        <v>60</v>
      </c>
      <c r="H1587" s="136"/>
      <c r="I1587" s="326"/>
      <c r="J1587" s="136"/>
      <c r="K1587" s="136"/>
      <c r="L1587" s="262"/>
      <c r="M1587" s="136"/>
      <c r="N1587" s="326"/>
      <c r="O1587" s="136"/>
      <c r="P1587" s="136"/>
      <c r="Q1587" s="136"/>
      <c r="R1587" s="136"/>
      <c r="S1587" s="136">
        <v>45</v>
      </c>
      <c r="T1587" s="137"/>
      <c r="U1587" s="632"/>
      <c r="V1587" s="122"/>
      <c r="W1587" s="122"/>
      <c r="X1587" s="122"/>
      <c r="Y1587" s="122"/>
      <c r="Z1587" s="122"/>
      <c r="AA1587" s="122"/>
      <c r="AB1587" s="122"/>
      <c r="AC1587" s="122"/>
      <c r="AD1587" s="122"/>
      <c r="AE1587" s="122">
        <v>112</v>
      </c>
      <c r="AF1587" s="122"/>
      <c r="AG1587" s="122"/>
      <c r="AH1587" s="122"/>
      <c r="AI1587" s="122" t="s">
        <v>482</v>
      </c>
      <c r="AJ1587" s="122"/>
      <c r="AK1587" s="122"/>
      <c r="AL1587" s="122"/>
      <c r="AM1587" s="639">
        <f t="shared" si="31"/>
        <v>217</v>
      </c>
      <c r="AO1587" s="289"/>
    </row>
    <row r="1588" spans="1:42" s="61" customFormat="1" ht="19.5" customHeight="1" x14ac:dyDescent="0.3">
      <c r="A1588" s="706"/>
      <c r="B1588" s="116" t="s">
        <v>294</v>
      </c>
      <c r="C1588" s="138"/>
      <c r="D1588" s="109"/>
      <c r="E1588" s="109"/>
      <c r="F1588" s="263"/>
      <c r="G1588" s="109">
        <v>4</v>
      </c>
      <c r="H1588" s="109">
        <v>2</v>
      </c>
      <c r="I1588" s="123"/>
      <c r="J1588" s="109"/>
      <c r="K1588" s="109"/>
      <c r="L1588" s="263"/>
      <c r="M1588" s="109"/>
      <c r="N1588" s="123"/>
      <c r="O1588" s="109"/>
      <c r="P1588" s="109"/>
      <c r="Q1588" s="109"/>
      <c r="R1588" s="109"/>
      <c r="S1588" s="109"/>
      <c r="T1588" s="139">
        <v>3.7170000000000001</v>
      </c>
      <c r="U1588" s="138"/>
      <c r="V1588" s="109"/>
      <c r="W1588" s="109"/>
      <c r="X1588" s="109">
        <v>2</v>
      </c>
      <c r="Y1588" s="109"/>
      <c r="Z1588" s="109"/>
      <c r="AA1588" s="109"/>
      <c r="AB1588" s="109"/>
      <c r="AC1588" s="109"/>
      <c r="AD1588" s="109"/>
      <c r="AE1588" s="109">
        <v>41</v>
      </c>
      <c r="AF1588" s="109"/>
      <c r="AG1588" s="109"/>
      <c r="AH1588" s="109">
        <v>536.19000000000005</v>
      </c>
      <c r="AI1588" s="109" t="s">
        <v>482</v>
      </c>
      <c r="AJ1588" s="109"/>
      <c r="AK1588" s="109"/>
      <c r="AL1588" s="109"/>
      <c r="AM1588" s="640">
        <f t="shared" si="31"/>
        <v>588.90700000000004</v>
      </c>
      <c r="AO1588" s="289"/>
    </row>
    <row r="1589" spans="1:42" s="61" customFormat="1" ht="22.5" customHeight="1" x14ac:dyDescent="0.3">
      <c r="A1589" s="706"/>
      <c r="B1589" s="117" t="s">
        <v>326</v>
      </c>
      <c r="C1589" s="140"/>
      <c r="D1589" s="110"/>
      <c r="E1589" s="110"/>
      <c r="F1589" s="264"/>
      <c r="G1589" s="110">
        <v>4</v>
      </c>
      <c r="H1589" s="110"/>
      <c r="I1589" s="124"/>
      <c r="J1589" s="110"/>
      <c r="K1589" s="110"/>
      <c r="L1589" s="264"/>
      <c r="M1589" s="110"/>
      <c r="N1589" s="124"/>
      <c r="O1589" s="110"/>
      <c r="P1589" s="110"/>
      <c r="Q1589" s="110"/>
      <c r="R1589" s="110"/>
      <c r="S1589" s="110"/>
      <c r="T1589" s="141"/>
      <c r="U1589" s="140">
        <v>1</v>
      </c>
      <c r="V1589" s="110"/>
      <c r="W1589" s="110"/>
      <c r="X1589" s="110">
        <v>2</v>
      </c>
      <c r="Y1589" s="110"/>
      <c r="Z1589" s="110"/>
      <c r="AA1589" s="110"/>
      <c r="AB1589" s="110"/>
      <c r="AC1589" s="110"/>
      <c r="AD1589" s="110"/>
      <c r="AE1589" s="110">
        <v>50</v>
      </c>
      <c r="AF1589" s="110"/>
      <c r="AG1589" s="110"/>
      <c r="AH1589" s="110"/>
      <c r="AI1589" s="110" t="s">
        <v>482</v>
      </c>
      <c r="AJ1589" s="110"/>
      <c r="AK1589" s="110"/>
      <c r="AL1589" s="110"/>
      <c r="AM1589" s="641">
        <f t="shared" si="31"/>
        <v>57</v>
      </c>
      <c r="AO1589" s="289"/>
      <c r="AP1589" s="97"/>
    </row>
    <row r="1590" spans="1:42" s="61" customFormat="1" ht="25.5" customHeight="1" x14ac:dyDescent="0.3">
      <c r="A1590" s="706"/>
      <c r="B1590" s="175" t="s">
        <v>327</v>
      </c>
      <c r="C1590" s="176">
        <v>44.12</v>
      </c>
      <c r="D1590" s="127"/>
      <c r="E1590" s="127"/>
      <c r="F1590" s="265">
        <v>-65</v>
      </c>
      <c r="G1590" s="127"/>
      <c r="H1590" s="127"/>
      <c r="I1590" s="178"/>
      <c r="J1590" s="127"/>
      <c r="K1590" s="127"/>
      <c r="L1590" s="265"/>
      <c r="M1590" s="127"/>
      <c r="N1590" s="178"/>
      <c r="O1590" s="127"/>
      <c r="P1590" s="127"/>
      <c r="Q1590" s="127"/>
      <c r="R1590" s="127"/>
      <c r="S1590" s="127">
        <v>15</v>
      </c>
      <c r="T1590" s="177"/>
      <c r="U1590" s="176">
        <v>1.4119999999999999</v>
      </c>
      <c r="V1590" s="127"/>
      <c r="W1590" s="127"/>
      <c r="X1590" s="127"/>
      <c r="Y1590" s="127"/>
      <c r="Z1590" s="127"/>
      <c r="AA1590" s="127"/>
      <c r="AB1590" s="127"/>
      <c r="AC1590" s="127"/>
      <c r="AD1590" s="127"/>
      <c r="AE1590" s="127"/>
      <c r="AF1590" s="127"/>
      <c r="AG1590" s="127"/>
      <c r="AH1590" s="127">
        <v>59.52</v>
      </c>
      <c r="AI1590" s="127" t="s">
        <v>482</v>
      </c>
      <c r="AJ1590" s="127"/>
      <c r="AK1590" s="127"/>
      <c r="AL1590" s="127"/>
      <c r="AM1590" s="642">
        <f t="shared" si="31"/>
        <v>55.052</v>
      </c>
      <c r="AO1590" s="289"/>
    </row>
    <row r="1591" spans="1:42" s="61" customFormat="1" ht="25.5" customHeight="1" x14ac:dyDescent="0.3">
      <c r="A1591" s="706"/>
      <c r="B1591" s="180" t="s">
        <v>361</v>
      </c>
      <c r="C1591" s="300"/>
      <c r="D1591" s="173"/>
      <c r="E1591" s="173"/>
      <c r="F1591" s="266"/>
      <c r="G1591" s="173"/>
      <c r="H1591" s="173">
        <v>3</v>
      </c>
      <c r="I1591" s="174"/>
      <c r="J1591" s="173"/>
      <c r="K1591" s="173"/>
      <c r="L1591" s="266"/>
      <c r="M1591" s="173"/>
      <c r="N1591" s="174"/>
      <c r="O1591" s="173"/>
      <c r="P1591" s="173"/>
      <c r="Q1591" s="173"/>
      <c r="R1591" s="173"/>
      <c r="S1591" s="173">
        <v>58</v>
      </c>
      <c r="T1591" s="327"/>
      <c r="U1591" s="300">
        <v>1.9690000000000001</v>
      </c>
      <c r="V1591" s="173"/>
      <c r="W1591" s="173"/>
      <c r="X1591" s="173">
        <v>5</v>
      </c>
      <c r="Y1591" s="173"/>
      <c r="Z1591" s="173"/>
      <c r="AA1591" s="173"/>
      <c r="AB1591" s="173"/>
      <c r="AC1591" s="173"/>
      <c r="AD1591" s="173"/>
      <c r="AE1591" s="173"/>
      <c r="AF1591" s="173"/>
      <c r="AG1591" s="173"/>
      <c r="AH1591" s="173"/>
      <c r="AI1591" s="173" t="s">
        <v>482</v>
      </c>
      <c r="AJ1591" s="173"/>
      <c r="AK1591" s="173"/>
      <c r="AL1591" s="173"/>
      <c r="AM1591" s="643">
        <f t="shared" si="31"/>
        <v>67.968999999999994</v>
      </c>
      <c r="AO1591" s="289"/>
      <c r="AP1591" s="97"/>
    </row>
    <row r="1592" spans="1:42" s="61" customFormat="1" ht="25.5" customHeight="1" x14ac:dyDescent="0.3">
      <c r="A1592" s="706"/>
      <c r="B1592" s="180" t="s">
        <v>362</v>
      </c>
      <c r="C1592" s="300">
        <v>40.820999999999998</v>
      </c>
      <c r="D1592" s="173"/>
      <c r="E1592" s="173"/>
      <c r="F1592" s="266"/>
      <c r="G1592" s="173">
        <v>5</v>
      </c>
      <c r="H1592" s="173"/>
      <c r="I1592" s="174"/>
      <c r="J1592" s="173"/>
      <c r="K1592" s="173"/>
      <c r="L1592" s="266"/>
      <c r="M1592" s="173"/>
      <c r="N1592" s="174"/>
      <c r="O1592" s="173"/>
      <c r="P1592" s="173"/>
      <c r="Q1592" s="173"/>
      <c r="R1592" s="173"/>
      <c r="S1592" s="173">
        <v>159</v>
      </c>
      <c r="T1592" s="327"/>
      <c r="U1592" s="300">
        <v>0.25</v>
      </c>
      <c r="V1592" s="173"/>
      <c r="W1592" s="173"/>
      <c r="X1592" s="173">
        <v>3</v>
      </c>
      <c r="Y1592" s="173"/>
      <c r="Z1592" s="173"/>
      <c r="AA1592" s="173"/>
      <c r="AB1592" s="173"/>
      <c r="AC1592" s="173"/>
      <c r="AD1592" s="173"/>
      <c r="AE1592" s="173"/>
      <c r="AF1592" s="173"/>
      <c r="AG1592" s="173"/>
      <c r="AH1592" s="173"/>
      <c r="AI1592" s="173" t="s">
        <v>482</v>
      </c>
      <c r="AJ1592" s="173"/>
      <c r="AK1592" s="173"/>
      <c r="AL1592" s="173"/>
      <c r="AM1592" s="644">
        <f t="shared" si="31"/>
        <v>208.071</v>
      </c>
      <c r="AO1592" s="289"/>
      <c r="AP1592" s="97"/>
    </row>
    <row r="1593" spans="1:42" s="61" customFormat="1" ht="22.5" customHeight="1" x14ac:dyDescent="0.3">
      <c r="A1593" s="706"/>
      <c r="B1593" s="115" t="s">
        <v>402</v>
      </c>
      <c r="C1593" s="142">
        <v>5</v>
      </c>
      <c r="D1593" s="111"/>
      <c r="E1593" s="111"/>
      <c r="F1593" s="267"/>
      <c r="G1593" s="111"/>
      <c r="H1593" s="111">
        <v>141</v>
      </c>
      <c r="I1593" s="125"/>
      <c r="J1593" s="111"/>
      <c r="K1593" s="111"/>
      <c r="L1593" s="267"/>
      <c r="M1593" s="111"/>
      <c r="N1593" s="125"/>
      <c r="O1593" s="111"/>
      <c r="P1593" s="111"/>
      <c r="Q1593" s="111"/>
      <c r="R1593" s="111"/>
      <c r="S1593" s="111"/>
      <c r="T1593" s="143">
        <v>20</v>
      </c>
      <c r="U1593" s="142"/>
      <c r="V1593" s="111"/>
      <c r="W1593" s="111"/>
      <c r="X1593" s="111"/>
      <c r="Y1593" s="111"/>
      <c r="Z1593" s="111"/>
      <c r="AA1593" s="111"/>
      <c r="AB1593" s="111"/>
      <c r="AC1593" s="111"/>
      <c r="AD1593" s="111"/>
      <c r="AE1593" s="111"/>
      <c r="AF1593" s="111"/>
      <c r="AG1593" s="111"/>
      <c r="AH1593" s="111" t="s">
        <v>482</v>
      </c>
      <c r="AI1593" s="111" t="s">
        <v>482</v>
      </c>
      <c r="AJ1593" s="111"/>
      <c r="AK1593" s="111"/>
      <c r="AL1593" s="111"/>
      <c r="AM1593" s="645">
        <f t="shared" si="31"/>
        <v>166</v>
      </c>
      <c r="AO1593" s="289"/>
    </row>
    <row r="1594" spans="1:42" s="61" customFormat="1" ht="21" customHeight="1" x14ac:dyDescent="0.3">
      <c r="A1594" s="707"/>
      <c r="B1594" s="181" t="s">
        <v>403</v>
      </c>
      <c r="C1594" s="144">
        <v>5</v>
      </c>
      <c r="D1594" s="112"/>
      <c r="E1594" s="112"/>
      <c r="F1594" s="268"/>
      <c r="G1594" s="112"/>
      <c r="H1594" s="112"/>
      <c r="I1594" s="126"/>
      <c r="J1594" s="112"/>
      <c r="K1594" s="112"/>
      <c r="L1594" s="268"/>
      <c r="M1594" s="112"/>
      <c r="N1594" s="126"/>
      <c r="O1594" s="112"/>
      <c r="P1594" s="112"/>
      <c r="Q1594" s="112"/>
      <c r="R1594" s="112"/>
      <c r="S1594" s="112">
        <v>0.71887000000000001</v>
      </c>
      <c r="T1594" s="145">
        <v>30</v>
      </c>
      <c r="U1594" s="144"/>
      <c r="V1594" s="112"/>
      <c r="W1594" s="112"/>
      <c r="X1594" s="112">
        <v>3</v>
      </c>
      <c r="Y1594" s="112"/>
      <c r="Z1594" s="112">
        <v>9</v>
      </c>
      <c r="AA1594" s="112"/>
      <c r="AB1594" s="112"/>
      <c r="AC1594" s="112"/>
      <c r="AD1594" s="112"/>
      <c r="AE1594" s="112"/>
      <c r="AF1594" s="112"/>
      <c r="AG1594" s="112"/>
      <c r="AH1594" s="112" t="s">
        <v>482</v>
      </c>
      <c r="AI1594" s="112" t="s">
        <v>482</v>
      </c>
      <c r="AJ1594" s="112"/>
      <c r="AK1594" s="112"/>
      <c r="AL1594" s="112"/>
      <c r="AM1594" s="646">
        <f t="shared" si="31"/>
        <v>47.718870000000003</v>
      </c>
      <c r="AO1594" s="289"/>
    </row>
    <row r="1595" spans="1:42" s="61" customFormat="1" ht="21" customHeight="1" x14ac:dyDescent="0.3">
      <c r="A1595" s="705" t="s">
        <v>276</v>
      </c>
      <c r="B1595" s="179" t="s">
        <v>293</v>
      </c>
      <c r="C1595" s="135">
        <v>20</v>
      </c>
      <c r="D1595" s="136"/>
      <c r="E1595" s="136"/>
      <c r="F1595" s="262"/>
      <c r="G1595" s="136">
        <v>36</v>
      </c>
      <c r="H1595" s="136"/>
      <c r="I1595" s="326"/>
      <c r="J1595" s="136"/>
      <c r="K1595" s="136"/>
      <c r="L1595" s="262"/>
      <c r="M1595" s="136"/>
      <c r="N1595" s="326"/>
      <c r="O1595" s="136"/>
      <c r="P1595" s="136"/>
      <c r="Q1595" s="136"/>
      <c r="R1595" s="136"/>
      <c r="S1595" s="136"/>
      <c r="T1595" s="137"/>
      <c r="U1595" s="632">
        <v>1.9</v>
      </c>
      <c r="V1595" s="122"/>
      <c r="W1595" s="122"/>
      <c r="X1595" s="122"/>
      <c r="Y1595" s="122"/>
      <c r="Z1595" s="122">
        <v>15</v>
      </c>
      <c r="AA1595" s="122"/>
      <c r="AB1595" s="122"/>
      <c r="AC1595" s="122"/>
      <c r="AD1595" s="122"/>
      <c r="AE1595" s="122"/>
      <c r="AF1595" s="122"/>
      <c r="AG1595" s="122"/>
      <c r="AH1595" s="122"/>
      <c r="AI1595" s="122" t="s">
        <v>482</v>
      </c>
      <c r="AJ1595" s="122"/>
      <c r="AK1595" s="122"/>
      <c r="AL1595" s="122"/>
      <c r="AM1595" s="639">
        <f t="shared" si="31"/>
        <v>72.900000000000006</v>
      </c>
      <c r="AO1595" s="289"/>
    </row>
    <row r="1596" spans="1:42" s="61" customFormat="1" ht="19.5" customHeight="1" x14ac:dyDescent="0.3">
      <c r="A1596" s="706"/>
      <c r="B1596" s="116" t="s">
        <v>294</v>
      </c>
      <c r="C1596" s="138"/>
      <c r="D1596" s="109"/>
      <c r="E1596" s="109"/>
      <c r="F1596" s="263"/>
      <c r="G1596" s="109">
        <v>47</v>
      </c>
      <c r="H1596" s="109"/>
      <c r="I1596" s="123"/>
      <c r="J1596" s="109"/>
      <c r="K1596" s="109"/>
      <c r="L1596" s="263"/>
      <c r="M1596" s="109"/>
      <c r="N1596" s="123"/>
      <c r="O1596" s="109"/>
      <c r="P1596" s="109"/>
      <c r="Q1596" s="109"/>
      <c r="R1596" s="109"/>
      <c r="S1596" s="109"/>
      <c r="T1596" s="139"/>
      <c r="U1596" s="138">
        <v>1.875</v>
      </c>
      <c r="V1596" s="109"/>
      <c r="W1596" s="109"/>
      <c r="X1596" s="109"/>
      <c r="Y1596" s="109"/>
      <c r="Z1596" s="109"/>
      <c r="AA1596" s="109"/>
      <c r="AB1596" s="109"/>
      <c r="AC1596" s="109"/>
      <c r="AD1596" s="109"/>
      <c r="AE1596" s="109"/>
      <c r="AF1596" s="109"/>
      <c r="AG1596" s="109">
        <v>6.55</v>
      </c>
      <c r="AH1596" s="109"/>
      <c r="AI1596" s="109" t="s">
        <v>482</v>
      </c>
      <c r="AJ1596" s="109"/>
      <c r="AK1596" s="109"/>
      <c r="AL1596" s="109"/>
      <c r="AM1596" s="640">
        <f t="shared" si="31"/>
        <v>55.424999999999997</v>
      </c>
      <c r="AO1596" s="289"/>
    </row>
    <row r="1597" spans="1:42" s="61" customFormat="1" ht="22.5" customHeight="1" x14ac:dyDescent="0.3">
      <c r="A1597" s="706"/>
      <c r="B1597" s="117" t="s">
        <v>326</v>
      </c>
      <c r="C1597" s="140">
        <v>24.193000000000001</v>
      </c>
      <c r="D1597" s="110"/>
      <c r="E1597" s="110"/>
      <c r="F1597" s="264"/>
      <c r="G1597" s="110">
        <v>37</v>
      </c>
      <c r="H1597" s="110"/>
      <c r="I1597" s="124"/>
      <c r="J1597" s="110"/>
      <c r="K1597" s="110"/>
      <c r="L1597" s="264"/>
      <c r="M1597" s="110"/>
      <c r="N1597" s="124"/>
      <c r="O1597" s="110"/>
      <c r="P1597" s="110"/>
      <c r="Q1597" s="110"/>
      <c r="R1597" s="110"/>
      <c r="S1597" s="110">
        <v>293</v>
      </c>
      <c r="T1597" s="141"/>
      <c r="U1597" s="140">
        <v>1.19</v>
      </c>
      <c r="V1597" s="110"/>
      <c r="W1597" s="110"/>
      <c r="X1597" s="110"/>
      <c r="Y1597" s="110"/>
      <c r="Z1597" s="110"/>
      <c r="AA1597" s="110"/>
      <c r="AB1597" s="110"/>
      <c r="AC1597" s="110"/>
      <c r="AD1597" s="110"/>
      <c r="AE1597" s="110"/>
      <c r="AF1597" s="110"/>
      <c r="AG1597" s="110"/>
      <c r="AH1597" s="110"/>
      <c r="AI1597" s="110" t="s">
        <v>482</v>
      </c>
      <c r="AJ1597" s="110"/>
      <c r="AK1597" s="110"/>
      <c r="AL1597" s="110"/>
      <c r="AM1597" s="641">
        <f t="shared" si="31"/>
        <v>355.38299999999998</v>
      </c>
      <c r="AO1597" s="289"/>
      <c r="AP1597" s="97"/>
    </row>
    <row r="1598" spans="1:42" s="61" customFormat="1" ht="25.5" customHeight="1" x14ac:dyDescent="0.3">
      <c r="A1598" s="706"/>
      <c r="B1598" s="175" t="s">
        <v>327</v>
      </c>
      <c r="C1598" s="176">
        <v>114.816</v>
      </c>
      <c r="D1598" s="127"/>
      <c r="E1598" s="127"/>
      <c r="F1598" s="265"/>
      <c r="G1598" s="127">
        <v>29</v>
      </c>
      <c r="H1598" s="127"/>
      <c r="I1598" s="178"/>
      <c r="J1598" s="127"/>
      <c r="K1598" s="127"/>
      <c r="L1598" s="265"/>
      <c r="M1598" s="127"/>
      <c r="N1598" s="178"/>
      <c r="O1598" s="127"/>
      <c r="P1598" s="127"/>
      <c r="Q1598" s="127"/>
      <c r="R1598" s="127"/>
      <c r="S1598" s="127">
        <v>329</v>
      </c>
      <c r="T1598" s="177"/>
      <c r="U1598" s="176">
        <v>1.19</v>
      </c>
      <c r="V1598" s="127"/>
      <c r="W1598" s="127"/>
      <c r="X1598" s="127"/>
      <c r="Y1598" s="127"/>
      <c r="Z1598" s="127">
        <v>48.76567</v>
      </c>
      <c r="AA1598" s="127"/>
      <c r="AB1598" s="127"/>
      <c r="AC1598" s="127"/>
      <c r="AD1598" s="127"/>
      <c r="AE1598" s="127"/>
      <c r="AF1598" s="127"/>
      <c r="AG1598" s="127"/>
      <c r="AH1598" s="127"/>
      <c r="AI1598" s="127" t="s">
        <v>482</v>
      </c>
      <c r="AJ1598" s="127"/>
      <c r="AK1598" s="127"/>
      <c r="AL1598" s="127"/>
      <c r="AM1598" s="642">
        <f t="shared" si="31"/>
        <v>522.77167000000009</v>
      </c>
      <c r="AO1598" s="289"/>
    </row>
    <row r="1599" spans="1:42" s="61" customFormat="1" ht="25.5" customHeight="1" x14ac:dyDescent="0.3">
      <c r="A1599" s="706"/>
      <c r="B1599" s="180" t="s">
        <v>361</v>
      </c>
      <c r="C1599" s="300">
        <v>15.065329999999999</v>
      </c>
      <c r="D1599" s="173"/>
      <c r="E1599" s="173"/>
      <c r="F1599" s="266"/>
      <c r="G1599" s="173">
        <v>17</v>
      </c>
      <c r="H1599" s="173"/>
      <c r="I1599" s="174"/>
      <c r="J1599" s="173"/>
      <c r="K1599" s="173"/>
      <c r="L1599" s="266"/>
      <c r="M1599" s="173"/>
      <c r="N1599" s="174"/>
      <c r="O1599" s="173"/>
      <c r="P1599" s="173"/>
      <c r="Q1599" s="173"/>
      <c r="R1599" s="173"/>
      <c r="S1599" s="173">
        <v>875</v>
      </c>
      <c r="T1599" s="327"/>
      <c r="U1599" s="300">
        <v>1.19</v>
      </c>
      <c r="V1599" s="173"/>
      <c r="W1599" s="173"/>
      <c r="X1599" s="173"/>
      <c r="Y1599" s="173"/>
      <c r="Z1599" s="173"/>
      <c r="AA1599" s="173"/>
      <c r="AB1599" s="173"/>
      <c r="AC1599" s="173"/>
      <c r="AD1599" s="173"/>
      <c r="AE1599" s="173"/>
      <c r="AF1599" s="173"/>
      <c r="AG1599" s="173"/>
      <c r="AH1599" s="173"/>
      <c r="AI1599" s="173" t="s">
        <v>482</v>
      </c>
      <c r="AJ1599" s="173"/>
      <c r="AK1599" s="173"/>
      <c r="AL1599" s="173"/>
      <c r="AM1599" s="643">
        <f t="shared" si="31"/>
        <v>908.25533000000007</v>
      </c>
      <c r="AO1599" s="289"/>
      <c r="AP1599" s="97"/>
    </row>
    <row r="1600" spans="1:42" s="61" customFormat="1" ht="25.5" customHeight="1" x14ac:dyDescent="0.3">
      <c r="A1600" s="706"/>
      <c r="B1600" s="180" t="s">
        <v>362</v>
      </c>
      <c r="C1600" s="300">
        <v>18.978490000000001</v>
      </c>
      <c r="D1600" s="173"/>
      <c r="E1600" s="173"/>
      <c r="F1600" s="266"/>
      <c r="G1600" s="173">
        <v>30</v>
      </c>
      <c r="H1600" s="173"/>
      <c r="I1600" s="174"/>
      <c r="J1600" s="173"/>
      <c r="K1600" s="173"/>
      <c r="L1600" s="266"/>
      <c r="M1600" s="173"/>
      <c r="N1600" s="174"/>
      <c r="O1600" s="173"/>
      <c r="P1600" s="173"/>
      <c r="Q1600" s="173"/>
      <c r="R1600" s="173"/>
      <c r="S1600" s="173">
        <v>1489</v>
      </c>
      <c r="T1600" s="327">
        <v>30.5</v>
      </c>
      <c r="U1600" s="300">
        <v>1.373</v>
      </c>
      <c r="V1600" s="173"/>
      <c r="W1600" s="173">
        <v>763</v>
      </c>
      <c r="X1600" s="173"/>
      <c r="Y1600" s="173"/>
      <c r="Z1600" s="173">
        <v>5.4479499999999996</v>
      </c>
      <c r="AA1600" s="173"/>
      <c r="AB1600" s="173"/>
      <c r="AC1600" s="173"/>
      <c r="AD1600" s="173"/>
      <c r="AE1600" s="173"/>
      <c r="AF1600" s="173"/>
      <c r="AG1600" s="173"/>
      <c r="AH1600" s="173"/>
      <c r="AI1600" s="173" t="s">
        <v>482</v>
      </c>
      <c r="AJ1600" s="173"/>
      <c r="AK1600" s="173"/>
      <c r="AL1600" s="173"/>
      <c r="AM1600" s="644">
        <f t="shared" si="31"/>
        <v>2338.2994400000002</v>
      </c>
      <c r="AO1600" s="289"/>
      <c r="AP1600" s="97"/>
    </row>
    <row r="1601" spans="1:42" s="61" customFormat="1" ht="22.5" customHeight="1" x14ac:dyDescent="0.3">
      <c r="A1601" s="706"/>
      <c r="B1601" s="115" t="s">
        <v>402</v>
      </c>
      <c r="C1601" s="142">
        <v>12.690250000000001</v>
      </c>
      <c r="D1601" s="111"/>
      <c r="E1601" s="111"/>
      <c r="F1601" s="267"/>
      <c r="G1601" s="111">
        <v>245</v>
      </c>
      <c r="H1601" s="111"/>
      <c r="I1601" s="125"/>
      <c r="J1601" s="111"/>
      <c r="K1601" s="111"/>
      <c r="L1601" s="267"/>
      <c r="M1601" s="111"/>
      <c r="N1601" s="125"/>
      <c r="O1601" s="111"/>
      <c r="P1601" s="111"/>
      <c r="Q1601" s="111"/>
      <c r="R1601" s="111"/>
      <c r="S1601" s="111">
        <v>379.29317000000003</v>
      </c>
      <c r="T1601" s="143">
        <v>28.98</v>
      </c>
      <c r="U1601" s="142">
        <v>1.9139999999999999</v>
      </c>
      <c r="V1601" s="111"/>
      <c r="W1601" s="111"/>
      <c r="X1601" s="111"/>
      <c r="Y1601" s="111"/>
      <c r="Z1601" s="111">
        <v>15</v>
      </c>
      <c r="AA1601" s="111"/>
      <c r="AB1601" s="111"/>
      <c r="AC1601" s="111"/>
      <c r="AD1601" s="111"/>
      <c r="AE1601" s="111"/>
      <c r="AF1601" s="111"/>
      <c r="AG1601" s="111"/>
      <c r="AH1601" s="111" t="s">
        <v>482</v>
      </c>
      <c r="AI1601" s="111" t="s">
        <v>482</v>
      </c>
      <c r="AJ1601" s="111"/>
      <c r="AK1601" s="111"/>
      <c r="AL1601" s="111"/>
      <c r="AM1601" s="645">
        <f t="shared" si="31"/>
        <v>682.87742000000003</v>
      </c>
      <c r="AO1601" s="289"/>
    </row>
    <row r="1602" spans="1:42" s="61" customFormat="1" ht="21" customHeight="1" x14ac:dyDescent="0.3">
      <c r="A1602" s="707"/>
      <c r="B1602" s="181" t="s">
        <v>403</v>
      </c>
      <c r="C1602" s="144">
        <v>13.23709</v>
      </c>
      <c r="D1602" s="112"/>
      <c r="E1602" s="112"/>
      <c r="F1602" s="268"/>
      <c r="G1602" s="112">
        <v>155</v>
      </c>
      <c r="H1602" s="112"/>
      <c r="I1602" s="126"/>
      <c r="J1602" s="112"/>
      <c r="K1602" s="112"/>
      <c r="L1602" s="268"/>
      <c r="M1602" s="112"/>
      <c r="N1602" s="126"/>
      <c r="O1602" s="112"/>
      <c r="P1602" s="112"/>
      <c r="Q1602" s="112"/>
      <c r="R1602" s="112"/>
      <c r="S1602" s="112">
        <v>353.73727800000006</v>
      </c>
      <c r="T1602" s="145">
        <v>30.94</v>
      </c>
      <c r="U1602" s="144">
        <v>2.84</v>
      </c>
      <c r="V1602" s="112">
        <f>1726/1000-V1601</f>
        <v>1.726</v>
      </c>
      <c r="W1602" s="112"/>
      <c r="X1602" s="112"/>
      <c r="Y1602" s="112"/>
      <c r="Z1602" s="112">
        <v>8</v>
      </c>
      <c r="AA1602" s="112"/>
      <c r="AB1602" s="112"/>
      <c r="AC1602" s="112"/>
      <c r="AD1602" s="112"/>
      <c r="AE1602" s="112"/>
      <c r="AF1602" s="112"/>
      <c r="AG1602" s="112"/>
      <c r="AH1602" s="112">
        <v>580</v>
      </c>
      <c r="AI1602" s="112" t="s">
        <v>482</v>
      </c>
      <c r="AJ1602" s="112"/>
      <c r="AK1602" s="112"/>
      <c r="AL1602" s="112"/>
      <c r="AM1602" s="646">
        <f t="shared" si="31"/>
        <v>1145.480368</v>
      </c>
      <c r="AO1602" s="289"/>
    </row>
    <row r="1603" spans="1:42" s="61" customFormat="1" ht="21" customHeight="1" x14ac:dyDescent="0.3">
      <c r="A1603" s="705" t="s">
        <v>277</v>
      </c>
      <c r="B1603" s="179" t="s">
        <v>293</v>
      </c>
      <c r="C1603" s="135">
        <v>1746</v>
      </c>
      <c r="D1603" s="136"/>
      <c r="E1603" s="136"/>
      <c r="F1603" s="262"/>
      <c r="G1603" s="136">
        <v>128</v>
      </c>
      <c r="H1603" s="136">
        <v>430</v>
      </c>
      <c r="I1603" s="326"/>
      <c r="J1603" s="136"/>
      <c r="K1603" s="136"/>
      <c r="L1603" s="262"/>
      <c r="M1603" s="136"/>
      <c r="N1603" s="326"/>
      <c r="O1603" s="136"/>
      <c r="P1603" s="136"/>
      <c r="Q1603" s="136"/>
      <c r="R1603" s="136"/>
      <c r="S1603" s="136">
        <v>324</v>
      </c>
      <c r="T1603" s="137"/>
      <c r="U1603" s="632">
        <v>334.67200000000003</v>
      </c>
      <c r="V1603" s="122"/>
      <c r="W1603" s="122"/>
      <c r="X1603" s="122"/>
      <c r="Y1603" s="122">
        <v>54</v>
      </c>
      <c r="Z1603" s="122">
        <v>372</v>
      </c>
      <c r="AA1603" s="122"/>
      <c r="AB1603" s="122"/>
      <c r="AC1603" s="122"/>
      <c r="AD1603" s="122">
        <v>500</v>
      </c>
      <c r="AE1603" s="122">
        <v>1000</v>
      </c>
      <c r="AF1603" s="122"/>
      <c r="AG1603" s="122">
        <v>2.145</v>
      </c>
      <c r="AH1603" s="122"/>
      <c r="AI1603" s="122" t="s">
        <v>482</v>
      </c>
      <c r="AJ1603" s="122"/>
      <c r="AK1603" s="122"/>
      <c r="AL1603" s="122"/>
      <c r="AM1603" s="639">
        <f t="shared" si="31"/>
        <v>4890.8170000000009</v>
      </c>
      <c r="AO1603" s="289"/>
    </row>
    <row r="1604" spans="1:42" s="61" customFormat="1" ht="19.5" customHeight="1" x14ac:dyDescent="0.3">
      <c r="A1604" s="706"/>
      <c r="B1604" s="116" t="s">
        <v>294</v>
      </c>
      <c r="C1604" s="138">
        <v>721</v>
      </c>
      <c r="D1604" s="109"/>
      <c r="E1604" s="109"/>
      <c r="F1604" s="263"/>
      <c r="G1604" s="109">
        <v>175</v>
      </c>
      <c r="H1604" s="109">
        <v>300</v>
      </c>
      <c r="I1604" s="123"/>
      <c r="J1604" s="109"/>
      <c r="K1604" s="109"/>
      <c r="L1604" s="263"/>
      <c r="M1604" s="109"/>
      <c r="N1604" s="123"/>
      <c r="O1604" s="109"/>
      <c r="P1604" s="109"/>
      <c r="Q1604" s="109"/>
      <c r="R1604" s="109"/>
      <c r="S1604" s="109"/>
      <c r="T1604" s="139"/>
      <c r="U1604" s="138">
        <v>67.224999999999994</v>
      </c>
      <c r="V1604" s="109"/>
      <c r="W1604" s="109"/>
      <c r="X1604" s="109"/>
      <c r="Y1604" s="109"/>
      <c r="Z1604" s="109">
        <v>200</v>
      </c>
      <c r="AA1604" s="109"/>
      <c r="AB1604" s="109"/>
      <c r="AC1604" s="109"/>
      <c r="AD1604" s="109">
        <v>500</v>
      </c>
      <c r="AE1604" s="109"/>
      <c r="AF1604" s="109"/>
      <c r="AG1604" s="109">
        <v>8.9700000000000006</v>
      </c>
      <c r="AH1604" s="109"/>
      <c r="AI1604" s="109" t="s">
        <v>482</v>
      </c>
      <c r="AJ1604" s="109"/>
      <c r="AK1604" s="109">
        <v>609.23</v>
      </c>
      <c r="AL1604" s="109"/>
      <c r="AM1604" s="640">
        <f t="shared" si="31"/>
        <v>2581.4250000000002</v>
      </c>
      <c r="AO1604" s="289"/>
    </row>
    <row r="1605" spans="1:42" s="61" customFormat="1" ht="22.5" customHeight="1" x14ac:dyDescent="0.3">
      <c r="A1605" s="706"/>
      <c r="B1605" s="117" t="s">
        <v>326</v>
      </c>
      <c r="C1605" s="140">
        <v>580.91</v>
      </c>
      <c r="D1605" s="110"/>
      <c r="E1605" s="110"/>
      <c r="F1605" s="264">
        <v>500</v>
      </c>
      <c r="G1605" s="110">
        <v>40</v>
      </c>
      <c r="H1605" s="110">
        <v>306</v>
      </c>
      <c r="I1605" s="124"/>
      <c r="J1605" s="110"/>
      <c r="K1605" s="110"/>
      <c r="L1605" s="264"/>
      <c r="M1605" s="110"/>
      <c r="N1605" s="124"/>
      <c r="O1605" s="110">
        <v>70</v>
      </c>
      <c r="P1605" s="110"/>
      <c r="Q1605" s="110"/>
      <c r="R1605" s="110"/>
      <c r="S1605" s="110">
        <v>2184</v>
      </c>
      <c r="T1605" s="141"/>
      <c r="U1605" s="140">
        <v>89.12</v>
      </c>
      <c r="V1605" s="110"/>
      <c r="W1605" s="110"/>
      <c r="X1605" s="110"/>
      <c r="Y1605" s="110">
        <v>108</v>
      </c>
      <c r="Z1605" s="110">
        <v>106</v>
      </c>
      <c r="AA1605" s="110"/>
      <c r="AB1605" s="110"/>
      <c r="AC1605" s="110">
        <v>50</v>
      </c>
      <c r="AD1605" s="110">
        <v>500</v>
      </c>
      <c r="AE1605" s="110"/>
      <c r="AF1605" s="110"/>
      <c r="AG1605" s="110"/>
      <c r="AH1605" s="110"/>
      <c r="AI1605" s="110">
        <v>500</v>
      </c>
      <c r="AJ1605" s="110"/>
      <c r="AK1605" s="110">
        <v>68</v>
      </c>
      <c r="AL1605" s="110"/>
      <c r="AM1605" s="641">
        <f t="shared" si="31"/>
        <v>5102.03</v>
      </c>
      <c r="AO1605" s="289"/>
      <c r="AP1605" s="97"/>
    </row>
    <row r="1606" spans="1:42" s="61" customFormat="1" ht="25.5" customHeight="1" x14ac:dyDescent="0.3">
      <c r="A1606" s="706"/>
      <c r="B1606" s="175" t="s">
        <v>327</v>
      </c>
      <c r="C1606" s="176">
        <v>350</v>
      </c>
      <c r="D1606" s="127"/>
      <c r="E1606" s="127"/>
      <c r="F1606" s="265"/>
      <c r="G1606" s="127">
        <v>176</v>
      </c>
      <c r="H1606" s="127">
        <v>147</v>
      </c>
      <c r="I1606" s="178"/>
      <c r="J1606" s="127"/>
      <c r="K1606" s="127"/>
      <c r="L1606" s="265">
        <v>287</v>
      </c>
      <c r="M1606" s="127"/>
      <c r="N1606" s="178"/>
      <c r="O1606" s="127">
        <v>89</v>
      </c>
      <c r="P1606" s="127"/>
      <c r="Q1606" s="127"/>
      <c r="R1606" s="127"/>
      <c r="S1606" s="127">
        <v>2786</v>
      </c>
      <c r="T1606" s="177"/>
      <c r="U1606" s="176">
        <v>99.914000000000001</v>
      </c>
      <c r="V1606" s="127"/>
      <c r="W1606" s="127"/>
      <c r="X1606" s="127"/>
      <c r="Y1606" s="127">
        <v>54</v>
      </c>
      <c r="Z1606" s="127">
        <v>2857</v>
      </c>
      <c r="AA1606" s="127"/>
      <c r="AB1606" s="127">
        <v>10</v>
      </c>
      <c r="AC1606" s="127">
        <v>290.7</v>
      </c>
      <c r="AD1606" s="127">
        <v>959</v>
      </c>
      <c r="AE1606" s="127"/>
      <c r="AF1606" s="127"/>
      <c r="AG1606" s="127"/>
      <c r="AH1606" s="127">
        <v>1000</v>
      </c>
      <c r="AI1606" s="127" t="s">
        <v>482</v>
      </c>
      <c r="AJ1606" s="127"/>
      <c r="AK1606" s="127">
        <v>-148</v>
      </c>
      <c r="AL1606" s="127"/>
      <c r="AM1606" s="642">
        <f t="shared" si="31"/>
        <v>8957.6140000000014</v>
      </c>
      <c r="AO1606" s="289"/>
    </row>
    <row r="1607" spans="1:42" s="61" customFormat="1" ht="25.5" customHeight="1" x14ac:dyDescent="0.3">
      <c r="A1607" s="706"/>
      <c r="B1607" s="180" t="s">
        <v>361</v>
      </c>
      <c r="C1607" s="300">
        <v>310</v>
      </c>
      <c r="D1607" s="173"/>
      <c r="E1607" s="173"/>
      <c r="F1607" s="266"/>
      <c r="G1607" s="173">
        <v>15</v>
      </c>
      <c r="H1607" s="173"/>
      <c r="I1607" s="174"/>
      <c r="J1607" s="173"/>
      <c r="K1607" s="173"/>
      <c r="L1607" s="266"/>
      <c r="M1607" s="173"/>
      <c r="N1607" s="174"/>
      <c r="O1607" s="173">
        <v>6</v>
      </c>
      <c r="P1607" s="173"/>
      <c r="Q1607" s="173"/>
      <c r="R1607" s="173"/>
      <c r="S1607" s="173">
        <v>3813</v>
      </c>
      <c r="T1607" s="327"/>
      <c r="U1607" s="300">
        <v>241.99199999999999</v>
      </c>
      <c r="V1607" s="173"/>
      <c r="W1607" s="173"/>
      <c r="X1607" s="173"/>
      <c r="Y1607" s="173">
        <v>54</v>
      </c>
      <c r="Z1607" s="173">
        <v>179.72363000000001</v>
      </c>
      <c r="AA1607" s="173"/>
      <c r="AB1607" s="173">
        <v>30</v>
      </c>
      <c r="AC1607" s="173">
        <v>478</v>
      </c>
      <c r="AD1607" s="173">
        <v>1000</v>
      </c>
      <c r="AE1607" s="173"/>
      <c r="AF1607" s="173"/>
      <c r="AG1607" s="173"/>
      <c r="AH1607" s="173">
        <v>5000</v>
      </c>
      <c r="AI1607" s="173">
        <v>704</v>
      </c>
      <c r="AJ1607" s="173"/>
      <c r="AK1607" s="173"/>
      <c r="AL1607" s="173"/>
      <c r="AM1607" s="643">
        <f t="shared" si="31"/>
        <v>11831.715630000001</v>
      </c>
      <c r="AO1607" s="289"/>
      <c r="AP1607" s="97"/>
    </row>
    <row r="1608" spans="1:42" s="61" customFormat="1" ht="25.5" customHeight="1" x14ac:dyDescent="0.3">
      <c r="A1608" s="706"/>
      <c r="B1608" s="180" t="s">
        <v>362</v>
      </c>
      <c r="C1608" s="300">
        <v>2500</v>
      </c>
      <c r="D1608" s="173"/>
      <c r="E1608" s="173"/>
      <c r="F1608" s="266"/>
      <c r="G1608" s="173">
        <v>182</v>
      </c>
      <c r="H1608" s="173"/>
      <c r="I1608" s="174"/>
      <c r="J1608" s="173"/>
      <c r="K1608" s="173"/>
      <c r="L1608" s="266"/>
      <c r="M1608" s="173"/>
      <c r="N1608" s="174"/>
      <c r="O1608" s="173">
        <v>20</v>
      </c>
      <c r="P1608" s="173"/>
      <c r="Q1608" s="173"/>
      <c r="R1608" s="173"/>
      <c r="S1608" s="173">
        <v>4163</v>
      </c>
      <c r="T1608" s="327"/>
      <c r="U1608" s="300">
        <v>635.03399999999999</v>
      </c>
      <c r="V1608" s="173"/>
      <c r="W1608" s="173"/>
      <c r="X1608" s="173"/>
      <c r="Y1608" s="173">
        <v>10053</v>
      </c>
      <c r="Z1608" s="173">
        <v>5859.8340900000003</v>
      </c>
      <c r="AA1608" s="173"/>
      <c r="AB1608" s="173">
        <v>35</v>
      </c>
      <c r="AC1608" s="173">
        <f>1171+13630</f>
        <v>14801</v>
      </c>
      <c r="AD1608" s="173">
        <v>915</v>
      </c>
      <c r="AE1608" s="173"/>
      <c r="AF1608" s="173"/>
      <c r="AG1608" s="173">
        <v>10</v>
      </c>
      <c r="AH1608" s="173">
        <v>2000</v>
      </c>
      <c r="AI1608" s="173">
        <v>206</v>
      </c>
      <c r="AJ1608" s="173"/>
      <c r="AK1608" s="173"/>
      <c r="AL1608" s="173"/>
      <c r="AM1608" s="644">
        <f t="shared" si="31"/>
        <v>41379.868090000004</v>
      </c>
      <c r="AO1608" s="289"/>
      <c r="AP1608" s="97"/>
    </row>
    <row r="1609" spans="1:42" s="61" customFormat="1" ht="22.5" customHeight="1" x14ac:dyDescent="0.3">
      <c r="A1609" s="706"/>
      <c r="B1609" s="115" t="s">
        <v>402</v>
      </c>
      <c r="C1609" s="142">
        <v>5979.91212</v>
      </c>
      <c r="D1609" s="111"/>
      <c r="E1609" s="111"/>
      <c r="F1609" s="267"/>
      <c r="G1609" s="111">
        <v>15</v>
      </c>
      <c r="H1609" s="111"/>
      <c r="I1609" s="125"/>
      <c r="J1609" s="111"/>
      <c r="K1609" s="111"/>
      <c r="L1609" s="267">
        <v>0</v>
      </c>
      <c r="M1609" s="111"/>
      <c r="N1609" s="125"/>
      <c r="O1609" s="111"/>
      <c r="P1609" s="111">
        <v>0</v>
      </c>
      <c r="Q1609" s="111"/>
      <c r="R1609" s="111"/>
      <c r="S1609" s="111">
        <v>11931.254466</v>
      </c>
      <c r="T1609" s="143">
        <v>154.97999999999999</v>
      </c>
      <c r="U1609" s="142">
        <v>152.852</v>
      </c>
      <c r="V1609" s="111"/>
      <c r="W1609" s="111"/>
      <c r="X1609" s="111"/>
      <c r="Y1609" s="111">
        <v>54</v>
      </c>
      <c r="Z1609" s="111">
        <v>14522</v>
      </c>
      <c r="AA1609" s="111"/>
      <c r="AB1609" s="111">
        <v>62.9</v>
      </c>
      <c r="AC1609" s="111">
        <v>1370</v>
      </c>
      <c r="AD1609" s="111">
        <v>5337</v>
      </c>
      <c r="AE1609" s="111"/>
      <c r="AF1609" s="111"/>
      <c r="AG1609" s="111"/>
      <c r="AH1609" s="111">
        <v>50</v>
      </c>
      <c r="AI1609" s="111">
        <v>285</v>
      </c>
      <c r="AJ1609" s="111"/>
      <c r="AK1609" s="111"/>
      <c r="AL1609" s="111"/>
      <c r="AM1609" s="645">
        <f t="shared" si="31"/>
        <v>39914.898586000003</v>
      </c>
      <c r="AO1609" s="289"/>
    </row>
    <row r="1610" spans="1:42" s="61" customFormat="1" ht="21" customHeight="1" x14ac:dyDescent="0.3">
      <c r="A1610" s="707"/>
      <c r="B1610" s="181" t="s">
        <v>403</v>
      </c>
      <c r="C1610" s="144">
        <v>549.97500000000002</v>
      </c>
      <c r="D1610" s="112"/>
      <c r="E1610" s="112"/>
      <c r="F1610" s="268"/>
      <c r="G1610" s="112">
        <v>16</v>
      </c>
      <c r="H1610" s="112">
        <v>12</v>
      </c>
      <c r="I1610" s="126"/>
      <c r="J1610" s="112"/>
      <c r="K1610" s="112"/>
      <c r="L1610" s="268"/>
      <c r="M1610" s="112"/>
      <c r="N1610" s="126"/>
      <c r="O1610" s="112"/>
      <c r="P1610" s="112">
        <v>4</v>
      </c>
      <c r="Q1610" s="112"/>
      <c r="R1610" s="112"/>
      <c r="S1610" s="112">
        <v>5977.4527930000004</v>
      </c>
      <c r="T1610" s="145">
        <v>0</v>
      </c>
      <c r="U1610" s="144">
        <v>162.37</v>
      </c>
      <c r="V1610" s="112"/>
      <c r="W1610" s="112"/>
      <c r="X1610" s="112"/>
      <c r="Y1610" s="112">
        <v>30054</v>
      </c>
      <c r="Z1610" s="112">
        <v>8602</v>
      </c>
      <c r="AA1610" s="112"/>
      <c r="AB1610" s="112">
        <v>30</v>
      </c>
      <c r="AC1610" s="112">
        <v>231</v>
      </c>
      <c r="AD1610" s="112">
        <v>3960</v>
      </c>
      <c r="AE1610" s="112"/>
      <c r="AF1610" s="112"/>
      <c r="AG1610" s="112"/>
      <c r="AH1610" s="112" t="s">
        <v>482</v>
      </c>
      <c r="AI1610" s="112">
        <v>286</v>
      </c>
      <c r="AJ1610" s="112"/>
      <c r="AK1610" s="112"/>
      <c r="AL1610" s="112"/>
      <c r="AM1610" s="646">
        <f t="shared" si="31"/>
        <v>49884.797792999998</v>
      </c>
      <c r="AO1610" s="289"/>
    </row>
    <row r="1611" spans="1:42" s="61" customFormat="1" ht="21" customHeight="1" x14ac:dyDescent="0.3">
      <c r="A1611" s="712" t="s">
        <v>331</v>
      </c>
      <c r="B1611" s="179" t="s">
        <v>293</v>
      </c>
      <c r="C1611" s="135">
        <v>35165.565000000002</v>
      </c>
      <c r="D1611" s="136">
        <v>5</v>
      </c>
      <c r="E1611" s="136"/>
      <c r="F1611" s="262">
        <v>9113.0810000000001</v>
      </c>
      <c r="G1611" s="136">
        <v>4764</v>
      </c>
      <c r="H1611" s="136">
        <v>94</v>
      </c>
      <c r="I1611" s="326"/>
      <c r="J1611" s="136">
        <v>77</v>
      </c>
      <c r="K1611" s="136">
        <v>1114</v>
      </c>
      <c r="L1611" s="262">
        <v>8244.6039999999994</v>
      </c>
      <c r="M1611" s="136">
        <v>431.80599999999998</v>
      </c>
      <c r="N1611" s="326">
        <v>12272.932000000001</v>
      </c>
      <c r="O1611" s="136">
        <v>172.5</v>
      </c>
      <c r="P1611" s="136"/>
      <c r="Q1611" s="136">
        <v>5205</v>
      </c>
      <c r="R1611" s="136">
        <f>+(943+2201)/2</f>
        <v>1572</v>
      </c>
      <c r="S1611" s="136">
        <v>56301.987000000001</v>
      </c>
      <c r="T1611" s="137">
        <v>6514.2340000000004</v>
      </c>
      <c r="U1611" s="632">
        <v>2599.683</v>
      </c>
      <c r="V1611" s="122">
        <f>(146420+91457)/1000</f>
        <v>237.87700000000001</v>
      </c>
      <c r="W1611" s="122">
        <v>5820</v>
      </c>
      <c r="X1611" s="122">
        <v>2377</v>
      </c>
      <c r="Y1611" s="122">
        <v>33561</v>
      </c>
      <c r="Z1611" s="122">
        <v>93638</v>
      </c>
      <c r="AA1611" s="122">
        <v>2397.7565199999999</v>
      </c>
      <c r="AB1611" s="122"/>
      <c r="AC1611" s="122">
        <v>6398.7419999999993</v>
      </c>
      <c r="AD1611" s="122">
        <v>30648</v>
      </c>
      <c r="AE1611" s="122"/>
      <c r="AF1611" s="122"/>
      <c r="AG1611" s="122">
        <v>14.75</v>
      </c>
      <c r="AH1611" s="122">
        <v>100709.82</v>
      </c>
      <c r="AI1611" s="122">
        <v>72016</v>
      </c>
      <c r="AJ1611" s="122"/>
      <c r="AK1611" s="122">
        <v>455.6</v>
      </c>
      <c r="AL1611" s="122">
        <v>375.13060402684562</v>
      </c>
      <c r="AM1611" s="639">
        <f t="shared" si="31"/>
        <v>492297.06812402682</v>
      </c>
      <c r="AO1611" s="289"/>
    </row>
    <row r="1612" spans="1:42" s="61" customFormat="1" ht="19.5" customHeight="1" x14ac:dyDescent="0.3">
      <c r="A1612" s="713"/>
      <c r="B1612" s="116" t="s">
        <v>294</v>
      </c>
      <c r="C1612" s="138">
        <v>49957.84</v>
      </c>
      <c r="D1612" s="109">
        <v>13.131</v>
      </c>
      <c r="E1612" s="109"/>
      <c r="F1612" s="263">
        <v>15733.172</v>
      </c>
      <c r="G1612" s="109">
        <v>5396</v>
      </c>
      <c r="H1612" s="109">
        <v>322</v>
      </c>
      <c r="I1612" s="123"/>
      <c r="J1612" s="109">
        <v>102</v>
      </c>
      <c r="K1612" s="109">
        <f>689+829</f>
        <v>1518</v>
      </c>
      <c r="L1612" s="263">
        <v>14671.293</v>
      </c>
      <c r="M1612" s="109">
        <v>234.81</v>
      </c>
      <c r="N1612" s="123">
        <v>3879.5239999999999</v>
      </c>
      <c r="O1612" s="109">
        <v>1313</v>
      </c>
      <c r="P1612" s="109"/>
      <c r="Q1612" s="109">
        <v>5989</v>
      </c>
      <c r="R1612" s="109">
        <f>+(943+2201)/2</f>
        <v>1572</v>
      </c>
      <c r="S1612" s="109">
        <v>60448.082999999999</v>
      </c>
      <c r="T1612" s="139">
        <v>6867</v>
      </c>
      <c r="U1612" s="138">
        <v>4274.9449999999997</v>
      </c>
      <c r="V1612" s="109">
        <f>(306761+461889)/1000-V1611</f>
        <v>530.77299999999991</v>
      </c>
      <c r="W1612" s="109">
        <f>11874-5820</f>
        <v>6054</v>
      </c>
      <c r="X1612" s="109">
        <v>1794</v>
      </c>
      <c r="Y1612" s="109">
        <v>46543</v>
      </c>
      <c r="Z1612" s="109">
        <v>150798</v>
      </c>
      <c r="AA1612" s="109">
        <v>595.82425000000001</v>
      </c>
      <c r="AB1612" s="109"/>
      <c r="AC1612" s="109">
        <v>4496.4459999999999</v>
      </c>
      <c r="AD1612" s="109">
        <v>32701</v>
      </c>
      <c r="AE1612" s="109">
        <v>322</v>
      </c>
      <c r="AF1612" s="109"/>
      <c r="AG1612" s="109">
        <v>12.19</v>
      </c>
      <c r="AH1612" s="109">
        <v>133527.29999999999</v>
      </c>
      <c r="AI1612" s="109">
        <v>114641</v>
      </c>
      <c r="AJ1612" s="109"/>
      <c r="AK1612" s="109">
        <v>364.23</v>
      </c>
      <c r="AL1612" s="109">
        <v>867.81216923076931</v>
      </c>
      <c r="AM1612" s="640">
        <f t="shared" si="31"/>
        <v>665539.3734192308</v>
      </c>
      <c r="AO1612" s="289"/>
    </row>
    <row r="1613" spans="1:42" s="61" customFormat="1" ht="22.5" customHeight="1" x14ac:dyDescent="0.3">
      <c r="A1613" s="713"/>
      <c r="B1613" s="117" t="s">
        <v>326</v>
      </c>
      <c r="C1613" s="140">
        <v>48531.824000000001</v>
      </c>
      <c r="D1613" s="110"/>
      <c r="E1613" s="110"/>
      <c r="F1613" s="264">
        <v>19627</v>
      </c>
      <c r="G1613" s="110">
        <v>8218</v>
      </c>
      <c r="H1613" s="110">
        <v>302</v>
      </c>
      <c r="I1613" s="124"/>
      <c r="J1613" s="110">
        <v>36</v>
      </c>
      <c r="K1613" s="110">
        <f>825+859+332</f>
        <v>2016</v>
      </c>
      <c r="L1613" s="264">
        <v>8687</v>
      </c>
      <c r="M1613" s="110">
        <f>284558/1000</f>
        <v>284.55799999999999</v>
      </c>
      <c r="N1613" s="124">
        <v>9975.4609999999993</v>
      </c>
      <c r="O1613" s="110">
        <v>1281</v>
      </c>
      <c r="P1613" s="110"/>
      <c r="Q1613" s="110">
        <v>2911</v>
      </c>
      <c r="R1613" s="110">
        <f>+(5152+8146)/2</f>
        <v>6649</v>
      </c>
      <c r="S1613" s="110">
        <v>167907</v>
      </c>
      <c r="T1613" s="141"/>
      <c r="U1613" s="140">
        <v>2629.8560000000002</v>
      </c>
      <c r="V1613" s="110">
        <f>(184450+213251)/1000</f>
        <v>397.70100000000002</v>
      </c>
      <c r="W1613" s="110">
        <f>2919+2077</f>
        <v>4996</v>
      </c>
      <c r="X1613" s="110">
        <v>2890</v>
      </c>
      <c r="Y1613" s="110">
        <v>48390</v>
      </c>
      <c r="Z1613" s="110">
        <v>215436</v>
      </c>
      <c r="AA1613" s="110">
        <v>1006.16059</v>
      </c>
      <c r="AB1613" s="110"/>
      <c r="AC1613" s="110">
        <v>4100.3249999999998</v>
      </c>
      <c r="AD1613" s="110">
        <v>40774</v>
      </c>
      <c r="AE1613" s="110">
        <v>272</v>
      </c>
      <c r="AF1613" s="110"/>
      <c r="AG1613" s="110"/>
      <c r="AH1613" s="110">
        <v>110644.49614</v>
      </c>
      <c r="AI1613" s="110">
        <v>101438</v>
      </c>
      <c r="AJ1613" s="110"/>
      <c r="AK1613" s="110">
        <f>572+2</f>
        <v>574</v>
      </c>
      <c r="AL1613" s="110">
        <v>787.98245614035091</v>
      </c>
      <c r="AM1613" s="641">
        <f t="shared" si="31"/>
        <v>810762.36418614036</v>
      </c>
      <c r="AO1613" s="289"/>
      <c r="AP1613" s="97"/>
    </row>
    <row r="1614" spans="1:42" s="61" customFormat="1" ht="25.5" customHeight="1" x14ac:dyDescent="0.3">
      <c r="A1614" s="713"/>
      <c r="B1614" s="175" t="s">
        <v>327</v>
      </c>
      <c r="C1614" s="176">
        <v>78469.404999999999</v>
      </c>
      <c r="D1614" s="127"/>
      <c r="E1614" s="127"/>
      <c r="F1614" s="265">
        <v>22941</v>
      </c>
      <c r="G1614" s="127">
        <v>5679</v>
      </c>
      <c r="H1614" s="127">
        <v>321</v>
      </c>
      <c r="I1614" s="178"/>
      <c r="J1614" s="127">
        <v>55</v>
      </c>
      <c r="K1614" s="127">
        <f>5371+283+619</f>
        <v>6273</v>
      </c>
      <c r="L1614" s="265">
        <v>17331</v>
      </c>
      <c r="M1614" s="127">
        <f>107242/1000</f>
        <v>107.242</v>
      </c>
      <c r="N1614" s="178">
        <v>33538.851000000002</v>
      </c>
      <c r="O1614" s="127">
        <v>1487</v>
      </c>
      <c r="P1614" s="127"/>
      <c r="Q1614" s="127">
        <v>2657</v>
      </c>
      <c r="R1614" s="127">
        <f>+(5152+8146)/2</f>
        <v>6649</v>
      </c>
      <c r="S1614" s="127">
        <v>179665</v>
      </c>
      <c r="T1614" s="177"/>
      <c r="U1614" s="176">
        <v>4038.2629999999999</v>
      </c>
      <c r="V1614" s="127">
        <f>(377665+1096676)/1000-V1613</f>
        <v>1076.6399999999999</v>
      </c>
      <c r="W1614" s="127">
        <f>2077+14565-4996</f>
        <v>11646</v>
      </c>
      <c r="X1614" s="127">
        <v>3207</v>
      </c>
      <c r="Y1614" s="127">
        <v>56892</v>
      </c>
      <c r="Z1614" s="127">
        <v>227274</v>
      </c>
      <c r="AA1614" s="127">
        <v>825.21013000000005</v>
      </c>
      <c r="AB1614" s="127"/>
      <c r="AC1614" s="127">
        <v>7576.3820000000005</v>
      </c>
      <c r="AD1614" s="127">
        <v>29837</v>
      </c>
      <c r="AE1614" s="127">
        <v>284</v>
      </c>
      <c r="AF1614" s="127"/>
      <c r="AG1614" s="127"/>
      <c r="AH1614" s="127">
        <v>116932.59</v>
      </c>
      <c r="AI1614" s="127">
        <v>153858</v>
      </c>
      <c r="AJ1614" s="127"/>
      <c r="AK1614" s="127">
        <v>453</v>
      </c>
      <c r="AL1614" s="127">
        <v>2423</v>
      </c>
      <c r="AM1614" s="642">
        <f t="shared" si="31"/>
        <v>971496.58313000004</v>
      </c>
      <c r="AO1614" s="289"/>
    </row>
    <row r="1615" spans="1:42" s="61" customFormat="1" ht="25.5" customHeight="1" x14ac:dyDescent="0.3">
      <c r="A1615" s="713"/>
      <c r="B1615" s="180" t="s">
        <v>361</v>
      </c>
      <c r="C1615" s="300">
        <v>120124.08962</v>
      </c>
      <c r="D1615" s="173"/>
      <c r="E1615" s="173"/>
      <c r="F1615" s="266">
        <v>25863</v>
      </c>
      <c r="G1615" s="173">
        <f>4581+1468</f>
        <v>6049</v>
      </c>
      <c r="H1615" s="173">
        <f>42+137</f>
        <v>179</v>
      </c>
      <c r="I1615" s="174"/>
      <c r="J1615" s="173"/>
      <c r="K1615" s="173">
        <v>2161</v>
      </c>
      <c r="L1615" s="266">
        <v>16249</v>
      </c>
      <c r="M1615" s="173">
        <v>1101.51</v>
      </c>
      <c r="N1615" s="174">
        <v>51438.033000000003</v>
      </c>
      <c r="O1615" s="173">
        <v>49</v>
      </c>
      <c r="P1615" s="173"/>
      <c r="Q1615" s="173">
        <v>1543</v>
      </c>
      <c r="R1615" s="173">
        <f>1460+13658</f>
        <v>15118</v>
      </c>
      <c r="S1615" s="173">
        <v>207966</v>
      </c>
      <c r="T1615" s="327">
        <v>659.8</v>
      </c>
      <c r="U1615" s="300">
        <v>3535.8049999999998</v>
      </c>
      <c r="V1615" s="173">
        <f>(200364+1464538)/1000</f>
        <v>1664.902</v>
      </c>
      <c r="W1615" s="173">
        <v>5360</v>
      </c>
      <c r="X1615" s="173">
        <v>3716</v>
      </c>
      <c r="Y1615" s="173">
        <v>51992</v>
      </c>
      <c r="Z1615" s="173">
        <v>230136.75889</v>
      </c>
      <c r="AA1615" s="173">
        <f>320.82134+20.22424+860</f>
        <v>1201.04558</v>
      </c>
      <c r="AB1615" s="173">
        <v>905</v>
      </c>
      <c r="AC1615" s="173">
        <f>9698+747</f>
        <v>10445</v>
      </c>
      <c r="AD1615" s="173">
        <v>27226</v>
      </c>
      <c r="AE1615" s="173">
        <v>300</v>
      </c>
      <c r="AF1615" s="173"/>
      <c r="AG1615" s="173">
        <v>11</v>
      </c>
      <c r="AH1615" s="173">
        <v>98491</v>
      </c>
      <c r="AI1615" s="173">
        <v>148195.96</v>
      </c>
      <c r="AJ1615" s="173"/>
      <c r="AK1615" s="173">
        <v>649</v>
      </c>
      <c r="AL1615" s="173">
        <v>2106.1157024793388</v>
      </c>
      <c r="AM1615" s="643">
        <f t="shared" si="31"/>
        <v>1034436.0197924793</v>
      </c>
      <c r="AO1615" s="289"/>
      <c r="AP1615" s="97"/>
    </row>
    <row r="1616" spans="1:42" s="61" customFormat="1" ht="25.5" customHeight="1" x14ac:dyDescent="0.3">
      <c r="A1616" s="713"/>
      <c r="B1616" s="180" t="s">
        <v>362</v>
      </c>
      <c r="C1616" s="300">
        <v>150787.59224</v>
      </c>
      <c r="D1616" s="173"/>
      <c r="E1616" s="173"/>
      <c r="F1616" s="266">
        <v>13184</v>
      </c>
      <c r="G1616" s="173">
        <f>4729+4667</f>
        <v>9396</v>
      </c>
      <c r="H1616" s="173">
        <f>106+157</f>
        <v>263</v>
      </c>
      <c r="I1616" s="174"/>
      <c r="J1616" s="173"/>
      <c r="K1616" s="173">
        <v>9361</v>
      </c>
      <c r="L1616" s="266">
        <v>14273</v>
      </c>
      <c r="M1616" s="173">
        <v>354.19</v>
      </c>
      <c r="N1616" s="174">
        <v>55236.597999999998</v>
      </c>
      <c r="O1616" s="173">
        <v>32</v>
      </c>
      <c r="P1616" s="173"/>
      <c r="Q1616" s="173">
        <v>1887</v>
      </c>
      <c r="R1616" s="173">
        <f>24085-R1615</f>
        <v>8967</v>
      </c>
      <c r="S1616" s="173">
        <v>220987</v>
      </c>
      <c r="T1616" s="327">
        <v>242.2</v>
      </c>
      <c r="U1616" s="300">
        <v>1654.0150000000001</v>
      </c>
      <c r="V1616" s="173">
        <f>(200364+1567844)/1000-V1615</f>
        <v>103.30600000000004</v>
      </c>
      <c r="W1616" s="173">
        <f>137+23504</f>
        <v>23641</v>
      </c>
      <c r="X1616" s="173">
        <v>3879</v>
      </c>
      <c r="Y1616" s="173">
        <v>56213</v>
      </c>
      <c r="Z1616" s="173">
        <v>234449.05069000003</v>
      </c>
      <c r="AA1616" s="173">
        <f>32.80087+1275</f>
        <v>1307.80087</v>
      </c>
      <c r="AB1616" s="173">
        <v>522</v>
      </c>
      <c r="AC1616" s="173">
        <f>12117-9698+2621+1</f>
        <v>5041</v>
      </c>
      <c r="AD1616" s="173">
        <v>30651</v>
      </c>
      <c r="AE1616" s="173">
        <v>442</v>
      </c>
      <c r="AF1616" s="173"/>
      <c r="AG1616" s="173"/>
      <c r="AH1616" s="173">
        <v>69589</v>
      </c>
      <c r="AI1616" s="173">
        <v>193665.04</v>
      </c>
      <c r="AJ1616" s="173"/>
      <c r="AK1616" s="173">
        <v>364</v>
      </c>
      <c r="AL1616" s="173">
        <v>1167.2767857142858</v>
      </c>
      <c r="AM1616" s="644">
        <f t="shared" si="31"/>
        <v>1107659.0695857145</v>
      </c>
      <c r="AO1616" s="289"/>
      <c r="AP1616" s="97"/>
    </row>
    <row r="1617" spans="1:42" s="61" customFormat="1" ht="22.5" customHeight="1" x14ac:dyDescent="0.3">
      <c r="A1617" s="713"/>
      <c r="B1617" s="115" t="s">
        <v>402</v>
      </c>
      <c r="C1617" s="142">
        <v>140716.49355000001</v>
      </c>
      <c r="D1617" s="111"/>
      <c r="E1617" s="111">
        <v>20</v>
      </c>
      <c r="F1617" s="267">
        <v>12050.6</v>
      </c>
      <c r="G1617" s="111">
        <v>353</v>
      </c>
      <c r="H1617" s="111">
        <v>222</v>
      </c>
      <c r="I1617" s="125"/>
      <c r="J1617" s="111">
        <v>68</v>
      </c>
      <c r="K1617" s="111">
        <v>10760</v>
      </c>
      <c r="L1617" s="267">
        <v>26118</v>
      </c>
      <c r="M1617" s="111">
        <v>438.2466</v>
      </c>
      <c r="N1617" s="125"/>
      <c r="O1617" s="111">
        <v>596</v>
      </c>
      <c r="P1617" s="111"/>
      <c r="Q1617" s="111">
        <v>572</v>
      </c>
      <c r="R1617" s="111">
        <v>4725</v>
      </c>
      <c r="S1617" s="111">
        <v>194349.47040299993</v>
      </c>
      <c r="T1617" s="143">
        <v>871.26</v>
      </c>
      <c r="U1617" s="142">
        <v>1883.6489999999999</v>
      </c>
      <c r="V1617" s="111">
        <f>1941836.51/1000</f>
        <v>1941.8365100000001</v>
      </c>
      <c r="W1617" s="111">
        <v>13618</v>
      </c>
      <c r="X1617" s="111">
        <v>11925</v>
      </c>
      <c r="Y1617" s="111">
        <v>57422.860999999997</v>
      </c>
      <c r="Z1617" s="111">
        <v>212786</v>
      </c>
      <c r="AA1617" s="111">
        <v>2379</v>
      </c>
      <c r="AB1617" s="111">
        <v>594</v>
      </c>
      <c r="AC1617" s="111">
        <v>4469</v>
      </c>
      <c r="AD1617" s="111">
        <v>37519</v>
      </c>
      <c r="AE1617" s="111">
        <v>400</v>
      </c>
      <c r="AF1617" s="111"/>
      <c r="AG1617" s="111"/>
      <c r="AH1617" s="111">
        <v>168960.902</v>
      </c>
      <c r="AI1617" s="111">
        <v>113064</v>
      </c>
      <c r="AJ1617" s="111"/>
      <c r="AK1617" s="111">
        <f>997.5/1.097</f>
        <v>909.29808568824069</v>
      </c>
      <c r="AL1617" s="111">
        <v>1286.1383928571427</v>
      </c>
      <c r="AM1617" s="645">
        <f t="shared" si="31"/>
        <v>1021018.7555415453</v>
      </c>
      <c r="AO1617" s="289"/>
    </row>
    <row r="1618" spans="1:42" s="61" customFormat="1" ht="21" customHeight="1" x14ac:dyDescent="0.3">
      <c r="A1618" s="714"/>
      <c r="B1618" s="181" t="s">
        <v>403</v>
      </c>
      <c r="C1618" s="144">
        <v>137177.17191</v>
      </c>
      <c r="D1618" s="112"/>
      <c r="E1618" s="112"/>
      <c r="F1618" s="268">
        <v>4713.8999999999996</v>
      </c>
      <c r="G1618" s="112">
        <v>6838</v>
      </c>
      <c r="H1618" s="112"/>
      <c r="I1618" s="126"/>
      <c r="J1618" s="112"/>
      <c r="K1618" s="112">
        <v>3112</v>
      </c>
      <c r="L1618" s="268">
        <v>8194.2000000000007</v>
      </c>
      <c r="M1618" s="112">
        <v>285.04791000000006</v>
      </c>
      <c r="N1618" s="126"/>
      <c r="O1618" s="112"/>
      <c r="P1618" s="112"/>
      <c r="Q1618" s="112">
        <v>-31</v>
      </c>
      <c r="R1618" s="112">
        <v>0</v>
      </c>
      <c r="S1618" s="112">
        <v>197460.55912700004</v>
      </c>
      <c r="T1618" s="145">
        <v>6865.33</v>
      </c>
      <c r="U1618" s="144">
        <v>1223.597</v>
      </c>
      <c r="V1618" s="112">
        <f>3781652/1000-V1617</f>
        <v>1839.81549</v>
      </c>
      <c r="W1618" s="112">
        <f>20874-13618</f>
        <v>7256</v>
      </c>
      <c r="X1618" s="112">
        <v>7108</v>
      </c>
      <c r="Y1618" s="112">
        <v>41997.362000000001</v>
      </c>
      <c r="Z1618" s="112">
        <v>185449</v>
      </c>
      <c r="AA1618" s="112">
        <v>-141</v>
      </c>
      <c r="AB1618" s="112">
        <v>362.3</v>
      </c>
      <c r="AC1618" s="112">
        <v>5762</v>
      </c>
      <c r="AD1618" s="112">
        <v>46845</v>
      </c>
      <c r="AE1618" s="112">
        <v>293</v>
      </c>
      <c r="AF1618" s="112"/>
      <c r="AG1618" s="112"/>
      <c r="AH1618" s="112">
        <v>127624.01</v>
      </c>
      <c r="AI1618" s="112">
        <v>113065</v>
      </c>
      <c r="AJ1618" s="112"/>
      <c r="AK1618" s="112">
        <f>548.389/1.001</f>
        <v>547.84115884115886</v>
      </c>
      <c r="AL1618" s="112">
        <v>116</v>
      </c>
      <c r="AM1618" s="646">
        <f t="shared" si="31"/>
        <v>903963.13459584129</v>
      </c>
      <c r="AO1618" s="289"/>
    </row>
    <row r="1619" spans="1:42" s="61" customFormat="1" ht="21" customHeight="1" x14ac:dyDescent="0.3">
      <c r="A1619" s="712" t="s">
        <v>449</v>
      </c>
      <c r="B1619" s="179" t="s">
        <v>293</v>
      </c>
      <c r="C1619" s="135"/>
      <c r="D1619" s="136"/>
      <c r="E1619" s="136"/>
      <c r="F1619" s="262"/>
      <c r="G1619" s="136"/>
      <c r="H1619" s="136"/>
      <c r="I1619" s="326"/>
      <c r="J1619" s="136"/>
      <c r="K1619" s="136"/>
      <c r="L1619" s="262"/>
      <c r="M1619" s="136"/>
      <c r="N1619" s="326"/>
      <c r="O1619" s="136"/>
      <c r="P1619" s="136"/>
      <c r="Q1619" s="136"/>
      <c r="R1619" s="136"/>
      <c r="S1619" s="136"/>
      <c r="T1619" s="137"/>
      <c r="U1619" s="632"/>
      <c r="V1619" s="122"/>
      <c r="W1619" s="122"/>
      <c r="X1619" s="122"/>
      <c r="Y1619" s="122"/>
      <c r="Z1619" s="122"/>
      <c r="AA1619" s="122"/>
      <c r="AB1619" s="122"/>
      <c r="AC1619" s="122"/>
      <c r="AD1619" s="122"/>
      <c r="AE1619" s="122"/>
      <c r="AF1619" s="122"/>
      <c r="AG1619" s="122"/>
      <c r="AH1619" s="122"/>
      <c r="AI1619" s="122" t="s">
        <v>482</v>
      </c>
      <c r="AJ1619" s="122"/>
      <c r="AK1619" s="122"/>
      <c r="AL1619" s="122"/>
      <c r="AM1619" s="639">
        <f t="shared" si="31"/>
        <v>0</v>
      </c>
      <c r="AO1619" s="289"/>
    </row>
    <row r="1620" spans="1:42" s="61" customFormat="1" ht="19.5" customHeight="1" x14ac:dyDescent="0.3">
      <c r="A1620" s="713"/>
      <c r="B1620" s="116" t="s">
        <v>294</v>
      </c>
      <c r="C1620" s="138"/>
      <c r="D1620" s="109"/>
      <c r="E1620" s="109"/>
      <c r="F1620" s="263"/>
      <c r="G1620" s="109"/>
      <c r="H1620" s="109"/>
      <c r="I1620" s="123"/>
      <c r="J1620" s="109"/>
      <c r="K1620" s="109"/>
      <c r="L1620" s="263"/>
      <c r="M1620" s="109"/>
      <c r="N1620" s="123"/>
      <c r="O1620" s="109"/>
      <c r="P1620" s="109"/>
      <c r="Q1620" s="109"/>
      <c r="R1620" s="109"/>
      <c r="S1620" s="109"/>
      <c r="T1620" s="139"/>
      <c r="U1620" s="138"/>
      <c r="V1620" s="109"/>
      <c r="W1620" s="109"/>
      <c r="X1620" s="109"/>
      <c r="Y1620" s="109"/>
      <c r="Z1620" s="109"/>
      <c r="AA1620" s="109"/>
      <c r="AB1620" s="109"/>
      <c r="AC1620" s="109"/>
      <c r="AD1620" s="109"/>
      <c r="AE1620" s="109"/>
      <c r="AF1620" s="109"/>
      <c r="AG1620" s="109">
        <v>1.8</v>
      </c>
      <c r="AH1620" s="109"/>
      <c r="AI1620" s="109" t="s">
        <v>482</v>
      </c>
      <c r="AJ1620" s="109"/>
      <c r="AK1620" s="109"/>
      <c r="AL1620" s="109"/>
      <c r="AM1620" s="640">
        <f t="shared" si="31"/>
        <v>1.8</v>
      </c>
      <c r="AO1620" s="289"/>
    </row>
    <row r="1621" spans="1:42" s="61" customFormat="1" ht="22.5" customHeight="1" x14ac:dyDescent="0.3">
      <c r="A1621" s="713"/>
      <c r="B1621" s="117" t="s">
        <v>326</v>
      </c>
      <c r="C1621" s="140"/>
      <c r="D1621" s="110"/>
      <c r="E1621" s="110"/>
      <c r="F1621" s="264"/>
      <c r="G1621" s="110"/>
      <c r="H1621" s="110"/>
      <c r="I1621" s="124"/>
      <c r="J1621" s="110"/>
      <c r="K1621" s="110"/>
      <c r="L1621" s="264"/>
      <c r="M1621" s="110"/>
      <c r="N1621" s="124"/>
      <c r="O1621" s="110"/>
      <c r="P1621" s="110"/>
      <c r="Q1621" s="110"/>
      <c r="R1621" s="110"/>
      <c r="S1621" s="110"/>
      <c r="T1621" s="141"/>
      <c r="U1621" s="140"/>
      <c r="V1621" s="110"/>
      <c r="W1621" s="110"/>
      <c r="X1621" s="110"/>
      <c r="Y1621" s="110"/>
      <c r="Z1621" s="110"/>
      <c r="AA1621" s="110"/>
      <c r="AB1621" s="110"/>
      <c r="AC1621" s="110"/>
      <c r="AD1621" s="110"/>
      <c r="AE1621" s="110"/>
      <c r="AF1621" s="110"/>
      <c r="AG1621" s="110"/>
      <c r="AH1621" s="110"/>
      <c r="AI1621" s="110" t="s">
        <v>482</v>
      </c>
      <c r="AJ1621" s="110"/>
      <c r="AK1621" s="110"/>
      <c r="AL1621" s="110"/>
      <c r="AM1621" s="641">
        <f t="shared" si="31"/>
        <v>0</v>
      </c>
      <c r="AO1621" s="289"/>
      <c r="AP1621" s="97"/>
    </row>
    <row r="1622" spans="1:42" s="61" customFormat="1" ht="25.5" customHeight="1" x14ac:dyDescent="0.3">
      <c r="A1622" s="713"/>
      <c r="B1622" s="175" t="s">
        <v>327</v>
      </c>
      <c r="C1622" s="176"/>
      <c r="D1622" s="127"/>
      <c r="E1622" s="127"/>
      <c r="F1622" s="265"/>
      <c r="G1622" s="127"/>
      <c r="H1622" s="127"/>
      <c r="I1622" s="178"/>
      <c r="J1622" s="127"/>
      <c r="K1622" s="127"/>
      <c r="L1622" s="265"/>
      <c r="M1622" s="127"/>
      <c r="N1622" s="178"/>
      <c r="O1622" s="127"/>
      <c r="P1622" s="127"/>
      <c r="Q1622" s="127"/>
      <c r="R1622" s="127"/>
      <c r="S1622" s="127"/>
      <c r="T1622" s="177"/>
      <c r="U1622" s="176"/>
      <c r="V1622" s="127"/>
      <c r="W1622" s="127"/>
      <c r="X1622" s="127"/>
      <c r="Y1622" s="127"/>
      <c r="Z1622" s="127"/>
      <c r="AA1622" s="127"/>
      <c r="AB1622" s="127"/>
      <c r="AC1622" s="127"/>
      <c r="AD1622" s="127"/>
      <c r="AE1622" s="127"/>
      <c r="AF1622" s="127"/>
      <c r="AG1622" s="127"/>
      <c r="AH1622" s="127"/>
      <c r="AI1622" s="127" t="s">
        <v>482</v>
      </c>
      <c r="AJ1622" s="127"/>
      <c r="AK1622" s="127"/>
      <c r="AL1622" s="127"/>
      <c r="AM1622" s="642">
        <f t="shared" si="31"/>
        <v>0</v>
      </c>
      <c r="AO1622" s="289"/>
    </row>
    <row r="1623" spans="1:42" s="61" customFormat="1" ht="25.5" customHeight="1" x14ac:dyDescent="0.3">
      <c r="A1623" s="713"/>
      <c r="B1623" s="180" t="s">
        <v>361</v>
      </c>
      <c r="C1623" s="300"/>
      <c r="D1623" s="173"/>
      <c r="E1623" s="173"/>
      <c r="F1623" s="266"/>
      <c r="G1623" s="173"/>
      <c r="H1623" s="173"/>
      <c r="I1623" s="174"/>
      <c r="J1623" s="173"/>
      <c r="K1623" s="173"/>
      <c r="L1623" s="266"/>
      <c r="M1623" s="173"/>
      <c r="N1623" s="174"/>
      <c r="O1623" s="173"/>
      <c r="P1623" s="173"/>
      <c r="Q1623" s="173"/>
      <c r="R1623" s="173"/>
      <c r="S1623" s="173"/>
      <c r="T1623" s="327"/>
      <c r="U1623" s="300"/>
      <c r="V1623" s="173"/>
      <c r="W1623" s="173"/>
      <c r="X1623" s="173"/>
      <c r="Y1623" s="173"/>
      <c r="Z1623" s="173"/>
      <c r="AA1623" s="173"/>
      <c r="AB1623" s="173"/>
      <c r="AC1623" s="173"/>
      <c r="AD1623" s="173"/>
      <c r="AE1623" s="173"/>
      <c r="AF1623" s="173"/>
      <c r="AG1623" s="173"/>
      <c r="AH1623" s="173"/>
      <c r="AI1623" s="173" t="s">
        <v>482</v>
      </c>
      <c r="AJ1623" s="173"/>
      <c r="AK1623" s="173"/>
      <c r="AL1623" s="173"/>
      <c r="AM1623" s="643">
        <f t="shared" si="31"/>
        <v>0</v>
      </c>
      <c r="AO1623" s="289"/>
      <c r="AP1623" s="97"/>
    </row>
    <row r="1624" spans="1:42" s="61" customFormat="1" ht="25.5" customHeight="1" x14ac:dyDescent="0.3">
      <c r="A1624" s="713"/>
      <c r="B1624" s="180" t="s">
        <v>362</v>
      </c>
      <c r="C1624" s="300"/>
      <c r="D1624" s="173"/>
      <c r="E1624" s="173"/>
      <c r="F1624" s="266"/>
      <c r="G1624" s="173"/>
      <c r="H1624" s="173"/>
      <c r="I1624" s="174"/>
      <c r="J1624" s="173"/>
      <c r="K1624" s="173"/>
      <c r="L1624" s="266"/>
      <c r="M1624" s="173"/>
      <c r="N1624" s="174"/>
      <c r="O1624" s="173"/>
      <c r="P1624" s="173"/>
      <c r="Q1624" s="173"/>
      <c r="R1624" s="173"/>
      <c r="S1624" s="173"/>
      <c r="T1624" s="327"/>
      <c r="U1624" s="300"/>
      <c r="V1624" s="173"/>
      <c r="W1624" s="173"/>
      <c r="X1624" s="173"/>
      <c r="Y1624" s="173"/>
      <c r="Z1624" s="173"/>
      <c r="AA1624" s="173"/>
      <c r="AB1624" s="173"/>
      <c r="AC1624" s="173"/>
      <c r="AD1624" s="173"/>
      <c r="AE1624" s="173"/>
      <c r="AF1624" s="173"/>
      <c r="AG1624" s="173"/>
      <c r="AH1624" s="173"/>
      <c r="AI1624" s="173" t="s">
        <v>482</v>
      </c>
      <c r="AJ1624" s="173"/>
      <c r="AK1624" s="173"/>
      <c r="AL1624" s="173"/>
      <c r="AM1624" s="644">
        <f t="shared" si="31"/>
        <v>0</v>
      </c>
      <c r="AO1624" s="289"/>
      <c r="AP1624" s="97"/>
    </row>
    <row r="1625" spans="1:42" s="61" customFormat="1" ht="22.5" customHeight="1" x14ac:dyDescent="0.3">
      <c r="A1625" s="713"/>
      <c r="B1625" s="115" t="s">
        <v>402</v>
      </c>
      <c r="C1625" s="142"/>
      <c r="D1625" s="111"/>
      <c r="E1625" s="111"/>
      <c r="F1625" s="267"/>
      <c r="G1625" s="111"/>
      <c r="H1625" s="111"/>
      <c r="I1625" s="125"/>
      <c r="J1625" s="111"/>
      <c r="K1625" s="111"/>
      <c r="L1625" s="267"/>
      <c r="M1625" s="111"/>
      <c r="N1625" s="125"/>
      <c r="O1625" s="111"/>
      <c r="P1625" s="111"/>
      <c r="Q1625" s="111"/>
      <c r="R1625" s="111"/>
      <c r="S1625" s="111"/>
      <c r="T1625" s="143"/>
      <c r="U1625" s="142"/>
      <c r="V1625" s="111"/>
      <c r="W1625" s="111"/>
      <c r="X1625" s="111"/>
      <c r="Y1625" s="111"/>
      <c r="Z1625" s="111"/>
      <c r="AA1625" s="111"/>
      <c r="AB1625" s="111"/>
      <c r="AC1625" s="111"/>
      <c r="AD1625" s="111"/>
      <c r="AE1625" s="111"/>
      <c r="AF1625" s="111"/>
      <c r="AG1625" s="111"/>
      <c r="AH1625" s="111"/>
      <c r="AI1625" s="111" t="s">
        <v>482</v>
      </c>
      <c r="AJ1625" s="111"/>
      <c r="AK1625" s="111"/>
      <c r="AL1625" s="111"/>
      <c r="AM1625" s="645">
        <f t="shared" si="31"/>
        <v>0</v>
      </c>
      <c r="AO1625" s="289"/>
    </row>
    <row r="1626" spans="1:42" s="61" customFormat="1" ht="21" customHeight="1" x14ac:dyDescent="0.3">
      <c r="A1626" s="714"/>
      <c r="B1626" s="181" t="s">
        <v>403</v>
      </c>
      <c r="C1626" s="144"/>
      <c r="D1626" s="112"/>
      <c r="E1626" s="112"/>
      <c r="F1626" s="268"/>
      <c r="G1626" s="112"/>
      <c r="H1626" s="112"/>
      <c r="I1626" s="126"/>
      <c r="J1626" s="112"/>
      <c r="K1626" s="112"/>
      <c r="L1626" s="268"/>
      <c r="M1626" s="112"/>
      <c r="N1626" s="126"/>
      <c r="O1626" s="112"/>
      <c r="P1626" s="112"/>
      <c r="Q1626" s="112"/>
      <c r="R1626" s="112"/>
      <c r="S1626" s="112"/>
      <c r="T1626" s="145"/>
      <c r="U1626" s="144"/>
      <c r="V1626" s="112"/>
      <c r="W1626" s="112"/>
      <c r="X1626" s="112"/>
      <c r="Y1626" s="112"/>
      <c r="Z1626" s="112"/>
      <c r="AA1626" s="112"/>
      <c r="AB1626" s="112"/>
      <c r="AC1626" s="112"/>
      <c r="AD1626" s="112"/>
      <c r="AE1626" s="112"/>
      <c r="AF1626" s="112"/>
      <c r="AG1626" s="112"/>
      <c r="AH1626" s="112"/>
      <c r="AI1626" s="112" t="s">
        <v>482</v>
      </c>
      <c r="AJ1626" s="112"/>
      <c r="AK1626" s="112"/>
      <c r="AL1626" s="112"/>
      <c r="AM1626" s="646">
        <f t="shared" si="31"/>
        <v>0</v>
      </c>
      <c r="AO1626" s="289"/>
    </row>
    <row r="1627" spans="1:42" s="61" customFormat="1" ht="21" customHeight="1" x14ac:dyDescent="0.3">
      <c r="A1627" s="712" t="s">
        <v>333</v>
      </c>
      <c r="B1627" s="179" t="s">
        <v>293</v>
      </c>
      <c r="C1627" s="135"/>
      <c r="D1627" s="136"/>
      <c r="E1627" s="136"/>
      <c r="F1627" s="262">
        <v>89.183000000000007</v>
      </c>
      <c r="G1627" s="136">
        <v>2</v>
      </c>
      <c r="H1627" s="136">
        <v>143</v>
      </c>
      <c r="I1627" s="326"/>
      <c r="J1627" s="136"/>
      <c r="K1627" s="136"/>
      <c r="L1627" s="262"/>
      <c r="M1627" s="136"/>
      <c r="N1627" s="326"/>
      <c r="O1627" s="136"/>
      <c r="P1627" s="136"/>
      <c r="Q1627" s="136"/>
      <c r="R1627" s="136"/>
      <c r="S1627" s="136"/>
      <c r="T1627" s="137"/>
      <c r="U1627" s="632"/>
      <c r="V1627" s="122"/>
      <c r="W1627" s="122"/>
      <c r="X1627" s="122"/>
      <c r="Y1627" s="122"/>
      <c r="Z1627" s="122"/>
      <c r="AA1627" s="122"/>
      <c r="AB1627" s="122"/>
      <c r="AC1627" s="122"/>
      <c r="AD1627" s="122"/>
      <c r="AE1627" s="122"/>
      <c r="AF1627" s="122"/>
      <c r="AG1627" s="122">
        <v>0.58799999999999997</v>
      </c>
      <c r="AH1627" s="122"/>
      <c r="AI1627" s="122" t="s">
        <v>482</v>
      </c>
      <c r="AJ1627" s="122"/>
      <c r="AK1627" s="122"/>
      <c r="AL1627" s="122"/>
      <c r="AM1627" s="639">
        <f t="shared" si="31"/>
        <v>234.77099999999999</v>
      </c>
      <c r="AO1627" s="289"/>
    </row>
    <row r="1628" spans="1:42" s="61" customFormat="1" ht="19.5" customHeight="1" x14ac:dyDescent="0.3">
      <c r="A1628" s="713"/>
      <c r="B1628" s="116" t="s">
        <v>294</v>
      </c>
      <c r="C1628" s="138"/>
      <c r="D1628" s="109"/>
      <c r="E1628" s="109"/>
      <c r="F1628" s="263"/>
      <c r="G1628" s="109">
        <v>603</v>
      </c>
      <c r="H1628" s="109">
        <v>8</v>
      </c>
      <c r="I1628" s="123"/>
      <c r="J1628" s="109"/>
      <c r="K1628" s="109"/>
      <c r="L1628" s="263"/>
      <c r="M1628" s="109"/>
      <c r="N1628" s="123"/>
      <c r="O1628" s="109"/>
      <c r="P1628" s="109"/>
      <c r="Q1628" s="109"/>
      <c r="R1628" s="109"/>
      <c r="S1628" s="109">
        <v>-5.6559999999999997</v>
      </c>
      <c r="T1628" s="139"/>
      <c r="U1628" s="138">
        <v>0.27800000000000002</v>
      </c>
      <c r="V1628" s="109"/>
      <c r="W1628" s="109"/>
      <c r="X1628" s="109">
        <v>6</v>
      </c>
      <c r="Y1628" s="109"/>
      <c r="Z1628" s="109"/>
      <c r="AA1628" s="109"/>
      <c r="AB1628" s="109"/>
      <c r="AC1628" s="109"/>
      <c r="AD1628" s="109"/>
      <c r="AE1628" s="109"/>
      <c r="AF1628" s="109"/>
      <c r="AG1628" s="109"/>
      <c r="AH1628" s="109"/>
      <c r="AI1628" s="109" t="s">
        <v>482</v>
      </c>
      <c r="AJ1628" s="109"/>
      <c r="AK1628" s="109"/>
      <c r="AL1628" s="109"/>
      <c r="AM1628" s="640">
        <f t="shared" si="31"/>
        <v>611.62200000000007</v>
      </c>
      <c r="AO1628" s="289"/>
    </row>
    <row r="1629" spans="1:42" s="61" customFormat="1" ht="22.5" customHeight="1" x14ac:dyDescent="0.3">
      <c r="A1629" s="713"/>
      <c r="B1629" s="117" t="s">
        <v>326</v>
      </c>
      <c r="C1629" s="140">
        <v>328.78</v>
      </c>
      <c r="D1629" s="110"/>
      <c r="E1629" s="110"/>
      <c r="F1629" s="264">
        <v>25</v>
      </c>
      <c r="G1629" s="110">
        <v>3</v>
      </c>
      <c r="H1629" s="110"/>
      <c r="I1629" s="124"/>
      <c r="J1629" s="110"/>
      <c r="K1629" s="110"/>
      <c r="L1629" s="264">
        <v>75</v>
      </c>
      <c r="M1629" s="110"/>
      <c r="N1629" s="124"/>
      <c r="O1629" s="110"/>
      <c r="P1629" s="110"/>
      <c r="Q1629" s="110"/>
      <c r="R1629" s="110"/>
      <c r="S1629" s="110"/>
      <c r="T1629" s="141"/>
      <c r="U1629" s="140">
        <v>0.183</v>
      </c>
      <c r="V1629" s="110"/>
      <c r="W1629" s="110"/>
      <c r="X1629" s="110">
        <v>3</v>
      </c>
      <c r="Y1629" s="110"/>
      <c r="Z1629" s="110"/>
      <c r="AA1629" s="110"/>
      <c r="AB1629" s="110"/>
      <c r="AC1629" s="110"/>
      <c r="AD1629" s="110"/>
      <c r="AE1629" s="110"/>
      <c r="AF1629" s="110"/>
      <c r="AG1629" s="110">
        <f>1.5/1.3</f>
        <v>1.1538461538461537</v>
      </c>
      <c r="AH1629" s="110"/>
      <c r="AI1629" s="110" t="s">
        <v>482</v>
      </c>
      <c r="AJ1629" s="110"/>
      <c r="AK1629" s="110"/>
      <c r="AL1629" s="110"/>
      <c r="AM1629" s="641">
        <f t="shared" si="31"/>
        <v>436.1168461538461</v>
      </c>
      <c r="AO1629" s="289"/>
      <c r="AP1629" s="97"/>
    </row>
    <row r="1630" spans="1:42" s="61" customFormat="1" ht="25.5" customHeight="1" x14ac:dyDescent="0.3">
      <c r="A1630" s="713"/>
      <c r="B1630" s="175" t="s">
        <v>327</v>
      </c>
      <c r="C1630" s="176">
        <v>210.69499999999999</v>
      </c>
      <c r="D1630" s="127"/>
      <c r="E1630" s="127"/>
      <c r="F1630" s="265">
        <v>56</v>
      </c>
      <c r="G1630" s="127">
        <v>5</v>
      </c>
      <c r="H1630" s="127">
        <v>210</v>
      </c>
      <c r="I1630" s="178"/>
      <c r="J1630" s="127"/>
      <c r="K1630" s="127"/>
      <c r="L1630" s="265"/>
      <c r="M1630" s="127"/>
      <c r="N1630" s="178"/>
      <c r="O1630" s="127"/>
      <c r="P1630" s="127"/>
      <c r="Q1630" s="127"/>
      <c r="R1630" s="127"/>
      <c r="S1630" s="127">
        <v>316</v>
      </c>
      <c r="T1630" s="177"/>
      <c r="U1630" s="176">
        <v>0.183</v>
      </c>
      <c r="V1630" s="127"/>
      <c r="W1630" s="127"/>
      <c r="X1630" s="127">
        <v>5</v>
      </c>
      <c r="Y1630" s="127"/>
      <c r="Z1630" s="127"/>
      <c r="AA1630" s="127">
        <v>50</v>
      </c>
      <c r="AB1630" s="127"/>
      <c r="AC1630" s="127"/>
      <c r="AD1630" s="127"/>
      <c r="AE1630" s="127"/>
      <c r="AF1630" s="127"/>
      <c r="AG1630" s="127"/>
      <c r="AH1630" s="127"/>
      <c r="AI1630" s="127" t="s">
        <v>482</v>
      </c>
      <c r="AJ1630" s="127"/>
      <c r="AK1630" s="127"/>
      <c r="AL1630" s="127"/>
      <c r="AM1630" s="642">
        <f t="shared" si="31"/>
        <v>852.87799999999993</v>
      </c>
      <c r="AO1630" s="289"/>
    </row>
    <row r="1631" spans="1:42" s="61" customFormat="1" ht="25.5" customHeight="1" x14ac:dyDescent="0.3">
      <c r="A1631" s="713"/>
      <c r="B1631" s="180" t="s">
        <v>361</v>
      </c>
      <c r="C1631" s="300">
        <v>229.34</v>
      </c>
      <c r="D1631" s="173"/>
      <c r="E1631" s="173"/>
      <c r="F1631" s="266">
        <v>-7</v>
      </c>
      <c r="G1631" s="173">
        <v>5</v>
      </c>
      <c r="H1631" s="173"/>
      <c r="I1631" s="174"/>
      <c r="J1631" s="173"/>
      <c r="K1631" s="173"/>
      <c r="L1631" s="266"/>
      <c r="M1631" s="173"/>
      <c r="N1631" s="174"/>
      <c r="O1631" s="173"/>
      <c r="P1631" s="173"/>
      <c r="Q1631" s="173"/>
      <c r="R1631" s="173"/>
      <c r="S1631" s="173">
        <v>670</v>
      </c>
      <c r="T1631" s="327"/>
      <c r="U1631" s="300">
        <v>3.851</v>
      </c>
      <c r="V1631" s="173"/>
      <c r="W1631" s="173"/>
      <c r="X1631" s="173">
        <v>5</v>
      </c>
      <c r="Y1631" s="173"/>
      <c r="Z1631" s="173"/>
      <c r="AA1631" s="173"/>
      <c r="AB1631" s="173"/>
      <c r="AC1631" s="173"/>
      <c r="AD1631" s="173"/>
      <c r="AE1631" s="173"/>
      <c r="AF1631" s="173"/>
      <c r="AG1631" s="173"/>
      <c r="AH1631" s="173"/>
      <c r="AI1631" s="173" t="s">
        <v>482</v>
      </c>
      <c r="AJ1631" s="173"/>
      <c r="AK1631" s="173"/>
      <c r="AL1631" s="173"/>
      <c r="AM1631" s="643">
        <f t="shared" si="31"/>
        <v>906.19100000000003</v>
      </c>
      <c r="AO1631" s="289"/>
      <c r="AP1631" s="97"/>
    </row>
    <row r="1632" spans="1:42" s="61" customFormat="1" ht="25.5" customHeight="1" x14ac:dyDescent="0.3">
      <c r="A1632" s="713"/>
      <c r="B1632" s="180" t="s">
        <v>362</v>
      </c>
      <c r="C1632" s="300"/>
      <c r="D1632" s="173"/>
      <c r="E1632" s="173"/>
      <c r="F1632" s="266"/>
      <c r="G1632" s="173">
        <v>5</v>
      </c>
      <c r="H1632" s="173"/>
      <c r="I1632" s="174"/>
      <c r="J1632" s="173"/>
      <c r="K1632" s="173"/>
      <c r="L1632" s="266"/>
      <c r="M1632" s="173"/>
      <c r="N1632" s="174">
        <v>308.35000000000002</v>
      </c>
      <c r="O1632" s="173"/>
      <c r="P1632" s="173"/>
      <c r="Q1632" s="173"/>
      <c r="R1632" s="173"/>
      <c r="S1632" s="173">
        <v>1600</v>
      </c>
      <c r="T1632" s="327">
        <v>11.3</v>
      </c>
      <c r="U1632" s="300">
        <v>2.6989999999999998</v>
      </c>
      <c r="V1632" s="173"/>
      <c r="W1632" s="173"/>
      <c r="X1632" s="173">
        <v>5</v>
      </c>
      <c r="Y1632" s="173"/>
      <c r="Z1632" s="173"/>
      <c r="AA1632" s="173"/>
      <c r="AB1632" s="173"/>
      <c r="AC1632" s="173"/>
      <c r="AD1632" s="173"/>
      <c r="AE1632" s="173"/>
      <c r="AF1632" s="173"/>
      <c r="AG1632" s="173"/>
      <c r="AH1632" s="173"/>
      <c r="AI1632" s="173" t="s">
        <v>482</v>
      </c>
      <c r="AJ1632" s="173"/>
      <c r="AK1632" s="173"/>
      <c r="AL1632" s="173"/>
      <c r="AM1632" s="644">
        <f t="shared" si="31"/>
        <v>1932.3489999999999</v>
      </c>
      <c r="AO1632" s="289"/>
      <c r="AP1632" s="97"/>
    </row>
    <row r="1633" spans="1:42" s="61" customFormat="1" ht="22.5" customHeight="1" x14ac:dyDescent="0.3">
      <c r="A1633" s="713"/>
      <c r="B1633" s="115" t="s">
        <v>402</v>
      </c>
      <c r="C1633" s="142"/>
      <c r="D1633" s="111"/>
      <c r="E1633" s="111"/>
      <c r="F1633" s="267"/>
      <c r="G1633" s="111"/>
      <c r="H1633" s="111"/>
      <c r="I1633" s="125"/>
      <c r="J1633" s="111"/>
      <c r="K1633" s="111"/>
      <c r="L1633" s="267">
        <v>25</v>
      </c>
      <c r="M1633" s="111"/>
      <c r="N1633" s="125"/>
      <c r="O1633" s="111"/>
      <c r="P1633" s="111"/>
      <c r="Q1633" s="111"/>
      <c r="R1633" s="111"/>
      <c r="S1633" s="111">
        <v>2.2138180000000003</v>
      </c>
      <c r="T1633" s="143"/>
      <c r="U1633" s="142"/>
      <c r="V1633" s="111"/>
      <c r="W1633" s="111"/>
      <c r="X1633" s="111">
        <v>5</v>
      </c>
      <c r="Y1633" s="111"/>
      <c r="Z1633" s="111"/>
      <c r="AA1633" s="111"/>
      <c r="AB1633" s="111"/>
      <c r="AC1633" s="111">
        <v>180</v>
      </c>
      <c r="AD1633" s="111"/>
      <c r="AE1633" s="111"/>
      <c r="AF1633" s="111"/>
      <c r="AG1633" s="111"/>
      <c r="AH1633" s="111">
        <v>94.042000000000002</v>
      </c>
      <c r="AI1633" s="111" t="s">
        <v>482</v>
      </c>
      <c r="AJ1633" s="111"/>
      <c r="AK1633" s="111"/>
      <c r="AL1633" s="111"/>
      <c r="AM1633" s="645">
        <f t="shared" si="31"/>
        <v>306.25581799999998</v>
      </c>
      <c r="AO1633" s="289"/>
    </row>
    <row r="1634" spans="1:42" s="61" customFormat="1" ht="21" customHeight="1" x14ac:dyDescent="0.3">
      <c r="A1634" s="714"/>
      <c r="B1634" s="181" t="s">
        <v>403</v>
      </c>
      <c r="C1634" s="144">
        <v>49.96</v>
      </c>
      <c r="D1634" s="112"/>
      <c r="E1634" s="112"/>
      <c r="F1634" s="268">
        <v>-1.1000000000000001</v>
      </c>
      <c r="G1634" s="112">
        <v>143</v>
      </c>
      <c r="H1634" s="112"/>
      <c r="I1634" s="126"/>
      <c r="J1634" s="112"/>
      <c r="K1634" s="112"/>
      <c r="L1634" s="268"/>
      <c r="M1634" s="112"/>
      <c r="N1634" s="126"/>
      <c r="O1634" s="112"/>
      <c r="P1634" s="112"/>
      <c r="Q1634" s="112"/>
      <c r="R1634" s="112"/>
      <c r="S1634" s="112"/>
      <c r="T1634" s="145"/>
      <c r="U1634" s="144">
        <v>0.41</v>
      </c>
      <c r="V1634" s="112"/>
      <c r="W1634" s="112"/>
      <c r="X1634" s="112">
        <v>9</v>
      </c>
      <c r="Y1634" s="112"/>
      <c r="Z1634" s="112"/>
      <c r="AA1634" s="112"/>
      <c r="AB1634" s="112"/>
      <c r="AC1634" s="112">
        <v>292</v>
      </c>
      <c r="AD1634" s="112"/>
      <c r="AE1634" s="112"/>
      <c r="AF1634" s="112"/>
      <c r="AG1634" s="112"/>
      <c r="AH1634" s="112" t="s">
        <v>482</v>
      </c>
      <c r="AI1634" s="112" t="s">
        <v>482</v>
      </c>
      <c r="AJ1634" s="112"/>
      <c r="AK1634" s="112"/>
      <c r="AL1634" s="112"/>
      <c r="AM1634" s="646">
        <f t="shared" si="31"/>
        <v>493.27</v>
      </c>
      <c r="AO1634" s="289"/>
    </row>
    <row r="1635" spans="1:42" s="61" customFormat="1" ht="21" customHeight="1" x14ac:dyDescent="0.3">
      <c r="A1635" s="705" t="s">
        <v>278</v>
      </c>
      <c r="B1635" s="179" t="s">
        <v>293</v>
      </c>
      <c r="C1635" s="135">
        <v>34027</v>
      </c>
      <c r="D1635" s="136"/>
      <c r="E1635" s="136"/>
      <c r="F1635" s="262">
        <v>8759.5380000000005</v>
      </c>
      <c r="G1635" s="136">
        <v>46362</v>
      </c>
      <c r="H1635" s="136">
        <v>1836</v>
      </c>
      <c r="I1635" s="326"/>
      <c r="J1635" s="136">
        <v>3480</v>
      </c>
      <c r="K1635" s="136"/>
      <c r="L1635" s="262">
        <v>18500</v>
      </c>
      <c r="M1635" s="136">
        <v>243.72399999999999</v>
      </c>
      <c r="N1635" s="326">
        <v>76036.788</v>
      </c>
      <c r="O1635" s="136"/>
      <c r="P1635" s="136">
        <v>20</v>
      </c>
      <c r="Q1635" s="136">
        <v>15562</v>
      </c>
      <c r="R1635" s="136">
        <f>+(2250+5400+500+705)/2</f>
        <v>4427.5</v>
      </c>
      <c r="S1635" s="136">
        <v>91126.467999999993</v>
      </c>
      <c r="T1635" s="137">
        <v>6500</v>
      </c>
      <c r="U1635" s="632">
        <v>1651.9190000000001</v>
      </c>
      <c r="V1635" s="122">
        <f>357502/1000</f>
        <v>357.50200000000001</v>
      </c>
      <c r="W1635" s="122"/>
      <c r="X1635" s="122">
        <v>500</v>
      </c>
      <c r="Y1635" s="122">
        <v>259245</v>
      </c>
      <c r="Z1635" s="122">
        <v>282479</v>
      </c>
      <c r="AA1635" s="122"/>
      <c r="AB1635" s="122"/>
      <c r="AC1635" s="122">
        <v>17871.602999999999</v>
      </c>
      <c r="AD1635" s="122">
        <v>127687</v>
      </c>
      <c r="AE1635" s="122"/>
      <c r="AF1635" s="122"/>
      <c r="AG1635" s="122">
        <v>76.942000000000007</v>
      </c>
      <c r="AH1635" s="122">
        <v>954149</v>
      </c>
      <c r="AI1635" s="122">
        <v>84209</v>
      </c>
      <c r="AJ1635" s="122"/>
      <c r="AK1635" s="122">
        <v>4101</v>
      </c>
      <c r="AL1635" s="122">
        <v>1894.4972818791948</v>
      </c>
      <c r="AM1635" s="639">
        <f t="shared" si="31"/>
        <v>2041103.4812818794</v>
      </c>
      <c r="AO1635" s="289"/>
    </row>
    <row r="1636" spans="1:42" s="61" customFormat="1" ht="19.5" customHeight="1" x14ac:dyDescent="0.3">
      <c r="A1636" s="706"/>
      <c r="B1636" s="116" t="s">
        <v>294</v>
      </c>
      <c r="C1636" s="138">
        <v>27417.35</v>
      </c>
      <c r="D1636" s="109"/>
      <c r="E1636" s="109"/>
      <c r="F1636" s="263">
        <v>5995.6210000000001</v>
      </c>
      <c r="G1636" s="109">
        <v>53514</v>
      </c>
      <c r="H1636" s="109">
        <v>831</v>
      </c>
      <c r="I1636" s="123"/>
      <c r="J1636" s="109">
        <v>175</v>
      </c>
      <c r="K1636" s="109"/>
      <c r="L1636" s="263">
        <v>39912.78</v>
      </c>
      <c r="M1636" s="109">
        <v>10.476000000000001</v>
      </c>
      <c r="N1636" s="123">
        <v>129169.806</v>
      </c>
      <c r="O1636" s="109">
        <v>533.5</v>
      </c>
      <c r="P1636" s="109"/>
      <c r="Q1636" s="109">
        <v>15085</v>
      </c>
      <c r="R1636" s="109">
        <f>+(2250+5400+500+705)/2</f>
        <v>4427.5</v>
      </c>
      <c r="S1636" s="109">
        <v>103724.34600000001</v>
      </c>
      <c r="T1636" s="139">
        <v>5475</v>
      </c>
      <c r="U1636" s="138">
        <v>8566.6560000000009</v>
      </c>
      <c r="V1636" s="109">
        <f>(752395+300000)/1000-V1635</f>
        <v>694.89300000000003</v>
      </c>
      <c r="W1636" s="109"/>
      <c r="X1636" s="109">
        <v>1250</v>
      </c>
      <c r="Y1636" s="109">
        <v>308694</v>
      </c>
      <c r="Z1636" s="109">
        <v>323022</v>
      </c>
      <c r="AA1636" s="109">
        <v>2.8564799999999999</v>
      </c>
      <c r="AB1636" s="109"/>
      <c r="AC1636" s="109">
        <v>11193.844000000001</v>
      </c>
      <c r="AD1636" s="109">
        <v>134097</v>
      </c>
      <c r="AE1636" s="109">
        <v>50</v>
      </c>
      <c r="AF1636" s="109"/>
      <c r="AG1636" s="109">
        <v>14.87</v>
      </c>
      <c r="AH1636" s="109">
        <v>1630822.25</v>
      </c>
      <c r="AI1636" s="109">
        <v>79353</v>
      </c>
      <c r="AJ1636" s="109"/>
      <c r="AK1636" s="109">
        <v>6513.28</v>
      </c>
      <c r="AL1636" s="109">
        <v>1112.2913307692306</v>
      </c>
      <c r="AM1636" s="640">
        <f t="shared" si="31"/>
        <v>2891658.3198107691</v>
      </c>
      <c r="AO1636" s="289"/>
    </row>
    <row r="1637" spans="1:42" s="61" customFormat="1" ht="22.5" customHeight="1" x14ac:dyDescent="0.3">
      <c r="A1637" s="706"/>
      <c r="B1637" s="117" t="s">
        <v>326</v>
      </c>
      <c r="C1637" s="140">
        <v>27809.72</v>
      </c>
      <c r="D1637" s="110"/>
      <c r="E1637" s="110"/>
      <c r="F1637" s="264">
        <v>9286</v>
      </c>
      <c r="G1637" s="110">
        <v>48585</v>
      </c>
      <c r="H1637" s="110">
        <v>994</v>
      </c>
      <c r="I1637" s="124"/>
      <c r="J1637" s="110"/>
      <c r="K1637" s="110"/>
      <c r="L1637" s="264">
        <v>50760</v>
      </c>
      <c r="M1637" s="110"/>
      <c r="N1637" s="124">
        <v>189328.88399999999</v>
      </c>
      <c r="O1637" s="110">
        <v>450</v>
      </c>
      <c r="P1637" s="110"/>
      <c r="Q1637" s="110">
        <v>18640</v>
      </c>
      <c r="R1637" s="110">
        <f>+(658+4443+250)/2</f>
        <v>2675.5</v>
      </c>
      <c r="S1637" s="110">
        <v>144595</v>
      </c>
      <c r="T1637" s="141"/>
      <c r="U1637" s="140">
        <v>7095.4470000000001</v>
      </c>
      <c r="V1637" s="110">
        <f>(361500+848438)/1000</f>
        <v>1209.9380000000001</v>
      </c>
      <c r="W1637" s="110"/>
      <c r="X1637" s="110">
        <v>1994</v>
      </c>
      <c r="Y1637" s="110">
        <v>302252</v>
      </c>
      <c r="Z1637" s="110">
        <v>311723</v>
      </c>
      <c r="AA1637" s="110">
        <v>18</v>
      </c>
      <c r="AB1637" s="110">
        <v>50</v>
      </c>
      <c r="AC1637" s="110">
        <v>27378.634999999998</v>
      </c>
      <c r="AD1637" s="110">
        <v>127416</v>
      </c>
      <c r="AE1637" s="110"/>
      <c r="AF1637" s="110"/>
      <c r="AG1637" s="110"/>
      <c r="AH1637" s="110">
        <v>1049474.0938800001</v>
      </c>
      <c r="AI1637" s="110">
        <v>99318</v>
      </c>
      <c r="AJ1637" s="110"/>
      <c r="AK1637" s="110">
        <f>4101+1+30</f>
        <v>4132</v>
      </c>
      <c r="AL1637" s="110">
        <v>2401.6065877192987</v>
      </c>
      <c r="AM1637" s="641">
        <f t="shared" ref="AM1637:AM1700" si="33">SUM(C1637:AL1637)</f>
        <v>2427586.8244677195</v>
      </c>
      <c r="AO1637" s="289"/>
      <c r="AP1637" s="97"/>
    </row>
    <row r="1638" spans="1:42" s="61" customFormat="1" ht="25.5" customHeight="1" x14ac:dyDescent="0.3">
      <c r="A1638" s="706"/>
      <c r="B1638" s="175" t="s">
        <v>327</v>
      </c>
      <c r="C1638" s="176">
        <v>34264.828999999998</v>
      </c>
      <c r="D1638" s="127"/>
      <c r="E1638" s="127"/>
      <c r="F1638" s="265">
        <v>12447</v>
      </c>
      <c r="G1638" s="127">
        <v>47472</v>
      </c>
      <c r="H1638" s="127">
        <v>1460</v>
      </c>
      <c r="I1638" s="178"/>
      <c r="J1638" s="127"/>
      <c r="K1638" s="127">
        <f>1-1</f>
        <v>0</v>
      </c>
      <c r="L1638" s="265">
        <v>61238</v>
      </c>
      <c r="M1638" s="127">
        <f>83000/1000</f>
        <v>83</v>
      </c>
      <c r="N1638" s="178">
        <v>198726.92</v>
      </c>
      <c r="O1638" s="127">
        <v>353</v>
      </c>
      <c r="P1638" s="127"/>
      <c r="Q1638" s="127">
        <v>15257</v>
      </c>
      <c r="R1638" s="127">
        <f>+(658+4443+250)/2</f>
        <v>2675.5</v>
      </c>
      <c r="S1638" s="127">
        <v>147819</v>
      </c>
      <c r="T1638" s="177"/>
      <c r="U1638" s="176">
        <v>4456.7139999999999</v>
      </c>
      <c r="V1638" s="127">
        <f>(721646+1148438)/1000-V1637</f>
        <v>660.14599999999996</v>
      </c>
      <c r="W1638" s="127"/>
      <c r="X1638" s="127">
        <v>721</v>
      </c>
      <c r="Y1638" s="127">
        <v>322712</v>
      </c>
      <c r="Z1638" s="127">
        <v>450879</v>
      </c>
      <c r="AA1638" s="127"/>
      <c r="AB1638" s="127"/>
      <c r="AC1638" s="127">
        <v>26052.800999999999</v>
      </c>
      <c r="AD1638" s="127">
        <v>108000</v>
      </c>
      <c r="AE1638" s="127"/>
      <c r="AF1638" s="127"/>
      <c r="AG1638" s="127">
        <f>12.7/1.3</f>
        <v>9.7692307692307683</v>
      </c>
      <c r="AH1638" s="127">
        <v>1258268.29</v>
      </c>
      <c r="AI1638" s="127">
        <v>127145</v>
      </c>
      <c r="AJ1638" s="127">
        <v>485</v>
      </c>
      <c r="AK1638" s="127">
        <f>2573-1+45-1</f>
        <v>2616</v>
      </c>
      <c r="AL1638" s="127">
        <v>928.24427480916029</v>
      </c>
      <c r="AM1638" s="642">
        <f t="shared" si="33"/>
        <v>2824730.2135055782</v>
      </c>
      <c r="AO1638" s="289"/>
    </row>
    <row r="1639" spans="1:42" s="61" customFormat="1" ht="25.5" customHeight="1" x14ac:dyDescent="0.3">
      <c r="A1639" s="706"/>
      <c r="B1639" s="180" t="s">
        <v>361</v>
      </c>
      <c r="C1639" s="300">
        <v>46019.592519999998</v>
      </c>
      <c r="D1639" s="173"/>
      <c r="E1639" s="173"/>
      <c r="F1639" s="266">
        <v>30637</v>
      </c>
      <c r="G1639" s="173">
        <f>19127+28071</f>
        <v>47198</v>
      </c>
      <c r="H1639" s="173">
        <v>1323</v>
      </c>
      <c r="I1639" s="174"/>
      <c r="J1639" s="173"/>
      <c r="K1639" s="173"/>
      <c r="L1639" s="266">
        <v>67037</v>
      </c>
      <c r="M1639" s="173">
        <v>431.75</v>
      </c>
      <c r="N1639" s="174">
        <v>178045.351</v>
      </c>
      <c r="O1639" s="173"/>
      <c r="P1639" s="173"/>
      <c r="Q1639" s="173">
        <v>15822</v>
      </c>
      <c r="R1639" s="173">
        <f>+(1104+5420)</f>
        <v>6524</v>
      </c>
      <c r="S1639" s="173">
        <v>134311</v>
      </c>
      <c r="T1639" s="327">
        <v>2237.6</v>
      </c>
      <c r="U1639" s="300">
        <v>4691.5780000000004</v>
      </c>
      <c r="V1639" s="173">
        <f>(360146+228753)/1000</f>
        <v>588.899</v>
      </c>
      <c r="W1639" s="173"/>
      <c r="X1639" s="173">
        <v>298</v>
      </c>
      <c r="Y1639" s="173">
        <v>329341</v>
      </c>
      <c r="Z1639" s="173">
        <v>329219.20532999997</v>
      </c>
      <c r="AA1639" s="173"/>
      <c r="AB1639" s="173">
        <v>58</v>
      </c>
      <c r="AC1639" s="173">
        <f>6054+5835+1693+1007</f>
        <v>14589</v>
      </c>
      <c r="AD1639" s="173">
        <v>137000</v>
      </c>
      <c r="AE1639" s="173"/>
      <c r="AF1639" s="173"/>
      <c r="AG1639" s="173">
        <v>12</v>
      </c>
      <c r="AH1639" s="173">
        <v>1083727</v>
      </c>
      <c r="AI1639" s="173">
        <v>387206.04000000004</v>
      </c>
      <c r="AJ1639" s="173"/>
      <c r="AK1639" s="173">
        <v>3073</v>
      </c>
      <c r="AL1639" s="173">
        <v>1122.9314049586776</v>
      </c>
      <c r="AM1639" s="643">
        <f t="shared" si="33"/>
        <v>2820512.9472549586</v>
      </c>
      <c r="AO1639" s="289"/>
      <c r="AP1639" s="97"/>
    </row>
    <row r="1640" spans="1:42" s="61" customFormat="1" ht="25.5" customHeight="1" x14ac:dyDescent="0.3">
      <c r="A1640" s="706"/>
      <c r="B1640" s="180" t="s">
        <v>362</v>
      </c>
      <c r="C1640" s="300">
        <v>1493.538</v>
      </c>
      <c r="D1640" s="173"/>
      <c r="E1640" s="173"/>
      <c r="F1640" s="266">
        <v>36474</v>
      </c>
      <c r="G1640" s="173">
        <f>19775+23002</f>
        <v>42777</v>
      </c>
      <c r="H1640" s="173">
        <f>941+216+536</f>
        <v>1693</v>
      </c>
      <c r="I1640" s="174"/>
      <c r="J1640" s="173"/>
      <c r="K1640" s="173"/>
      <c r="L1640" s="266">
        <v>61382</v>
      </c>
      <c r="M1640" s="173">
        <v>456</v>
      </c>
      <c r="N1640" s="174">
        <v>181447.446</v>
      </c>
      <c r="O1640" s="173">
        <v>147</v>
      </c>
      <c r="P1640" s="173"/>
      <c r="Q1640" s="173">
        <v>17845</v>
      </c>
      <c r="R1640" s="173">
        <f>5859+2269-R1639</f>
        <v>1604</v>
      </c>
      <c r="S1640" s="173">
        <v>110889</v>
      </c>
      <c r="T1640" s="327">
        <v>2552.4</v>
      </c>
      <c r="U1640" s="300">
        <v>3303.5459999999998</v>
      </c>
      <c r="V1640" s="173">
        <f>(720292+266136)/1000-V1639</f>
        <v>397.529</v>
      </c>
      <c r="W1640" s="173"/>
      <c r="X1640" s="173">
        <v>637</v>
      </c>
      <c r="Y1640" s="173">
        <v>367116</v>
      </c>
      <c r="Z1640" s="173">
        <v>351644.64810000005</v>
      </c>
      <c r="AA1640" s="173"/>
      <c r="AB1640" s="173">
        <v>123</v>
      </c>
      <c r="AC1640" s="173">
        <f>17886-6054+7915-5835+2222+500</f>
        <v>16634</v>
      </c>
      <c r="AD1640" s="173">
        <v>154150</v>
      </c>
      <c r="AE1640" s="173"/>
      <c r="AF1640" s="173"/>
      <c r="AG1640" s="173">
        <v>12</v>
      </c>
      <c r="AH1640" s="173">
        <v>1184029</v>
      </c>
      <c r="AI1640" s="173">
        <v>200645.96</v>
      </c>
      <c r="AJ1640" s="173">
        <v>1435</v>
      </c>
      <c r="AK1640" s="173">
        <v>3625</v>
      </c>
      <c r="AL1640" s="173">
        <v>1272.9142857142856</v>
      </c>
      <c r="AM1640" s="644">
        <f t="shared" si="33"/>
        <v>2743785.9813857144</v>
      </c>
      <c r="AO1640" s="289"/>
      <c r="AP1640" s="97"/>
    </row>
    <row r="1641" spans="1:42" s="61" customFormat="1" ht="22.5" customHeight="1" x14ac:dyDescent="0.3">
      <c r="A1641" s="706"/>
      <c r="B1641" s="115" t="s">
        <v>402</v>
      </c>
      <c r="C1641" s="142">
        <v>56200.190280000003</v>
      </c>
      <c r="D1641" s="111"/>
      <c r="E1641" s="111"/>
      <c r="F1641" s="267">
        <v>41770.9</v>
      </c>
      <c r="G1641" s="111">
        <v>20611</v>
      </c>
      <c r="H1641" s="111">
        <v>421</v>
      </c>
      <c r="I1641" s="125"/>
      <c r="J1641" s="111"/>
      <c r="K1641" s="111"/>
      <c r="L1641" s="267">
        <v>42225</v>
      </c>
      <c r="M1641" s="111">
        <v>461.23752000000002</v>
      </c>
      <c r="N1641" s="125"/>
      <c r="O1641" s="111">
        <v>81</v>
      </c>
      <c r="P1641" s="111"/>
      <c r="Q1641" s="111">
        <v>17596</v>
      </c>
      <c r="R1641" s="111">
        <v>5242</v>
      </c>
      <c r="S1641" s="111">
        <v>206580</v>
      </c>
      <c r="T1641" s="143">
        <f>3034.7+426</f>
        <v>3460.7</v>
      </c>
      <c r="U1641" s="142">
        <v>5973.4560000000001</v>
      </c>
      <c r="V1641" s="111">
        <f>463889/1000</f>
        <v>463.88900000000001</v>
      </c>
      <c r="W1641" s="111"/>
      <c r="X1641" s="111">
        <v>2392</v>
      </c>
      <c r="Y1641" s="111">
        <v>510251.603</v>
      </c>
      <c r="Z1641" s="111">
        <v>231338</v>
      </c>
      <c r="AA1641" s="111"/>
      <c r="AB1641" s="111"/>
      <c r="AC1641" s="111">
        <v>28107</v>
      </c>
      <c r="AD1641" s="111">
        <v>187008</v>
      </c>
      <c r="AE1641" s="111"/>
      <c r="AF1641" s="111"/>
      <c r="AG1641" s="111"/>
      <c r="AH1641" s="111">
        <v>2076720.0460000001</v>
      </c>
      <c r="AI1641" s="111">
        <v>230168</v>
      </c>
      <c r="AJ1641" s="111"/>
      <c r="AK1641" s="111">
        <f>4204.206/1.097</f>
        <v>3832.457611668186</v>
      </c>
      <c r="AL1641" s="111">
        <v>842.80446428571418</v>
      </c>
      <c r="AM1641" s="645">
        <f t="shared" si="33"/>
        <v>3671746.2838759543</v>
      </c>
      <c r="AO1641" s="289"/>
    </row>
    <row r="1642" spans="1:42" s="61" customFormat="1" ht="21" customHeight="1" x14ac:dyDescent="0.3">
      <c r="A1642" s="707"/>
      <c r="B1642" s="181" t="s">
        <v>403</v>
      </c>
      <c r="C1642" s="144">
        <v>54234.918799999999</v>
      </c>
      <c r="D1642" s="112"/>
      <c r="E1642" s="112"/>
      <c r="F1642" s="268">
        <v>34402.1</v>
      </c>
      <c r="G1642" s="112">
        <v>37861</v>
      </c>
      <c r="H1642" s="112">
        <v>3234</v>
      </c>
      <c r="I1642" s="126"/>
      <c r="J1642" s="112"/>
      <c r="K1642" s="112"/>
      <c r="L1642" s="268">
        <v>33687</v>
      </c>
      <c r="M1642" s="112">
        <v>426.58190000000002</v>
      </c>
      <c r="N1642" s="126"/>
      <c r="O1642" s="112">
        <v>30</v>
      </c>
      <c r="P1642" s="112"/>
      <c r="Q1642" s="112">
        <v>16399</v>
      </c>
      <c r="R1642" s="112">
        <f>1050+10170-R1641</f>
        <v>5978</v>
      </c>
      <c r="S1642" s="112">
        <v>194584.579211</v>
      </c>
      <c r="T1642" s="145">
        <v>2771.95</v>
      </c>
      <c r="U1642" s="144">
        <v>3709.9059999999999</v>
      </c>
      <c r="V1642" s="112">
        <f>2759071/1000-V1641</f>
        <v>2295.1819999999998</v>
      </c>
      <c r="W1642" s="112"/>
      <c r="X1642" s="112">
        <v>14481</v>
      </c>
      <c r="Y1642" s="112">
        <v>640726.52800000005</v>
      </c>
      <c r="Z1642" s="112">
        <v>208195</v>
      </c>
      <c r="AA1642" s="112"/>
      <c r="AB1642" s="112"/>
      <c r="AC1642" s="112">
        <v>11019</v>
      </c>
      <c r="AD1642" s="112">
        <v>267960</v>
      </c>
      <c r="AE1642" s="112"/>
      <c r="AF1642" s="112"/>
      <c r="AG1642" s="112"/>
      <c r="AH1642" s="112">
        <v>1755543.04</v>
      </c>
      <c r="AI1642" s="112">
        <v>230168</v>
      </c>
      <c r="AJ1642" s="112">
        <v>1702</v>
      </c>
      <c r="AK1642" s="112">
        <f>5227.525/1.001</f>
        <v>5222.3026973026972</v>
      </c>
      <c r="AL1642" s="112">
        <v>1241</v>
      </c>
      <c r="AM1642" s="646">
        <f t="shared" si="33"/>
        <v>3525872.0886083031</v>
      </c>
      <c r="AO1642" s="289"/>
    </row>
    <row r="1643" spans="1:42" s="61" customFormat="1" ht="21" customHeight="1" x14ac:dyDescent="0.3">
      <c r="A1643" s="705" t="s">
        <v>279</v>
      </c>
      <c r="B1643" s="179" t="s">
        <v>293</v>
      </c>
      <c r="C1643" s="135">
        <v>32</v>
      </c>
      <c r="D1643" s="136"/>
      <c r="E1643" s="136"/>
      <c r="F1643" s="262"/>
      <c r="G1643" s="136">
        <v>20</v>
      </c>
      <c r="H1643" s="136"/>
      <c r="I1643" s="326"/>
      <c r="J1643" s="136"/>
      <c r="K1643" s="136"/>
      <c r="L1643" s="262">
        <v>83.384</v>
      </c>
      <c r="M1643" s="136"/>
      <c r="N1643" s="326">
        <v>271.08100000000002</v>
      </c>
      <c r="O1643" s="136"/>
      <c r="P1643" s="136"/>
      <c r="Q1643" s="136">
        <v>55</v>
      </c>
      <c r="R1643" s="136"/>
      <c r="S1643" s="136">
        <v>100</v>
      </c>
      <c r="T1643" s="137"/>
      <c r="U1643" s="632">
        <v>25.353000000000002</v>
      </c>
      <c r="V1643" s="122"/>
      <c r="W1643" s="122"/>
      <c r="X1643" s="122"/>
      <c r="Y1643" s="122"/>
      <c r="Z1643" s="328">
        <v>188</v>
      </c>
      <c r="AA1643" s="122"/>
      <c r="AB1643" s="122"/>
      <c r="AC1643" s="122"/>
      <c r="AD1643" s="122"/>
      <c r="AE1643" s="122"/>
      <c r="AF1643" s="122"/>
      <c r="AG1643" s="122"/>
      <c r="AH1643" s="122"/>
      <c r="AI1643" s="122" t="s">
        <v>482</v>
      </c>
      <c r="AJ1643" s="122">
        <v>63</v>
      </c>
      <c r="AK1643" s="122"/>
      <c r="AL1643" s="122"/>
      <c r="AM1643" s="639">
        <f t="shared" si="33"/>
        <v>837.81799999999998</v>
      </c>
      <c r="AO1643" s="289"/>
    </row>
    <row r="1644" spans="1:42" s="61" customFormat="1" ht="19.5" customHeight="1" x14ac:dyDescent="0.3">
      <c r="A1644" s="706"/>
      <c r="B1644" s="116" t="s">
        <v>294</v>
      </c>
      <c r="C1644" s="138">
        <v>100</v>
      </c>
      <c r="D1644" s="109"/>
      <c r="E1644" s="109"/>
      <c r="F1644" s="263"/>
      <c r="G1644" s="109"/>
      <c r="H1644" s="109"/>
      <c r="I1644" s="123"/>
      <c r="J1644" s="109"/>
      <c r="K1644" s="109"/>
      <c r="L1644" s="263">
        <v>16.375</v>
      </c>
      <c r="M1644" s="109"/>
      <c r="N1644" s="123">
        <v>164.20500000000001</v>
      </c>
      <c r="O1644" s="109"/>
      <c r="P1644" s="109"/>
      <c r="Q1644" s="109">
        <v>7</v>
      </c>
      <c r="R1644" s="109"/>
      <c r="S1644" s="109"/>
      <c r="T1644" s="139"/>
      <c r="U1644" s="138">
        <v>54.244999999999997</v>
      </c>
      <c r="V1644" s="109"/>
      <c r="W1644" s="109"/>
      <c r="X1644" s="109"/>
      <c r="Y1644" s="109"/>
      <c r="Z1644" s="109">
        <v>116</v>
      </c>
      <c r="AA1644" s="109"/>
      <c r="AB1644" s="109"/>
      <c r="AC1644" s="109"/>
      <c r="AD1644" s="109"/>
      <c r="AE1644" s="109"/>
      <c r="AF1644" s="109"/>
      <c r="AG1644" s="109"/>
      <c r="AH1644" s="109"/>
      <c r="AI1644" s="109" t="s">
        <v>482</v>
      </c>
      <c r="AJ1644" s="109"/>
      <c r="AK1644" s="109"/>
      <c r="AL1644" s="109"/>
      <c r="AM1644" s="640">
        <f t="shared" si="33"/>
        <v>457.82500000000005</v>
      </c>
      <c r="AO1644" s="289"/>
    </row>
    <row r="1645" spans="1:42" s="61" customFormat="1" ht="22.5" customHeight="1" x14ac:dyDescent="0.3">
      <c r="A1645" s="706"/>
      <c r="B1645" s="117" t="s">
        <v>326</v>
      </c>
      <c r="C1645" s="140">
        <v>25.542000000000002</v>
      </c>
      <c r="D1645" s="110"/>
      <c r="E1645" s="110"/>
      <c r="F1645" s="264"/>
      <c r="G1645" s="110"/>
      <c r="H1645" s="110">
        <v>57</v>
      </c>
      <c r="I1645" s="124"/>
      <c r="J1645" s="110"/>
      <c r="K1645" s="110"/>
      <c r="L1645" s="264">
        <v>52</v>
      </c>
      <c r="M1645" s="110"/>
      <c r="N1645" s="124">
        <v>291.61900000000003</v>
      </c>
      <c r="O1645" s="110"/>
      <c r="P1645" s="110"/>
      <c r="Q1645" s="110">
        <v>8</v>
      </c>
      <c r="R1645" s="110"/>
      <c r="S1645" s="110">
        <v>11757</v>
      </c>
      <c r="T1645" s="141"/>
      <c r="U1645" s="140">
        <v>97.965000000000003</v>
      </c>
      <c r="V1645" s="110"/>
      <c r="W1645" s="110"/>
      <c r="X1645" s="110"/>
      <c r="Y1645" s="110"/>
      <c r="Z1645" s="110">
        <v>319</v>
      </c>
      <c r="AA1645" s="110"/>
      <c r="AB1645" s="110"/>
      <c r="AC1645" s="110"/>
      <c r="AD1645" s="110"/>
      <c r="AE1645" s="110"/>
      <c r="AF1645" s="110"/>
      <c r="AG1645" s="110"/>
      <c r="AH1645" s="110"/>
      <c r="AI1645" s="110" t="s">
        <v>482</v>
      </c>
      <c r="AJ1645" s="110">
        <v>6</v>
      </c>
      <c r="AK1645" s="110"/>
      <c r="AL1645" s="110"/>
      <c r="AM1645" s="641">
        <f t="shared" si="33"/>
        <v>12614.126</v>
      </c>
      <c r="AO1645" s="289"/>
      <c r="AP1645" s="97"/>
    </row>
    <row r="1646" spans="1:42" s="61" customFormat="1" ht="25.5" customHeight="1" x14ac:dyDescent="0.3">
      <c r="A1646" s="706"/>
      <c r="B1646" s="175" t="s">
        <v>327</v>
      </c>
      <c r="C1646" s="176"/>
      <c r="D1646" s="127"/>
      <c r="E1646" s="127"/>
      <c r="F1646" s="265">
        <v>-1</v>
      </c>
      <c r="G1646" s="127">
        <v>10</v>
      </c>
      <c r="H1646" s="127">
        <v>114</v>
      </c>
      <c r="I1646" s="178"/>
      <c r="J1646" s="127"/>
      <c r="K1646" s="127"/>
      <c r="L1646" s="265">
        <v>71</v>
      </c>
      <c r="M1646" s="127"/>
      <c r="N1646" s="178">
        <v>498.87200000000001</v>
      </c>
      <c r="O1646" s="127"/>
      <c r="P1646" s="127"/>
      <c r="Q1646" s="127"/>
      <c r="R1646" s="127"/>
      <c r="S1646" s="127">
        <v>11140</v>
      </c>
      <c r="T1646" s="177"/>
      <c r="U1646" s="176">
        <v>129.02500000000001</v>
      </c>
      <c r="V1646" s="127"/>
      <c r="W1646" s="127">
        <v>245</v>
      </c>
      <c r="X1646" s="127"/>
      <c r="Y1646" s="127"/>
      <c r="Z1646" s="127">
        <v>308</v>
      </c>
      <c r="AA1646" s="127"/>
      <c r="AB1646" s="127"/>
      <c r="AC1646" s="127"/>
      <c r="AD1646" s="127"/>
      <c r="AE1646" s="127"/>
      <c r="AF1646" s="127"/>
      <c r="AG1646" s="127"/>
      <c r="AH1646" s="127"/>
      <c r="AI1646" s="127" t="s">
        <v>482</v>
      </c>
      <c r="AJ1646" s="127">
        <v>4</v>
      </c>
      <c r="AK1646" s="127"/>
      <c r="AL1646" s="127"/>
      <c r="AM1646" s="642">
        <f t="shared" si="33"/>
        <v>12518.896999999999</v>
      </c>
      <c r="AO1646" s="289"/>
    </row>
    <row r="1647" spans="1:42" s="61" customFormat="1" ht="25.5" customHeight="1" x14ac:dyDescent="0.3">
      <c r="A1647" s="706"/>
      <c r="B1647" s="180" t="s">
        <v>361</v>
      </c>
      <c r="C1647" s="300">
        <v>69.198030000000003</v>
      </c>
      <c r="D1647" s="173"/>
      <c r="E1647" s="173"/>
      <c r="F1647" s="266"/>
      <c r="G1647" s="173">
        <f>30+49</f>
        <v>79</v>
      </c>
      <c r="H1647" s="173">
        <v>724</v>
      </c>
      <c r="I1647" s="174"/>
      <c r="J1647" s="173"/>
      <c r="K1647" s="173"/>
      <c r="L1647" s="266">
        <v>88</v>
      </c>
      <c r="M1647" s="173"/>
      <c r="N1647" s="174">
        <v>298.86399999999998</v>
      </c>
      <c r="O1647" s="173">
        <v>52</v>
      </c>
      <c r="P1647" s="173"/>
      <c r="Q1647" s="173">
        <v>21</v>
      </c>
      <c r="R1647" s="173"/>
      <c r="S1647" s="173">
        <v>9421</v>
      </c>
      <c r="T1647" s="327"/>
      <c r="U1647" s="300">
        <v>226.303</v>
      </c>
      <c r="V1647" s="173"/>
      <c r="W1647" s="173">
        <v>548</v>
      </c>
      <c r="X1647" s="173"/>
      <c r="Y1647" s="173"/>
      <c r="Z1647" s="173">
        <v>393.57696000000004</v>
      </c>
      <c r="AA1647" s="173"/>
      <c r="AB1647" s="173"/>
      <c r="AC1647" s="173"/>
      <c r="AD1647" s="173"/>
      <c r="AE1647" s="173"/>
      <c r="AF1647" s="173"/>
      <c r="AG1647" s="173"/>
      <c r="AH1647" s="173"/>
      <c r="AI1647" s="173" t="s">
        <v>482</v>
      </c>
      <c r="AJ1647" s="173">
        <v>3</v>
      </c>
      <c r="AK1647" s="173"/>
      <c r="AL1647" s="173"/>
      <c r="AM1647" s="643">
        <f t="shared" si="33"/>
        <v>11923.941990000001</v>
      </c>
      <c r="AO1647" s="289"/>
      <c r="AP1647" s="97"/>
    </row>
    <row r="1648" spans="1:42" s="61" customFormat="1" ht="25.5" customHeight="1" x14ac:dyDescent="0.3">
      <c r="A1648" s="706"/>
      <c r="B1648" s="180" t="s">
        <v>362</v>
      </c>
      <c r="C1648" s="300">
        <v>130.10597999999999</v>
      </c>
      <c r="D1648" s="173"/>
      <c r="E1648" s="173"/>
      <c r="F1648" s="266">
        <v>848</v>
      </c>
      <c r="G1648" s="173"/>
      <c r="H1648" s="173">
        <v>14</v>
      </c>
      <c r="I1648" s="174"/>
      <c r="J1648" s="173"/>
      <c r="K1648" s="173"/>
      <c r="L1648" s="266">
        <v>101</v>
      </c>
      <c r="M1648" s="173"/>
      <c r="N1648" s="174">
        <v>578.39099999999996</v>
      </c>
      <c r="O1648" s="173"/>
      <c r="P1648" s="173"/>
      <c r="Q1648" s="173">
        <v>37</v>
      </c>
      <c r="R1648" s="173"/>
      <c r="S1648" s="173">
        <v>13478</v>
      </c>
      <c r="T1648" s="327"/>
      <c r="U1648" s="300">
        <v>215.78100000000001</v>
      </c>
      <c r="V1648" s="173"/>
      <c r="W1648" s="173"/>
      <c r="X1648" s="173"/>
      <c r="Y1648" s="173"/>
      <c r="Z1648" s="173">
        <v>626.62654000000009</v>
      </c>
      <c r="AA1648" s="173"/>
      <c r="AB1648" s="173"/>
      <c r="AC1648" s="173"/>
      <c r="AD1648" s="173"/>
      <c r="AE1648" s="173"/>
      <c r="AF1648" s="173"/>
      <c r="AG1648" s="173"/>
      <c r="AH1648" s="173"/>
      <c r="AI1648" s="173" t="s">
        <v>482</v>
      </c>
      <c r="AJ1648" s="173">
        <v>3</v>
      </c>
      <c r="AK1648" s="173"/>
      <c r="AL1648" s="173"/>
      <c r="AM1648" s="644">
        <f t="shared" si="33"/>
        <v>16031.90452</v>
      </c>
      <c r="AO1648" s="289"/>
      <c r="AP1648" s="97"/>
    </row>
    <row r="1649" spans="1:42" s="61" customFormat="1" ht="22.5" customHeight="1" x14ac:dyDescent="0.3">
      <c r="A1649" s="706"/>
      <c r="B1649" s="115" t="s">
        <v>402</v>
      </c>
      <c r="C1649" s="142">
        <v>454.56740000000002</v>
      </c>
      <c r="D1649" s="111"/>
      <c r="E1649" s="111"/>
      <c r="F1649" s="267">
        <v>2091</v>
      </c>
      <c r="G1649" s="111"/>
      <c r="H1649" s="111">
        <v>893</v>
      </c>
      <c r="I1649" s="125"/>
      <c r="J1649" s="111"/>
      <c r="K1649" s="111"/>
      <c r="L1649" s="267"/>
      <c r="M1649" s="111"/>
      <c r="N1649" s="125"/>
      <c r="O1649" s="111"/>
      <c r="P1649" s="111"/>
      <c r="Q1649" s="111"/>
      <c r="R1649" s="111"/>
      <c r="S1649" s="111">
        <v>11557.247127000001</v>
      </c>
      <c r="T1649" s="143"/>
      <c r="U1649" s="142">
        <v>170.59399999999999</v>
      </c>
      <c r="V1649" s="111"/>
      <c r="W1649" s="111">
        <v>715</v>
      </c>
      <c r="X1649" s="111"/>
      <c r="Y1649" s="111"/>
      <c r="Z1649" s="111">
        <v>569</v>
      </c>
      <c r="AA1649" s="111"/>
      <c r="AB1649" s="111">
        <v>1</v>
      </c>
      <c r="AC1649" s="111"/>
      <c r="AD1649" s="111"/>
      <c r="AE1649" s="111"/>
      <c r="AF1649" s="111">
        <v>10</v>
      </c>
      <c r="AG1649" s="111"/>
      <c r="AH1649" s="111" t="s">
        <v>482</v>
      </c>
      <c r="AI1649" s="111" t="s">
        <v>482</v>
      </c>
      <c r="AJ1649" s="111"/>
      <c r="AK1649" s="111"/>
      <c r="AL1649" s="111"/>
      <c r="AM1649" s="645">
        <f t="shared" si="33"/>
        <v>16461.408527</v>
      </c>
      <c r="AO1649" s="289"/>
    </row>
    <row r="1650" spans="1:42" s="61" customFormat="1" ht="21" customHeight="1" x14ac:dyDescent="0.3">
      <c r="A1650" s="707"/>
      <c r="B1650" s="181" t="s">
        <v>403</v>
      </c>
      <c r="C1650" s="144">
        <v>41.334940000000003</v>
      </c>
      <c r="D1650" s="112"/>
      <c r="E1650" s="112"/>
      <c r="F1650" s="268">
        <v>1111.5</v>
      </c>
      <c r="G1650" s="112">
        <v>83</v>
      </c>
      <c r="H1650" s="112"/>
      <c r="I1650" s="126"/>
      <c r="J1650" s="112"/>
      <c r="K1650" s="112"/>
      <c r="L1650" s="268"/>
      <c r="M1650" s="112"/>
      <c r="N1650" s="126"/>
      <c r="O1650" s="112"/>
      <c r="P1650" s="112"/>
      <c r="Q1650" s="112">
        <v>9</v>
      </c>
      <c r="R1650" s="112"/>
      <c r="S1650" s="112">
        <v>15993.856660000001</v>
      </c>
      <c r="T1650" s="145"/>
      <c r="U1650" s="144">
        <v>254.679</v>
      </c>
      <c r="V1650" s="112"/>
      <c r="W1650" s="112">
        <f>1721-715</f>
        <v>1006</v>
      </c>
      <c r="X1650" s="112"/>
      <c r="Y1650" s="112">
        <v>10</v>
      </c>
      <c r="Z1650" s="112">
        <v>585</v>
      </c>
      <c r="AA1650" s="112"/>
      <c r="AB1650" s="112"/>
      <c r="AC1650" s="112"/>
      <c r="AD1650" s="112"/>
      <c r="AE1650" s="112"/>
      <c r="AF1650" s="112"/>
      <c r="AG1650" s="112"/>
      <c r="AH1650" s="112" t="s">
        <v>482</v>
      </c>
      <c r="AI1650" s="112" t="s">
        <v>482</v>
      </c>
      <c r="AJ1650" s="112"/>
      <c r="AK1650" s="112"/>
      <c r="AL1650" s="112"/>
      <c r="AM1650" s="646">
        <f t="shared" si="33"/>
        <v>19094.370600000002</v>
      </c>
      <c r="AO1650" s="289"/>
    </row>
    <row r="1651" spans="1:42" s="61" customFormat="1" ht="21" customHeight="1" x14ac:dyDescent="0.3">
      <c r="A1651" s="705" t="s">
        <v>280</v>
      </c>
      <c r="B1651" s="179" t="s">
        <v>293</v>
      </c>
      <c r="C1651" s="135"/>
      <c r="D1651" s="136"/>
      <c r="E1651" s="136"/>
      <c r="F1651" s="262"/>
      <c r="G1651" s="136"/>
      <c r="H1651" s="136"/>
      <c r="I1651" s="326"/>
      <c r="J1651" s="136"/>
      <c r="K1651" s="136"/>
      <c r="L1651" s="262"/>
      <c r="M1651" s="136"/>
      <c r="N1651" s="326"/>
      <c r="O1651" s="136"/>
      <c r="P1651" s="136"/>
      <c r="Q1651" s="136"/>
      <c r="R1651" s="136"/>
      <c r="S1651" s="136"/>
      <c r="T1651" s="137"/>
      <c r="U1651" s="632">
        <v>67.206999999999994</v>
      </c>
      <c r="V1651" s="122"/>
      <c r="W1651" s="122"/>
      <c r="X1651" s="122"/>
      <c r="Y1651" s="122"/>
      <c r="Z1651" s="122"/>
      <c r="AA1651" s="122"/>
      <c r="AB1651" s="122"/>
      <c r="AC1651" s="122"/>
      <c r="AD1651" s="122"/>
      <c r="AE1651" s="122"/>
      <c r="AF1651" s="122"/>
      <c r="AG1651" s="122"/>
      <c r="AH1651" s="122"/>
      <c r="AI1651" s="122" t="s">
        <v>482</v>
      </c>
      <c r="AJ1651" s="122"/>
      <c r="AK1651" s="122"/>
      <c r="AL1651" s="122"/>
      <c r="AM1651" s="639">
        <f t="shared" si="33"/>
        <v>67.206999999999994</v>
      </c>
      <c r="AO1651" s="289"/>
    </row>
    <row r="1652" spans="1:42" s="61" customFormat="1" ht="19.5" customHeight="1" x14ac:dyDescent="0.3">
      <c r="A1652" s="706"/>
      <c r="B1652" s="116" t="s">
        <v>294</v>
      </c>
      <c r="C1652" s="138"/>
      <c r="D1652" s="109"/>
      <c r="E1652" s="109"/>
      <c r="F1652" s="263"/>
      <c r="G1652" s="109"/>
      <c r="H1652" s="109"/>
      <c r="I1652" s="123"/>
      <c r="J1652" s="109"/>
      <c r="K1652" s="109"/>
      <c r="L1652" s="263"/>
      <c r="M1652" s="109"/>
      <c r="N1652" s="123"/>
      <c r="O1652" s="109"/>
      <c r="P1652" s="109"/>
      <c r="Q1652" s="109"/>
      <c r="R1652" s="109"/>
      <c r="S1652" s="109"/>
      <c r="T1652" s="139">
        <v>4.4749999999999996</v>
      </c>
      <c r="U1652" s="138">
        <v>78.397999999999996</v>
      </c>
      <c r="V1652" s="109"/>
      <c r="W1652" s="109"/>
      <c r="X1652" s="109"/>
      <c r="Y1652" s="109"/>
      <c r="Z1652" s="109"/>
      <c r="AA1652" s="109"/>
      <c r="AB1652" s="109"/>
      <c r="AC1652" s="109"/>
      <c r="AD1652" s="109"/>
      <c r="AE1652" s="109"/>
      <c r="AF1652" s="109"/>
      <c r="AG1652" s="109"/>
      <c r="AH1652" s="109"/>
      <c r="AI1652" s="109" t="s">
        <v>482</v>
      </c>
      <c r="AJ1652" s="109"/>
      <c r="AK1652" s="109"/>
      <c r="AL1652" s="109"/>
      <c r="AM1652" s="640">
        <f t="shared" si="33"/>
        <v>82.87299999999999</v>
      </c>
      <c r="AO1652" s="289"/>
    </row>
    <row r="1653" spans="1:42" s="61" customFormat="1" ht="22.5" customHeight="1" x14ac:dyDescent="0.3">
      <c r="A1653" s="706"/>
      <c r="B1653" s="117" t="s">
        <v>326</v>
      </c>
      <c r="C1653" s="140"/>
      <c r="D1653" s="110"/>
      <c r="E1653" s="110"/>
      <c r="F1653" s="264"/>
      <c r="G1653" s="110"/>
      <c r="H1653" s="110"/>
      <c r="I1653" s="124"/>
      <c r="J1653" s="110"/>
      <c r="K1653" s="110"/>
      <c r="L1653" s="264"/>
      <c r="M1653" s="110"/>
      <c r="N1653" s="124"/>
      <c r="O1653" s="110"/>
      <c r="P1653" s="110"/>
      <c r="Q1653" s="110"/>
      <c r="R1653" s="110"/>
      <c r="S1653" s="110">
        <v>1512</v>
      </c>
      <c r="T1653" s="141"/>
      <c r="U1653" s="140">
        <v>24.963999999999999</v>
      </c>
      <c r="V1653" s="110"/>
      <c r="W1653" s="110"/>
      <c r="X1653" s="110"/>
      <c r="Y1653" s="110"/>
      <c r="Z1653" s="110"/>
      <c r="AA1653" s="110"/>
      <c r="AB1653" s="110"/>
      <c r="AC1653" s="110"/>
      <c r="AD1653" s="110"/>
      <c r="AE1653" s="110"/>
      <c r="AF1653" s="110"/>
      <c r="AG1653" s="110"/>
      <c r="AH1653" s="110"/>
      <c r="AI1653" s="110" t="s">
        <v>482</v>
      </c>
      <c r="AJ1653" s="110"/>
      <c r="AK1653" s="110"/>
      <c r="AL1653" s="110"/>
      <c r="AM1653" s="641">
        <f t="shared" si="33"/>
        <v>1536.9639999999999</v>
      </c>
      <c r="AO1653" s="289"/>
      <c r="AP1653" s="97"/>
    </row>
    <row r="1654" spans="1:42" s="61" customFormat="1" ht="25.5" customHeight="1" x14ac:dyDescent="0.3">
      <c r="A1654" s="706"/>
      <c r="B1654" s="175" t="s">
        <v>327</v>
      </c>
      <c r="C1654" s="176"/>
      <c r="D1654" s="127"/>
      <c r="E1654" s="127"/>
      <c r="F1654" s="265"/>
      <c r="G1654" s="127"/>
      <c r="H1654" s="127"/>
      <c r="I1654" s="178"/>
      <c r="J1654" s="127"/>
      <c r="K1654" s="127"/>
      <c r="L1654" s="265"/>
      <c r="M1654" s="127"/>
      <c r="N1654" s="178"/>
      <c r="O1654" s="127"/>
      <c r="P1654" s="127"/>
      <c r="Q1654" s="127"/>
      <c r="R1654" s="127"/>
      <c r="S1654" s="127">
        <v>5474</v>
      </c>
      <c r="T1654" s="177"/>
      <c r="U1654" s="176">
        <v>13.987</v>
      </c>
      <c r="V1654" s="127"/>
      <c r="W1654" s="127"/>
      <c r="X1654" s="127"/>
      <c r="Y1654" s="127"/>
      <c r="Z1654" s="127"/>
      <c r="AA1654" s="127"/>
      <c r="AB1654" s="127"/>
      <c r="AC1654" s="127"/>
      <c r="AD1654" s="127"/>
      <c r="AE1654" s="127"/>
      <c r="AF1654" s="127"/>
      <c r="AG1654" s="127"/>
      <c r="AH1654" s="127"/>
      <c r="AI1654" s="127" t="s">
        <v>482</v>
      </c>
      <c r="AJ1654" s="127"/>
      <c r="AK1654" s="127"/>
      <c r="AL1654" s="127"/>
      <c r="AM1654" s="642">
        <f t="shared" si="33"/>
        <v>5487.9870000000001</v>
      </c>
      <c r="AO1654" s="289"/>
    </row>
    <row r="1655" spans="1:42" s="61" customFormat="1" ht="25.5" customHeight="1" x14ac:dyDescent="0.3">
      <c r="A1655" s="706"/>
      <c r="B1655" s="180" t="s">
        <v>361</v>
      </c>
      <c r="C1655" s="300"/>
      <c r="D1655" s="173"/>
      <c r="E1655" s="173"/>
      <c r="F1655" s="266"/>
      <c r="G1655" s="173">
        <v>60</v>
      </c>
      <c r="H1655" s="173"/>
      <c r="I1655" s="174"/>
      <c r="J1655" s="173"/>
      <c r="K1655" s="173"/>
      <c r="L1655" s="266"/>
      <c r="M1655" s="173"/>
      <c r="N1655" s="174"/>
      <c r="O1655" s="173"/>
      <c r="P1655" s="173"/>
      <c r="Q1655" s="173"/>
      <c r="R1655" s="173"/>
      <c r="S1655" s="173">
        <v>6284</v>
      </c>
      <c r="T1655" s="327"/>
      <c r="U1655" s="300">
        <v>174.49799999999999</v>
      </c>
      <c r="V1655" s="173"/>
      <c r="W1655" s="173"/>
      <c r="X1655" s="173"/>
      <c r="Y1655" s="173"/>
      <c r="Z1655" s="173">
        <v>0.83472000000000002</v>
      </c>
      <c r="AA1655" s="173"/>
      <c r="AB1655" s="173"/>
      <c r="AC1655" s="173"/>
      <c r="AD1655" s="173"/>
      <c r="AE1655" s="173"/>
      <c r="AF1655" s="173"/>
      <c r="AG1655" s="173"/>
      <c r="AH1655" s="173"/>
      <c r="AI1655" s="173" t="s">
        <v>482</v>
      </c>
      <c r="AJ1655" s="173"/>
      <c r="AK1655" s="173"/>
      <c r="AL1655" s="173"/>
      <c r="AM1655" s="643">
        <f t="shared" si="33"/>
        <v>6519.3327199999994</v>
      </c>
      <c r="AO1655" s="289"/>
      <c r="AP1655" s="97"/>
    </row>
    <row r="1656" spans="1:42" s="61" customFormat="1" ht="25.5" customHeight="1" x14ac:dyDescent="0.3">
      <c r="A1656" s="706"/>
      <c r="B1656" s="180" t="s">
        <v>362</v>
      </c>
      <c r="C1656" s="300"/>
      <c r="D1656" s="173"/>
      <c r="E1656" s="173"/>
      <c r="F1656" s="266"/>
      <c r="G1656" s="173"/>
      <c r="H1656" s="173"/>
      <c r="I1656" s="174"/>
      <c r="J1656" s="173"/>
      <c r="K1656" s="173"/>
      <c r="L1656" s="266"/>
      <c r="M1656" s="173"/>
      <c r="N1656" s="174"/>
      <c r="O1656" s="173"/>
      <c r="P1656" s="173"/>
      <c r="Q1656" s="173"/>
      <c r="R1656" s="173"/>
      <c r="S1656" s="173">
        <v>4536</v>
      </c>
      <c r="T1656" s="327"/>
      <c r="U1656" s="300">
        <v>21.103000000000002</v>
      </c>
      <c r="V1656" s="173"/>
      <c r="W1656" s="173"/>
      <c r="X1656" s="173"/>
      <c r="Y1656" s="173"/>
      <c r="Z1656" s="173"/>
      <c r="AA1656" s="173"/>
      <c r="AB1656" s="173"/>
      <c r="AC1656" s="173"/>
      <c r="AD1656" s="173"/>
      <c r="AE1656" s="173"/>
      <c r="AF1656" s="173"/>
      <c r="AG1656" s="173"/>
      <c r="AH1656" s="173"/>
      <c r="AI1656" s="173">
        <v>235</v>
      </c>
      <c r="AJ1656" s="173"/>
      <c r="AK1656" s="173"/>
      <c r="AL1656" s="173"/>
      <c r="AM1656" s="644">
        <f t="shared" si="33"/>
        <v>4792.1030000000001</v>
      </c>
      <c r="AO1656" s="289"/>
      <c r="AP1656" s="97"/>
    </row>
    <row r="1657" spans="1:42" s="61" customFormat="1" ht="22.5" customHeight="1" x14ac:dyDescent="0.3">
      <c r="A1657" s="706"/>
      <c r="B1657" s="115" t="s">
        <v>402</v>
      </c>
      <c r="C1657" s="142">
        <v>99.971999999999994</v>
      </c>
      <c r="D1657" s="111"/>
      <c r="E1657" s="111"/>
      <c r="F1657" s="267"/>
      <c r="G1657" s="111">
        <v>88</v>
      </c>
      <c r="H1657" s="111"/>
      <c r="I1657" s="125"/>
      <c r="J1657" s="111"/>
      <c r="K1657" s="111"/>
      <c r="L1657" s="267"/>
      <c r="M1657" s="111"/>
      <c r="N1657" s="125"/>
      <c r="O1657" s="111"/>
      <c r="P1657" s="111"/>
      <c r="Q1657" s="111"/>
      <c r="R1657" s="111"/>
      <c r="S1657" s="111">
        <v>4614.0695989999995</v>
      </c>
      <c r="T1657" s="143"/>
      <c r="U1657" s="142">
        <v>36.302999999999997</v>
      </c>
      <c r="V1657" s="111"/>
      <c r="W1657" s="111"/>
      <c r="X1657" s="111"/>
      <c r="Y1657" s="111"/>
      <c r="Z1657" s="111">
        <v>299</v>
      </c>
      <c r="AA1657" s="111"/>
      <c r="AB1657" s="111"/>
      <c r="AC1657" s="111"/>
      <c r="AD1657" s="111"/>
      <c r="AE1657" s="111"/>
      <c r="AF1657" s="111"/>
      <c r="AG1657" s="111"/>
      <c r="AH1657" s="111" t="s">
        <v>482</v>
      </c>
      <c r="AI1657" s="111">
        <v>45</v>
      </c>
      <c r="AJ1657" s="111"/>
      <c r="AK1657" s="111"/>
      <c r="AL1657" s="111"/>
      <c r="AM1657" s="645">
        <f t="shared" si="33"/>
        <v>5182.3445989999991</v>
      </c>
      <c r="AO1657" s="289"/>
    </row>
    <row r="1658" spans="1:42" s="61" customFormat="1" ht="21" customHeight="1" x14ac:dyDescent="0.3">
      <c r="A1658" s="707"/>
      <c r="B1658" s="181" t="s">
        <v>403</v>
      </c>
      <c r="C1658" s="144"/>
      <c r="D1658" s="112"/>
      <c r="E1658" s="112"/>
      <c r="F1658" s="268"/>
      <c r="G1658" s="112"/>
      <c r="H1658" s="112"/>
      <c r="I1658" s="126"/>
      <c r="J1658" s="112"/>
      <c r="K1658" s="112"/>
      <c r="L1658" s="268"/>
      <c r="M1658" s="112"/>
      <c r="N1658" s="126"/>
      <c r="O1658" s="112"/>
      <c r="P1658" s="112"/>
      <c r="Q1658" s="112"/>
      <c r="R1658" s="112"/>
      <c r="S1658" s="112">
        <v>318.32228599999996</v>
      </c>
      <c r="T1658" s="145"/>
      <c r="U1658" s="144">
        <v>0.61899999999999999</v>
      </c>
      <c r="V1658" s="112"/>
      <c r="W1658" s="112"/>
      <c r="X1658" s="112"/>
      <c r="Y1658" s="112"/>
      <c r="Z1658" s="112">
        <v>1</v>
      </c>
      <c r="AA1658" s="112"/>
      <c r="AB1658" s="112"/>
      <c r="AC1658" s="112"/>
      <c r="AD1658" s="112"/>
      <c r="AE1658" s="112"/>
      <c r="AF1658" s="112"/>
      <c r="AG1658" s="112"/>
      <c r="AH1658" s="112" t="s">
        <v>482</v>
      </c>
      <c r="AI1658" s="112">
        <v>45</v>
      </c>
      <c r="AJ1658" s="112"/>
      <c r="AK1658" s="112"/>
      <c r="AL1658" s="112"/>
      <c r="AM1658" s="646">
        <f t="shared" si="33"/>
        <v>364.94128599999999</v>
      </c>
      <c r="AO1658" s="289"/>
    </row>
    <row r="1659" spans="1:42" s="61" customFormat="1" ht="21" customHeight="1" x14ac:dyDescent="0.3">
      <c r="A1659" s="705" t="s">
        <v>281</v>
      </c>
      <c r="B1659" s="179" t="s">
        <v>293</v>
      </c>
      <c r="C1659" s="135"/>
      <c r="D1659" s="136"/>
      <c r="E1659" s="136"/>
      <c r="F1659" s="262"/>
      <c r="G1659" s="136"/>
      <c r="H1659" s="136">
        <v>10</v>
      </c>
      <c r="I1659" s="326"/>
      <c r="J1659" s="136"/>
      <c r="K1659" s="136"/>
      <c r="L1659" s="262"/>
      <c r="M1659" s="136"/>
      <c r="N1659" s="326"/>
      <c r="O1659" s="136"/>
      <c r="P1659" s="136"/>
      <c r="Q1659" s="136"/>
      <c r="R1659" s="136"/>
      <c r="S1659" s="136"/>
      <c r="T1659" s="137"/>
      <c r="U1659" s="632">
        <v>0.03</v>
      </c>
      <c r="V1659" s="122"/>
      <c r="W1659" s="122"/>
      <c r="X1659" s="122"/>
      <c r="Y1659" s="122"/>
      <c r="Z1659" s="122"/>
      <c r="AA1659" s="122"/>
      <c r="AB1659" s="122"/>
      <c r="AC1659" s="122"/>
      <c r="AD1659" s="122"/>
      <c r="AE1659" s="122"/>
      <c r="AF1659" s="122"/>
      <c r="AG1659" s="122"/>
      <c r="AH1659" s="122"/>
      <c r="AI1659" s="122" t="s">
        <v>482</v>
      </c>
      <c r="AJ1659" s="122"/>
      <c r="AK1659" s="122"/>
      <c r="AL1659" s="122"/>
      <c r="AM1659" s="639">
        <f t="shared" si="33"/>
        <v>10.029999999999999</v>
      </c>
      <c r="AO1659" s="289"/>
    </row>
    <row r="1660" spans="1:42" s="61" customFormat="1" ht="19.5" customHeight="1" x14ac:dyDescent="0.3">
      <c r="A1660" s="706"/>
      <c r="B1660" s="116" t="s">
        <v>294</v>
      </c>
      <c r="C1660" s="138"/>
      <c r="D1660" s="109"/>
      <c r="E1660" s="109"/>
      <c r="F1660" s="263"/>
      <c r="G1660" s="109"/>
      <c r="H1660" s="109"/>
      <c r="I1660" s="123"/>
      <c r="J1660" s="109"/>
      <c r="K1660" s="109"/>
      <c r="L1660" s="263"/>
      <c r="M1660" s="109"/>
      <c r="N1660" s="123"/>
      <c r="O1660" s="109"/>
      <c r="P1660" s="109"/>
      <c r="Q1660" s="109"/>
      <c r="R1660" s="109"/>
      <c r="S1660" s="109"/>
      <c r="T1660" s="139"/>
      <c r="U1660" s="138">
        <v>2.4E-2</v>
      </c>
      <c r="V1660" s="109"/>
      <c r="W1660" s="109"/>
      <c r="X1660" s="109"/>
      <c r="Y1660" s="109"/>
      <c r="Z1660" s="109"/>
      <c r="AA1660" s="109"/>
      <c r="AB1660" s="109"/>
      <c r="AC1660" s="109"/>
      <c r="AD1660" s="109"/>
      <c r="AE1660" s="109"/>
      <c r="AF1660" s="109"/>
      <c r="AG1660" s="109"/>
      <c r="AH1660" s="109"/>
      <c r="AI1660" s="109" t="s">
        <v>482</v>
      </c>
      <c r="AJ1660" s="109"/>
      <c r="AK1660" s="109"/>
      <c r="AL1660" s="109"/>
      <c r="AM1660" s="640">
        <f t="shared" si="33"/>
        <v>2.4E-2</v>
      </c>
      <c r="AO1660" s="289"/>
    </row>
    <row r="1661" spans="1:42" s="61" customFormat="1" ht="22.5" customHeight="1" x14ac:dyDescent="0.3">
      <c r="A1661" s="706"/>
      <c r="B1661" s="117" t="s">
        <v>326</v>
      </c>
      <c r="C1661" s="140">
        <v>72.326999999999998</v>
      </c>
      <c r="D1661" s="110"/>
      <c r="E1661" s="110"/>
      <c r="F1661" s="264"/>
      <c r="G1661" s="110"/>
      <c r="H1661" s="110"/>
      <c r="I1661" s="124"/>
      <c r="J1661" s="110"/>
      <c r="K1661" s="110"/>
      <c r="L1661" s="264"/>
      <c r="M1661" s="110"/>
      <c r="N1661" s="124"/>
      <c r="O1661" s="110"/>
      <c r="P1661" s="110"/>
      <c r="Q1661" s="110"/>
      <c r="R1661" s="110"/>
      <c r="S1661" s="110"/>
      <c r="T1661" s="141"/>
      <c r="U1661" s="140">
        <v>3.1E-2</v>
      </c>
      <c r="V1661" s="110"/>
      <c r="W1661" s="110"/>
      <c r="X1661" s="110"/>
      <c r="Y1661" s="110"/>
      <c r="Z1661" s="110"/>
      <c r="AA1661" s="110"/>
      <c r="AB1661" s="110"/>
      <c r="AC1661" s="110"/>
      <c r="AD1661" s="110"/>
      <c r="AE1661" s="110"/>
      <c r="AF1661" s="110"/>
      <c r="AG1661" s="110"/>
      <c r="AH1661" s="110"/>
      <c r="AI1661" s="110" t="s">
        <v>482</v>
      </c>
      <c r="AJ1661" s="110"/>
      <c r="AK1661" s="110"/>
      <c r="AL1661" s="110"/>
      <c r="AM1661" s="641">
        <f t="shared" si="33"/>
        <v>72.358000000000004</v>
      </c>
      <c r="AO1661" s="289"/>
      <c r="AP1661" s="97"/>
    </row>
    <row r="1662" spans="1:42" s="61" customFormat="1" ht="25.5" customHeight="1" x14ac:dyDescent="0.3">
      <c r="A1662" s="706"/>
      <c r="B1662" s="175" t="s">
        <v>327</v>
      </c>
      <c r="C1662" s="176">
        <v>69.629000000000005</v>
      </c>
      <c r="D1662" s="127"/>
      <c r="E1662" s="127"/>
      <c r="F1662" s="265"/>
      <c r="G1662" s="127"/>
      <c r="H1662" s="127"/>
      <c r="I1662" s="178"/>
      <c r="J1662" s="127"/>
      <c r="K1662" s="127"/>
      <c r="L1662" s="265"/>
      <c r="M1662" s="127"/>
      <c r="N1662" s="178"/>
      <c r="O1662" s="127"/>
      <c r="P1662" s="127"/>
      <c r="Q1662" s="127"/>
      <c r="R1662" s="127"/>
      <c r="S1662" s="127"/>
      <c r="T1662" s="177"/>
      <c r="U1662" s="176"/>
      <c r="V1662" s="127"/>
      <c r="W1662" s="127"/>
      <c r="X1662" s="127"/>
      <c r="Y1662" s="127"/>
      <c r="Z1662" s="127"/>
      <c r="AA1662" s="127"/>
      <c r="AB1662" s="127"/>
      <c r="AC1662" s="127"/>
      <c r="AD1662" s="127"/>
      <c r="AE1662" s="127"/>
      <c r="AF1662" s="127"/>
      <c r="AG1662" s="127"/>
      <c r="AH1662" s="127"/>
      <c r="AI1662" s="127" t="s">
        <v>482</v>
      </c>
      <c r="AJ1662" s="127"/>
      <c r="AK1662" s="127"/>
      <c r="AL1662" s="127"/>
      <c r="AM1662" s="642">
        <f t="shared" si="33"/>
        <v>69.629000000000005</v>
      </c>
      <c r="AO1662" s="289"/>
    </row>
    <row r="1663" spans="1:42" s="61" customFormat="1" ht="25.5" customHeight="1" x14ac:dyDescent="0.3">
      <c r="A1663" s="706"/>
      <c r="B1663" s="180" t="s">
        <v>361</v>
      </c>
      <c r="C1663" s="300">
        <v>78.900440000000003</v>
      </c>
      <c r="D1663" s="173"/>
      <c r="E1663" s="173"/>
      <c r="F1663" s="266"/>
      <c r="G1663" s="173"/>
      <c r="H1663" s="173"/>
      <c r="I1663" s="174"/>
      <c r="J1663" s="173"/>
      <c r="K1663" s="173"/>
      <c r="L1663" s="266"/>
      <c r="M1663" s="173"/>
      <c r="N1663" s="174"/>
      <c r="O1663" s="173"/>
      <c r="P1663" s="173"/>
      <c r="Q1663" s="173"/>
      <c r="R1663" s="173"/>
      <c r="S1663" s="173"/>
      <c r="T1663" s="327"/>
      <c r="U1663" s="300"/>
      <c r="V1663" s="173"/>
      <c r="W1663" s="173"/>
      <c r="X1663" s="173"/>
      <c r="Y1663" s="173"/>
      <c r="Z1663" s="173"/>
      <c r="AA1663" s="173"/>
      <c r="AB1663" s="173"/>
      <c r="AC1663" s="173"/>
      <c r="AD1663" s="173"/>
      <c r="AE1663" s="173"/>
      <c r="AF1663" s="173"/>
      <c r="AG1663" s="173"/>
      <c r="AH1663" s="173"/>
      <c r="AI1663" s="173" t="s">
        <v>482</v>
      </c>
      <c r="AJ1663" s="173"/>
      <c r="AK1663" s="173"/>
      <c r="AL1663" s="173"/>
      <c r="AM1663" s="643">
        <f t="shared" si="33"/>
        <v>78.900440000000003</v>
      </c>
      <c r="AO1663" s="289"/>
      <c r="AP1663" s="97"/>
    </row>
    <row r="1664" spans="1:42" s="61" customFormat="1" ht="25.5" customHeight="1" x14ac:dyDescent="0.3">
      <c r="A1664" s="706"/>
      <c r="B1664" s="180" t="s">
        <v>362</v>
      </c>
      <c r="C1664" s="300">
        <v>78.898399999999995</v>
      </c>
      <c r="D1664" s="173"/>
      <c r="E1664" s="173"/>
      <c r="F1664" s="266"/>
      <c r="G1664" s="173"/>
      <c r="H1664" s="173"/>
      <c r="I1664" s="174"/>
      <c r="J1664" s="173"/>
      <c r="K1664" s="173"/>
      <c r="L1664" s="266"/>
      <c r="M1664" s="173"/>
      <c r="N1664" s="174"/>
      <c r="O1664" s="173"/>
      <c r="P1664" s="173"/>
      <c r="Q1664" s="173"/>
      <c r="R1664" s="173"/>
      <c r="S1664" s="173"/>
      <c r="T1664" s="327"/>
      <c r="U1664" s="300">
        <v>9.2999999999999999E-2</v>
      </c>
      <c r="V1664" s="173"/>
      <c r="W1664" s="173"/>
      <c r="X1664" s="173"/>
      <c r="Y1664" s="173"/>
      <c r="Z1664" s="173"/>
      <c r="AA1664" s="173"/>
      <c r="AB1664" s="173"/>
      <c r="AC1664" s="173"/>
      <c r="AD1664" s="173"/>
      <c r="AE1664" s="173"/>
      <c r="AF1664" s="173"/>
      <c r="AG1664" s="173"/>
      <c r="AH1664" s="173"/>
      <c r="AI1664" s="173" t="s">
        <v>482</v>
      </c>
      <c r="AJ1664" s="173"/>
      <c r="AK1664" s="173"/>
      <c r="AL1664" s="173"/>
      <c r="AM1664" s="644">
        <f t="shared" si="33"/>
        <v>78.991399999999999</v>
      </c>
      <c r="AO1664" s="289"/>
      <c r="AP1664" s="97"/>
    </row>
    <row r="1665" spans="1:42" s="61" customFormat="1" ht="22.5" customHeight="1" x14ac:dyDescent="0.3">
      <c r="A1665" s="706"/>
      <c r="B1665" s="115" t="s">
        <v>402</v>
      </c>
      <c r="C1665" s="142">
        <v>79.189670000000007</v>
      </c>
      <c r="D1665" s="111"/>
      <c r="E1665" s="111"/>
      <c r="F1665" s="267"/>
      <c r="G1665" s="111"/>
      <c r="H1665" s="111"/>
      <c r="I1665" s="125"/>
      <c r="J1665" s="111"/>
      <c r="K1665" s="111"/>
      <c r="L1665" s="267"/>
      <c r="M1665" s="111"/>
      <c r="N1665" s="125"/>
      <c r="O1665" s="111"/>
      <c r="P1665" s="111"/>
      <c r="Q1665" s="111"/>
      <c r="R1665" s="111"/>
      <c r="S1665" s="111"/>
      <c r="T1665" s="143"/>
      <c r="U1665" s="142"/>
      <c r="V1665" s="111"/>
      <c r="W1665" s="111"/>
      <c r="X1665" s="111"/>
      <c r="Y1665" s="111"/>
      <c r="Z1665" s="111"/>
      <c r="AA1665" s="111"/>
      <c r="AB1665" s="111"/>
      <c r="AC1665" s="111"/>
      <c r="AD1665" s="111"/>
      <c r="AE1665" s="111"/>
      <c r="AF1665" s="111"/>
      <c r="AG1665" s="111"/>
      <c r="AH1665" s="111" t="s">
        <v>482</v>
      </c>
      <c r="AI1665" s="111" t="s">
        <v>482</v>
      </c>
      <c r="AJ1665" s="111"/>
      <c r="AK1665" s="111"/>
      <c r="AL1665" s="111"/>
      <c r="AM1665" s="645">
        <f t="shared" si="33"/>
        <v>79.189670000000007</v>
      </c>
      <c r="AO1665" s="289"/>
    </row>
    <row r="1666" spans="1:42" s="61" customFormat="1" ht="21" customHeight="1" x14ac:dyDescent="0.3">
      <c r="A1666" s="707"/>
      <c r="B1666" s="181" t="s">
        <v>403</v>
      </c>
      <c r="C1666" s="144">
        <v>79.25797</v>
      </c>
      <c r="D1666" s="112"/>
      <c r="E1666" s="112"/>
      <c r="F1666" s="268"/>
      <c r="G1666" s="112"/>
      <c r="H1666" s="112"/>
      <c r="I1666" s="126"/>
      <c r="J1666" s="112"/>
      <c r="K1666" s="112"/>
      <c r="L1666" s="268"/>
      <c r="M1666" s="112"/>
      <c r="N1666" s="126"/>
      <c r="O1666" s="112"/>
      <c r="P1666" s="112"/>
      <c r="Q1666" s="112"/>
      <c r="R1666" s="112"/>
      <c r="S1666" s="112"/>
      <c r="T1666" s="145"/>
      <c r="U1666" s="144">
        <v>6.4000000000000001E-2</v>
      </c>
      <c r="V1666" s="112"/>
      <c r="W1666" s="112"/>
      <c r="X1666" s="112"/>
      <c r="Y1666" s="112"/>
      <c r="Z1666" s="112"/>
      <c r="AA1666" s="112"/>
      <c r="AB1666" s="112"/>
      <c r="AC1666" s="112"/>
      <c r="AD1666" s="112"/>
      <c r="AE1666" s="112"/>
      <c r="AF1666" s="112"/>
      <c r="AG1666" s="112"/>
      <c r="AH1666" s="112" t="s">
        <v>482</v>
      </c>
      <c r="AI1666" s="112" t="s">
        <v>482</v>
      </c>
      <c r="AJ1666" s="112"/>
      <c r="AK1666" s="112"/>
      <c r="AL1666" s="112"/>
      <c r="AM1666" s="646">
        <f t="shared" si="33"/>
        <v>79.321969999999993</v>
      </c>
      <c r="AO1666" s="289"/>
    </row>
    <row r="1667" spans="1:42" s="61" customFormat="1" ht="21" customHeight="1" x14ac:dyDescent="0.3">
      <c r="A1667" s="712" t="s">
        <v>38</v>
      </c>
      <c r="B1667" s="179" t="s">
        <v>293</v>
      </c>
      <c r="C1667" s="135"/>
      <c r="D1667" s="136"/>
      <c r="E1667" s="136"/>
      <c r="F1667" s="262">
        <v>893.654</v>
      </c>
      <c r="G1667" s="136"/>
      <c r="H1667" s="136"/>
      <c r="I1667" s="326"/>
      <c r="J1667" s="136"/>
      <c r="K1667" s="136"/>
      <c r="L1667" s="262"/>
      <c r="M1667" s="136"/>
      <c r="N1667" s="326"/>
      <c r="O1667" s="136"/>
      <c r="P1667" s="136"/>
      <c r="Q1667" s="136"/>
      <c r="R1667" s="136"/>
      <c r="S1667" s="136"/>
      <c r="T1667" s="137"/>
      <c r="U1667" s="632">
        <v>10.734999999999999</v>
      </c>
      <c r="V1667" s="122"/>
      <c r="W1667" s="122"/>
      <c r="X1667" s="122"/>
      <c r="Y1667" s="122"/>
      <c r="Z1667" s="122">
        <v>333</v>
      </c>
      <c r="AA1667" s="122"/>
      <c r="AB1667" s="122"/>
      <c r="AC1667" s="122"/>
      <c r="AD1667" s="122"/>
      <c r="AE1667" s="122"/>
      <c r="AF1667" s="122"/>
      <c r="AG1667" s="122"/>
      <c r="AH1667" s="122"/>
      <c r="AI1667" s="122" t="s">
        <v>482</v>
      </c>
      <c r="AJ1667" s="122"/>
      <c r="AK1667" s="122"/>
      <c r="AL1667" s="122"/>
      <c r="AM1667" s="639">
        <f t="shared" si="33"/>
        <v>1237.3890000000001</v>
      </c>
      <c r="AO1667" s="289"/>
    </row>
    <row r="1668" spans="1:42" s="61" customFormat="1" ht="19.5" customHeight="1" x14ac:dyDescent="0.3">
      <c r="A1668" s="713"/>
      <c r="B1668" s="116" t="s">
        <v>294</v>
      </c>
      <c r="C1668" s="138"/>
      <c r="D1668" s="109"/>
      <c r="E1668" s="109"/>
      <c r="F1668" s="263">
        <v>1412.4179999999999</v>
      </c>
      <c r="G1668" s="109">
        <v>149</v>
      </c>
      <c r="H1668" s="109"/>
      <c r="I1668" s="123"/>
      <c r="J1668" s="109"/>
      <c r="K1668" s="109"/>
      <c r="L1668" s="263"/>
      <c r="M1668" s="109"/>
      <c r="N1668" s="123"/>
      <c r="O1668" s="109"/>
      <c r="P1668" s="109"/>
      <c r="Q1668" s="109"/>
      <c r="R1668" s="109"/>
      <c r="S1668" s="109"/>
      <c r="T1668" s="139"/>
      <c r="U1668" s="138">
        <v>4.9119999999999999</v>
      </c>
      <c r="V1668" s="109"/>
      <c r="W1668" s="109"/>
      <c r="X1668" s="109">
        <v>43</v>
      </c>
      <c r="Y1668" s="109"/>
      <c r="Z1668" s="109">
        <v>350</v>
      </c>
      <c r="AA1668" s="109"/>
      <c r="AB1668" s="109"/>
      <c r="AC1668" s="109">
        <v>5</v>
      </c>
      <c r="AD1668" s="109"/>
      <c r="AE1668" s="109"/>
      <c r="AF1668" s="109"/>
      <c r="AG1668" s="109"/>
      <c r="AH1668" s="109"/>
      <c r="AI1668" s="109" t="s">
        <v>482</v>
      </c>
      <c r="AJ1668" s="109"/>
      <c r="AK1668" s="109"/>
      <c r="AL1668" s="109"/>
      <c r="AM1668" s="640">
        <f t="shared" si="33"/>
        <v>1964.33</v>
      </c>
      <c r="AO1668" s="289"/>
    </row>
    <row r="1669" spans="1:42" s="61" customFormat="1" ht="22.5" customHeight="1" x14ac:dyDescent="0.3">
      <c r="A1669" s="713"/>
      <c r="B1669" s="117" t="s">
        <v>326</v>
      </c>
      <c r="C1669" s="140">
        <v>1073.499</v>
      </c>
      <c r="D1669" s="110"/>
      <c r="E1669" s="110"/>
      <c r="F1669" s="264">
        <v>3700</v>
      </c>
      <c r="G1669" s="110">
        <v>136</v>
      </c>
      <c r="H1669" s="110">
        <v>92</v>
      </c>
      <c r="I1669" s="124"/>
      <c r="J1669" s="110"/>
      <c r="K1669" s="110"/>
      <c r="L1669" s="264"/>
      <c r="M1669" s="110"/>
      <c r="N1669" s="124"/>
      <c r="O1669" s="110"/>
      <c r="P1669" s="110"/>
      <c r="Q1669" s="110"/>
      <c r="R1669" s="110"/>
      <c r="S1669" s="110">
        <v>27180</v>
      </c>
      <c r="T1669" s="141"/>
      <c r="U1669" s="140">
        <v>159.279</v>
      </c>
      <c r="V1669" s="110"/>
      <c r="W1669" s="110"/>
      <c r="X1669" s="110"/>
      <c r="Y1669" s="110">
        <v>15</v>
      </c>
      <c r="Z1669" s="110">
        <v>484</v>
      </c>
      <c r="AA1669" s="110"/>
      <c r="AB1669" s="110"/>
      <c r="AC1669" s="110">
        <v>24.084</v>
      </c>
      <c r="AD1669" s="110"/>
      <c r="AE1669" s="110"/>
      <c r="AF1669" s="110"/>
      <c r="AG1669" s="110"/>
      <c r="AH1669" s="110"/>
      <c r="AI1669" s="110" t="s">
        <v>482</v>
      </c>
      <c r="AJ1669" s="110"/>
      <c r="AK1669" s="110"/>
      <c r="AL1669" s="110"/>
      <c r="AM1669" s="641">
        <f t="shared" si="33"/>
        <v>32863.862000000001</v>
      </c>
      <c r="AO1669" s="289"/>
      <c r="AP1669" s="97"/>
    </row>
    <row r="1670" spans="1:42" s="61" customFormat="1" ht="25.5" customHeight="1" x14ac:dyDescent="0.3">
      <c r="A1670" s="713"/>
      <c r="B1670" s="175" t="s">
        <v>327</v>
      </c>
      <c r="C1670" s="176">
        <v>245.61799999999999</v>
      </c>
      <c r="D1670" s="127"/>
      <c r="E1670" s="127"/>
      <c r="F1670" s="265">
        <v>6500</v>
      </c>
      <c r="G1670" s="127"/>
      <c r="H1670" s="127">
        <v>1875</v>
      </c>
      <c r="I1670" s="178"/>
      <c r="J1670" s="127"/>
      <c r="K1670" s="127"/>
      <c r="L1670" s="265"/>
      <c r="M1670" s="127"/>
      <c r="N1670" s="178"/>
      <c r="O1670" s="127"/>
      <c r="P1670" s="127"/>
      <c r="Q1670" s="127"/>
      <c r="R1670" s="127"/>
      <c r="S1670" s="127">
        <v>16771</v>
      </c>
      <c r="T1670" s="177"/>
      <c r="U1670" s="176">
        <v>127.059</v>
      </c>
      <c r="V1670" s="127"/>
      <c r="W1670" s="127"/>
      <c r="X1670" s="127">
        <v>43</v>
      </c>
      <c r="Y1670" s="127">
        <v>5</v>
      </c>
      <c r="Z1670" s="127">
        <v>883</v>
      </c>
      <c r="AA1670" s="127"/>
      <c r="AB1670" s="127"/>
      <c r="AC1670" s="127"/>
      <c r="AD1670" s="127"/>
      <c r="AE1670" s="127"/>
      <c r="AF1670" s="127"/>
      <c r="AG1670" s="127"/>
      <c r="AH1670" s="127">
        <v>3015</v>
      </c>
      <c r="AI1670" s="127" t="s">
        <v>482</v>
      </c>
      <c r="AJ1670" s="127"/>
      <c r="AK1670" s="127"/>
      <c r="AL1670" s="127"/>
      <c r="AM1670" s="642">
        <f t="shared" si="33"/>
        <v>29464.677000000003</v>
      </c>
      <c r="AO1670" s="289"/>
    </row>
    <row r="1671" spans="1:42" s="61" customFormat="1" ht="25.5" customHeight="1" x14ac:dyDescent="0.3">
      <c r="A1671" s="713"/>
      <c r="B1671" s="180" t="s">
        <v>361</v>
      </c>
      <c r="C1671" s="300">
        <v>1524.1279999999999</v>
      </c>
      <c r="D1671" s="173"/>
      <c r="E1671" s="173"/>
      <c r="F1671" s="266">
        <v>4172</v>
      </c>
      <c r="G1671" s="173">
        <f>10</f>
        <v>10</v>
      </c>
      <c r="H1671" s="173">
        <v>2558</v>
      </c>
      <c r="I1671" s="174"/>
      <c r="J1671" s="173"/>
      <c r="K1671" s="173"/>
      <c r="L1671" s="266"/>
      <c r="M1671" s="173"/>
      <c r="N1671" s="174"/>
      <c r="O1671" s="173"/>
      <c r="P1671" s="173"/>
      <c r="Q1671" s="173"/>
      <c r="R1671" s="173"/>
      <c r="S1671" s="173">
        <v>29086</v>
      </c>
      <c r="T1671" s="327">
        <v>24</v>
      </c>
      <c r="U1671" s="300">
        <v>145.77699999999999</v>
      </c>
      <c r="V1671" s="173"/>
      <c r="W1671" s="173">
        <v>2016</v>
      </c>
      <c r="X1671" s="173">
        <v>43</v>
      </c>
      <c r="Y1671" s="173"/>
      <c r="Z1671" s="173">
        <v>1762.5911599999999</v>
      </c>
      <c r="AA1671" s="173"/>
      <c r="AB1671" s="173"/>
      <c r="AC1671" s="173">
        <v>10</v>
      </c>
      <c r="AD1671" s="173"/>
      <c r="AE1671" s="173"/>
      <c r="AF1671" s="173"/>
      <c r="AG1671" s="173"/>
      <c r="AH1671" s="173">
        <v>1800</v>
      </c>
      <c r="AI1671" s="173" t="s">
        <v>482</v>
      </c>
      <c r="AJ1671" s="173"/>
      <c r="AK1671" s="173"/>
      <c r="AL1671" s="173"/>
      <c r="AM1671" s="643">
        <f t="shared" si="33"/>
        <v>43151.496159999995</v>
      </c>
      <c r="AO1671" s="289"/>
      <c r="AP1671" s="97"/>
    </row>
    <row r="1672" spans="1:42" s="61" customFormat="1" ht="25.5" customHeight="1" x14ac:dyDescent="0.3">
      <c r="A1672" s="713"/>
      <c r="B1672" s="180" t="s">
        <v>362</v>
      </c>
      <c r="C1672" s="300">
        <v>391.55099999999999</v>
      </c>
      <c r="D1672" s="173"/>
      <c r="E1672" s="173"/>
      <c r="F1672" s="266">
        <v>3902</v>
      </c>
      <c r="G1672" s="173">
        <v>119</v>
      </c>
      <c r="H1672" s="173">
        <v>1908</v>
      </c>
      <c r="I1672" s="174"/>
      <c r="J1672" s="173"/>
      <c r="K1672" s="173"/>
      <c r="L1672" s="266"/>
      <c r="M1672" s="173"/>
      <c r="N1672" s="174"/>
      <c r="O1672" s="173"/>
      <c r="P1672" s="173"/>
      <c r="Q1672" s="173"/>
      <c r="R1672" s="173"/>
      <c r="S1672" s="173">
        <v>30220</v>
      </c>
      <c r="T1672" s="327"/>
      <c r="U1672" s="300">
        <v>412.82600000000002</v>
      </c>
      <c r="V1672" s="173"/>
      <c r="W1672" s="173"/>
      <c r="X1672" s="173">
        <v>20</v>
      </c>
      <c r="Y1672" s="173">
        <v>5</v>
      </c>
      <c r="Z1672" s="173">
        <v>1341.0273400000001</v>
      </c>
      <c r="AA1672" s="173"/>
      <c r="AB1672" s="173"/>
      <c r="AC1672" s="173">
        <f>10+11</f>
        <v>21</v>
      </c>
      <c r="AD1672" s="173"/>
      <c r="AE1672" s="173"/>
      <c r="AF1672" s="173"/>
      <c r="AG1672" s="173"/>
      <c r="AH1672" s="173"/>
      <c r="AI1672" s="173" t="s">
        <v>482</v>
      </c>
      <c r="AJ1672" s="173"/>
      <c r="AK1672" s="173"/>
      <c r="AL1672" s="173"/>
      <c r="AM1672" s="644">
        <f t="shared" si="33"/>
        <v>38340.404340000001</v>
      </c>
      <c r="AO1672" s="289"/>
      <c r="AP1672" s="97"/>
    </row>
    <row r="1673" spans="1:42" s="61" customFormat="1" ht="22.5" customHeight="1" x14ac:dyDescent="0.3">
      <c r="A1673" s="713"/>
      <c r="B1673" s="115" t="s">
        <v>402</v>
      </c>
      <c r="C1673" s="142">
        <v>155</v>
      </c>
      <c r="D1673" s="111"/>
      <c r="E1673" s="111"/>
      <c r="F1673" s="267"/>
      <c r="G1673" s="111"/>
      <c r="H1673" s="111">
        <v>60</v>
      </c>
      <c r="I1673" s="125"/>
      <c r="J1673" s="111"/>
      <c r="K1673" s="111"/>
      <c r="L1673" s="267"/>
      <c r="M1673" s="111"/>
      <c r="N1673" s="125"/>
      <c r="O1673" s="111"/>
      <c r="P1673" s="111"/>
      <c r="Q1673" s="111"/>
      <c r="R1673" s="111"/>
      <c r="S1673" s="111">
        <v>16846.156421</v>
      </c>
      <c r="T1673" s="143">
        <v>14.95</v>
      </c>
      <c r="U1673" s="142">
        <v>421.00900000000001</v>
      </c>
      <c r="V1673" s="111"/>
      <c r="W1673" s="111"/>
      <c r="X1673" s="111">
        <v>20</v>
      </c>
      <c r="Y1673" s="111">
        <v>5</v>
      </c>
      <c r="Z1673" s="111">
        <v>484</v>
      </c>
      <c r="AA1673" s="111"/>
      <c r="AB1673" s="111"/>
      <c r="AC1673" s="111"/>
      <c r="AD1673" s="111"/>
      <c r="AE1673" s="111"/>
      <c r="AF1673" s="111"/>
      <c r="AG1673" s="111"/>
      <c r="AH1673" s="111">
        <v>750</v>
      </c>
      <c r="AI1673" s="111" t="s">
        <v>482</v>
      </c>
      <c r="AJ1673" s="111"/>
      <c r="AK1673" s="111"/>
      <c r="AL1673" s="111"/>
      <c r="AM1673" s="645">
        <f t="shared" si="33"/>
        <v>18756.115421000002</v>
      </c>
      <c r="AO1673" s="289"/>
    </row>
    <row r="1674" spans="1:42" s="61" customFormat="1" ht="21" customHeight="1" x14ac:dyDescent="0.3">
      <c r="A1674" s="714"/>
      <c r="B1674" s="181" t="s">
        <v>403</v>
      </c>
      <c r="C1674" s="144">
        <v>156.27600000000001</v>
      </c>
      <c r="D1674" s="112"/>
      <c r="E1674" s="112"/>
      <c r="F1674" s="268"/>
      <c r="G1674" s="112"/>
      <c r="H1674" s="112">
        <v>517</v>
      </c>
      <c r="I1674" s="126"/>
      <c r="J1674" s="112"/>
      <c r="K1674" s="112"/>
      <c r="L1674" s="268"/>
      <c r="M1674" s="112"/>
      <c r="N1674" s="126"/>
      <c r="O1674" s="112"/>
      <c r="P1674" s="112"/>
      <c r="Q1674" s="112"/>
      <c r="R1674" s="112"/>
      <c r="S1674" s="112">
        <v>9771.1405680000007</v>
      </c>
      <c r="T1674" s="145">
        <v>0</v>
      </c>
      <c r="U1674" s="144">
        <v>1015.886</v>
      </c>
      <c r="V1674" s="112"/>
      <c r="W1674" s="112"/>
      <c r="X1674" s="112"/>
      <c r="Y1674" s="112"/>
      <c r="Z1674" s="112">
        <v>678</v>
      </c>
      <c r="AA1674" s="112"/>
      <c r="AB1674" s="112"/>
      <c r="AC1674" s="112">
        <v>10</v>
      </c>
      <c r="AD1674" s="112"/>
      <c r="AE1674" s="112"/>
      <c r="AF1674" s="112"/>
      <c r="AG1674" s="112"/>
      <c r="AH1674" s="112" t="s">
        <v>482</v>
      </c>
      <c r="AI1674" s="112" t="s">
        <v>482</v>
      </c>
      <c r="AJ1674" s="112"/>
      <c r="AK1674" s="112"/>
      <c r="AL1674" s="112"/>
      <c r="AM1674" s="646">
        <f t="shared" si="33"/>
        <v>12148.302568000001</v>
      </c>
      <c r="AO1674" s="289"/>
    </row>
    <row r="1675" spans="1:42" s="61" customFormat="1" ht="21" customHeight="1" x14ac:dyDescent="0.3">
      <c r="A1675" s="705" t="s">
        <v>282</v>
      </c>
      <c r="B1675" s="179" t="s">
        <v>293</v>
      </c>
      <c r="C1675" s="135">
        <v>12.975</v>
      </c>
      <c r="D1675" s="136"/>
      <c r="E1675" s="136"/>
      <c r="F1675" s="262"/>
      <c r="G1675" s="136">
        <v>10</v>
      </c>
      <c r="H1675" s="136"/>
      <c r="I1675" s="326"/>
      <c r="J1675" s="136"/>
      <c r="K1675" s="136"/>
      <c r="L1675" s="262"/>
      <c r="M1675" s="136"/>
      <c r="N1675" s="326"/>
      <c r="O1675" s="136"/>
      <c r="P1675" s="136"/>
      <c r="Q1675" s="136"/>
      <c r="R1675" s="136"/>
      <c r="S1675" s="136">
        <v>29.035</v>
      </c>
      <c r="T1675" s="137">
        <v>5</v>
      </c>
      <c r="U1675" s="632">
        <v>188.00700000000001</v>
      </c>
      <c r="V1675" s="122"/>
      <c r="W1675" s="122"/>
      <c r="X1675" s="122"/>
      <c r="Y1675" s="122"/>
      <c r="Z1675" s="122"/>
      <c r="AA1675" s="122"/>
      <c r="AB1675" s="122"/>
      <c r="AC1675" s="122"/>
      <c r="AD1675" s="122"/>
      <c r="AE1675" s="122"/>
      <c r="AF1675" s="122"/>
      <c r="AG1675" s="122">
        <v>0.32500000000000001</v>
      </c>
      <c r="AH1675" s="122"/>
      <c r="AI1675" s="122" t="s">
        <v>482</v>
      </c>
      <c r="AJ1675" s="122"/>
      <c r="AK1675" s="122">
        <v>11.98</v>
      </c>
      <c r="AL1675" s="122"/>
      <c r="AM1675" s="639">
        <f t="shared" si="33"/>
        <v>257.322</v>
      </c>
      <c r="AO1675" s="289"/>
    </row>
    <row r="1676" spans="1:42" s="61" customFormat="1" ht="19.5" customHeight="1" x14ac:dyDescent="0.3">
      <c r="A1676" s="706"/>
      <c r="B1676" s="116" t="s">
        <v>294</v>
      </c>
      <c r="C1676" s="138">
        <v>13</v>
      </c>
      <c r="D1676" s="109"/>
      <c r="E1676" s="109"/>
      <c r="F1676" s="263"/>
      <c r="G1676" s="109">
        <v>9</v>
      </c>
      <c r="H1676" s="109">
        <v>1400</v>
      </c>
      <c r="I1676" s="123"/>
      <c r="J1676" s="109"/>
      <c r="K1676" s="109"/>
      <c r="L1676" s="263"/>
      <c r="M1676" s="109"/>
      <c r="N1676" s="123"/>
      <c r="O1676" s="109"/>
      <c r="P1676" s="109"/>
      <c r="Q1676" s="109"/>
      <c r="R1676" s="109"/>
      <c r="S1676" s="109">
        <v>29.035</v>
      </c>
      <c r="T1676" s="139">
        <v>5.04</v>
      </c>
      <c r="U1676" s="138">
        <v>433</v>
      </c>
      <c r="V1676" s="109"/>
      <c r="W1676" s="109"/>
      <c r="X1676" s="109"/>
      <c r="Y1676" s="109"/>
      <c r="Z1676" s="109">
        <v>30</v>
      </c>
      <c r="AA1676" s="109"/>
      <c r="AB1676" s="109"/>
      <c r="AC1676" s="109">
        <v>15</v>
      </c>
      <c r="AD1676" s="109"/>
      <c r="AE1676" s="109"/>
      <c r="AF1676" s="109"/>
      <c r="AG1676" s="109">
        <v>3.3</v>
      </c>
      <c r="AH1676" s="109">
        <v>500</v>
      </c>
      <c r="AI1676" s="109" t="s">
        <v>482</v>
      </c>
      <c r="AJ1676" s="109"/>
      <c r="AK1676" s="109"/>
      <c r="AL1676" s="109"/>
      <c r="AM1676" s="640">
        <f t="shared" si="33"/>
        <v>2437.375</v>
      </c>
      <c r="AO1676" s="289"/>
    </row>
    <row r="1677" spans="1:42" s="61" customFormat="1" ht="22.5" customHeight="1" x14ac:dyDescent="0.3">
      <c r="A1677" s="706"/>
      <c r="B1677" s="117" t="s">
        <v>326</v>
      </c>
      <c r="C1677" s="140">
        <v>19.994</v>
      </c>
      <c r="D1677" s="110"/>
      <c r="E1677" s="110"/>
      <c r="F1677" s="264"/>
      <c r="G1677" s="110">
        <v>11</v>
      </c>
      <c r="H1677" s="110">
        <v>9</v>
      </c>
      <c r="I1677" s="124"/>
      <c r="J1677" s="110"/>
      <c r="K1677" s="110"/>
      <c r="L1677" s="264"/>
      <c r="M1677" s="110"/>
      <c r="N1677" s="124"/>
      <c r="O1677" s="110"/>
      <c r="P1677" s="110"/>
      <c r="Q1677" s="110"/>
      <c r="R1677" s="110"/>
      <c r="S1677" s="110"/>
      <c r="T1677" s="141"/>
      <c r="U1677" s="140">
        <v>251.66399999999999</v>
      </c>
      <c r="V1677" s="110"/>
      <c r="W1677" s="110"/>
      <c r="X1677" s="110"/>
      <c r="Y1677" s="110"/>
      <c r="Z1677" s="110">
        <v>14</v>
      </c>
      <c r="AA1677" s="110"/>
      <c r="AB1677" s="110"/>
      <c r="AC1677" s="110"/>
      <c r="AD1677" s="110"/>
      <c r="AE1677" s="110"/>
      <c r="AF1677" s="110"/>
      <c r="AG1677" s="110">
        <v>1</v>
      </c>
      <c r="AH1677" s="110">
        <v>-3.67767</v>
      </c>
      <c r="AI1677" s="110" t="s">
        <v>482</v>
      </c>
      <c r="AJ1677" s="110"/>
      <c r="AK1677" s="110">
        <v>14</v>
      </c>
      <c r="AL1677" s="110"/>
      <c r="AM1677" s="641">
        <f t="shared" si="33"/>
        <v>316.98033000000004</v>
      </c>
      <c r="AO1677" s="289"/>
      <c r="AP1677" s="97"/>
    </row>
    <row r="1678" spans="1:42" s="61" customFormat="1" ht="25.5" customHeight="1" x14ac:dyDescent="0.3">
      <c r="A1678" s="706"/>
      <c r="B1678" s="175" t="s">
        <v>327</v>
      </c>
      <c r="C1678" s="176">
        <v>9.9819999999999993</v>
      </c>
      <c r="D1678" s="127"/>
      <c r="E1678" s="127"/>
      <c r="F1678" s="265"/>
      <c r="G1678" s="127">
        <v>16</v>
      </c>
      <c r="H1678" s="127">
        <v>55</v>
      </c>
      <c r="I1678" s="178"/>
      <c r="J1678" s="127"/>
      <c r="K1678" s="127"/>
      <c r="L1678" s="265"/>
      <c r="M1678" s="127"/>
      <c r="N1678" s="178"/>
      <c r="O1678" s="127"/>
      <c r="P1678" s="127"/>
      <c r="Q1678" s="127"/>
      <c r="R1678" s="127"/>
      <c r="S1678" s="127">
        <v>363</v>
      </c>
      <c r="T1678" s="177"/>
      <c r="U1678" s="176">
        <v>58.491</v>
      </c>
      <c r="V1678" s="127"/>
      <c r="W1678" s="127"/>
      <c r="X1678" s="127"/>
      <c r="Y1678" s="127"/>
      <c r="Z1678" s="127">
        <v>131</v>
      </c>
      <c r="AA1678" s="127"/>
      <c r="AB1678" s="127"/>
      <c r="AC1678" s="127"/>
      <c r="AD1678" s="127"/>
      <c r="AE1678" s="127"/>
      <c r="AF1678" s="127"/>
      <c r="AG1678" s="127"/>
      <c r="AH1678" s="127"/>
      <c r="AI1678" s="127" t="s">
        <v>482</v>
      </c>
      <c r="AJ1678" s="127"/>
      <c r="AK1678" s="127">
        <v>12</v>
      </c>
      <c r="AL1678" s="127"/>
      <c r="AM1678" s="642">
        <f t="shared" si="33"/>
        <v>645.47299999999996</v>
      </c>
      <c r="AO1678" s="289"/>
    </row>
    <row r="1679" spans="1:42" s="61" customFormat="1" ht="25.5" customHeight="1" x14ac:dyDescent="0.3">
      <c r="A1679" s="706"/>
      <c r="B1679" s="180" t="s">
        <v>361</v>
      </c>
      <c r="C1679" s="300">
        <v>17.960699999999999</v>
      </c>
      <c r="D1679" s="173"/>
      <c r="E1679" s="173"/>
      <c r="F1679" s="266"/>
      <c r="G1679" s="173">
        <v>16</v>
      </c>
      <c r="H1679" s="173">
        <v>6</v>
      </c>
      <c r="I1679" s="174"/>
      <c r="J1679" s="173"/>
      <c r="K1679" s="173"/>
      <c r="L1679" s="266"/>
      <c r="M1679" s="173"/>
      <c r="N1679" s="174"/>
      <c r="O1679" s="173"/>
      <c r="P1679" s="173"/>
      <c r="Q1679" s="173"/>
      <c r="R1679" s="173"/>
      <c r="S1679" s="173">
        <v>320</v>
      </c>
      <c r="T1679" s="327"/>
      <c r="U1679" s="300">
        <v>1.091</v>
      </c>
      <c r="V1679" s="173"/>
      <c r="W1679" s="173"/>
      <c r="X1679" s="173"/>
      <c r="Y1679" s="173"/>
      <c r="Z1679" s="173">
        <v>14</v>
      </c>
      <c r="AA1679" s="173"/>
      <c r="AB1679" s="173"/>
      <c r="AC1679" s="173"/>
      <c r="AD1679" s="173"/>
      <c r="AE1679" s="173"/>
      <c r="AF1679" s="173"/>
      <c r="AG1679" s="173"/>
      <c r="AH1679" s="173">
        <v>129</v>
      </c>
      <c r="AI1679" s="173">
        <v>2</v>
      </c>
      <c r="AJ1679" s="173"/>
      <c r="AK1679" s="173">
        <v>13</v>
      </c>
      <c r="AL1679" s="173"/>
      <c r="AM1679" s="643">
        <f t="shared" si="33"/>
        <v>519.05169999999998</v>
      </c>
      <c r="AO1679" s="289"/>
      <c r="AP1679" s="97"/>
    </row>
    <row r="1680" spans="1:42" s="61" customFormat="1" ht="25.5" customHeight="1" x14ac:dyDescent="0.3">
      <c r="A1680" s="706"/>
      <c r="B1680" s="180" t="s">
        <v>362</v>
      </c>
      <c r="C1680" s="300">
        <v>32.870260000000002</v>
      </c>
      <c r="D1680" s="173"/>
      <c r="E1680" s="173"/>
      <c r="F1680" s="266"/>
      <c r="G1680" s="173">
        <v>16</v>
      </c>
      <c r="H1680" s="173">
        <v>3</v>
      </c>
      <c r="I1680" s="174"/>
      <c r="J1680" s="173"/>
      <c r="K1680" s="173"/>
      <c r="L1680" s="266"/>
      <c r="M1680" s="173"/>
      <c r="N1680" s="174"/>
      <c r="O1680" s="173"/>
      <c r="P1680" s="173"/>
      <c r="Q1680" s="173"/>
      <c r="R1680" s="173"/>
      <c r="S1680" s="173">
        <v>375</v>
      </c>
      <c r="T1680" s="327"/>
      <c r="U1680" s="300">
        <v>98.231999999999999</v>
      </c>
      <c r="V1680" s="173"/>
      <c r="W1680" s="173"/>
      <c r="X1680" s="173"/>
      <c r="Y1680" s="173"/>
      <c r="Z1680" s="173">
        <v>14</v>
      </c>
      <c r="AA1680" s="173"/>
      <c r="AB1680" s="173"/>
      <c r="AC1680" s="173"/>
      <c r="AD1680" s="173"/>
      <c r="AE1680" s="173"/>
      <c r="AF1680" s="173"/>
      <c r="AG1680" s="173"/>
      <c r="AH1680" s="173"/>
      <c r="AI1680" s="173">
        <v>1</v>
      </c>
      <c r="AJ1680" s="173"/>
      <c r="AK1680" s="173"/>
      <c r="AL1680" s="173"/>
      <c r="AM1680" s="644">
        <f t="shared" si="33"/>
        <v>540.10226</v>
      </c>
      <c r="AO1680" s="289"/>
      <c r="AP1680" s="97"/>
    </row>
    <row r="1681" spans="1:42" s="61" customFormat="1" ht="22.5" customHeight="1" x14ac:dyDescent="0.3">
      <c r="A1681" s="706"/>
      <c r="B1681" s="115" t="s">
        <v>402</v>
      </c>
      <c r="C1681" s="142">
        <v>10</v>
      </c>
      <c r="D1681" s="111"/>
      <c r="E1681" s="111"/>
      <c r="F1681" s="267">
        <v>200</v>
      </c>
      <c r="G1681" s="111"/>
      <c r="H1681" s="111"/>
      <c r="I1681" s="125"/>
      <c r="J1681" s="111"/>
      <c r="K1681" s="111"/>
      <c r="L1681" s="267"/>
      <c r="M1681" s="111"/>
      <c r="N1681" s="125"/>
      <c r="O1681" s="111"/>
      <c r="P1681" s="111"/>
      <c r="Q1681" s="111"/>
      <c r="R1681" s="111"/>
      <c r="S1681" s="111">
        <v>33</v>
      </c>
      <c r="T1681" s="143"/>
      <c r="U1681" s="142">
        <v>0.75700000000000001</v>
      </c>
      <c r="V1681" s="111"/>
      <c r="W1681" s="111"/>
      <c r="X1681" s="111"/>
      <c r="Y1681" s="111"/>
      <c r="Z1681" s="111"/>
      <c r="AA1681" s="111"/>
      <c r="AB1681" s="111"/>
      <c r="AC1681" s="111">
        <v>20</v>
      </c>
      <c r="AD1681" s="111">
        <v>0</v>
      </c>
      <c r="AE1681" s="111"/>
      <c r="AF1681" s="111"/>
      <c r="AG1681" s="111"/>
      <c r="AH1681" s="111" t="s">
        <v>482</v>
      </c>
      <c r="AI1681" s="111">
        <v>115</v>
      </c>
      <c r="AJ1681" s="111"/>
      <c r="AK1681" s="111">
        <f>13.11/1.097</f>
        <v>11.95077484047402</v>
      </c>
      <c r="AL1681" s="111"/>
      <c r="AM1681" s="645">
        <f t="shared" si="33"/>
        <v>390.70777484047403</v>
      </c>
      <c r="AO1681" s="289"/>
    </row>
    <row r="1682" spans="1:42" s="61" customFormat="1" ht="21" customHeight="1" x14ac:dyDescent="0.3">
      <c r="A1682" s="707"/>
      <c r="B1682" s="181" t="s">
        <v>403</v>
      </c>
      <c r="C1682" s="144">
        <v>15</v>
      </c>
      <c r="D1682" s="112"/>
      <c r="E1682" s="112"/>
      <c r="F1682" s="268">
        <v>300</v>
      </c>
      <c r="G1682" s="112"/>
      <c r="H1682" s="112">
        <v>5</v>
      </c>
      <c r="I1682" s="126"/>
      <c r="J1682" s="112"/>
      <c r="K1682" s="112"/>
      <c r="L1682" s="268"/>
      <c r="M1682" s="112"/>
      <c r="N1682" s="126"/>
      <c r="O1682" s="112"/>
      <c r="P1682" s="112"/>
      <c r="Q1682" s="112"/>
      <c r="R1682" s="112"/>
      <c r="S1682" s="112">
        <v>2.4640000000000002E-2</v>
      </c>
      <c r="T1682" s="145"/>
      <c r="U1682" s="144">
        <v>2.246</v>
      </c>
      <c r="V1682" s="112"/>
      <c r="W1682" s="112"/>
      <c r="X1682" s="112"/>
      <c r="Y1682" s="112"/>
      <c r="Z1682" s="112">
        <v>4</v>
      </c>
      <c r="AA1682" s="112"/>
      <c r="AB1682" s="112"/>
      <c r="AC1682" s="112">
        <v>0</v>
      </c>
      <c r="AD1682" s="112">
        <v>200</v>
      </c>
      <c r="AE1682" s="112"/>
      <c r="AF1682" s="112"/>
      <c r="AG1682" s="112"/>
      <c r="AH1682" s="112" t="s">
        <v>482</v>
      </c>
      <c r="AI1682" s="112">
        <v>115</v>
      </c>
      <c r="AJ1682" s="112"/>
      <c r="AK1682" s="112"/>
      <c r="AL1682" s="112"/>
      <c r="AM1682" s="646">
        <f t="shared" si="33"/>
        <v>641.27063999999996</v>
      </c>
      <c r="AO1682" s="289"/>
    </row>
    <row r="1683" spans="1:42" s="61" customFormat="1" ht="21" customHeight="1" x14ac:dyDescent="0.3">
      <c r="A1683" s="705" t="s">
        <v>283</v>
      </c>
      <c r="B1683" s="179" t="s">
        <v>293</v>
      </c>
      <c r="C1683" s="135"/>
      <c r="D1683" s="136"/>
      <c r="E1683" s="136"/>
      <c r="F1683" s="262">
        <v>-296.98200000000003</v>
      </c>
      <c r="G1683" s="136">
        <v>5</v>
      </c>
      <c r="H1683" s="136"/>
      <c r="I1683" s="326"/>
      <c r="J1683" s="136"/>
      <c r="K1683" s="136"/>
      <c r="L1683" s="262"/>
      <c r="M1683" s="136"/>
      <c r="N1683" s="326"/>
      <c r="O1683" s="136"/>
      <c r="P1683" s="136"/>
      <c r="Q1683" s="136"/>
      <c r="R1683" s="136"/>
      <c r="S1683" s="136">
        <v>39.530999999999999</v>
      </c>
      <c r="T1683" s="137">
        <v>5.4359999999999999</v>
      </c>
      <c r="U1683" s="632">
        <v>0.245</v>
      </c>
      <c r="V1683" s="122"/>
      <c r="W1683" s="122"/>
      <c r="X1683" s="122"/>
      <c r="Y1683" s="122"/>
      <c r="Z1683" s="122"/>
      <c r="AA1683" s="122"/>
      <c r="AB1683" s="122"/>
      <c r="AC1683" s="122"/>
      <c r="AD1683" s="122"/>
      <c r="AE1683" s="122"/>
      <c r="AF1683" s="122"/>
      <c r="AG1683" s="122">
        <v>0.13</v>
      </c>
      <c r="AH1683" s="122"/>
      <c r="AI1683" s="122" t="s">
        <v>482</v>
      </c>
      <c r="AJ1683" s="122"/>
      <c r="AK1683" s="122"/>
      <c r="AL1683" s="122"/>
      <c r="AM1683" s="639">
        <f t="shared" si="33"/>
        <v>-246.64000000000001</v>
      </c>
      <c r="AO1683" s="289"/>
    </row>
    <row r="1684" spans="1:42" s="61" customFormat="1" ht="19.5" customHeight="1" x14ac:dyDescent="0.3">
      <c r="A1684" s="706"/>
      <c r="B1684" s="116" t="s">
        <v>294</v>
      </c>
      <c r="C1684" s="138"/>
      <c r="D1684" s="109"/>
      <c r="E1684" s="109"/>
      <c r="F1684" s="263"/>
      <c r="G1684" s="109">
        <v>5</v>
      </c>
      <c r="H1684" s="109"/>
      <c r="I1684" s="123"/>
      <c r="J1684" s="109"/>
      <c r="K1684" s="109"/>
      <c r="L1684" s="263"/>
      <c r="M1684" s="109"/>
      <c r="N1684" s="123"/>
      <c r="O1684" s="109"/>
      <c r="P1684" s="109">
        <v>45</v>
      </c>
      <c r="Q1684" s="109"/>
      <c r="R1684" s="109"/>
      <c r="S1684" s="109">
        <v>39.414000000000001</v>
      </c>
      <c r="T1684" s="139"/>
      <c r="U1684" s="138">
        <v>0.68100000000000005</v>
      </c>
      <c r="V1684" s="109"/>
      <c r="W1684" s="109"/>
      <c r="X1684" s="109"/>
      <c r="Y1684" s="109"/>
      <c r="Z1684" s="109"/>
      <c r="AA1684" s="109"/>
      <c r="AB1684" s="109"/>
      <c r="AC1684" s="109"/>
      <c r="AD1684" s="109"/>
      <c r="AE1684" s="109"/>
      <c r="AF1684" s="109"/>
      <c r="AG1684" s="109"/>
      <c r="AH1684" s="109"/>
      <c r="AI1684" s="109" t="s">
        <v>482</v>
      </c>
      <c r="AJ1684" s="109"/>
      <c r="AK1684" s="109"/>
      <c r="AL1684" s="109"/>
      <c r="AM1684" s="640">
        <f t="shared" si="33"/>
        <v>90.094999999999999</v>
      </c>
      <c r="AO1684" s="289"/>
    </row>
    <row r="1685" spans="1:42" s="61" customFormat="1" ht="22.5" customHeight="1" x14ac:dyDescent="0.3">
      <c r="A1685" s="706"/>
      <c r="B1685" s="117" t="s">
        <v>326</v>
      </c>
      <c r="C1685" s="140">
        <v>9.9719999999999995</v>
      </c>
      <c r="D1685" s="110"/>
      <c r="E1685" s="110"/>
      <c r="F1685" s="264">
        <v>312</v>
      </c>
      <c r="G1685" s="110">
        <v>4</v>
      </c>
      <c r="H1685" s="110"/>
      <c r="I1685" s="124"/>
      <c r="J1685" s="110"/>
      <c r="K1685" s="110"/>
      <c r="L1685" s="264"/>
      <c r="M1685" s="110"/>
      <c r="N1685" s="124"/>
      <c r="O1685" s="110"/>
      <c r="P1685" s="110"/>
      <c r="Q1685" s="110"/>
      <c r="R1685" s="110"/>
      <c r="S1685" s="110">
        <v>1505</v>
      </c>
      <c r="T1685" s="141"/>
      <c r="U1685" s="140">
        <v>0.38</v>
      </c>
      <c r="V1685" s="110"/>
      <c r="W1685" s="110">
        <v>196</v>
      </c>
      <c r="X1685" s="110"/>
      <c r="Y1685" s="110"/>
      <c r="Z1685" s="110">
        <v>10</v>
      </c>
      <c r="AA1685" s="110"/>
      <c r="AB1685" s="110">
        <v>6</v>
      </c>
      <c r="AC1685" s="110"/>
      <c r="AD1685" s="110"/>
      <c r="AE1685" s="110"/>
      <c r="AF1685" s="110"/>
      <c r="AG1685" s="110">
        <f>2/1.3</f>
        <v>1.5384615384615383</v>
      </c>
      <c r="AH1685" s="110"/>
      <c r="AI1685" s="110" t="s">
        <v>482</v>
      </c>
      <c r="AJ1685" s="110"/>
      <c r="AK1685" s="110"/>
      <c r="AL1685" s="110"/>
      <c r="AM1685" s="641">
        <f t="shared" si="33"/>
        <v>2044.8904615384615</v>
      </c>
      <c r="AO1685" s="289"/>
      <c r="AP1685" s="97"/>
    </row>
    <row r="1686" spans="1:42" s="61" customFormat="1" ht="25.5" customHeight="1" x14ac:dyDescent="0.3">
      <c r="A1686" s="706"/>
      <c r="B1686" s="175" t="s">
        <v>327</v>
      </c>
      <c r="C1686" s="176">
        <v>4.9880000000000004</v>
      </c>
      <c r="D1686" s="127"/>
      <c r="E1686" s="127"/>
      <c r="F1686" s="265">
        <v>-47</v>
      </c>
      <c r="G1686" s="127">
        <v>5</v>
      </c>
      <c r="H1686" s="127"/>
      <c r="I1686" s="178"/>
      <c r="J1686" s="127"/>
      <c r="K1686" s="127"/>
      <c r="L1686" s="265"/>
      <c r="M1686" s="127"/>
      <c r="N1686" s="178"/>
      <c r="O1686" s="127"/>
      <c r="P1686" s="127"/>
      <c r="Q1686" s="127"/>
      <c r="R1686" s="127"/>
      <c r="S1686" s="127">
        <v>1724</v>
      </c>
      <c r="T1686" s="177"/>
      <c r="U1686" s="176">
        <v>0.20100000000000001</v>
      </c>
      <c r="V1686" s="127"/>
      <c r="W1686" s="127">
        <v>341</v>
      </c>
      <c r="X1686" s="127"/>
      <c r="Y1686" s="127"/>
      <c r="Z1686" s="127">
        <v>10</v>
      </c>
      <c r="AA1686" s="127"/>
      <c r="AB1686" s="127"/>
      <c r="AC1686" s="127"/>
      <c r="AD1686" s="127"/>
      <c r="AE1686" s="127"/>
      <c r="AF1686" s="127"/>
      <c r="AG1686" s="127"/>
      <c r="AH1686" s="127"/>
      <c r="AI1686" s="127">
        <v>250</v>
      </c>
      <c r="AJ1686" s="127"/>
      <c r="AK1686" s="127"/>
      <c r="AL1686" s="127"/>
      <c r="AM1686" s="642">
        <f t="shared" si="33"/>
        <v>2288.1890000000003</v>
      </c>
      <c r="AO1686" s="289"/>
    </row>
    <row r="1687" spans="1:42" s="61" customFormat="1" ht="25.5" customHeight="1" x14ac:dyDescent="0.3">
      <c r="A1687" s="706"/>
      <c r="B1687" s="180" t="s">
        <v>361</v>
      </c>
      <c r="C1687" s="300"/>
      <c r="D1687" s="173"/>
      <c r="E1687" s="173"/>
      <c r="F1687" s="266">
        <v>-94</v>
      </c>
      <c r="G1687" s="173">
        <v>5</v>
      </c>
      <c r="H1687" s="173"/>
      <c r="I1687" s="174"/>
      <c r="J1687" s="173"/>
      <c r="K1687" s="173"/>
      <c r="L1687" s="266"/>
      <c r="M1687" s="173"/>
      <c r="N1687" s="174"/>
      <c r="O1687" s="173"/>
      <c r="P1687" s="173"/>
      <c r="Q1687" s="173"/>
      <c r="R1687" s="173"/>
      <c r="S1687" s="173">
        <v>1978</v>
      </c>
      <c r="T1687" s="327"/>
      <c r="U1687" s="300">
        <v>0.158</v>
      </c>
      <c r="V1687" s="173"/>
      <c r="W1687" s="173"/>
      <c r="X1687" s="173"/>
      <c r="Y1687" s="173"/>
      <c r="Z1687" s="173">
        <v>10</v>
      </c>
      <c r="AA1687" s="173"/>
      <c r="AB1687" s="173">
        <v>2</v>
      </c>
      <c r="AC1687" s="173"/>
      <c r="AD1687" s="173"/>
      <c r="AE1687" s="173"/>
      <c r="AF1687" s="173"/>
      <c r="AG1687" s="173"/>
      <c r="AH1687" s="173"/>
      <c r="AI1687" s="173" t="s">
        <v>482</v>
      </c>
      <c r="AJ1687" s="173"/>
      <c r="AK1687" s="173"/>
      <c r="AL1687" s="173"/>
      <c r="AM1687" s="643">
        <f t="shared" si="33"/>
        <v>1901.1579999999999</v>
      </c>
      <c r="AO1687" s="289"/>
      <c r="AP1687" s="97"/>
    </row>
    <row r="1688" spans="1:42" s="61" customFormat="1" ht="25.5" customHeight="1" x14ac:dyDescent="0.3">
      <c r="A1688" s="706"/>
      <c r="B1688" s="180" t="s">
        <v>362</v>
      </c>
      <c r="C1688" s="300">
        <v>84.08247999999999</v>
      </c>
      <c r="D1688" s="173"/>
      <c r="E1688" s="173"/>
      <c r="F1688" s="266"/>
      <c r="G1688" s="173">
        <v>5</v>
      </c>
      <c r="H1688" s="173"/>
      <c r="I1688" s="174"/>
      <c r="J1688" s="173"/>
      <c r="K1688" s="173"/>
      <c r="L1688" s="266"/>
      <c r="M1688" s="173"/>
      <c r="N1688" s="174"/>
      <c r="O1688" s="173"/>
      <c r="P1688" s="173"/>
      <c r="Q1688" s="173"/>
      <c r="R1688" s="173"/>
      <c r="S1688" s="173">
        <v>1902</v>
      </c>
      <c r="T1688" s="327"/>
      <c r="U1688" s="300">
        <v>0.23899999999999999</v>
      </c>
      <c r="V1688" s="173"/>
      <c r="W1688" s="173"/>
      <c r="X1688" s="173"/>
      <c r="Y1688" s="173">
        <v>2</v>
      </c>
      <c r="Z1688" s="173">
        <v>10</v>
      </c>
      <c r="AA1688" s="173">
        <v>45</v>
      </c>
      <c r="AB1688" s="173"/>
      <c r="AC1688" s="173"/>
      <c r="AD1688" s="173"/>
      <c r="AE1688" s="173"/>
      <c r="AF1688" s="173"/>
      <c r="AG1688" s="173"/>
      <c r="AH1688" s="173"/>
      <c r="AI1688" s="173" t="s">
        <v>482</v>
      </c>
      <c r="AJ1688" s="173"/>
      <c r="AK1688" s="173"/>
      <c r="AL1688" s="173"/>
      <c r="AM1688" s="644">
        <f t="shared" si="33"/>
        <v>2048.3214800000001</v>
      </c>
      <c r="AO1688" s="289"/>
      <c r="AP1688" s="97"/>
    </row>
    <row r="1689" spans="1:42" s="61" customFormat="1" ht="22.5" customHeight="1" x14ac:dyDescent="0.3">
      <c r="A1689" s="706"/>
      <c r="B1689" s="115" t="s">
        <v>402</v>
      </c>
      <c r="C1689" s="142">
        <v>125.53609</v>
      </c>
      <c r="D1689" s="111"/>
      <c r="E1689" s="111"/>
      <c r="F1689" s="267"/>
      <c r="G1689" s="111"/>
      <c r="H1689" s="111">
        <v>202</v>
      </c>
      <c r="I1689" s="125"/>
      <c r="J1689" s="111"/>
      <c r="K1689" s="111"/>
      <c r="L1689" s="267"/>
      <c r="M1689" s="111"/>
      <c r="N1689" s="125"/>
      <c r="O1689" s="111"/>
      <c r="P1689" s="111"/>
      <c r="Q1689" s="111"/>
      <c r="R1689" s="111"/>
      <c r="S1689" s="111">
        <v>1084</v>
      </c>
      <c r="T1689" s="143"/>
      <c r="U1689" s="142"/>
      <c r="V1689" s="111"/>
      <c r="W1689" s="111"/>
      <c r="X1689" s="111"/>
      <c r="Y1689" s="111"/>
      <c r="Z1689" s="111"/>
      <c r="AA1689" s="111"/>
      <c r="AB1689" s="111"/>
      <c r="AC1689" s="111"/>
      <c r="AD1689" s="111"/>
      <c r="AE1689" s="111"/>
      <c r="AF1689" s="111"/>
      <c r="AG1689" s="111"/>
      <c r="AH1689" s="111" t="s">
        <v>482</v>
      </c>
      <c r="AI1689" s="111">
        <v>229</v>
      </c>
      <c r="AJ1689" s="111"/>
      <c r="AK1689" s="111"/>
      <c r="AL1689" s="111"/>
      <c r="AM1689" s="645">
        <f t="shared" si="33"/>
        <v>1640.5360900000001</v>
      </c>
      <c r="AO1689" s="289"/>
    </row>
    <row r="1690" spans="1:42" s="61" customFormat="1" ht="21" customHeight="1" x14ac:dyDescent="0.3">
      <c r="A1690" s="707"/>
      <c r="B1690" s="181" t="s">
        <v>403</v>
      </c>
      <c r="C1690" s="144">
        <v>29.95288</v>
      </c>
      <c r="D1690" s="112"/>
      <c r="E1690" s="112"/>
      <c r="F1690" s="268">
        <v>-35.9</v>
      </c>
      <c r="G1690" s="112"/>
      <c r="H1690" s="112"/>
      <c r="I1690" s="126"/>
      <c r="J1690" s="112"/>
      <c r="K1690" s="112"/>
      <c r="L1690" s="268"/>
      <c r="M1690" s="112"/>
      <c r="N1690" s="126"/>
      <c r="O1690" s="112"/>
      <c r="P1690" s="112"/>
      <c r="Q1690" s="112"/>
      <c r="R1690" s="112"/>
      <c r="S1690" s="112">
        <v>216.21287000000001</v>
      </c>
      <c r="T1690" s="145"/>
      <c r="U1690" s="144">
        <v>0.442</v>
      </c>
      <c r="V1690" s="112"/>
      <c r="W1690" s="112"/>
      <c r="X1690" s="112"/>
      <c r="Y1690" s="112"/>
      <c r="Z1690" s="112"/>
      <c r="AA1690" s="112"/>
      <c r="AB1690" s="112"/>
      <c r="AC1690" s="112"/>
      <c r="AD1690" s="112"/>
      <c r="AE1690" s="112"/>
      <c r="AF1690" s="112"/>
      <c r="AG1690" s="112"/>
      <c r="AH1690" s="112" t="s">
        <v>482</v>
      </c>
      <c r="AI1690" s="112">
        <v>229</v>
      </c>
      <c r="AJ1690" s="112"/>
      <c r="AK1690" s="112"/>
      <c r="AL1690" s="112"/>
      <c r="AM1690" s="646">
        <f t="shared" si="33"/>
        <v>439.70775000000003</v>
      </c>
      <c r="AO1690" s="289"/>
    </row>
    <row r="1691" spans="1:42" s="61" customFormat="1" ht="21" customHeight="1" x14ac:dyDescent="0.3">
      <c r="A1691" s="705" t="s">
        <v>284</v>
      </c>
      <c r="B1691" s="179" t="s">
        <v>293</v>
      </c>
      <c r="C1691" s="135">
        <v>25</v>
      </c>
      <c r="D1691" s="136"/>
      <c r="E1691" s="136"/>
      <c r="F1691" s="262"/>
      <c r="G1691" s="136"/>
      <c r="H1691" s="136"/>
      <c r="I1691" s="326"/>
      <c r="J1691" s="136"/>
      <c r="K1691" s="136"/>
      <c r="L1691" s="262"/>
      <c r="M1691" s="136"/>
      <c r="N1691" s="326"/>
      <c r="O1691" s="136"/>
      <c r="P1691" s="136"/>
      <c r="Q1691" s="136"/>
      <c r="R1691" s="136"/>
      <c r="S1691" s="136"/>
      <c r="T1691" s="137"/>
      <c r="U1691" s="632">
        <v>1.528</v>
      </c>
      <c r="V1691" s="122"/>
      <c r="W1691" s="122"/>
      <c r="X1691" s="122"/>
      <c r="Y1691" s="122"/>
      <c r="Z1691" s="122"/>
      <c r="AA1691" s="122"/>
      <c r="AB1691" s="122"/>
      <c r="AC1691" s="122"/>
      <c r="AD1691" s="122"/>
      <c r="AE1691" s="122"/>
      <c r="AF1691" s="122"/>
      <c r="AG1691" s="122"/>
      <c r="AH1691" s="122"/>
      <c r="AI1691" s="122" t="s">
        <v>482</v>
      </c>
      <c r="AJ1691" s="122"/>
      <c r="AK1691" s="122"/>
      <c r="AL1691" s="122"/>
      <c r="AM1691" s="639">
        <f t="shared" si="33"/>
        <v>26.527999999999999</v>
      </c>
      <c r="AO1691" s="289"/>
    </row>
    <row r="1692" spans="1:42" s="61" customFormat="1" ht="19.5" customHeight="1" x14ac:dyDescent="0.3">
      <c r="A1692" s="706"/>
      <c r="B1692" s="116" t="s">
        <v>294</v>
      </c>
      <c r="C1692" s="138">
        <v>8</v>
      </c>
      <c r="D1692" s="109"/>
      <c r="E1692" s="109"/>
      <c r="F1692" s="263"/>
      <c r="G1692" s="109"/>
      <c r="H1692" s="109"/>
      <c r="I1692" s="123"/>
      <c r="J1692" s="109"/>
      <c r="K1692" s="109"/>
      <c r="L1692" s="263"/>
      <c r="M1692" s="109"/>
      <c r="N1692" s="123"/>
      <c r="O1692" s="109"/>
      <c r="P1692" s="109"/>
      <c r="Q1692" s="109"/>
      <c r="R1692" s="109"/>
      <c r="S1692" s="109"/>
      <c r="T1692" s="139"/>
      <c r="U1692" s="138"/>
      <c r="V1692" s="109"/>
      <c r="W1692" s="109"/>
      <c r="X1692" s="109"/>
      <c r="Y1692" s="109"/>
      <c r="Z1692" s="109"/>
      <c r="AA1692" s="109"/>
      <c r="AB1692" s="109"/>
      <c r="AC1692" s="109"/>
      <c r="AD1692" s="109"/>
      <c r="AE1692" s="109"/>
      <c r="AF1692" s="109"/>
      <c r="AG1692" s="109"/>
      <c r="AH1692" s="109"/>
      <c r="AI1692" s="109" t="s">
        <v>482</v>
      </c>
      <c r="AJ1692" s="109"/>
      <c r="AK1692" s="109"/>
      <c r="AL1692" s="109"/>
      <c r="AM1692" s="640">
        <f t="shared" si="33"/>
        <v>8</v>
      </c>
      <c r="AO1692" s="289"/>
    </row>
    <row r="1693" spans="1:42" s="61" customFormat="1" ht="22.5" customHeight="1" x14ac:dyDescent="0.3">
      <c r="A1693" s="706"/>
      <c r="B1693" s="117" t="s">
        <v>326</v>
      </c>
      <c r="C1693" s="140"/>
      <c r="D1693" s="110"/>
      <c r="E1693" s="110"/>
      <c r="F1693" s="264"/>
      <c r="G1693" s="110"/>
      <c r="H1693" s="110"/>
      <c r="I1693" s="124"/>
      <c r="J1693" s="110"/>
      <c r="K1693" s="110"/>
      <c r="L1693" s="264"/>
      <c r="M1693" s="110"/>
      <c r="N1693" s="124"/>
      <c r="O1693" s="110"/>
      <c r="P1693" s="110"/>
      <c r="Q1693" s="110"/>
      <c r="R1693" s="110"/>
      <c r="S1693" s="110">
        <v>29</v>
      </c>
      <c r="T1693" s="141"/>
      <c r="U1693" s="140"/>
      <c r="V1693" s="110"/>
      <c r="W1693" s="110"/>
      <c r="X1693" s="110"/>
      <c r="Y1693" s="110"/>
      <c r="Z1693" s="110"/>
      <c r="AA1693" s="110"/>
      <c r="AB1693" s="110"/>
      <c r="AC1693" s="110"/>
      <c r="AD1693" s="110"/>
      <c r="AE1693" s="110"/>
      <c r="AF1693" s="110"/>
      <c r="AG1693" s="110"/>
      <c r="AH1693" s="110"/>
      <c r="AI1693" s="110" t="s">
        <v>482</v>
      </c>
      <c r="AJ1693" s="110"/>
      <c r="AK1693" s="110"/>
      <c r="AL1693" s="110"/>
      <c r="AM1693" s="641">
        <f t="shared" si="33"/>
        <v>29</v>
      </c>
      <c r="AO1693" s="289"/>
      <c r="AP1693" s="97"/>
    </row>
    <row r="1694" spans="1:42" s="61" customFormat="1" ht="25.5" customHeight="1" x14ac:dyDescent="0.3">
      <c r="A1694" s="706"/>
      <c r="B1694" s="175" t="s">
        <v>327</v>
      </c>
      <c r="C1694" s="176"/>
      <c r="D1694" s="127"/>
      <c r="E1694" s="127"/>
      <c r="F1694" s="265"/>
      <c r="G1694" s="127"/>
      <c r="H1694" s="127"/>
      <c r="I1694" s="178"/>
      <c r="J1694" s="127"/>
      <c r="K1694" s="127"/>
      <c r="L1694" s="265"/>
      <c r="M1694" s="127"/>
      <c r="N1694" s="178"/>
      <c r="O1694" s="127"/>
      <c r="P1694" s="127"/>
      <c r="Q1694" s="127"/>
      <c r="R1694" s="127"/>
      <c r="S1694" s="127"/>
      <c r="T1694" s="177"/>
      <c r="U1694" s="176"/>
      <c r="V1694" s="127"/>
      <c r="W1694" s="127"/>
      <c r="X1694" s="127"/>
      <c r="Y1694" s="127"/>
      <c r="Z1694" s="127"/>
      <c r="AA1694" s="127"/>
      <c r="AB1694" s="127"/>
      <c r="AC1694" s="127"/>
      <c r="AD1694" s="127"/>
      <c r="AE1694" s="127"/>
      <c r="AF1694" s="127"/>
      <c r="AG1694" s="127"/>
      <c r="AH1694" s="127"/>
      <c r="AI1694" s="127" t="s">
        <v>482</v>
      </c>
      <c r="AJ1694" s="127"/>
      <c r="AK1694" s="127"/>
      <c r="AL1694" s="127"/>
      <c r="AM1694" s="642">
        <f t="shared" si="33"/>
        <v>0</v>
      </c>
      <c r="AO1694" s="289"/>
    </row>
    <row r="1695" spans="1:42" s="61" customFormat="1" ht="25.5" customHeight="1" x14ac:dyDescent="0.3">
      <c r="A1695" s="706"/>
      <c r="B1695" s="180" t="s">
        <v>361</v>
      </c>
      <c r="C1695" s="300"/>
      <c r="D1695" s="173"/>
      <c r="E1695" s="173"/>
      <c r="F1695" s="266"/>
      <c r="G1695" s="173"/>
      <c r="H1695" s="173"/>
      <c r="I1695" s="174"/>
      <c r="J1695" s="173"/>
      <c r="K1695" s="173"/>
      <c r="L1695" s="266"/>
      <c r="M1695" s="173"/>
      <c r="N1695" s="174"/>
      <c r="O1695" s="173"/>
      <c r="P1695" s="173"/>
      <c r="Q1695" s="173"/>
      <c r="R1695" s="173"/>
      <c r="S1695" s="173"/>
      <c r="T1695" s="327"/>
      <c r="U1695" s="300"/>
      <c r="V1695" s="173"/>
      <c r="W1695" s="173"/>
      <c r="X1695" s="173"/>
      <c r="Y1695" s="173"/>
      <c r="Z1695" s="173"/>
      <c r="AA1695" s="173"/>
      <c r="AB1695" s="173"/>
      <c r="AC1695" s="173"/>
      <c r="AD1695" s="173"/>
      <c r="AE1695" s="173"/>
      <c r="AF1695" s="173"/>
      <c r="AG1695" s="173"/>
      <c r="AH1695" s="173"/>
      <c r="AI1695" s="173" t="s">
        <v>482</v>
      </c>
      <c r="AJ1695" s="173"/>
      <c r="AK1695" s="173"/>
      <c r="AL1695" s="173"/>
      <c r="AM1695" s="643">
        <f t="shared" si="33"/>
        <v>0</v>
      </c>
      <c r="AO1695" s="289"/>
      <c r="AP1695" s="97"/>
    </row>
    <row r="1696" spans="1:42" s="61" customFormat="1" ht="25.5" customHeight="1" x14ac:dyDescent="0.3">
      <c r="A1696" s="706"/>
      <c r="B1696" s="180" t="s">
        <v>362</v>
      </c>
      <c r="C1696" s="300"/>
      <c r="D1696" s="173"/>
      <c r="E1696" s="173"/>
      <c r="F1696" s="266"/>
      <c r="G1696" s="173"/>
      <c r="H1696" s="173"/>
      <c r="I1696" s="174"/>
      <c r="J1696" s="173"/>
      <c r="K1696" s="173"/>
      <c r="L1696" s="266"/>
      <c r="M1696" s="173"/>
      <c r="N1696" s="174"/>
      <c r="O1696" s="173"/>
      <c r="P1696" s="173"/>
      <c r="Q1696" s="173"/>
      <c r="R1696" s="173"/>
      <c r="S1696" s="173"/>
      <c r="T1696" s="327"/>
      <c r="U1696" s="300"/>
      <c r="V1696" s="173"/>
      <c r="W1696" s="173"/>
      <c r="X1696" s="173"/>
      <c r="Y1696" s="173"/>
      <c r="Z1696" s="173"/>
      <c r="AA1696" s="173"/>
      <c r="AB1696" s="173"/>
      <c r="AC1696" s="173"/>
      <c r="AD1696" s="173"/>
      <c r="AE1696" s="173"/>
      <c r="AF1696" s="173"/>
      <c r="AG1696" s="173"/>
      <c r="AH1696" s="173"/>
      <c r="AI1696" s="173" t="s">
        <v>482</v>
      </c>
      <c r="AJ1696" s="173"/>
      <c r="AK1696" s="173"/>
      <c r="AL1696" s="173"/>
      <c r="AM1696" s="644">
        <f t="shared" si="33"/>
        <v>0</v>
      </c>
      <c r="AO1696" s="289"/>
      <c r="AP1696" s="97"/>
    </row>
    <row r="1697" spans="1:42" s="61" customFormat="1" ht="22.5" customHeight="1" x14ac:dyDescent="0.3">
      <c r="A1697" s="706"/>
      <c r="B1697" s="115" t="s">
        <v>402</v>
      </c>
      <c r="C1697" s="142"/>
      <c r="D1697" s="111"/>
      <c r="E1697" s="111"/>
      <c r="F1697" s="267"/>
      <c r="G1697" s="111"/>
      <c r="H1697" s="111"/>
      <c r="I1697" s="125"/>
      <c r="J1697" s="111"/>
      <c r="K1697" s="111"/>
      <c r="L1697" s="267"/>
      <c r="M1697" s="111"/>
      <c r="N1697" s="125"/>
      <c r="O1697" s="111"/>
      <c r="P1697" s="111"/>
      <c r="Q1697" s="111"/>
      <c r="R1697" s="111"/>
      <c r="S1697" s="111"/>
      <c r="T1697" s="143"/>
      <c r="U1697" s="142"/>
      <c r="V1697" s="111"/>
      <c r="W1697" s="111"/>
      <c r="X1697" s="111"/>
      <c r="Y1697" s="111"/>
      <c r="Z1697" s="111"/>
      <c r="AA1697" s="111"/>
      <c r="AB1697" s="111"/>
      <c r="AC1697" s="111"/>
      <c r="AD1697" s="111"/>
      <c r="AE1697" s="111"/>
      <c r="AF1697" s="111"/>
      <c r="AG1697" s="111"/>
      <c r="AH1697" s="111" t="s">
        <v>482</v>
      </c>
      <c r="AI1697" s="111" t="s">
        <v>482</v>
      </c>
      <c r="AJ1697" s="111"/>
      <c r="AK1697" s="111"/>
      <c r="AL1697" s="111"/>
      <c r="AM1697" s="645">
        <f t="shared" si="33"/>
        <v>0</v>
      </c>
      <c r="AO1697" s="289"/>
    </row>
    <row r="1698" spans="1:42" s="61" customFormat="1" ht="21" customHeight="1" x14ac:dyDescent="0.3">
      <c r="A1698" s="707"/>
      <c r="B1698" s="181" t="s">
        <v>403</v>
      </c>
      <c r="C1698" s="144"/>
      <c r="D1698" s="112"/>
      <c r="E1698" s="112"/>
      <c r="F1698" s="268"/>
      <c r="G1698" s="112"/>
      <c r="H1698" s="112"/>
      <c r="I1698" s="126"/>
      <c r="J1698" s="112"/>
      <c r="K1698" s="112"/>
      <c r="L1698" s="268"/>
      <c r="M1698" s="112"/>
      <c r="N1698" s="126"/>
      <c r="O1698" s="112"/>
      <c r="P1698" s="112"/>
      <c r="Q1698" s="112"/>
      <c r="R1698" s="112"/>
      <c r="S1698" s="112"/>
      <c r="T1698" s="145"/>
      <c r="U1698" s="144"/>
      <c r="V1698" s="112"/>
      <c r="W1698" s="112"/>
      <c r="X1698" s="112"/>
      <c r="Y1698" s="112"/>
      <c r="Z1698" s="112"/>
      <c r="AA1698" s="112"/>
      <c r="AB1698" s="112"/>
      <c r="AC1698" s="112"/>
      <c r="AD1698" s="112"/>
      <c r="AE1698" s="112"/>
      <c r="AF1698" s="112"/>
      <c r="AG1698" s="112"/>
      <c r="AH1698" s="112" t="s">
        <v>482</v>
      </c>
      <c r="AI1698" s="112" t="s">
        <v>482</v>
      </c>
      <c r="AJ1698" s="112"/>
      <c r="AK1698" s="112"/>
      <c r="AL1698" s="112"/>
      <c r="AM1698" s="646">
        <f t="shared" si="33"/>
        <v>0</v>
      </c>
      <c r="AO1698" s="289"/>
    </row>
    <row r="1699" spans="1:42" s="61" customFormat="1" ht="21" customHeight="1" x14ac:dyDescent="0.3">
      <c r="A1699" s="705" t="s">
        <v>286</v>
      </c>
      <c r="B1699" s="179" t="s">
        <v>293</v>
      </c>
      <c r="C1699" s="135"/>
      <c r="D1699" s="136"/>
      <c r="E1699" s="136"/>
      <c r="F1699" s="262">
        <v>112.63</v>
      </c>
      <c r="G1699" s="136">
        <v>1</v>
      </c>
      <c r="H1699" s="136"/>
      <c r="I1699" s="326"/>
      <c r="J1699" s="136"/>
      <c r="K1699" s="136"/>
      <c r="L1699" s="262">
        <v>217.14</v>
      </c>
      <c r="M1699" s="136"/>
      <c r="N1699" s="326"/>
      <c r="O1699" s="136"/>
      <c r="P1699" s="136"/>
      <c r="Q1699" s="136"/>
      <c r="R1699" s="136"/>
      <c r="S1699" s="136"/>
      <c r="T1699" s="137"/>
      <c r="U1699" s="632"/>
      <c r="V1699" s="122"/>
      <c r="W1699" s="122"/>
      <c r="X1699" s="122"/>
      <c r="Y1699" s="122"/>
      <c r="Z1699" s="122"/>
      <c r="AA1699" s="122"/>
      <c r="AB1699" s="122"/>
      <c r="AC1699" s="122"/>
      <c r="AD1699" s="122"/>
      <c r="AE1699" s="122"/>
      <c r="AF1699" s="122"/>
      <c r="AG1699" s="122"/>
      <c r="AH1699" s="122"/>
      <c r="AI1699" s="122" t="s">
        <v>482</v>
      </c>
      <c r="AJ1699" s="122"/>
      <c r="AK1699" s="122"/>
      <c r="AL1699" s="122"/>
      <c r="AM1699" s="639">
        <f t="shared" si="33"/>
        <v>330.77</v>
      </c>
      <c r="AO1699" s="289"/>
    </row>
    <row r="1700" spans="1:42" s="61" customFormat="1" ht="19.5" customHeight="1" x14ac:dyDescent="0.3">
      <c r="A1700" s="706"/>
      <c r="B1700" s="116" t="s">
        <v>294</v>
      </c>
      <c r="C1700" s="138"/>
      <c r="D1700" s="109"/>
      <c r="E1700" s="109"/>
      <c r="F1700" s="263">
        <v>149.91999999999999</v>
      </c>
      <c r="G1700" s="109">
        <v>1</v>
      </c>
      <c r="H1700" s="109"/>
      <c r="I1700" s="123"/>
      <c r="J1700" s="109"/>
      <c r="K1700" s="109"/>
      <c r="L1700" s="263">
        <v>217.11500000000001</v>
      </c>
      <c r="M1700" s="109"/>
      <c r="N1700" s="123"/>
      <c r="O1700" s="109"/>
      <c r="P1700" s="109"/>
      <c r="Q1700" s="109"/>
      <c r="R1700" s="109"/>
      <c r="S1700" s="109"/>
      <c r="T1700" s="139"/>
      <c r="U1700" s="138"/>
      <c r="V1700" s="109"/>
      <c r="W1700" s="109"/>
      <c r="X1700" s="109"/>
      <c r="Y1700" s="109"/>
      <c r="Z1700" s="109"/>
      <c r="AA1700" s="109"/>
      <c r="AB1700" s="109"/>
      <c r="AC1700" s="109"/>
      <c r="AD1700" s="109"/>
      <c r="AE1700" s="109"/>
      <c r="AF1700" s="109"/>
      <c r="AG1700" s="109">
        <v>1.9490000000000001</v>
      </c>
      <c r="AH1700" s="109"/>
      <c r="AI1700" s="109" t="s">
        <v>482</v>
      </c>
      <c r="AJ1700" s="109"/>
      <c r="AK1700" s="109"/>
      <c r="AL1700" s="109"/>
      <c r="AM1700" s="640">
        <f t="shared" si="33"/>
        <v>369.98399999999998</v>
      </c>
      <c r="AO1700" s="289"/>
    </row>
    <row r="1701" spans="1:42" s="61" customFormat="1" ht="22.5" customHeight="1" x14ac:dyDescent="0.3">
      <c r="A1701" s="706"/>
      <c r="B1701" s="117" t="s">
        <v>326</v>
      </c>
      <c r="C1701" s="140">
        <v>9.9749999999999996</v>
      </c>
      <c r="D1701" s="110"/>
      <c r="E1701" s="110"/>
      <c r="F1701" s="264"/>
      <c r="G1701" s="110">
        <v>1</v>
      </c>
      <c r="H1701" s="110"/>
      <c r="I1701" s="124"/>
      <c r="J1701" s="110"/>
      <c r="K1701" s="110"/>
      <c r="L1701" s="264">
        <v>360</v>
      </c>
      <c r="M1701" s="110"/>
      <c r="N1701" s="124"/>
      <c r="O1701" s="110"/>
      <c r="P1701" s="110"/>
      <c r="Q1701" s="110"/>
      <c r="R1701" s="110"/>
      <c r="S1701" s="110"/>
      <c r="T1701" s="141"/>
      <c r="U1701" s="140"/>
      <c r="V1701" s="110"/>
      <c r="W1701" s="110"/>
      <c r="X1701" s="110"/>
      <c r="Y1701" s="110"/>
      <c r="Z1701" s="110"/>
      <c r="AA1701" s="110"/>
      <c r="AB1701" s="110"/>
      <c r="AC1701" s="110"/>
      <c r="AD1701" s="110"/>
      <c r="AE1701" s="110"/>
      <c r="AF1701" s="110"/>
      <c r="AG1701" s="110">
        <f>1</f>
        <v>1</v>
      </c>
      <c r="AH1701" s="110"/>
      <c r="AI1701" s="110" t="s">
        <v>482</v>
      </c>
      <c r="AJ1701" s="110"/>
      <c r="AK1701" s="110"/>
      <c r="AL1701" s="110"/>
      <c r="AM1701" s="641">
        <f t="shared" ref="AM1701:AM1714" si="34">SUM(C1701:AL1701)</f>
        <v>371.97500000000002</v>
      </c>
      <c r="AO1701" s="289"/>
      <c r="AP1701" s="97"/>
    </row>
    <row r="1702" spans="1:42" s="61" customFormat="1" ht="25.5" customHeight="1" x14ac:dyDescent="0.3">
      <c r="A1702" s="706"/>
      <c r="B1702" s="175" t="s">
        <v>327</v>
      </c>
      <c r="C1702" s="176">
        <v>28.387</v>
      </c>
      <c r="D1702" s="127"/>
      <c r="E1702" s="127"/>
      <c r="F1702" s="265">
        <v>-15</v>
      </c>
      <c r="G1702" s="127">
        <v>2</v>
      </c>
      <c r="H1702" s="127">
        <v>3</v>
      </c>
      <c r="I1702" s="178"/>
      <c r="J1702" s="127"/>
      <c r="K1702" s="127"/>
      <c r="L1702" s="265"/>
      <c r="M1702" s="127"/>
      <c r="N1702" s="178"/>
      <c r="O1702" s="127"/>
      <c r="P1702" s="127"/>
      <c r="Q1702" s="127"/>
      <c r="R1702" s="127"/>
      <c r="S1702" s="127">
        <v>25</v>
      </c>
      <c r="T1702" s="177"/>
      <c r="U1702" s="176"/>
      <c r="V1702" s="127"/>
      <c r="W1702" s="127"/>
      <c r="X1702" s="127"/>
      <c r="Y1702" s="127"/>
      <c r="Z1702" s="127">
        <v>7.1950000000000003</v>
      </c>
      <c r="AA1702" s="127"/>
      <c r="AB1702" s="127"/>
      <c r="AC1702" s="127"/>
      <c r="AD1702" s="127"/>
      <c r="AE1702" s="127"/>
      <c r="AF1702" s="127"/>
      <c r="AG1702" s="127"/>
      <c r="AH1702" s="127"/>
      <c r="AI1702" s="127" t="s">
        <v>482</v>
      </c>
      <c r="AJ1702" s="127"/>
      <c r="AK1702" s="127"/>
      <c r="AL1702" s="127"/>
      <c r="AM1702" s="642">
        <f t="shared" si="34"/>
        <v>50.582000000000001</v>
      </c>
      <c r="AO1702" s="289"/>
    </row>
    <row r="1703" spans="1:42" s="61" customFormat="1" ht="25.5" customHeight="1" x14ac:dyDescent="0.3">
      <c r="A1703" s="706"/>
      <c r="B1703" s="180" t="s">
        <v>361</v>
      </c>
      <c r="C1703" s="300">
        <v>36.950000000000003</v>
      </c>
      <c r="D1703" s="173"/>
      <c r="E1703" s="173"/>
      <c r="F1703" s="266">
        <v>-22</v>
      </c>
      <c r="G1703" s="173"/>
      <c r="H1703" s="173"/>
      <c r="I1703" s="174"/>
      <c r="J1703" s="173"/>
      <c r="K1703" s="173"/>
      <c r="L1703" s="266">
        <v>20</v>
      </c>
      <c r="M1703" s="173"/>
      <c r="N1703" s="174"/>
      <c r="O1703" s="173"/>
      <c r="P1703" s="173"/>
      <c r="Q1703" s="173"/>
      <c r="R1703" s="173"/>
      <c r="S1703" s="173">
        <v>142</v>
      </c>
      <c r="T1703" s="327"/>
      <c r="U1703" s="300">
        <v>7.085</v>
      </c>
      <c r="V1703" s="173"/>
      <c r="W1703" s="173"/>
      <c r="X1703" s="173"/>
      <c r="Y1703" s="173"/>
      <c r="Z1703" s="173"/>
      <c r="AA1703" s="173"/>
      <c r="AB1703" s="173"/>
      <c r="AC1703" s="173"/>
      <c r="AD1703" s="173"/>
      <c r="AE1703" s="173"/>
      <c r="AF1703" s="173"/>
      <c r="AG1703" s="173"/>
      <c r="AH1703" s="173"/>
      <c r="AI1703" s="173" t="s">
        <v>482</v>
      </c>
      <c r="AJ1703" s="173"/>
      <c r="AK1703" s="173"/>
      <c r="AL1703" s="173"/>
      <c r="AM1703" s="643">
        <f t="shared" si="34"/>
        <v>184.035</v>
      </c>
      <c r="AO1703" s="289"/>
      <c r="AP1703" s="97"/>
    </row>
    <row r="1704" spans="1:42" s="61" customFormat="1" ht="25.5" customHeight="1" x14ac:dyDescent="0.3">
      <c r="A1704" s="706"/>
      <c r="B1704" s="180" t="s">
        <v>362</v>
      </c>
      <c r="C1704" s="300">
        <v>30.975000000000001</v>
      </c>
      <c r="D1704" s="173"/>
      <c r="E1704" s="173"/>
      <c r="F1704" s="266"/>
      <c r="G1704" s="173">
        <f>2+40</f>
        <v>42</v>
      </c>
      <c r="H1704" s="173"/>
      <c r="I1704" s="174"/>
      <c r="J1704" s="173"/>
      <c r="K1704" s="173"/>
      <c r="L1704" s="266">
        <v>37</v>
      </c>
      <c r="M1704" s="173"/>
      <c r="N1704" s="174"/>
      <c r="O1704" s="173"/>
      <c r="P1704" s="173"/>
      <c r="Q1704" s="173"/>
      <c r="R1704" s="173"/>
      <c r="S1704" s="173">
        <v>51</v>
      </c>
      <c r="T1704" s="327"/>
      <c r="U1704" s="300"/>
      <c r="V1704" s="173"/>
      <c r="W1704" s="173"/>
      <c r="X1704" s="173"/>
      <c r="Y1704" s="173"/>
      <c r="Z1704" s="173"/>
      <c r="AA1704" s="173"/>
      <c r="AB1704" s="173"/>
      <c r="AC1704" s="173"/>
      <c r="AD1704" s="173"/>
      <c r="AE1704" s="173"/>
      <c r="AF1704" s="173"/>
      <c r="AG1704" s="173"/>
      <c r="AH1704" s="173">
        <v>2500</v>
      </c>
      <c r="AI1704" s="173" t="s">
        <v>482</v>
      </c>
      <c r="AJ1704" s="173"/>
      <c r="AK1704" s="173"/>
      <c r="AL1704" s="173"/>
      <c r="AM1704" s="644">
        <f t="shared" si="34"/>
        <v>2660.9749999999999</v>
      </c>
      <c r="AO1704" s="289"/>
      <c r="AP1704" s="97"/>
    </row>
    <row r="1705" spans="1:42" s="61" customFormat="1" ht="22.5" customHeight="1" x14ac:dyDescent="0.3">
      <c r="A1705" s="706"/>
      <c r="B1705" s="115" t="s">
        <v>402</v>
      </c>
      <c r="C1705" s="142">
        <v>10</v>
      </c>
      <c r="D1705" s="111"/>
      <c r="E1705" s="111"/>
      <c r="F1705" s="267"/>
      <c r="G1705" s="111"/>
      <c r="H1705" s="111"/>
      <c r="I1705" s="125"/>
      <c r="J1705" s="111"/>
      <c r="K1705" s="111"/>
      <c r="L1705" s="267">
        <v>0</v>
      </c>
      <c r="M1705" s="111"/>
      <c r="N1705" s="125"/>
      <c r="O1705" s="111"/>
      <c r="P1705" s="111"/>
      <c r="Q1705" s="111"/>
      <c r="R1705" s="111"/>
      <c r="S1705" s="111"/>
      <c r="T1705" s="143"/>
      <c r="U1705" s="142"/>
      <c r="V1705" s="111"/>
      <c r="W1705" s="111"/>
      <c r="X1705" s="111">
        <v>20</v>
      </c>
      <c r="Y1705" s="111"/>
      <c r="Z1705" s="111">
        <v>95</v>
      </c>
      <c r="AA1705" s="111"/>
      <c r="AB1705" s="111"/>
      <c r="AC1705" s="111"/>
      <c r="AD1705" s="111"/>
      <c r="AE1705" s="111"/>
      <c r="AF1705" s="111"/>
      <c r="AG1705" s="111"/>
      <c r="AH1705" s="111">
        <v>2030.0519999999999</v>
      </c>
      <c r="AI1705" s="111" t="s">
        <v>482</v>
      </c>
      <c r="AJ1705" s="111"/>
      <c r="AK1705" s="111"/>
      <c r="AL1705" s="111"/>
      <c r="AM1705" s="645">
        <f t="shared" si="34"/>
        <v>2155.0519999999997</v>
      </c>
      <c r="AO1705" s="289"/>
    </row>
    <row r="1706" spans="1:42" s="61" customFormat="1" ht="21" customHeight="1" x14ac:dyDescent="0.3">
      <c r="A1706" s="707"/>
      <c r="B1706" s="181" t="s">
        <v>403</v>
      </c>
      <c r="C1706" s="144">
        <v>9.9749999999999996</v>
      </c>
      <c r="D1706" s="112"/>
      <c r="E1706" s="112"/>
      <c r="F1706" s="268"/>
      <c r="G1706" s="112"/>
      <c r="H1706" s="112"/>
      <c r="I1706" s="126"/>
      <c r="J1706" s="112"/>
      <c r="K1706" s="112"/>
      <c r="L1706" s="268"/>
      <c r="M1706" s="112"/>
      <c r="N1706" s="126"/>
      <c r="O1706" s="112"/>
      <c r="P1706" s="112"/>
      <c r="Q1706" s="112"/>
      <c r="R1706" s="112"/>
      <c r="S1706" s="112"/>
      <c r="T1706" s="145"/>
      <c r="U1706" s="144">
        <v>0.11899999999999999</v>
      </c>
      <c r="V1706" s="112"/>
      <c r="W1706" s="112"/>
      <c r="X1706" s="112">
        <f>20-X1705</f>
        <v>0</v>
      </c>
      <c r="Y1706" s="112"/>
      <c r="Z1706" s="112">
        <v>97</v>
      </c>
      <c r="AA1706" s="112"/>
      <c r="AB1706" s="112"/>
      <c r="AC1706" s="112"/>
      <c r="AD1706" s="112"/>
      <c r="AE1706" s="112"/>
      <c r="AF1706" s="112"/>
      <c r="AG1706" s="112"/>
      <c r="AH1706" s="112" t="s">
        <v>482</v>
      </c>
      <c r="AI1706" s="112" t="s">
        <v>482</v>
      </c>
      <c r="AJ1706" s="112"/>
      <c r="AK1706" s="112"/>
      <c r="AL1706" s="112"/>
      <c r="AM1706" s="646">
        <f t="shared" si="34"/>
        <v>107.09399999999999</v>
      </c>
      <c r="AO1706" s="289"/>
    </row>
    <row r="1707" spans="1:42" s="61" customFormat="1" ht="21" customHeight="1" x14ac:dyDescent="0.3">
      <c r="A1707" s="705" t="s">
        <v>287</v>
      </c>
      <c r="B1707" s="179" t="s">
        <v>293</v>
      </c>
      <c r="C1707" s="135"/>
      <c r="D1707" s="136"/>
      <c r="E1707" s="136"/>
      <c r="F1707" s="262"/>
      <c r="G1707" s="136"/>
      <c r="H1707" s="136"/>
      <c r="I1707" s="326"/>
      <c r="J1707" s="136"/>
      <c r="K1707" s="136"/>
      <c r="L1707" s="262"/>
      <c r="M1707" s="136"/>
      <c r="N1707" s="326"/>
      <c r="O1707" s="136"/>
      <c r="P1707" s="136"/>
      <c r="Q1707" s="136"/>
      <c r="R1707" s="136"/>
      <c r="S1707" s="136"/>
      <c r="T1707" s="137"/>
      <c r="U1707" s="632">
        <v>0.3</v>
      </c>
      <c r="V1707" s="122"/>
      <c r="W1707" s="122"/>
      <c r="X1707" s="122"/>
      <c r="Y1707" s="122"/>
      <c r="Z1707" s="122">
        <v>7</v>
      </c>
      <c r="AA1707" s="122"/>
      <c r="AB1707" s="122"/>
      <c r="AC1707" s="122"/>
      <c r="AD1707" s="122"/>
      <c r="AE1707" s="122"/>
      <c r="AF1707" s="122"/>
      <c r="AG1707" s="122">
        <v>1.35</v>
      </c>
      <c r="AH1707" s="122"/>
      <c r="AI1707" s="122" t="s">
        <v>482</v>
      </c>
      <c r="AJ1707" s="122"/>
      <c r="AK1707" s="122"/>
      <c r="AL1707" s="122"/>
      <c r="AM1707" s="639">
        <f t="shared" si="34"/>
        <v>8.65</v>
      </c>
      <c r="AO1707" s="289"/>
    </row>
    <row r="1708" spans="1:42" s="61" customFormat="1" ht="19.5" customHeight="1" x14ac:dyDescent="0.3">
      <c r="A1708" s="706"/>
      <c r="B1708" s="116" t="s">
        <v>294</v>
      </c>
      <c r="C1708" s="138"/>
      <c r="D1708" s="109"/>
      <c r="E1708" s="109"/>
      <c r="F1708" s="263"/>
      <c r="G1708" s="109"/>
      <c r="H1708" s="109"/>
      <c r="I1708" s="123"/>
      <c r="J1708" s="109"/>
      <c r="K1708" s="109"/>
      <c r="L1708" s="263"/>
      <c r="M1708" s="109"/>
      <c r="N1708" s="123"/>
      <c r="O1708" s="109"/>
      <c r="P1708" s="109"/>
      <c r="Q1708" s="109"/>
      <c r="R1708" s="109"/>
      <c r="S1708" s="109"/>
      <c r="T1708" s="139"/>
      <c r="U1708" s="138">
        <v>0.28599999999999998</v>
      </c>
      <c r="V1708" s="109"/>
      <c r="W1708" s="109"/>
      <c r="X1708" s="109"/>
      <c r="Y1708" s="109"/>
      <c r="Z1708" s="109"/>
      <c r="AA1708" s="109"/>
      <c r="AB1708" s="109"/>
      <c r="AC1708" s="109">
        <v>4</v>
      </c>
      <c r="AD1708" s="109"/>
      <c r="AE1708" s="109"/>
      <c r="AF1708" s="109"/>
      <c r="AG1708" s="109"/>
      <c r="AH1708" s="109"/>
      <c r="AI1708" s="109" t="s">
        <v>482</v>
      </c>
      <c r="AJ1708" s="109"/>
      <c r="AK1708" s="109"/>
      <c r="AL1708" s="109"/>
      <c r="AM1708" s="640">
        <f t="shared" si="34"/>
        <v>4.2859999999999996</v>
      </c>
      <c r="AO1708" s="289"/>
    </row>
    <row r="1709" spans="1:42" s="61" customFormat="1" ht="22.5" customHeight="1" x14ac:dyDescent="0.3">
      <c r="A1709" s="706"/>
      <c r="B1709" s="117" t="s">
        <v>326</v>
      </c>
      <c r="C1709" s="140">
        <v>5</v>
      </c>
      <c r="D1709" s="110" t="s">
        <v>359</v>
      </c>
      <c r="E1709" s="110"/>
      <c r="F1709" s="264"/>
      <c r="G1709" s="110"/>
      <c r="H1709" s="110"/>
      <c r="I1709" s="124"/>
      <c r="J1709" s="110"/>
      <c r="K1709" s="110"/>
      <c r="L1709" s="264"/>
      <c r="M1709" s="110"/>
      <c r="N1709" s="124"/>
      <c r="O1709" s="110"/>
      <c r="P1709" s="110"/>
      <c r="Q1709" s="110"/>
      <c r="R1709" s="110"/>
      <c r="S1709" s="110">
        <v>5</v>
      </c>
      <c r="T1709" s="141"/>
      <c r="U1709" s="140"/>
      <c r="V1709" s="110"/>
      <c r="W1709" s="110"/>
      <c r="X1709" s="110"/>
      <c r="Y1709" s="110" t="s">
        <v>359</v>
      </c>
      <c r="Z1709" s="110"/>
      <c r="AA1709" s="110"/>
      <c r="AB1709" s="110"/>
      <c r="AC1709" s="110"/>
      <c r="AD1709" s="110"/>
      <c r="AE1709" s="110"/>
      <c r="AF1709" s="110"/>
      <c r="AG1709" s="110"/>
      <c r="AH1709" s="110">
        <v>4.4260000000000002</v>
      </c>
      <c r="AI1709" s="110" t="s">
        <v>482</v>
      </c>
      <c r="AJ1709" s="110"/>
      <c r="AK1709" s="110"/>
      <c r="AL1709" s="110"/>
      <c r="AM1709" s="641">
        <f t="shared" si="34"/>
        <v>14.426</v>
      </c>
      <c r="AO1709" s="289"/>
      <c r="AP1709" s="97"/>
    </row>
    <row r="1710" spans="1:42" s="61" customFormat="1" ht="25.5" customHeight="1" x14ac:dyDescent="0.3">
      <c r="A1710" s="706"/>
      <c r="B1710" s="175" t="s">
        <v>327</v>
      </c>
      <c r="C1710" s="176">
        <v>26</v>
      </c>
      <c r="D1710" s="127"/>
      <c r="E1710" s="127"/>
      <c r="F1710" s="265"/>
      <c r="G1710" s="127">
        <v>5</v>
      </c>
      <c r="H1710" s="127"/>
      <c r="I1710" s="178"/>
      <c r="J1710" s="127"/>
      <c r="K1710" s="127"/>
      <c r="L1710" s="265"/>
      <c r="M1710" s="127"/>
      <c r="N1710" s="178"/>
      <c r="O1710" s="127"/>
      <c r="P1710" s="127"/>
      <c r="Q1710" s="127"/>
      <c r="R1710" s="127"/>
      <c r="S1710" s="127">
        <v>2334</v>
      </c>
      <c r="T1710" s="177"/>
      <c r="U1710" s="176">
        <v>0.41199999999999998</v>
      </c>
      <c r="V1710" s="127"/>
      <c r="W1710" s="127"/>
      <c r="X1710" s="127"/>
      <c r="Y1710" s="127"/>
      <c r="Z1710" s="127">
        <v>49.198970000000003</v>
      </c>
      <c r="AA1710" s="127"/>
      <c r="AB1710" s="127"/>
      <c r="AC1710" s="127"/>
      <c r="AD1710" s="127"/>
      <c r="AE1710" s="127"/>
      <c r="AF1710" s="127"/>
      <c r="AG1710" s="127"/>
      <c r="AH1710" s="127"/>
      <c r="AI1710" s="127" t="s">
        <v>482</v>
      </c>
      <c r="AJ1710" s="127"/>
      <c r="AK1710" s="127"/>
      <c r="AL1710" s="127"/>
      <c r="AM1710" s="642">
        <f t="shared" si="34"/>
        <v>2414.6109699999997</v>
      </c>
      <c r="AO1710" s="289"/>
    </row>
    <row r="1711" spans="1:42" s="61" customFormat="1" ht="25.5" customHeight="1" x14ac:dyDescent="0.3">
      <c r="A1711" s="706"/>
      <c r="B1711" s="180" t="s">
        <v>361</v>
      </c>
      <c r="C1711" s="300">
        <v>15</v>
      </c>
      <c r="D1711" s="173"/>
      <c r="E1711" s="173"/>
      <c r="F1711" s="266"/>
      <c r="G1711" s="173">
        <f>70</f>
        <v>70</v>
      </c>
      <c r="H1711" s="173"/>
      <c r="I1711" s="174"/>
      <c r="J1711" s="173"/>
      <c r="K1711" s="173"/>
      <c r="L1711" s="266"/>
      <c r="M1711" s="173"/>
      <c r="N1711" s="174"/>
      <c r="O1711" s="173"/>
      <c r="P1711" s="173"/>
      <c r="Q1711" s="173"/>
      <c r="R1711" s="173"/>
      <c r="S1711" s="173">
        <v>2767</v>
      </c>
      <c r="T1711" s="327"/>
      <c r="U1711" s="300">
        <v>0.106</v>
      </c>
      <c r="V1711" s="173"/>
      <c r="W1711" s="173"/>
      <c r="X1711" s="173"/>
      <c r="Y1711" s="173"/>
      <c r="Z1711" s="173"/>
      <c r="AA1711" s="173"/>
      <c r="AB1711" s="173"/>
      <c r="AC1711" s="173"/>
      <c r="AD1711" s="173"/>
      <c r="AE1711" s="173"/>
      <c r="AF1711" s="173"/>
      <c r="AG1711" s="173"/>
      <c r="AH1711" s="173"/>
      <c r="AI1711" s="173" t="s">
        <v>482</v>
      </c>
      <c r="AJ1711" s="173"/>
      <c r="AK1711" s="173"/>
      <c r="AL1711" s="173"/>
      <c r="AM1711" s="643">
        <f t="shared" si="34"/>
        <v>2852.1060000000002</v>
      </c>
      <c r="AO1711" s="289"/>
      <c r="AP1711" s="97"/>
    </row>
    <row r="1712" spans="1:42" s="61" customFormat="1" ht="25.5" customHeight="1" x14ac:dyDescent="0.3">
      <c r="A1712" s="706"/>
      <c r="B1712" s="180" t="s">
        <v>362</v>
      </c>
      <c r="C1712" s="300">
        <v>504.935</v>
      </c>
      <c r="D1712" s="173"/>
      <c r="E1712" s="173"/>
      <c r="F1712" s="266"/>
      <c r="G1712" s="173">
        <f>6+30</f>
        <v>36</v>
      </c>
      <c r="H1712" s="173"/>
      <c r="I1712" s="174"/>
      <c r="J1712" s="173"/>
      <c r="K1712" s="173"/>
      <c r="L1712" s="266"/>
      <c r="M1712" s="173"/>
      <c r="N1712" s="174"/>
      <c r="O1712" s="173"/>
      <c r="P1712" s="173"/>
      <c r="Q1712" s="173"/>
      <c r="R1712" s="173"/>
      <c r="S1712" s="173">
        <v>210</v>
      </c>
      <c r="T1712" s="327"/>
      <c r="U1712" s="300">
        <v>3.02</v>
      </c>
      <c r="V1712" s="173"/>
      <c r="W1712" s="173"/>
      <c r="X1712" s="173"/>
      <c r="Y1712" s="173"/>
      <c r="Z1712" s="173"/>
      <c r="AA1712" s="173"/>
      <c r="AB1712" s="173"/>
      <c r="AC1712" s="173"/>
      <c r="AD1712" s="173"/>
      <c r="AE1712" s="173"/>
      <c r="AF1712" s="173"/>
      <c r="AG1712" s="173"/>
      <c r="AH1712" s="173"/>
      <c r="AI1712" s="173" t="s">
        <v>482</v>
      </c>
      <c r="AJ1712" s="173"/>
      <c r="AK1712" s="173"/>
      <c r="AL1712" s="173"/>
      <c r="AM1712" s="644">
        <f t="shared" si="34"/>
        <v>753.95499999999993</v>
      </c>
      <c r="AO1712" s="289"/>
      <c r="AP1712" s="97"/>
    </row>
    <row r="1713" spans="1:211" s="61" customFormat="1" ht="22.5" customHeight="1" x14ac:dyDescent="0.3">
      <c r="A1713" s="706"/>
      <c r="B1713" s="115" t="s">
        <v>402</v>
      </c>
      <c r="C1713" s="142">
        <v>13.584910000000001</v>
      </c>
      <c r="D1713" s="111"/>
      <c r="E1713" s="111"/>
      <c r="F1713" s="267"/>
      <c r="G1713" s="111"/>
      <c r="H1713" s="111"/>
      <c r="I1713" s="125"/>
      <c r="J1713" s="111"/>
      <c r="K1713" s="111"/>
      <c r="L1713" s="267">
        <v>0</v>
      </c>
      <c r="M1713" s="111"/>
      <c r="N1713" s="125"/>
      <c r="O1713" s="111"/>
      <c r="P1713" s="111"/>
      <c r="Q1713" s="111"/>
      <c r="R1713" s="111"/>
      <c r="S1713" s="111">
        <v>2.3021509999999998</v>
      </c>
      <c r="T1713" s="143"/>
      <c r="U1713" s="142">
        <v>2.9449999999999998</v>
      </c>
      <c r="V1713" s="111"/>
      <c r="W1713" s="111"/>
      <c r="X1713" s="111"/>
      <c r="Y1713" s="111"/>
      <c r="Z1713" s="111"/>
      <c r="AA1713" s="111"/>
      <c r="AB1713" s="111"/>
      <c r="AC1713" s="111"/>
      <c r="AD1713" s="111"/>
      <c r="AE1713" s="111"/>
      <c r="AF1713" s="111"/>
      <c r="AG1713" s="111"/>
      <c r="AH1713" s="111" t="s">
        <v>482</v>
      </c>
      <c r="AI1713" s="111" t="s">
        <v>482</v>
      </c>
      <c r="AJ1713" s="111"/>
      <c r="AK1713" s="111"/>
      <c r="AL1713" s="111"/>
      <c r="AM1713" s="645">
        <f t="shared" si="34"/>
        <v>18.832060999999999</v>
      </c>
      <c r="AO1713" s="289"/>
    </row>
    <row r="1714" spans="1:211" s="61" customFormat="1" ht="21" customHeight="1" thickBot="1" x14ac:dyDescent="0.35">
      <c r="A1714" s="707"/>
      <c r="B1714" s="181" t="s">
        <v>403</v>
      </c>
      <c r="C1714" s="144">
        <v>399.92500000000001</v>
      </c>
      <c r="D1714" s="112"/>
      <c r="E1714" s="112"/>
      <c r="F1714" s="268"/>
      <c r="G1714" s="112"/>
      <c r="H1714" s="112"/>
      <c r="I1714" s="126"/>
      <c r="J1714" s="112"/>
      <c r="K1714" s="112"/>
      <c r="L1714" s="268"/>
      <c r="M1714" s="112"/>
      <c r="N1714" s="126"/>
      <c r="O1714" s="112"/>
      <c r="P1714" s="112"/>
      <c r="Q1714" s="112"/>
      <c r="R1714" s="112"/>
      <c r="S1714" s="112">
        <v>-1312.8422399999999</v>
      </c>
      <c r="T1714" s="145"/>
      <c r="U1714" s="144"/>
      <c r="V1714" s="112"/>
      <c r="W1714" s="112"/>
      <c r="X1714" s="112"/>
      <c r="Y1714" s="112"/>
      <c r="Z1714" s="112"/>
      <c r="AA1714" s="112"/>
      <c r="AB1714" s="112"/>
      <c r="AC1714" s="112"/>
      <c r="AD1714" s="112"/>
      <c r="AE1714" s="112"/>
      <c r="AF1714" s="112"/>
      <c r="AG1714" s="112"/>
      <c r="AH1714" s="112" t="s">
        <v>482</v>
      </c>
      <c r="AI1714" s="112" t="s">
        <v>482</v>
      </c>
      <c r="AJ1714" s="112"/>
      <c r="AK1714" s="112"/>
      <c r="AL1714" s="112"/>
      <c r="AM1714" s="646">
        <f t="shared" si="34"/>
        <v>-912.91723999999999</v>
      </c>
      <c r="AO1714" s="289"/>
    </row>
    <row r="1715" spans="1:211" ht="22.5" customHeight="1" thickTop="1" x14ac:dyDescent="0.3">
      <c r="A1715" s="708" t="s">
        <v>97</v>
      </c>
      <c r="B1715" s="132" t="s">
        <v>293</v>
      </c>
      <c r="C1715" s="147">
        <f t="shared" ref="C1715:I1715" si="35">+SUMIF($B$11:$B$1714,"2002",C11:C1714)</f>
        <v>250872.46600000001</v>
      </c>
      <c r="D1715" s="133">
        <f t="shared" si="35"/>
        <v>65751</v>
      </c>
      <c r="E1715" s="133">
        <f t="shared" si="35"/>
        <v>0</v>
      </c>
      <c r="F1715" s="133">
        <f t="shared" si="35"/>
        <v>183171.524</v>
      </c>
      <c r="G1715" s="133">
        <f t="shared" si="35"/>
        <v>100203</v>
      </c>
      <c r="H1715" s="133">
        <f t="shared" si="35"/>
        <v>42230</v>
      </c>
      <c r="I1715" s="133">
        <f t="shared" si="35"/>
        <v>10852</v>
      </c>
      <c r="J1715" s="133">
        <f t="shared" ref="J1715:J1722" si="36">+SUMIF($B$11:$B$1706,"2002",J11:J1714)</f>
        <v>4508</v>
      </c>
      <c r="K1715" s="133">
        <f t="shared" ref="K1715:P1715" si="37">+SUMIF($B$11:$B$1714,"2002",K11:K1714)</f>
        <v>40955</v>
      </c>
      <c r="L1715" s="133">
        <f t="shared" si="37"/>
        <v>92839.902000000002</v>
      </c>
      <c r="M1715" s="133">
        <f t="shared" si="37"/>
        <v>1764.905</v>
      </c>
      <c r="N1715" s="133">
        <f t="shared" si="37"/>
        <v>205093.56600000005</v>
      </c>
      <c r="O1715" s="133">
        <f t="shared" si="37"/>
        <v>16337.2</v>
      </c>
      <c r="P1715" s="133">
        <f t="shared" si="37"/>
        <v>3265</v>
      </c>
      <c r="Q1715" s="133">
        <v>48312</v>
      </c>
      <c r="R1715" s="133">
        <f>+SUMIF($B$11:$B$1698,"2002",R11:R1714)</f>
        <v>16033.5</v>
      </c>
      <c r="S1715" s="133">
        <v>670351.6449999999</v>
      </c>
      <c r="T1715" s="633">
        <f t="shared" ref="T1715:AL1715" si="38">+SUMIF($B$11:$B$1714,"2002",T11:T1714)</f>
        <v>48223.044999999998</v>
      </c>
      <c r="U1715" s="147">
        <f t="shared" si="38"/>
        <v>177363.85299999989</v>
      </c>
      <c r="V1715" s="133">
        <f t="shared" si="38"/>
        <v>4566.2610000000004</v>
      </c>
      <c r="W1715" s="133">
        <f t="shared" si="38"/>
        <v>22794</v>
      </c>
      <c r="X1715" s="133">
        <f t="shared" si="38"/>
        <v>16464</v>
      </c>
      <c r="Y1715" s="133">
        <f t="shared" si="38"/>
        <v>728446.94900000002</v>
      </c>
      <c r="Z1715" s="133">
        <f t="shared" si="38"/>
        <v>1367101.5035199998</v>
      </c>
      <c r="AA1715" s="133">
        <f t="shared" si="38"/>
        <v>42590.49181</v>
      </c>
      <c r="AB1715" s="133">
        <f t="shared" si="38"/>
        <v>253</v>
      </c>
      <c r="AC1715" s="133">
        <f t="shared" si="38"/>
        <v>73775.107000000004</v>
      </c>
      <c r="AD1715" s="133">
        <f t="shared" si="38"/>
        <v>293955</v>
      </c>
      <c r="AE1715" s="133">
        <f t="shared" si="38"/>
        <v>12555</v>
      </c>
      <c r="AF1715" s="133">
        <f t="shared" si="38"/>
        <v>498.26043423799587</v>
      </c>
      <c r="AG1715" s="133">
        <f t="shared" si="38"/>
        <v>410.28061538461532</v>
      </c>
      <c r="AH1715" s="133">
        <f t="shared" si="38"/>
        <v>1622048.19</v>
      </c>
      <c r="AI1715" s="133">
        <f t="shared" si="38"/>
        <v>340201</v>
      </c>
      <c r="AJ1715" s="133">
        <f t="shared" si="38"/>
        <v>4932</v>
      </c>
      <c r="AK1715" s="133">
        <f t="shared" si="38"/>
        <v>16476.54</v>
      </c>
      <c r="AL1715" s="133">
        <f t="shared" si="38"/>
        <v>14289.013765953019</v>
      </c>
      <c r="AM1715" s="647">
        <f t="shared" ref="AM1715:AM1722" si="39">SUM(C1715:AL1715)</f>
        <v>6539484.2031455757</v>
      </c>
      <c r="AN1715" s="419"/>
      <c r="AO1715" s="288"/>
      <c r="AP1715" s="61"/>
    </row>
    <row r="1716" spans="1:211" ht="18.75" customHeight="1" x14ac:dyDescent="0.3">
      <c r="A1716" s="709"/>
      <c r="B1716" s="116" t="s">
        <v>294</v>
      </c>
      <c r="C1716" s="138">
        <f t="shared" ref="C1716:I1716" si="40">+SUMIF($B$11:$B$1714,"2003",C11:C1714)</f>
        <v>331808.21500000003</v>
      </c>
      <c r="D1716" s="109">
        <f t="shared" si="40"/>
        <v>18979.131000000001</v>
      </c>
      <c r="E1716" s="109">
        <f t="shared" si="40"/>
        <v>0</v>
      </c>
      <c r="F1716" s="109">
        <f t="shared" si="40"/>
        <v>194037.91900000002</v>
      </c>
      <c r="G1716" s="109">
        <f t="shared" si="40"/>
        <v>111842</v>
      </c>
      <c r="H1716" s="109">
        <f t="shared" si="40"/>
        <v>90880</v>
      </c>
      <c r="I1716" s="109">
        <f t="shared" si="40"/>
        <v>15096</v>
      </c>
      <c r="J1716" s="109">
        <f t="shared" si="36"/>
        <v>579</v>
      </c>
      <c r="K1716" s="109">
        <f t="shared" ref="K1716:P1716" si="41">+SUMIF($B$11:$B$1714,"2003",K11:K1714)</f>
        <v>40311</v>
      </c>
      <c r="L1716" s="109">
        <f t="shared" si="41"/>
        <v>131202.25099999999</v>
      </c>
      <c r="M1716" s="109">
        <f t="shared" si="41"/>
        <v>1865.4929999999999</v>
      </c>
      <c r="N1716" s="109">
        <f t="shared" si="41"/>
        <v>262727.07400000002</v>
      </c>
      <c r="O1716" s="109">
        <f t="shared" si="41"/>
        <v>22108.400000000001</v>
      </c>
      <c r="P1716" s="109">
        <f t="shared" si="41"/>
        <v>3449</v>
      </c>
      <c r="Q1716" s="109">
        <v>45593</v>
      </c>
      <c r="R1716" s="109">
        <f>+SUMIF($B$11:$B$1698,"2003",R11:R1714)</f>
        <v>16021.870999999999</v>
      </c>
      <c r="S1716" s="109">
        <v>770431.66000000015</v>
      </c>
      <c r="T1716" s="139">
        <f t="shared" ref="T1716:AL1716" si="42">+SUMIF($B$11:$B$1714,"2003",T11:T1714)</f>
        <v>52895.938999999984</v>
      </c>
      <c r="U1716" s="138">
        <f t="shared" si="42"/>
        <v>225115.70600000001</v>
      </c>
      <c r="V1716" s="109">
        <f t="shared" si="42"/>
        <v>7552.8260000000009</v>
      </c>
      <c r="W1716" s="109">
        <f t="shared" si="42"/>
        <v>25968</v>
      </c>
      <c r="X1716" s="109">
        <f t="shared" si="42"/>
        <v>22356</v>
      </c>
      <c r="Y1716" s="109">
        <f t="shared" si="42"/>
        <v>818803.79499999993</v>
      </c>
      <c r="Z1716" s="109">
        <f t="shared" si="42"/>
        <v>1634110.0339900001</v>
      </c>
      <c r="AA1716" s="109">
        <f t="shared" si="42"/>
        <v>43984.780900000005</v>
      </c>
      <c r="AB1716" s="109">
        <f t="shared" si="42"/>
        <v>314</v>
      </c>
      <c r="AC1716" s="109">
        <f t="shared" si="42"/>
        <v>80002.146999999983</v>
      </c>
      <c r="AD1716" s="109">
        <f t="shared" si="42"/>
        <v>312143</v>
      </c>
      <c r="AE1716" s="109">
        <f t="shared" si="42"/>
        <v>12535</v>
      </c>
      <c r="AF1716" s="109">
        <f t="shared" si="42"/>
        <v>872.02018726591757</v>
      </c>
      <c r="AG1716" s="109">
        <f t="shared" si="42"/>
        <v>468.4670000000001</v>
      </c>
      <c r="AH1716" s="109">
        <f t="shared" si="42"/>
        <v>2471200.56</v>
      </c>
      <c r="AI1716" s="109">
        <f t="shared" si="42"/>
        <v>429388</v>
      </c>
      <c r="AJ1716" s="109">
        <f t="shared" si="42"/>
        <v>3331</v>
      </c>
      <c r="AK1716" s="109">
        <f t="shared" si="42"/>
        <v>21136.68</v>
      </c>
      <c r="AL1716" s="109">
        <f t="shared" si="42"/>
        <v>13950.766053846151</v>
      </c>
      <c r="AM1716" s="648">
        <f t="shared" si="39"/>
        <v>8233060.735131111</v>
      </c>
      <c r="AN1716" s="419"/>
      <c r="AO1716" s="285"/>
      <c r="AP1716" s="97"/>
    </row>
    <row r="1717" spans="1:211" s="65" customFormat="1" ht="18.75" customHeight="1" x14ac:dyDescent="0.3">
      <c r="A1717" s="709"/>
      <c r="B1717" s="117" t="s">
        <v>326</v>
      </c>
      <c r="C1717" s="140">
        <f t="shared" ref="C1717:I1717" si="43">+SUMIF($B$11:$B$1714,"2004",C11:C1714)</f>
        <v>351349.56600000022</v>
      </c>
      <c r="D1717" s="110">
        <f t="shared" si="43"/>
        <v>15997.642999999998</v>
      </c>
      <c r="E1717" s="110">
        <f t="shared" si="43"/>
        <v>0</v>
      </c>
      <c r="F1717" s="110">
        <f t="shared" si="43"/>
        <v>222917</v>
      </c>
      <c r="G1717" s="110">
        <f t="shared" si="43"/>
        <v>125967</v>
      </c>
      <c r="H1717" s="110">
        <f t="shared" si="43"/>
        <v>84641</v>
      </c>
      <c r="I1717" s="110">
        <f t="shared" si="43"/>
        <v>16923</v>
      </c>
      <c r="J1717" s="110">
        <f t="shared" si="36"/>
        <v>539</v>
      </c>
      <c r="K1717" s="110">
        <f t="shared" ref="K1717:P1717" si="44">+SUMIF($B$11:$B$1714,"2004",K11:K1714)</f>
        <v>46668</v>
      </c>
      <c r="L1717" s="110">
        <f t="shared" si="44"/>
        <v>132843</v>
      </c>
      <c r="M1717" s="110">
        <f t="shared" si="44"/>
        <v>2173.0409999999997</v>
      </c>
      <c r="N1717" s="110">
        <f t="shared" si="44"/>
        <v>360762.90199999994</v>
      </c>
      <c r="O1717" s="110">
        <f t="shared" si="44"/>
        <v>25996</v>
      </c>
      <c r="P1717" s="110">
        <f t="shared" si="44"/>
        <v>5210</v>
      </c>
      <c r="Q1717" s="110">
        <v>68832</v>
      </c>
      <c r="R1717" s="110">
        <f>+SUMIF($B$11:$B$1698,"2004",R11:R1714)</f>
        <v>22355.200000000001</v>
      </c>
      <c r="S1717" s="110">
        <v>2114253</v>
      </c>
      <c r="T1717" s="141">
        <f t="shared" ref="T1717:AL1717" si="45">+SUMIF($B$11:$B$1714,"2004",T11:T1714)</f>
        <v>0</v>
      </c>
      <c r="U1717" s="140">
        <f t="shared" si="45"/>
        <v>217917.41899999999</v>
      </c>
      <c r="V1717" s="110">
        <f t="shared" si="45"/>
        <v>7754.3639999999996</v>
      </c>
      <c r="W1717" s="110">
        <f t="shared" si="45"/>
        <v>40128</v>
      </c>
      <c r="X1717" s="110">
        <f t="shared" si="45"/>
        <v>40779</v>
      </c>
      <c r="Y1717" s="110">
        <f t="shared" si="45"/>
        <v>851899</v>
      </c>
      <c r="Z1717" s="110">
        <f t="shared" si="45"/>
        <v>1863683.81281</v>
      </c>
      <c r="AA1717" s="110">
        <f t="shared" si="45"/>
        <v>67175.279720000006</v>
      </c>
      <c r="AB1717" s="110">
        <f t="shared" si="45"/>
        <v>429</v>
      </c>
      <c r="AC1717" s="110">
        <f t="shared" si="45"/>
        <v>93407.47100000002</v>
      </c>
      <c r="AD1717" s="110">
        <f t="shared" si="45"/>
        <v>345561</v>
      </c>
      <c r="AE1717" s="110">
        <f t="shared" si="45"/>
        <v>15370</v>
      </c>
      <c r="AF1717" s="110">
        <f t="shared" si="45"/>
        <v>1425.5358051831749</v>
      </c>
      <c r="AG1717" s="110">
        <f t="shared" si="45"/>
        <v>74.615384615384613</v>
      </c>
      <c r="AH1717" s="110">
        <f t="shared" si="45"/>
        <v>1898745.7115899997</v>
      </c>
      <c r="AI1717" s="110">
        <f t="shared" si="45"/>
        <v>542075</v>
      </c>
      <c r="AJ1717" s="110">
        <f t="shared" si="45"/>
        <v>5682</v>
      </c>
      <c r="AK1717" s="110">
        <f t="shared" si="45"/>
        <v>16397</v>
      </c>
      <c r="AL1717" s="110">
        <f t="shared" si="45"/>
        <v>14381.177144789479</v>
      </c>
      <c r="AM1717" s="649">
        <f t="shared" si="39"/>
        <v>9620312.7384545878</v>
      </c>
      <c r="AN1717" s="419"/>
      <c r="AO1717" s="284"/>
      <c r="AP1717" s="61"/>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3"/>
      <c r="CY1717" s="3"/>
      <c r="CZ1717" s="3"/>
      <c r="DA1717" s="3"/>
      <c r="DB1717" s="3"/>
      <c r="DC1717" s="3"/>
      <c r="DD1717" s="3"/>
      <c r="DE1717" s="3"/>
      <c r="DF1717" s="3"/>
      <c r="DG1717" s="3"/>
      <c r="DH1717" s="3"/>
      <c r="DI1717" s="3"/>
      <c r="DJ1717" s="3"/>
      <c r="DK1717" s="3"/>
      <c r="DL1717" s="3"/>
      <c r="DM1717" s="3"/>
      <c r="DN1717" s="3"/>
      <c r="DO1717" s="3"/>
      <c r="DP1717" s="3"/>
      <c r="DQ1717" s="3"/>
      <c r="DR1717" s="3"/>
      <c r="DS1717" s="3"/>
      <c r="DT1717" s="3"/>
      <c r="DU1717" s="3"/>
      <c r="DV1717" s="3"/>
      <c r="DW1717" s="3"/>
      <c r="DX1717" s="3"/>
      <c r="DY1717" s="3"/>
      <c r="DZ1717" s="3"/>
      <c r="EA1717" s="3"/>
      <c r="EB1717" s="3"/>
      <c r="EC1717" s="3"/>
      <c r="ED1717" s="3"/>
      <c r="EE1717" s="3"/>
      <c r="EF1717" s="3"/>
      <c r="EG1717" s="3"/>
      <c r="EH1717" s="3"/>
      <c r="EI1717" s="3"/>
      <c r="EJ1717" s="3"/>
      <c r="EK1717" s="3"/>
      <c r="EL1717" s="3"/>
      <c r="EM1717" s="3"/>
      <c r="EN1717" s="3"/>
      <c r="EO1717" s="3"/>
      <c r="EP1717" s="3"/>
      <c r="EQ1717" s="3"/>
      <c r="ER1717" s="3"/>
      <c r="ES1717" s="3"/>
      <c r="ET1717" s="3"/>
      <c r="EU1717" s="3"/>
      <c r="EV1717" s="3"/>
      <c r="EW1717" s="3"/>
      <c r="EX1717" s="3"/>
      <c r="EY1717" s="3"/>
      <c r="EZ1717" s="3"/>
      <c r="FA1717" s="3"/>
      <c r="FB1717" s="3"/>
      <c r="FC1717" s="3"/>
      <c r="FD1717" s="3"/>
      <c r="FE1717" s="3"/>
      <c r="FF1717" s="3"/>
      <c r="FG1717" s="3"/>
      <c r="FH1717" s="3"/>
      <c r="FI1717" s="3"/>
      <c r="FJ1717" s="3"/>
      <c r="FK1717" s="3"/>
      <c r="FL1717" s="3"/>
      <c r="FM1717" s="3"/>
      <c r="FN1717" s="3"/>
      <c r="FO1717" s="3"/>
      <c r="FP1717" s="3"/>
      <c r="FQ1717" s="3"/>
      <c r="FR1717" s="3"/>
      <c r="FS1717" s="3"/>
      <c r="FT1717" s="3"/>
      <c r="FU1717" s="3"/>
      <c r="FV1717" s="3"/>
      <c r="FW1717" s="3"/>
      <c r="FX1717" s="3"/>
      <c r="FY1717" s="3"/>
      <c r="FZ1717" s="3"/>
      <c r="GA1717" s="3"/>
      <c r="GB1717" s="3"/>
      <c r="GC1717" s="3"/>
      <c r="GD1717" s="3"/>
      <c r="GE1717" s="3"/>
      <c r="GF1717" s="3"/>
      <c r="GG1717" s="3"/>
      <c r="GH1717" s="3"/>
      <c r="GI1717" s="3"/>
      <c r="GJ1717" s="3"/>
      <c r="GK1717" s="3"/>
      <c r="GL1717" s="3"/>
      <c r="GM1717" s="3"/>
      <c r="GN1717" s="3"/>
      <c r="GO1717" s="3"/>
      <c r="GP1717" s="3"/>
      <c r="GQ1717" s="3"/>
      <c r="GR1717" s="3"/>
      <c r="GS1717" s="3"/>
      <c r="GT1717" s="3"/>
      <c r="GU1717" s="3"/>
      <c r="GV1717" s="3"/>
      <c r="GW1717" s="3"/>
      <c r="GX1717" s="3"/>
      <c r="GY1717" s="3"/>
      <c r="GZ1717" s="3"/>
      <c r="HA1717" s="3"/>
      <c r="HB1717" s="3"/>
      <c r="HC1717" s="3"/>
    </row>
    <row r="1718" spans="1:211" s="65" customFormat="1" ht="18.75" customHeight="1" x14ac:dyDescent="0.3">
      <c r="A1718" s="709"/>
      <c r="B1718" s="118" t="s">
        <v>327</v>
      </c>
      <c r="C1718" s="146">
        <f t="shared" ref="C1718:I1718" si="46">+SUMIF($B$11:$B$1714,"2005",C11:C1714)</f>
        <v>568324.44400000002</v>
      </c>
      <c r="D1718" s="113">
        <f t="shared" si="46"/>
        <v>28473.530999999999</v>
      </c>
      <c r="E1718" s="113">
        <f t="shared" si="46"/>
        <v>211</v>
      </c>
      <c r="F1718" s="113">
        <f t="shared" si="46"/>
        <v>253779</v>
      </c>
      <c r="G1718" s="113">
        <f t="shared" si="46"/>
        <v>116725</v>
      </c>
      <c r="H1718" s="113">
        <f t="shared" si="46"/>
        <v>93013</v>
      </c>
      <c r="I1718" s="113">
        <f t="shared" si="46"/>
        <v>17612</v>
      </c>
      <c r="J1718" s="113">
        <f t="shared" si="36"/>
        <v>409</v>
      </c>
      <c r="K1718" s="113">
        <f t="shared" ref="K1718:P1718" si="47">+SUMIF($B$11:$B$1714,"2005",K11:K1714)</f>
        <v>37399</v>
      </c>
      <c r="L1718" s="113">
        <f t="shared" si="47"/>
        <v>162348</v>
      </c>
      <c r="M1718" s="113">
        <f t="shared" si="47"/>
        <v>2061.7820000000002</v>
      </c>
      <c r="N1718" s="113">
        <f t="shared" si="47"/>
        <v>461497.16399999999</v>
      </c>
      <c r="O1718" s="113">
        <f t="shared" si="47"/>
        <v>26342</v>
      </c>
      <c r="P1718" s="113">
        <f t="shared" si="47"/>
        <v>7088</v>
      </c>
      <c r="Q1718" s="113">
        <v>66399</v>
      </c>
      <c r="R1718" s="113">
        <f>+SUMIF($B$11:$B$1698,"2005",R11:R1714)</f>
        <v>22355.200000000001</v>
      </c>
      <c r="S1718" s="113">
        <v>2574585</v>
      </c>
      <c r="T1718" s="331">
        <f t="shared" ref="T1718:AL1718" si="48">+SUMIF($B$11:$B$1714,"2005",T11:T1714)</f>
        <v>0</v>
      </c>
      <c r="U1718" s="146">
        <f t="shared" si="48"/>
        <v>287201.49200000026</v>
      </c>
      <c r="V1718" s="113">
        <f t="shared" si="48"/>
        <v>11793.018</v>
      </c>
      <c r="W1718" s="113">
        <f t="shared" si="48"/>
        <v>81728</v>
      </c>
      <c r="X1718" s="113">
        <f t="shared" si="48"/>
        <v>64793</v>
      </c>
      <c r="Y1718" s="113">
        <f t="shared" si="48"/>
        <v>975008</v>
      </c>
      <c r="Z1718" s="113">
        <f t="shared" si="48"/>
        <v>2555579.3472999996</v>
      </c>
      <c r="AA1718" s="113">
        <f t="shared" si="48"/>
        <v>57169.415820000017</v>
      </c>
      <c r="AB1718" s="113">
        <f t="shared" si="48"/>
        <v>437</v>
      </c>
      <c r="AC1718" s="113">
        <f t="shared" si="48"/>
        <v>105628.33300000001</v>
      </c>
      <c r="AD1718" s="113">
        <f t="shared" si="48"/>
        <v>379925</v>
      </c>
      <c r="AE1718" s="113">
        <f t="shared" si="48"/>
        <v>15146</v>
      </c>
      <c r="AF1718" s="113">
        <f t="shared" si="48"/>
        <v>2531.8859198816567</v>
      </c>
      <c r="AG1718" s="113">
        <f t="shared" si="48"/>
        <v>231.8461538461539</v>
      </c>
      <c r="AH1718" s="113">
        <f t="shared" si="48"/>
        <v>2572629.3400000003</v>
      </c>
      <c r="AI1718" s="113">
        <f t="shared" si="48"/>
        <v>671738</v>
      </c>
      <c r="AJ1718" s="113">
        <f t="shared" si="48"/>
        <v>4228</v>
      </c>
      <c r="AK1718" s="113">
        <f t="shared" si="48"/>
        <v>15963</v>
      </c>
      <c r="AL1718" s="113">
        <f t="shared" si="48"/>
        <v>20427.843793893127</v>
      </c>
      <c r="AM1718" s="650">
        <f t="shared" si="39"/>
        <v>12260780.642987624</v>
      </c>
      <c r="AN1718" s="419"/>
      <c r="AO1718" s="285"/>
      <c r="AP1718" s="61"/>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3"/>
      <c r="CY1718" s="3"/>
      <c r="CZ1718" s="3"/>
      <c r="DA1718" s="3"/>
      <c r="DB1718" s="3"/>
      <c r="DC1718" s="3"/>
      <c r="DD1718" s="3"/>
      <c r="DE1718" s="3"/>
      <c r="DF1718" s="3"/>
      <c r="DG1718" s="3"/>
      <c r="DH1718" s="3"/>
      <c r="DI1718" s="3"/>
      <c r="DJ1718" s="3"/>
      <c r="DK1718" s="3"/>
      <c r="DL1718" s="3"/>
      <c r="DM1718" s="3"/>
      <c r="DN1718" s="3"/>
      <c r="DO1718" s="3"/>
      <c r="DP1718" s="3"/>
      <c r="DQ1718" s="3"/>
      <c r="DR1718" s="3"/>
      <c r="DS1718" s="3"/>
      <c r="DT1718" s="3"/>
      <c r="DU1718" s="3"/>
      <c r="DV1718" s="3"/>
      <c r="DW1718" s="3"/>
      <c r="DX1718" s="3"/>
      <c r="DY1718" s="3"/>
      <c r="DZ1718" s="3"/>
      <c r="EA1718" s="3"/>
      <c r="EB1718" s="3"/>
      <c r="EC1718" s="3"/>
      <c r="ED1718" s="3"/>
      <c r="EE1718" s="3"/>
      <c r="EF1718" s="3"/>
      <c r="EG1718" s="3"/>
      <c r="EH1718" s="3"/>
      <c r="EI1718" s="3"/>
      <c r="EJ1718" s="3"/>
      <c r="EK1718" s="3"/>
      <c r="EL1718" s="3"/>
      <c r="EM1718" s="3"/>
      <c r="EN1718" s="3"/>
      <c r="EO1718" s="3"/>
      <c r="EP1718" s="3"/>
      <c r="EQ1718" s="3"/>
      <c r="ER1718" s="3"/>
      <c r="ES1718" s="3"/>
      <c r="ET1718" s="3"/>
      <c r="EU1718" s="3"/>
      <c r="EV1718" s="3"/>
      <c r="EW1718" s="3"/>
      <c r="EX1718" s="3"/>
      <c r="EY1718" s="3"/>
      <c r="EZ1718" s="3"/>
      <c r="FA1718" s="3"/>
      <c r="FB1718" s="3"/>
      <c r="FC1718" s="3"/>
      <c r="FD1718" s="3"/>
      <c r="FE1718" s="3"/>
      <c r="FF1718" s="3"/>
      <c r="FG1718" s="3"/>
      <c r="FH1718" s="3"/>
      <c r="FI1718" s="3"/>
      <c r="FJ1718" s="3"/>
      <c r="FK1718" s="3"/>
      <c r="FL1718" s="3"/>
      <c r="FM1718" s="3"/>
      <c r="FN1718" s="3"/>
      <c r="FO1718" s="3"/>
      <c r="FP1718" s="3"/>
      <c r="FQ1718" s="3"/>
      <c r="FR1718" s="3"/>
      <c r="FS1718" s="3"/>
      <c r="FT1718" s="3"/>
      <c r="FU1718" s="3"/>
      <c r="FV1718" s="3"/>
      <c r="FW1718" s="3"/>
      <c r="FX1718" s="3"/>
      <c r="FY1718" s="3"/>
      <c r="FZ1718" s="3"/>
      <c r="GA1718" s="3"/>
      <c r="GB1718" s="3"/>
      <c r="GC1718" s="3"/>
      <c r="GD1718" s="3"/>
      <c r="GE1718" s="3"/>
      <c r="GF1718" s="3"/>
      <c r="GG1718" s="3"/>
      <c r="GH1718" s="3"/>
      <c r="GI1718" s="3"/>
      <c r="GJ1718" s="3"/>
      <c r="GK1718" s="3"/>
      <c r="GL1718" s="3"/>
      <c r="GM1718" s="3"/>
      <c r="GN1718" s="3"/>
      <c r="GO1718" s="3"/>
      <c r="GP1718" s="3"/>
      <c r="GQ1718" s="3"/>
      <c r="GR1718" s="3"/>
      <c r="GS1718" s="3"/>
      <c r="GT1718" s="3"/>
      <c r="GU1718" s="3"/>
      <c r="GV1718" s="3"/>
      <c r="GW1718" s="3"/>
      <c r="GX1718" s="3"/>
      <c r="GY1718" s="3"/>
      <c r="GZ1718" s="3"/>
      <c r="HA1718" s="3"/>
      <c r="HB1718" s="3"/>
      <c r="HC1718" s="3"/>
    </row>
    <row r="1719" spans="1:211" s="65" customFormat="1" ht="18.75" customHeight="1" x14ac:dyDescent="0.3">
      <c r="A1719" s="709"/>
      <c r="B1719" s="180" t="s">
        <v>361</v>
      </c>
      <c r="C1719" s="300">
        <f t="shared" ref="C1719:I1719" si="49">+SUMIF($B$11:$B$1714,"2006",C11:C1714)</f>
        <v>757386.0761699999</v>
      </c>
      <c r="D1719" s="173">
        <f t="shared" si="49"/>
        <v>26213.7</v>
      </c>
      <c r="E1719" s="173">
        <f t="shared" si="49"/>
        <v>225</v>
      </c>
      <c r="F1719" s="173">
        <f t="shared" si="49"/>
        <v>268583.77</v>
      </c>
      <c r="G1719" s="173">
        <f t="shared" si="49"/>
        <v>123768</v>
      </c>
      <c r="H1719" s="173">
        <f t="shared" si="49"/>
        <v>124129</v>
      </c>
      <c r="I1719" s="173">
        <f t="shared" si="49"/>
        <v>16161</v>
      </c>
      <c r="J1719" s="173">
        <f t="shared" si="36"/>
        <v>30</v>
      </c>
      <c r="K1719" s="173">
        <f t="shared" ref="K1719:P1719" si="50">+SUMIF($B$11:$B$1714,"2006",K11:K1714)</f>
        <v>27928</v>
      </c>
      <c r="L1719" s="173">
        <f t="shared" si="50"/>
        <v>162645</v>
      </c>
      <c r="M1719" s="173">
        <f t="shared" si="50"/>
        <v>4898.1899999999996</v>
      </c>
      <c r="N1719" s="173">
        <f t="shared" si="50"/>
        <v>443496.36000000004</v>
      </c>
      <c r="O1719" s="173">
        <f t="shared" si="50"/>
        <v>25857</v>
      </c>
      <c r="P1719" s="173">
        <f t="shared" si="50"/>
        <v>3979</v>
      </c>
      <c r="Q1719" s="173">
        <v>124845</v>
      </c>
      <c r="R1719" s="173">
        <f>+SUMIF($B$11:$B$1698,"2006",R11:R1714)</f>
        <v>33683</v>
      </c>
      <c r="S1719" s="173">
        <v>2799135</v>
      </c>
      <c r="T1719" s="327">
        <f t="shared" ref="T1719:AL1719" si="51">+SUMIF($B$11:$B$1714,"2006",T11:T1714)</f>
        <v>49706.016000000003</v>
      </c>
      <c r="U1719" s="634">
        <f t="shared" si="51"/>
        <v>295463.17800000013</v>
      </c>
      <c r="V1719" s="173">
        <f t="shared" si="51"/>
        <v>14514.735000000001</v>
      </c>
      <c r="W1719" s="173">
        <f t="shared" si="51"/>
        <v>79386</v>
      </c>
      <c r="X1719" s="173">
        <f t="shared" si="51"/>
        <v>63078</v>
      </c>
      <c r="Y1719" s="173">
        <f t="shared" si="51"/>
        <v>926256</v>
      </c>
      <c r="Z1719" s="173">
        <f t="shared" si="51"/>
        <v>2304679.9843800003</v>
      </c>
      <c r="AA1719" s="173">
        <f t="shared" si="51"/>
        <v>47818.545514999998</v>
      </c>
      <c r="AB1719" s="173">
        <f t="shared" si="51"/>
        <v>7252</v>
      </c>
      <c r="AC1719" s="173">
        <f t="shared" si="51"/>
        <v>97888.87999999999</v>
      </c>
      <c r="AD1719" s="173">
        <f t="shared" si="51"/>
        <v>386832</v>
      </c>
      <c r="AE1719" s="173">
        <f t="shared" si="51"/>
        <v>20149</v>
      </c>
      <c r="AF1719" s="173">
        <f t="shared" si="51"/>
        <v>2082</v>
      </c>
      <c r="AG1719" s="173">
        <f t="shared" si="51"/>
        <v>1257</v>
      </c>
      <c r="AH1719" s="173">
        <f t="shared" si="51"/>
        <v>2186900</v>
      </c>
      <c r="AI1719" s="173">
        <f t="shared" si="51"/>
        <v>930384</v>
      </c>
      <c r="AJ1719" s="173">
        <f t="shared" si="51"/>
        <v>4269</v>
      </c>
      <c r="AK1719" s="173">
        <f t="shared" si="51"/>
        <v>14825</v>
      </c>
      <c r="AL1719" s="173">
        <f t="shared" si="51"/>
        <v>18548.880165289258</v>
      </c>
      <c r="AM1719" s="651">
        <f t="shared" si="39"/>
        <v>12394253.315230293</v>
      </c>
      <c r="AN1719" s="419"/>
      <c r="AO1719" s="284"/>
      <c r="AP1719" s="61"/>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3"/>
      <c r="CY1719" s="3"/>
      <c r="CZ1719" s="3"/>
      <c r="DA1719" s="3"/>
      <c r="DB1719" s="3"/>
      <c r="DC1719" s="3"/>
      <c r="DD1719" s="3"/>
      <c r="DE1719" s="3"/>
      <c r="DF1719" s="3"/>
      <c r="DG1719" s="3"/>
      <c r="DH1719" s="3"/>
      <c r="DI1719" s="3"/>
      <c r="DJ1719" s="3"/>
      <c r="DK1719" s="3"/>
      <c r="DL1719" s="3"/>
      <c r="DM1719" s="3"/>
      <c r="DN1719" s="3"/>
      <c r="DO1719" s="3"/>
      <c r="DP1719" s="3"/>
      <c r="DQ1719" s="3"/>
      <c r="DR1719" s="3"/>
      <c r="DS1719" s="3"/>
      <c r="DT1719" s="3"/>
      <c r="DU1719" s="3"/>
      <c r="DV1719" s="3"/>
      <c r="DW1719" s="3"/>
      <c r="DX1719" s="3"/>
      <c r="DY1719" s="3"/>
      <c r="DZ1719" s="3"/>
      <c r="EA1719" s="3"/>
      <c r="EB1719" s="3"/>
      <c r="EC1719" s="3"/>
      <c r="ED1719" s="3"/>
      <c r="EE1719" s="3"/>
      <c r="EF1719" s="3"/>
      <c r="EG1719" s="3"/>
      <c r="EH1719" s="3"/>
      <c r="EI1719" s="3"/>
      <c r="EJ1719" s="3"/>
      <c r="EK1719" s="3"/>
      <c r="EL1719" s="3"/>
      <c r="EM1719" s="3"/>
      <c r="EN1719" s="3"/>
      <c r="EO1719" s="3"/>
      <c r="EP1719" s="3"/>
      <c r="EQ1719" s="3"/>
      <c r="ER1719" s="3"/>
      <c r="ES1719" s="3"/>
      <c r="ET1719" s="3"/>
      <c r="EU1719" s="3"/>
      <c r="EV1719" s="3"/>
      <c r="EW1719" s="3"/>
      <c r="EX1719" s="3"/>
      <c r="EY1719" s="3"/>
      <c r="EZ1719" s="3"/>
      <c r="FA1719" s="3"/>
      <c r="FB1719" s="3"/>
      <c r="FC1719" s="3"/>
      <c r="FD1719" s="3"/>
      <c r="FE1719" s="3"/>
      <c r="FF1719" s="3"/>
      <c r="FG1719" s="3"/>
      <c r="FH1719" s="3"/>
      <c r="FI1719" s="3"/>
      <c r="FJ1719" s="3"/>
      <c r="FK1719" s="3"/>
      <c r="FL1719" s="3"/>
      <c r="FM1719" s="3"/>
      <c r="FN1719" s="3"/>
      <c r="FO1719" s="3"/>
      <c r="FP1719" s="3"/>
      <c r="FQ1719" s="3"/>
      <c r="FR1719" s="3"/>
      <c r="FS1719" s="3"/>
      <c r="FT1719" s="3"/>
      <c r="FU1719" s="3"/>
      <c r="FV1719" s="3"/>
      <c r="FW1719" s="3"/>
      <c r="FX1719" s="3"/>
      <c r="FY1719" s="3"/>
      <c r="FZ1719" s="3"/>
      <c r="GA1719" s="3"/>
      <c r="GB1719" s="3"/>
      <c r="GC1719" s="3"/>
      <c r="GD1719" s="3"/>
      <c r="GE1719" s="3"/>
      <c r="GF1719" s="3"/>
      <c r="GG1719" s="3"/>
      <c r="GH1719" s="3"/>
      <c r="GI1719" s="3"/>
      <c r="GJ1719" s="3"/>
      <c r="GK1719" s="3"/>
      <c r="GL1719" s="3"/>
      <c r="GM1719" s="3"/>
      <c r="GN1719" s="3"/>
      <c r="GO1719" s="3"/>
      <c r="GP1719" s="3"/>
      <c r="GQ1719" s="3"/>
      <c r="GR1719" s="3"/>
      <c r="GS1719" s="3"/>
      <c r="GT1719" s="3"/>
      <c r="GU1719" s="3"/>
      <c r="GV1719" s="3"/>
      <c r="GW1719" s="3"/>
      <c r="GX1719" s="3"/>
      <c r="GY1719" s="3"/>
      <c r="GZ1719" s="3"/>
      <c r="HA1719" s="3"/>
      <c r="HB1719" s="3"/>
      <c r="HC1719" s="3"/>
    </row>
    <row r="1720" spans="1:211" s="65" customFormat="1" ht="18.75" x14ac:dyDescent="0.3">
      <c r="A1720" s="709"/>
      <c r="B1720" s="180" t="s">
        <v>362</v>
      </c>
      <c r="C1720" s="300">
        <f t="shared" ref="C1720:I1720" si="52">+SUMIF($B$11:$B$1714,"2007",C11:C1714)</f>
        <v>904621.71823999973</v>
      </c>
      <c r="D1720" s="173">
        <f t="shared" si="52"/>
        <v>11248.94</v>
      </c>
      <c r="E1720" s="173">
        <f t="shared" si="52"/>
        <v>327</v>
      </c>
      <c r="F1720" s="173">
        <f t="shared" si="52"/>
        <v>357734</v>
      </c>
      <c r="G1720" s="173">
        <f t="shared" si="52"/>
        <v>134220</v>
      </c>
      <c r="H1720" s="173">
        <f t="shared" si="52"/>
        <v>151360</v>
      </c>
      <c r="I1720" s="173">
        <f t="shared" si="52"/>
        <v>18280</v>
      </c>
      <c r="J1720" s="173">
        <f t="shared" si="36"/>
        <v>10</v>
      </c>
      <c r="K1720" s="173">
        <f t="shared" ref="K1720:P1720" si="53">+SUMIF($B$11:$B$1714,"2007",K11:K1714)</f>
        <v>37966</v>
      </c>
      <c r="L1720" s="173">
        <f t="shared" si="53"/>
        <v>188836</v>
      </c>
      <c r="M1720" s="173">
        <f t="shared" si="53"/>
        <v>3762.6548900000007</v>
      </c>
      <c r="N1720" s="173">
        <f t="shared" si="53"/>
        <v>585958.8679999999</v>
      </c>
      <c r="O1720" s="173">
        <f t="shared" si="53"/>
        <v>22336</v>
      </c>
      <c r="P1720" s="173">
        <f t="shared" si="53"/>
        <v>3574</v>
      </c>
      <c r="Q1720" s="173">
        <v>143886</v>
      </c>
      <c r="R1720" s="173">
        <f>+SUMIF($B$11:$B$1698,"2007",R11:R1714)</f>
        <v>36793</v>
      </c>
      <c r="S1720" s="173">
        <v>2930275</v>
      </c>
      <c r="T1720" s="327">
        <f t="shared" ref="T1720:AL1720" si="54">+SUMIF($B$11:$B$1714,"2007",T11:T1714)</f>
        <v>79271.8</v>
      </c>
      <c r="U1720" s="634">
        <f t="shared" si="54"/>
        <v>284963.26600000024</v>
      </c>
      <c r="V1720" s="173">
        <f t="shared" si="54"/>
        <v>18585.298999999999</v>
      </c>
      <c r="W1720" s="173">
        <f t="shared" si="54"/>
        <v>115801</v>
      </c>
      <c r="X1720" s="173">
        <f t="shared" si="54"/>
        <v>101369</v>
      </c>
      <c r="Y1720" s="173">
        <f t="shared" si="54"/>
        <v>1082634</v>
      </c>
      <c r="Z1720" s="173">
        <f t="shared" si="54"/>
        <v>2421141.9368499997</v>
      </c>
      <c r="AA1720" s="173">
        <f t="shared" si="54"/>
        <v>66961.715360000017</v>
      </c>
      <c r="AB1720" s="173">
        <f t="shared" si="54"/>
        <v>7808</v>
      </c>
      <c r="AC1720" s="173">
        <f t="shared" si="54"/>
        <v>177820</v>
      </c>
      <c r="AD1720" s="173">
        <f t="shared" si="54"/>
        <v>460726</v>
      </c>
      <c r="AE1720" s="173">
        <f t="shared" si="54"/>
        <v>23345</v>
      </c>
      <c r="AF1720" s="173">
        <f t="shared" si="54"/>
        <v>2642</v>
      </c>
      <c r="AG1720" s="173">
        <f t="shared" si="54"/>
        <v>1740</v>
      </c>
      <c r="AH1720" s="173">
        <f t="shared" si="54"/>
        <v>2353631</v>
      </c>
      <c r="AI1720" s="173">
        <f t="shared" si="54"/>
        <v>842819.99999999988</v>
      </c>
      <c r="AJ1720" s="173">
        <f t="shared" si="54"/>
        <v>8994</v>
      </c>
      <c r="AK1720" s="173">
        <f t="shared" si="54"/>
        <v>16168</v>
      </c>
      <c r="AL1720" s="173">
        <f t="shared" si="54"/>
        <v>22457.651821428568</v>
      </c>
      <c r="AM1720" s="652">
        <f t="shared" si="39"/>
        <v>13620068.850161428</v>
      </c>
      <c r="AN1720" s="419"/>
      <c r="AO1720" s="284"/>
      <c r="AP1720" s="61"/>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3"/>
      <c r="CY1720" s="3"/>
      <c r="CZ1720" s="3"/>
      <c r="DA1720" s="3"/>
      <c r="DB1720" s="3"/>
      <c r="DC1720" s="3"/>
      <c r="DD1720" s="3"/>
      <c r="DE1720" s="3"/>
      <c r="DF1720" s="3"/>
      <c r="DG1720" s="3"/>
      <c r="DH1720" s="3"/>
      <c r="DI1720" s="3"/>
      <c r="DJ1720" s="3"/>
      <c r="DK1720" s="3"/>
      <c r="DL1720" s="3"/>
      <c r="DM1720" s="3"/>
      <c r="DN1720" s="3"/>
      <c r="DO1720" s="3"/>
      <c r="DP1720" s="3"/>
      <c r="DQ1720" s="3"/>
      <c r="DR1720" s="3"/>
      <c r="DS1720" s="3"/>
      <c r="DT1720" s="3"/>
      <c r="DU1720" s="3"/>
      <c r="DV1720" s="3"/>
      <c r="DW1720" s="3"/>
      <c r="DX1720" s="3"/>
      <c r="DY1720" s="3"/>
      <c r="DZ1720" s="3"/>
      <c r="EA1720" s="3"/>
      <c r="EB1720" s="3"/>
      <c r="EC1720" s="3"/>
      <c r="ED1720" s="3"/>
      <c r="EE1720" s="3"/>
      <c r="EF1720" s="3"/>
      <c r="EG1720" s="3"/>
      <c r="EH1720" s="3"/>
      <c r="EI1720" s="3"/>
      <c r="EJ1720" s="3"/>
      <c r="EK1720" s="3"/>
      <c r="EL1720" s="3"/>
      <c r="EM1720" s="3"/>
      <c r="EN1720" s="3"/>
      <c r="EO1720" s="3"/>
      <c r="EP1720" s="3"/>
      <c r="EQ1720" s="3"/>
      <c r="ER1720" s="3"/>
      <c r="ES1720" s="3"/>
      <c r="ET1720" s="3"/>
      <c r="EU1720" s="3"/>
      <c r="EV1720" s="3"/>
      <c r="EW1720" s="3"/>
      <c r="EX1720" s="3"/>
      <c r="EY1720" s="3"/>
      <c r="EZ1720" s="3"/>
      <c r="FA1720" s="3"/>
      <c r="FB1720" s="3"/>
      <c r="FC1720" s="3"/>
      <c r="FD1720" s="3"/>
      <c r="FE1720" s="3"/>
      <c r="FF1720" s="3"/>
      <c r="FG1720" s="3"/>
      <c r="FH1720" s="3"/>
      <c r="FI1720" s="3"/>
      <c r="FJ1720" s="3"/>
      <c r="FK1720" s="3"/>
      <c r="FL1720" s="3"/>
      <c r="FM1720" s="3"/>
      <c r="FN1720" s="3"/>
      <c r="FO1720" s="3"/>
      <c r="FP1720" s="3"/>
      <c r="FQ1720" s="3"/>
      <c r="FR1720" s="3"/>
      <c r="FS1720" s="3"/>
      <c r="FT1720" s="3"/>
      <c r="FU1720" s="3"/>
      <c r="FV1720" s="3"/>
      <c r="FW1720" s="3"/>
      <c r="FX1720" s="3"/>
      <c r="FY1720" s="3"/>
      <c r="FZ1720" s="3"/>
      <c r="GA1720" s="3"/>
      <c r="GB1720" s="3"/>
      <c r="GC1720" s="3"/>
      <c r="GD1720" s="3"/>
      <c r="GE1720" s="3"/>
      <c r="GF1720" s="3"/>
      <c r="GG1720" s="3"/>
      <c r="GH1720" s="3"/>
      <c r="GI1720" s="3"/>
      <c r="GJ1720" s="3"/>
      <c r="GK1720" s="3"/>
      <c r="GL1720" s="3"/>
      <c r="GM1720" s="3"/>
      <c r="GN1720" s="3"/>
      <c r="GO1720" s="3"/>
      <c r="GP1720" s="3"/>
      <c r="GQ1720" s="3"/>
      <c r="GR1720" s="3"/>
      <c r="GS1720" s="3"/>
      <c r="GT1720" s="3"/>
      <c r="GU1720" s="3"/>
      <c r="GV1720" s="3"/>
      <c r="GW1720" s="3"/>
      <c r="GX1720" s="3"/>
      <c r="GY1720" s="3"/>
      <c r="GZ1720" s="3"/>
      <c r="HA1720" s="3"/>
      <c r="HB1720" s="3"/>
      <c r="HC1720" s="3"/>
    </row>
    <row r="1721" spans="1:211" s="61" customFormat="1" ht="18.75" x14ac:dyDescent="0.3">
      <c r="A1721" s="710"/>
      <c r="B1721" s="115" t="s">
        <v>402</v>
      </c>
      <c r="C1721" s="142">
        <f t="shared" ref="C1721:I1721" si="55">+SUMIF($B$11:$B$1714,"2008",C11:C1714)</f>
        <v>1140704.8182999997</v>
      </c>
      <c r="D1721" s="111">
        <f t="shared" si="55"/>
        <v>28234.896000000001</v>
      </c>
      <c r="E1721" s="111">
        <f t="shared" si="55"/>
        <v>497</v>
      </c>
      <c r="F1721" s="111">
        <f t="shared" si="55"/>
        <v>349312.30000000005</v>
      </c>
      <c r="G1721" s="111">
        <f t="shared" si="55"/>
        <v>43511</v>
      </c>
      <c r="H1721" s="111">
        <f t="shared" si="55"/>
        <v>120416</v>
      </c>
      <c r="I1721" s="111">
        <f t="shared" si="55"/>
        <v>0</v>
      </c>
      <c r="J1721" s="111">
        <f t="shared" si="36"/>
        <v>78</v>
      </c>
      <c r="K1721" s="111">
        <f t="shared" ref="K1721:P1721" si="56">+SUMIF($B$11:$B$1714,"2008",K11:K1714)</f>
        <v>48684</v>
      </c>
      <c r="L1721" s="111">
        <f t="shared" si="56"/>
        <v>181911</v>
      </c>
      <c r="M1721" s="111">
        <f t="shared" si="56"/>
        <v>4478.9010699999999</v>
      </c>
      <c r="N1721" s="111">
        <f t="shared" si="56"/>
        <v>0</v>
      </c>
      <c r="O1721" s="111">
        <f t="shared" si="56"/>
        <v>29639</v>
      </c>
      <c r="P1721" s="111">
        <f t="shared" si="56"/>
        <v>4456</v>
      </c>
      <c r="Q1721" s="111">
        <v>152906.54300000001</v>
      </c>
      <c r="R1721" s="111">
        <f>+SUMIF($B$11:$B$1698,"2008",R11:R1714)</f>
        <v>28476</v>
      </c>
      <c r="S1721" s="111">
        <f>+SUMIF($B$11:$B$1698,"2008",S11:S1714)</f>
        <v>2486041.9859829983</v>
      </c>
      <c r="T1721" s="143">
        <f t="shared" ref="T1721:AL1721" si="57">+SUMIF($B$11:$B$1714,"2008",T11:T1714)</f>
        <v>90610.79899999997</v>
      </c>
      <c r="U1721" s="142">
        <f t="shared" si="57"/>
        <v>243190.61700000009</v>
      </c>
      <c r="V1721" s="111">
        <f t="shared" si="57"/>
        <v>36704.177530000001</v>
      </c>
      <c r="W1721" s="111">
        <f t="shared" si="57"/>
        <v>140748</v>
      </c>
      <c r="X1721" s="111">
        <f t="shared" si="57"/>
        <v>96977</v>
      </c>
      <c r="Y1721" s="111">
        <f t="shared" si="57"/>
        <v>1350854.273</v>
      </c>
      <c r="Z1721" s="111">
        <f t="shared" si="57"/>
        <v>1727750</v>
      </c>
      <c r="AA1721" s="111">
        <f t="shared" si="57"/>
        <v>67635</v>
      </c>
      <c r="AB1721" s="111">
        <f t="shared" si="57"/>
        <v>9026.7500000000018</v>
      </c>
      <c r="AC1721" s="111">
        <f t="shared" si="57"/>
        <v>238262</v>
      </c>
      <c r="AD1721" s="111">
        <f t="shared" si="57"/>
        <v>543318</v>
      </c>
      <c r="AE1721" s="111">
        <f t="shared" si="57"/>
        <v>26138</v>
      </c>
      <c r="AF1721" s="111">
        <f t="shared" si="57"/>
        <v>2682.9711865808299</v>
      </c>
      <c r="AG1721" s="111">
        <f t="shared" si="57"/>
        <v>0</v>
      </c>
      <c r="AH1721" s="111">
        <f t="shared" si="57"/>
        <v>4467085.9390000002</v>
      </c>
      <c r="AI1721" s="111">
        <f t="shared" si="57"/>
        <v>754462</v>
      </c>
      <c r="AJ1721" s="111">
        <f t="shared" si="57"/>
        <v>7301</v>
      </c>
      <c r="AK1721" s="111">
        <f t="shared" si="57"/>
        <v>21359.879671832274</v>
      </c>
      <c r="AL1721" s="111">
        <f t="shared" si="57"/>
        <v>20544.931249999998</v>
      </c>
      <c r="AM1721" s="653">
        <f t="shared" si="39"/>
        <v>14463998.781991411</v>
      </c>
      <c r="AN1721" s="419"/>
      <c r="AO1721" s="287"/>
    </row>
    <row r="1722" spans="1:211" s="61" customFormat="1" ht="19.5" thickBot="1" x14ac:dyDescent="0.35">
      <c r="A1722" s="711"/>
      <c r="B1722" s="181" t="s">
        <v>403</v>
      </c>
      <c r="C1722" s="144">
        <f t="shared" ref="C1722:I1722" si="58">+SUMIF($B$11:$B$1714,"2009",C11:C1714)</f>
        <v>1061596.6941900002</v>
      </c>
      <c r="D1722" s="134">
        <f t="shared" si="58"/>
        <v>38266.275999999998</v>
      </c>
      <c r="E1722" s="134">
        <f t="shared" si="58"/>
        <v>566</v>
      </c>
      <c r="F1722" s="134">
        <f t="shared" si="58"/>
        <v>325823.30000000005</v>
      </c>
      <c r="G1722" s="134">
        <f t="shared" si="58"/>
        <v>88579</v>
      </c>
      <c r="H1722" s="134">
        <f t="shared" si="58"/>
        <v>114597.47145000001</v>
      </c>
      <c r="I1722" s="134">
        <f t="shared" si="58"/>
        <v>0</v>
      </c>
      <c r="J1722" s="134">
        <f t="shared" si="36"/>
        <v>78</v>
      </c>
      <c r="K1722" s="134">
        <f t="shared" ref="K1722:P1722" si="59">+SUMIF($B$11:$B$1714,"2009",K11:K1714)</f>
        <v>48572</v>
      </c>
      <c r="L1722" s="134">
        <f t="shared" si="59"/>
        <v>172483.39</v>
      </c>
      <c r="M1722" s="134">
        <f t="shared" si="59"/>
        <v>18262.097289999998</v>
      </c>
      <c r="N1722" s="134">
        <f t="shared" si="59"/>
        <v>0</v>
      </c>
      <c r="O1722" s="134">
        <f t="shared" si="59"/>
        <v>36816</v>
      </c>
      <c r="P1722" s="134">
        <f t="shared" si="59"/>
        <v>3645</v>
      </c>
      <c r="Q1722" s="134">
        <v>148199.57999999999</v>
      </c>
      <c r="R1722" s="134">
        <f>+SUMIF($B$11:$B$1698,"2009",R11:R1714)</f>
        <v>20562</v>
      </c>
      <c r="S1722" s="134">
        <f t="shared" ref="S1722:AL1722" si="60">+SUMIF($B$11:$B$1714,"2009",S11:S1714)</f>
        <v>2336735.9085339997</v>
      </c>
      <c r="T1722" s="332">
        <f t="shared" si="60"/>
        <v>72804.209999999992</v>
      </c>
      <c r="U1722" s="635">
        <f t="shared" si="60"/>
        <v>194571.14099999992</v>
      </c>
      <c r="V1722" s="134">
        <f t="shared" si="60"/>
        <v>33680.944730000003</v>
      </c>
      <c r="W1722" s="134">
        <f t="shared" si="60"/>
        <v>96595</v>
      </c>
      <c r="X1722" s="134">
        <f t="shared" si="60"/>
        <v>104600</v>
      </c>
      <c r="Y1722" s="134">
        <f t="shared" si="60"/>
        <v>1469773.5279999999</v>
      </c>
      <c r="Z1722" s="134">
        <f t="shared" si="60"/>
        <v>1624741</v>
      </c>
      <c r="AA1722" s="134">
        <f t="shared" si="60"/>
        <v>61435</v>
      </c>
      <c r="AB1722" s="134">
        <f t="shared" si="60"/>
        <v>9565.9799999999977</v>
      </c>
      <c r="AC1722" s="134">
        <f t="shared" si="60"/>
        <v>165330</v>
      </c>
      <c r="AD1722" s="134">
        <f t="shared" si="60"/>
        <v>651598</v>
      </c>
      <c r="AE1722" s="134">
        <f t="shared" si="60"/>
        <v>30068</v>
      </c>
      <c r="AF1722" s="134">
        <f t="shared" si="60"/>
        <v>3611.9433000432896</v>
      </c>
      <c r="AG1722" s="134">
        <f t="shared" si="60"/>
        <v>0</v>
      </c>
      <c r="AH1722" s="134">
        <f t="shared" si="60"/>
        <v>3450152.0539999995</v>
      </c>
      <c r="AI1722" s="134">
        <f t="shared" si="60"/>
        <v>754494</v>
      </c>
      <c r="AJ1722" s="134">
        <f t="shared" si="60"/>
        <v>9058</v>
      </c>
      <c r="AK1722" s="134">
        <f t="shared" si="60"/>
        <v>25958.737362637359</v>
      </c>
      <c r="AL1722" s="134">
        <f t="shared" si="60"/>
        <v>23315.7</v>
      </c>
      <c r="AM1722" s="654">
        <f t="shared" si="39"/>
        <v>13196135.955856681</v>
      </c>
      <c r="AN1722" s="419"/>
      <c r="AO1722" s="286"/>
    </row>
    <row r="1723" spans="1:211" ht="17.25" thickTop="1" x14ac:dyDescent="0.25">
      <c r="A1723" s="119" t="s">
        <v>99</v>
      </c>
      <c r="B1723" s="119"/>
      <c r="C1723" s="120"/>
      <c r="D1723" s="119"/>
      <c r="E1723" s="119"/>
      <c r="F1723" s="255"/>
      <c r="G1723" s="119"/>
      <c r="H1723" s="119"/>
      <c r="I1723" s="120"/>
      <c r="J1723" s="119"/>
      <c r="K1723" s="119"/>
      <c r="L1723" s="255"/>
      <c r="M1723" s="119"/>
      <c r="N1723" s="119"/>
      <c r="O1723" s="119"/>
      <c r="P1723" s="119"/>
      <c r="Q1723" s="119"/>
      <c r="R1723" s="119"/>
      <c r="S1723" s="119"/>
      <c r="T1723" s="119"/>
      <c r="U1723" s="119"/>
      <c r="V1723" s="119"/>
      <c r="W1723" s="119"/>
      <c r="X1723" s="119"/>
      <c r="Y1723" s="119"/>
      <c r="Z1723" s="119"/>
      <c r="AA1723" s="121"/>
      <c r="AB1723" s="119"/>
      <c r="AC1723" s="119"/>
      <c r="AD1723" s="119"/>
      <c r="AE1723" s="119"/>
      <c r="AF1723" s="119"/>
      <c r="AG1723" s="119"/>
      <c r="AH1723" s="255"/>
      <c r="AI1723" s="119"/>
      <c r="AJ1723" s="329"/>
      <c r="AK1723" s="119"/>
      <c r="AL1723" s="119"/>
      <c r="AM1723" s="636"/>
    </row>
    <row r="1724" spans="1:211" s="65" customFormat="1" ht="18.75" x14ac:dyDescent="0.3">
      <c r="A1724" s="152"/>
      <c r="B1724" s="152"/>
      <c r="C1724" s="152"/>
      <c r="D1724" s="152"/>
      <c r="E1724" s="152"/>
      <c r="F1724" s="256"/>
      <c r="G1724" s="152"/>
      <c r="H1724" s="152"/>
      <c r="I1724" s="152"/>
      <c r="J1724" s="152"/>
      <c r="K1724" s="152"/>
      <c r="L1724" s="256"/>
      <c r="M1724" s="152"/>
      <c r="N1724" s="152"/>
      <c r="O1724" s="152"/>
      <c r="P1724" s="152"/>
      <c r="Q1724" s="152"/>
      <c r="R1724" s="152"/>
      <c r="S1724" s="152"/>
      <c r="T1724" s="152"/>
      <c r="U1724" s="152"/>
      <c r="V1724" s="152"/>
      <c r="W1724" s="152"/>
      <c r="X1724" s="152"/>
      <c r="Y1724" s="152"/>
      <c r="Z1724" s="152"/>
      <c r="AA1724" s="152"/>
      <c r="AB1724" s="152"/>
      <c r="AC1724" s="152"/>
      <c r="AD1724" s="152"/>
      <c r="AE1724" s="152"/>
      <c r="AF1724" s="152"/>
      <c r="AG1724" s="152"/>
      <c r="AH1724" s="256"/>
      <c r="AI1724" s="152"/>
      <c r="AJ1724" s="152"/>
      <c r="AK1724" s="152"/>
      <c r="AL1724" s="152"/>
      <c r="AM1724" s="152"/>
    </row>
    <row r="1725" spans="1:211" s="65" customFormat="1" ht="18.75" x14ac:dyDescent="0.3">
      <c r="A1725" s="152"/>
      <c r="B1725" s="152"/>
      <c r="C1725" s="152"/>
      <c r="D1725" s="152"/>
      <c r="E1725" s="152"/>
      <c r="F1725" s="256"/>
      <c r="G1725" s="152"/>
      <c r="H1725" s="152"/>
      <c r="I1725" s="152"/>
      <c r="J1725" s="152"/>
      <c r="K1725" s="152"/>
      <c r="L1725" s="256"/>
      <c r="M1725" s="152"/>
      <c r="N1725" s="152"/>
      <c r="O1725" s="152"/>
      <c r="P1725" s="152"/>
      <c r="Q1725" s="152"/>
      <c r="R1725" s="152"/>
      <c r="S1725" s="152"/>
      <c r="T1725" s="152"/>
      <c r="U1725" s="152"/>
      <c r="V1725" s="152"/>
      <c r="W1725" s="152"/>
      <c r="X1725" s="152"/>
      <c r="Y1725" s="152"/>
      <c r="Z1725" s="152"/>
      <c r="AA1725" s="152"/>
      <c r="AB1725" s="152"/>
      <c r="AC1725" s="152"/>
      <c r="AD1725" s="152"/>
      <c r="AE1725" s="152"/>
      <c r="AF1725" s="152"/>
      <c r="AG1725" s="152"/>
      <c r="AH1725" s="256"/>
      <c r="AI1725" s="152"/>
      <c r="AJ1725" s="152"/>
      <c r="AK1725" s="152"/>
      <c r="AL1725" s="152"/>
      <c r="AM1725" s="152"/>
    </row>
    <row r="1726" spans="1:211" s="65" customFormat="1" ht="18.75" x14ac:dyDescent="0.3">
      <c r="A1726" s="152"/>
      <c r="B1726" s="152"/>
      <c r="C1726" s="152"/>
      <c r="D1726" s="152"/>
      <c r="E1726" s="152"/>
      <c r="F1726" s="256"/>
      <c r="G1726" s="152"/>
      <c r="H1726" s="152"/>
      <c r="I1726" s="152"/>
      <c r="J1726" s="152"/>
      <c r="K1726" s="152"/>
      <c r="L1726" s="256"/>
      <c r="M1726" s="152"/>
      <c r="N1726" s="152"/>
      <c r="O1726" s="152"/>
      <c r="P1726" s="152"/>
      <c r="Q1726" s="152"/>
      <c r="R1726" s="152"/>
      <c r="S1726" s="152"/>
      <c r="T1726" s="152"/>
      <c r="U1726" s="152"/>
      <c r="V1726" s="152"/>
      <c r="W1726" s="152"/>
      <c r="X1726" s="152"/>
      <c r="Y1726" s="152"/>
      <c r="Z1726" s="152"/>
      <c r="AA1726" s="152"/>
      <c r="AB1726" s="152"/>
      <c r="AC1726" s="152"/>
      <c r="AD1726" s="152"/>
      <c r="AE1726" s="152"/>
      <c r="AF1726" s="152"/>
      <c r="AG1726" s="152"/>
      <c r="AH1726" s="256"/>
      <c r="AI1726" s="152"/>
      <c r="AJ1726" s="152"/>
      <c r="AK1726" s="152"/>
      <c r="AL1726" s="152"/>
    </row>
    <row r="1727" spans="1:211" s="65" customFormat="1" ht="18.75" x14ac:dyDescent="0.3">
      <c r="A1727" s="152"/>
      <c r="B1727" s="152"/>
      <c r="C1727" s="152"/>
      <c r="D1727" s="152"/>
      <c r="E1727" s="152"/>
      <c r="F1727" s="256"/>
      <c r="G1727" s="152"/>
      <c r="H1727" s="152"/>
      <c r="I1727" s="152"/>
      <c r="J1727" s="152"/>
      <c r="K1727" s="152"/>
      <c r="L1727" s="256"/>
      <c r="M1727" s="152"/>
      <c r="N1727" s="152"/>
      <c r="O1727" s="152"/>
      <c r="P1727" s="152"/>
      <c r="Q1727" s="152"/>
      <c r="R1727" s="152"/>
      <c r="S1727" s="152"/>
      <c r="T1727" s="152"/>
      <c r="U1727" s="152"/>
      <c r="V1727" s="152"/>
      <c r="W1727" s="152"/>
      <c r="X1727" s="152"/>
      <c r="Y1727" s="152"/>
      <c r="Z1727" s="152"/>
      <c r="AA1727" s="152"/>
      <c r="AB1727" s="152"/>
      <c r="AC1727" s="152"/>
      <c r="AD1727" s="152"/>
      <c r="AE1727" s="152"/>
      <c r="AF1727" s="152"/>
      <c r="AG1727" s="152"/>
      <c r="AH1727" s="256"/>
      <c r="AI1727" s="152"/>
      <c r="AJ1727" s="152"/>
      <c r="AK1727" s="152"/>
      <c r="AL1727" s="152"/>
    </row>
    <row r="1728" spans="1:211" s="65" customFormat="1" ht="18.75" x14ac:dyDescent="0.3">
      <c r="A1728" s="152"/>
      <c r="B1728" s="152"/>
      <c r="C1728" s="152"/>
      <c r="D1728" s="152"/>
      <c r="E1728" s="152"/>
      <c r="F1728" s="256"/>
      <c r="G1728" s="152"/>
      <c r="H1728" s="152"/>
      <c r="I1728" s="152"/>
      <c r="J1728" s="152"/>
      <c r="K1728" s="152"/>
      <c r="L1728" s="256"/>
      <c r="M1728" s="152"/>
      <c r="N1728" s="152"/>
      <c r="O1728" s="152"/>
      <c r="P1728" s="152"/>
      <c r="Q1728" s="152"/>
      <c r="R1728" s="152"/>
      <c r="S1728" s="152"/>
      <c r="T1728" s="152"/>
      <c r="U1728" s="152"/>
      <c r="V1728" s="152"/>
      <c r="W1728" s="152"/>
      <c r="X1728" s="152"/>
      <c r="Y1728" s="152"/>
      <c r="Z1728" s="152"/>
      <c r="AA1728" s="152"/>
      <c r="AB1728" s="152"/>
      <c r="AC1728" s="152"/>
      <c r="AD1728" s="152"/>
      <c r="AE1728" s="152"/>
      <c r="AF1728" s="152"/>
      <c r="AG1728" s="152"/>
      <c r="AH1728" s="256"/>
      <c r="AI1728" s="152"/>
      <c r="AJ1728" s="152"/>
      <c r="AK1728" s="152"/>
      <c r="AL1728" s="152"/>
    </row>
    <row r="1729" spans="1:39" s="65" customFormat="1" ht="18.75" x14ac:dyDescent="0.3">
      <c r="A1729" s="152"/>
      <c r="B1729" s="152"/>
      <c r="C1729" s="152"/>
      <c r="D1729" s="152"/>
      <c r="E1729" s="152"/>
      <c r="F1729" s="256"/>
      <c r="G1729" s="152"/>
      <c r="H1729" s="152"/>
      <c r="I1729" s="152"/>
      <c r="J1729" s="152"/>
      <c r="K1729" s="152"/>
      <c r="L1729" s="256"/>
      <c r="M1729" s="152"/>
      <c r="N1729" s="152"/>
      <c r="O1729" s="152"/>
      <c r="P1729" s="152"/>
      <c r="Q1729" s="152"/>
      <c r="R1729" s="152"/>
      <c r="S1729" s="152"/>
      <c r="T1729" s="152"/>
      <c r="U1729" s="152"/>
      <c r="V1729" s="152"/>
      <c r="W1729" s="152"/>
      <c r="X1729" s="152"/>
      <c r="Y1729" s="152"/>
      <c r="Z1729" s="152"/>
      <c r="AA1729" s="152"/>
      <c r="AB1729" s="152"/>
      <c r="AC1729" s="152"/>
      <c r="AD1729" s="152"/>
      <c r="AE1729" s="152"/>
      <c r="AF1729" s="152"/>
      <c r="AG1729" s="152"/>
      <c r="AH1729" s="256"/>
      <c r="AI1729" s="152"/>
      <c r="AJ1729" s="152"/>
      <c r="AK1729" s="152"/>
      <c r="AL1729" s="152"/>
    </row>
    <row r="1730" spans="1:39" s="65" customFormat="1" ht="18.75" x14ac:dyDescent="0.3">
      <c r="A1730" s="152"/>
      <c r="B1730" s="152"/>
      <c r="C1730" s="152"/>
      <c r="D1730" s="152"/>
      <c r="E1730" s="152"/>
      <c r="F1730" s="256"/>
      <c r="G1730" s="152"/>
      <c r="H1730" s="152"/>
      <c r="I1730" s="152"/>
      <c r="J1730" s="152"/>
      <c r="K1730" s="152"/>
      <c r="L1730" s="256"/>
      <c r="M1730" s="152"/>
      <c r="N1730" s="152"/>
      <c r="O1730" s="152"/>
      <c r="P1730" s="152"/>
      <c r="Q1730" s="152"/>
      <c r="R1730" s="152"/>
      <c r="S1730" s="152"/>
      <c r="T1730" s="152"/>
      <c r="U1730" s="152"/>
      <c r="V1730" s="152"/>
      <c r="W1730" s="152"/>
      <c r="X1730" s="152"/>
      <c r="Y1730" s="152"/>
      <c r="Z1730" s="152"/>
      <c r="AA1730" s="152"/>
      <c r="AB1730" s="152"/>
      <c r="AC1730" s="152"/>
      <c r="AD1730" s="152"/>
      <c r="AE1730" s="152"/>
      <c r="AF1730" s="152"/>
      <c r="AG1730" s="152"/>
      <c r="AH1730" s="256"/>
      <c r="AI1730" s="152"/>
      <c r="AJ1730" s="152"/>
      <c r="AK1730" s="152"/>
      <c r="AL1730" s="152"/>
    </row>
    <row r="1731" spans="1:39" s="65" customFormat="1" ht="18.75" x14ac:dyDescent="0.3">
      <c r="A1731" s="152"/>
      <c r="B1731" s="152"/>
      <c r="C1731" s="152"/>
      <c r="D1731" s="152"/>
      <c r="E1731" s="152"/>
      <c r="F1731" s="256"/>
      <c r="G1731" s="152"/>
      <c r="H1731" s="152"/>
      <c r="I1731" s="152"/>
      <c r="J1731" s="152"/>
      <c r="K1731" s="152"/>
      <c r="L1731" s="256"/>
      <c r="M1731" s="152"/>
      <c r="N1731" s="152"/>
      <c r="O1731" s="152"/>
      <c r="P1731" s="152"/>
      <c r="Q1731" s="152"/>
      <c r="R1731" s="152"/>
      <c r="S1731" s="152"/>
      <c r="T1731" s="152"/>
      <c r="U1731" s="152"/>
      <c r="V1731" s="152"/>
      <c r="W1731" s="152"/>
      <c r="X1731" s="152"/>
      <c r="Y1731" s="152"/>
      <c r="Z1731" s="152"/>
      <c r="AA1731" s="152"/>
      <c r="AB1731" s="152"/>
      <c r="AC1731" s="152"/>
      <c r="AD1731" s="152"/>
      <c r="AE1731" s="152"/>
      <c r="AF1731" s="152"/>
      <c r="AG1731" s="152"/>
      <c r="AH1731" s="256"/>
      <c r="AI1731" s="152"/>
      <c r="AJ1731" s="152"/>
      <c r="AK1731" s="152"/>
      <c r="AL1731" s="152"/>
    </row>
    <row r="1732" spans="1:39" s="65" customFormat="1" ht="18.75" x14ac:dyDescent="0.3">
      <c r="A1732" s="152"/>
      <c r="B1732" s="152"/>
      <c r="C1732" s="152"/>
      <c r="D1732" s="152"/>
      <c r="E1732" s="152"/>
      <c r="F1732" s="256"/>
      <c r="G1732" s="152"/>
      <c r="H1732" s="152"/>
      <c r="I1732" s="152"/>
      <c r="J1732" s="152"/>
      <c r="K1732" s="152"/>
      <c r="L1732" s="256"/>
      <c r="M1732" s="152"/>
      <c r="N1732" s="152"/>
      <c r="O1732" s="152"/>
      <c r="P1732" s="152"/>
      <c r="Q1732" s="152"/>
      <c r="R1732" s="152"/>
      <c r="S1732" s="152"/>
      <c r="T1732" s="152"/>
      <c r="U1732" s="152"/>
      <c r="V1732" s="152"/>
      <c r="W1732" s="152"/>
      <c r="X1732" s="152"/>
      <c r="Y1732" s="152"/>
      <c r="Z1732" s="152"/>
      <c r="AA1732" s="152"/>
      <c r="AB1732" s="152"/>
      <c r="AC1732" s="152"/>
      <c r="AD1732" s="152"/>
      <c r="AE1732" s="152"/>
      <c r="AF1732" s="152"/>
      <c r="AG1732" s="152"/>
      <c r="AH1732" s="256"/>
      <c r="AI1732" s="152"/>
      <c r="AJ1732" s="152"/>
      <c r="AK1732" s="152"/>
      <c r="AL1732" s="152"/>
    </row>
    <row r="1733" spans="1:39" s="65" customFormat="1" ht="18.75" x14ac:dyDescent="0.3">
      <c r="A1733" s="152"/>
      <c r="B1733" s="152"/>
      <c r="C1733" s="152"/>
      <c r="D1733" s="152"/>
      <c r="E1733" s="152"/>
      <c r="F1733" s="256"/>
      <c r="G1733" s="152"/>
      <c r="H1733" s="152"/>
      <c r="I1733" s="152"/>
      <c r="J1733" s="152"/>
      <c r="K1733" s="152"/>
      <c r="L1733" s="256"/>
      <c r="M1733" s="152"/>
      <c r="N1733" s="152"/>
      <c r="O1733" s="152"/>
      <c r="P1733" s="152"/>
      <c r="Q1733" s="152"/>
      <c r="R1733" s="152"/>
      <c r="S1733" s="152"/>
      <c r="T1733" s="152"/>
      <c r="U1733" s="152"/>
      <c r="V1733" s="152"/>
      <c r="W1733" s="152"/>
      <c r="X1733" s="152"/>
      <c r="Y1733" s="152"/>
      <c r="Z1733" s="152"/>
      <c r="AA1733" s="152"/>
      <c r="AB1733" s="152"/>
      <c r="AC1733" s="152"/>
      <c r="AD1733" s="152"/>
      <c r="AE1733" s="152"/>
      <c r="AF1733" s="152"/>
      <c r="AG1733" s="152"/>
      <c r="AH1733" s="256"/>
      <c r="AI1733" s="152"/>
      <c r="AJ1733" s="152"/>
      <c r="AK1733" s="152"/>
      <c r="AL1733" s="152"/>
    </row>
    <row r="1734" spans="1:39" s="65" customFormat="1" ht="18.75" x14ac:dyDescent="0.3">
      <c r="A1734" s="152"/>
      <c r="B1734" s="152"/>
      <c r="C1734" s="152"/>
      <c r="D1734" s="152"/>
      <c r="E1734" s="152"/>
      <c r="F1734" s="256"/>
      <c r="G1734" s="152"/>
      <c r="H1734" s="152"/>
      <c r="I1734" s="152"/>
      <c r="J1734" s="152"/>
      <c r="K1734" s="152"/>
      <c r="L1734" s="256"/>
      <c r="M1734" s="152"/>
      <c r="N1734" s="152"/>
      <c r="O1734" s="152"/>
      <c r="P1734" s="152"/>
      <c r="Q1734" s="152"/>
      <c r="R1734" s="152"/>
      <c r="S1734" s="152"/>
      <c r="T1734" s="152"/>
      <c r="U1734" s="152"/>
      <c r="V1734" s="152"/>
      <c r="W1734" s="152"/>
      <c r="X1734" s="152"/>
      <c r="Y1734" s="152"/>
      <c r="Z1734" s="152"/>
      <c r="AA1734" s="152"/>
      <c r="AB1734" s="152"/>
      <c r="AC1734" s="152"/>
      <c r="AD1734" s="152"/>
      <c r="AE1734" s="152"/>
      <c r="AF1734" s="152"/>
      <c r="AG1734" s="152"/>
      <c r="AH1734" s="256"/>
      <c r="AI1734" s="152"/>
      <c r="AJ1734" s="152"/>
      <c r="AK1734" s="152"/>
      <c r="AL1734" s="152"/>
    </row>
    <row r="1735" spans="1:39" s="65" customFormat="1" ht="18.75" x14ac:dyDescent="0.3">
      <c r="A1735" s="152"/>
      <c r="B1735" s="152"/>
      <c r="C1735" s="152"/>
      <c r="D1735" s="152"/>
      <c r="E1735" s="152"/>
      <c r="F1735" s="256"/>
      <c r="G1735" s="152"/>
      <c r="H1735" s="152"/>
      <c r="I1735" s="152"/>
      <c r="J1735" s="152"/>
      <c r="K1735" s="152"/>
      <c r="L1735" s="256"/>
      <c r="M1735" s="152"/>
      <c r="N1735" s="152"/>
      <c r="O1735" s="152"/>
      <c r="P1735" s="152"/>
      <c r="Q1735" s="152"/>
      <c r="R1735" s="152"/>
      <c r="S1735" s="152"/>
      <c r="T1735" s="152"/>
      <c r="U1735" s="152"/>
      <c r="V1735" s="152"/>
      <c r="W1735" s="152"/>
      <c r="X1735" s="152"/>
      <c r="Y1735" s="152"/>
      <c r="Z1735" s="152"/>
      <c r="AA1735" s="152"/>
      <c r="AB1735" s="152"/>
      <c r="AC1735" s="152"/>
      <c r="AD1735" s="152"/>
      <c r="AE1735" s="152"/>
      <c r="AF1735" s="152"/>
      <c r="AG1735" s="152"/>
      <c r="AH1735" s="256"/>
      <c r="AI1735" s="152"/>
      <c r="AJ1735" s="152"/>
      <c r="AK1735" s="152"/>
      <c r="AL1735" s="152"/>
    </row>
    <row r="1736" spans="1:39" s="65" customFormat="1" ht="18.75" x14ac:dyDescent="0.3">
      <c r="A1736" s="152"/>
      <c r="B1736" s="152"/>
      <c r="C1736" s="152"/>
      <c r="D1736" s="152"/>
      <c r="E1736" s="152"/>
      <c r="F1736" s="256"/>
      <c r="G1736" s="152"/>
      <c r="H1736" s="152"/>
      <c r="I1736" s="152"/>
      <c r="J1736" s="152"/>
      <c r="K1736" s="152"/>
      <c r="L1736" s="256"/>
      <c r="M1736" s="152"/>
      <c r="N1736" s="152"/>
      <c r="O1736" s="152"/>
      <c r="P1736" s="152"/>
      <c r="Q1736" s="152"/>
      <c r="R1736" s="152"/>
      <c r="S1736" s="152"/>
      <c r="T1736" s="152"/>
      <c r="U1736" s="152"/>
      <c r="V1736" s="152"/>
      <c r="W1736" s="152"/>
      <c r="X1736" s="152"/>
      <c r="Y1736" s="152"/>
      <c r="Z1736" s="152"/>
      <c r="AA1736" s="152"/>
      <c r="AB1736" s="152"/>
      <c r="AC1736" s="152"/>
      <c r="AD1736" s="152"/>
      <c r="AE1736" s="152"/>
      <c r="AF1736" s="152"/>
      <c r="AG1736" s="152"/>
      <c r="AH1736" s="256"/>
      <c r="AI1736" s="152"/>
      <c r="AJ1736" s="152"/>
      <c r="AK1736" s="152"/>
      <c r="AL1736" s="152"/>
    </row>
    <row r="1737" spans="1:39" s="65" customFormat="1" ht="18.75" x14ac:dyDescent="0.3">
      <c r="A1737" s="152"/>
      <c r="B1737" s="152"/>
      <c r="C1737" s="152"/>
      <c r="D1737" s="152"/>
      <c r="E1737" s="152"/>
      <c r="F1737" s="256"/>
      <c r="G1737" s="152"/>
      <c r="H1737" s="152"/>
      <c r="I1737" s="152"/>
      <c r="J1737" s="152"/>
      <c r="K1737" s="152"/>
      <c r="L1737" s="256"/>
      <c r="M1737" s="152"/>
      <c r="N1737" s="152"/>
      <c r="O1737" s="152"/>
      <c r="P1737" s="152"/>
      <c r="Q1737" s="152"/>
      <c r="R1737" s="152"/>
      <c r="S1737" s="152"/>
      <c r="T1737" s="152"/>
      <c r="U1737" s="152"/>
      <c r="V1737" s="152"/>
      <c r="W1737" s="152"/>
      <c r="X1737" s="152"/>
      <c r="Y1737" s="152"/>
      <c r="Z1737" s="152"/>
      <c r="AA1737" s="152"/>
      <c r="AB1737" s="152"/>
      <c r="AC1737" s="152"/>
      <c r="AD1737" s="152"/>
      <c r="AE1737" s="152"/>
      <c r="AF1737" s="152"/>
      <c r="AG1737" s="152"/>
      <c r="AH1737" s="256"/>
      <c r="AI1737" s="152"/>
      <c r="AJ1737" s="152"/>
      <c r="AK1737" s="152"/>
      <c r="AL1737" s="152"/>
    </row>
    <row r="1738" spans="1:39" s="65" customFormat="1" ht="18.75" x14ac:dyDescent="0.3">
      <c r="A1738" s="152"/>
      <c r="B1738" s="152"/>
      <c r="C1738" s="152"/>
      <c r="D1738" s="152"/>
      <c r="E1738" s="152"/>
      <c r="F1738" s="256"/>
      <c r="G1738" s="152"/>
      <c r="H1738" s="152"/>
      <c r="I1738" s="152"/>
      <c r="J1738" s="152"/>
      <c r="K1738" s="152"/>
      <c r="L1738" s="256"/>
      <c r="M1738" s="152"/>
      <c r="N1738" s="152"/>
      <c r="O1738" s="152"/>
      <c r="P1738" s="152"/>
      <c r="Q1738" s="152"/>
      <c r="R1738" s="152"/>
      <c r="S1738" s="152"/>
      <c r="T1738" s="152"/>
      <c r="U1738" s="152"/>
      <c r="V1738" s="152"/>
      <c r="W1738" s="152"/>
      <c r="X1738" s="152"/>
      <c r="Y1738" s="152"/>
      <c r="Z1738" s="152"/>
      <c r="AA1738" s="152"/>
      <c r="AB1738" s="152"/>
      <c r="AC1738" s="152"/>
      <c r="AD1738" s="152"/>
      <c r="AE1738" s="152"/>
      <c r="AF1738" s="152"/>
      <c r="AG1738" s="152"/>
      <c r="AH1738" s="256"/>
      <c r="AI1738" s="152"/>
      <c r="AJ1738" s="152"/>
      <c r="AK1738" s="152"/>
      <c r="AL1738" s="152"/>
    </row>
    <row r="1739" spans="1:39" s="65" customFormat="1" ht="18.75" x14ac:dyDescent="0.3">
      <c r="A1739" s="152"/>
      <c r="B1739" s="152"/>
      <c r="C1739" s="152"/>
      <c r="D1739" s="152"/>
      <c r="E1739" s="152"/>
      <c r="F1739" s="256"/>
      <c r="G1739" s="152"/>
      <c r="H1739" s="152"/>
      <c r="I1739" s="152"/>
      <c r="J1739" s="152"/>
      <c r="K1739" s="152"/>
      <c r="L1739" s="256"/>
      <c r="M1739" s="152"/>
      <c r="N1739" s="152"/>
      <c r="O1739" s="152"/>
      <c r="P1739" s="152"/>
      <c r="Q1739" s="152"/>
      <c r="R1739" s="152"/>
      <c r="S1739" s="152"/>
      <c r="T1739" s="152"/>
      <c r="U1739" s="152"/>
      <c r="V1739" s="152"/>
      <c r="W1739" s="152"/>
      <c r="X1739" s="152"/>
      <c r="Y1739" s="152"/>
      <c r="Z1739" s="152"/>
      <c r="AA1739" s="152"/>
      <c r="AB1739" s="152"/>
      <c r="AC1739" s="152"/>
      <c r="AD1739" s="152"/>
      <c r="AE1739" s="152"/>
      <c r="AF1739" s="152"/>
      <c r="AG1739" s="152"/>
      <c r="AH1739" s="256"/>
      <c r="AI1739" s="152"/>
      <c r="AJ1739" s="152"/>
      <c r="AK1739" s="152"/>
      <c r="AL1739" s="152"/>
    </row>
    <row r="1740" spans="1:39" s="65" customFormat="1" ht="18.75" x14ac:dyDescent="0.3">
      <c r="A1740" s="152"/>
      <c r="B1740" s="152"/>
      <c r="C1740" s="152"/>
      <c r="D1740" s="152"/>
      <c r="E1740" s="152"/>
      <c r="F1740" s="256"/>
      <c r="G1740" s="152"/>
      <c r="H1740" s="152"/>
      <c r="I1740" s="152"/>
      <c r="J1740" s="152"/>
      <c r="K1740" s="152"/>
      <c r="L1740" s="256"/>
      <c r="M1740" s="152"/>
      <c r="N1740" s="152"/>
      <c r="O1740" s="152"/>
      <c r="P1740" s="152"/>
      <c r="Q1740" s="152"/>
      <c r="R1740" s="152"/>
      <c r="S1740" s="152"/>
      <c r="T1740" s="152"/>
      <c r="U1740" s="152"/>
      <c r="V1740" s="152"/>
      <c r="W1740" s="152"/>
      <c r="X1740" s="152"/>
      <c r="Y1740" s="152"/>
      <c r="Z1740" s="152"/>
      <c r="AA1740" s="152"/>
      <c r="AB1740" s="152"/>
      <c r="AC1740" s="152"/>
      <c r="AD1740" s="152"/>
      <c r="AE1740" s="152"/>
      <c r="AF1740" s="152"/>
      <c r="AG1740" s="152"/>
      <c r="AH1740" s="256"/>
      <c r="AI1740" s="152"/>
      <c r="AJ1740" s="152"/>
      <c r="AK1740" s="152"/>
      <c r="AL1740" s="152"/>
    </row>
    <row r="1741" spans="1:39" s="65" customFormat="1" ht="18.75" x14ac:dyDescent="0.3">
      <c r="A1741" s="152"/>
      <c r="B1741" s="152"/>
      <c r="C1741" s="152"/>
      <c r="D1741" s="152"/>
      <c r="E1741" s="152"/>
      <c r="F1741" s="256"/>
      <c r="G1741" s="152"/>
      <c r="H1741" s="152"/>
      <c r="I1741" s="152"/>
      <c r="J1741" s="152"/>
      <c r="K1741" s="152"/>
      <c r="L1741" s="256"/>
      <c r="M1741" s="152"/>
      <c r="N1741" s="152"/>
      <c r="O1741" s="152"/>
      <c r="P1741" s="152"/>
      <c r="Q1741" s="152"/>
      <c r="R1741" s="152"/>
      <c r="S1741" s="152"/>
      <c r="T1741" s="152"/>
      <c r="U1741" s="152"/>
      <c r="V1741" s="152"/>
      <c r="W1741" s="152"/>
      <c r="X1741" s="152"/>
      <c r="Y1741" s="152"/>
      <c r="Z1741" s="152"/>
      <c r="AA1741" s="152"/>
      <c r="AB1741" s="152"/>
      <c r="AC1741" s="152"/>
      <c r="AD1741" s="152"/>
      <c r="AE1741" s="152"/>
      <c r="AF1741" s="152"/>
      <c r="AG1741" s="152"/>
      <c r="AH1741" s="256"/>
      <c r="AI1741" s="152"/>
      <c r="AJ1741" s="152"/>
      <c r="AK1741" s="152"/>
      <c r="AL1741" s="152"/>
    </row>
    <row r="1742" spans="1:39" s="65" customFormat="1" ht="18.75" x14ac:dyDescent="0.3">
      <c r="A1742" s="152"/>
      <c r="B1742" s="152"/>
      <c r="C1742" s="152"/>
      <c r="D1742" s="152"/>
      <c r="E1742" s="152"/>
      <c r="F1742" s="256"/>
      <c r="G1742" s="152"/>
      <c r="H1742" s="152"/>
      <c r="I1742" s="152"/>
      <c r="J1742" s="152"/>
      <c r="K1742" s="152"/>
      <c r="L1742" s="256"/>
      <c r="M1742" s="152"/>
      <c r="N1742" s="152"/>
      <c r="O1742" s="152"/>
      <c r="P1742" s="152"/>
      <c r="Q1742" s="152"/>
      <c r="R1742" s="152"/>
      <c r="S1742" s="152"/>
      <c r="T1742" s="152"/>
      <c r="U1742" s="152"/>
      <c r="V1742" s="152"/>
      <c r="W1742" s="152"/>
      <c r="X1742" s="152"/>
      <c r="Y1742" s="152"/>
      <c r="Z1742" s="152"/>
      <c r="AA1742" s="152"/>
      <c r="AB1742" s="152"/>
      <c r="AC1742" s="152"/>
      <c r="AD1742" s="152"/>
      <c r="AE1742" s="152"/>
      <c r="AF1742" s="152"/>
      <c r="AG1742" s="152"/>
      <c r="AH1742" s="256"/>
      <c r="AI1742" s="152"/>
      <c r="AJ1742" s="152"/>
      <c r="AK1742" s="152"/>
      <c r="AL1742" s="152"/>
    </row>
    <row r="1743" spans="1:39" ht="18.75" x14ac:dyDescent="0.3">
      <c r="F1743" s="257"/>
      <c r="I1743" s="31"/>
      <c r="K1743" s="31"/>
      <c r="M1743" s="31"/>
      <c r="AG1743" s="152"/>
      <c r="AH1743" s="257"/>
      <c r="AM1743" s="3"/>
    </row>
    <row r="1744" spans="1:39" ht="18.75" x14ac:dyDescent="0.3">
      <c r="F1744" s="257"/>
      <c r="I1744" s="31"/>
      <c r="K1744" s="31"/>
      <c r="M1744" s="31"/>
      <c r="AG1744" s="152"/>
      <c r="AH1744" s="257"/>
      <c r="AM1744" s="3"/>
    </row>
    <row r="1745" spans="6:39" ht="18.75" x14ac:dyDescent="0.3">
      <c r="F1745" s="257"/>
      <c r="I1745" s="31"/>
      <c r="K1745" s="31"/>
      <c r="M1745" s="31"/>
      <c r="AG1745" s="152"/>
      <c r="AH1745" s="3"/>
      <c r="AM1745" s="3"/>
    </row>
    <row r="1746" spans="6:39" ht="18.75" x14ac:dyDescent="0.3">
      <c r="F1746" s="257"/>
      <c r="I1746" s="31"/>
      <c r="K1746" s="31"/>
      <c r="M1746" s="31"/>
      <c r="AG1746" s="152"/>
      <c r="AH1746" s="3"/>
      <c r="AM1746" s="3"/>
    </row>
  </sheetData>
  <protectedRanges>
    <protectedRange sqref="B11:B14 B1752:B1753 B17:B22 B25:B30 B33:B38 B41:B46 B49:B54 B57:B62 B65:B70 B73:B78 B81:B86 B89:B94 B97:B102 B105:B110 B113:B118 B121:B126 B129:B134 B137:B142 B145:B150 B153:B158 B161:B166 B185:B190 B193:B198 B201:B206 B209:B214 B225:B230 B233:B238 B241:B246 B249:B254 B257:B262 B265:B270 B273:B278 B281:B286 B289:B294 B297:B302 B305:B310 B313:B318 B321:B326 B1529:B1534 B337:B342 B345:B350 B217:B222 B369:B374 B377:B382 B385:B390 B393:B398 B401:B406 B409:B414 B417:B422 B433:B438 B441:B446 B449:B454 B457:B462 B465:B470 B473:B478 B481:B486 B489:B494 B497:B502 B505:B510 B1491:B1494 B513:B518 B521:B526 B529:B534 B537:B542 B545:B550 B553:B558 B561:B566 B569:B574 B577:B582 B585:B590 B593:B598 B601:B606 B609:B614 B617:B622 B625:B630 B633:B638 B641:B646 B649:B654 B657:B662 B665:B670 B673:B678 B681:B686 B689:B694 B697:B702 B705:B710 B713:B718 B721:B726 B729:B734 B737:B742 B745:B750 B753:B758 B761:B766 B769:B774 B777:B782 B785:B790 B801:B806 B809:B814 B817:B822 B825:B830 B833:B838 B841:B846 B849:B854 B857:B862 B865:B870 B873:B878 B881:B886 B889:B894 B897:B902 B905:B910 B913:B918 B921:B926 B929:B934 B937:B942 B945:B950 B953:B958 B961:B966 B969:B974 B977:B982 B985:B990 B993:B998 B1001:B1006 B1009:B1014 B1017:B1022 B1025:B1030 B1033:B1038 B1041:B1046 B1049:B1054 B1057:B1062 B1065:B1070 B1073:B1078 B1081:B1086 B1089:B1094 B1097:B1102 B1105:B1110 B1113:B1118 B1121:B1126 B1129:B1134 B1137:B1142 B1145:B1150 B1169:B1174 B1177:B1182 B1185:B1190 B1193:B1198 B1201:B1206 B1209:B1214 B1217:B1222 B1225:B1230 B1233:B1238 B1241:B1246 B1249:B1254 B1257:B1262 B1265:B1270 B1273:B1278 B1281:B1286 B1289:B1294 B1297:B1302 B1305:B1310 B1313:B1318 B1321:B1326 B1329:B1334 B1337:B1342 B1345:B1350 B1353:B1358 B1361:B1366 B1369:B1374 B1377:B1382 B1385:B1390 B1393:B1398 B1401:B1406 B1409:B1414 B1417:B1422 B1425:B1430 B1433:B1438 B1441:B1446 B1449:B1454 B1457:B1462 B1465:B1470 B1473:B1478 B1497:B1502 B1505:B1510 B793:B798 B1537:B1542 B1545:B1550 B1553:B1558 B1561:B1566 B1585:B1590 B1593:B1598 B1601:B1606 B1609:B1614 B1617:B1622 B1633:B1638 B1641:B1646 B1649:B1654 B1657:B1662 B1665:B1670 B1673:B1678 B1681:B1686 B1689:B1694 B1697:B1702 B1705:B1710 B1713:B1714 B1721:B1722 B169:B174 B177:B182 B1625:B1630 B1513:B1518 B1521:B1526 B425:B430 B329:B334 B1481:B1482 B353:B358 B361:B366 B1569:B1574 B1577:B1582 B1153:B1158 B1161:B1166" name="Range1_18_2"/>
    <protectedRange sqref="B1483:B1486 B1489:B1490" name="Range1_18_2_1"/>
  </protectedRanges>
  <mergeCells count="214">
    <mergeCell ref="A1467:A1474"/>
    <mergeCell ref="A1475:A1482"/>
    <mergeCell ref="A1339:A1346"/>
    <mergeCell ref="A1347:A1354"/>
    <mergeCell ref="A1355:A1362"/>
    <mergeCell ref="A1363:A1370"/>
    <mergeCell ref="A1371:A1378"/>
    <mergeCell ref="A1379:A1386"/>
    <mergeCell ref="A1523:A1530"/>
    <mergeCell ref="A1611:A1618"/>
    <mergeCell ref="A1619:A1626"/>
    <mergeCell ref="A1411:A1418"/>
    <mergeCell ref="A1419:A1426"/>
    <mergeCell ref="A1427:A1434"/>
    <mergeCell ref="A1435:A1442"/>
    <mergeCell ref="A1443:A1450"/>
    <mergeCell ref="A1451:A1458"/>
    <mergeCell ref="A1459:A1466"/>
    <mergeCell ref="A1659:A1666"/>
    <mergeCell ref="A1531:A1538"/>
    <mergeCell ref="A1539:A1546"/>
    <mergeCell ref="A1547:A1554"/>
    <mergeCell ref="A1555:A1562"/>
    <mergeCell ref="A1563:A1570"/>
    <mergeCell ref="A1579:A1586"/>
    <mergeCell ref="A1587:A1594"/>
    <mergeCell ref="A1595:A1602"/>
    <mergeCell ref="A1603:A1610"/>
    <mergeCell ref="A1323:A1330"/>
    <mergeCell ref="A1331:A1338"/>
    <mergeCell ref="A1627:A1634"/>
    <mergeCell ref="A1635:A1642"/>
    <mergeCell ref="A1643:A1650"/>
    <mergeCell ref="A1651:A1658"/>
    <mergeCell ref="A1571:A1578"/>
    <mergeCell ref="A1491:A1498"/>
    <mergeCell ref="A1499:A1506"/>
    <mergeCell ref="A1507:A1514"/>
    <mergeCell ref="A1387:A1394"/>
    <mergeCell ref="A1395:A1402"/>
    <mergeCell ref="A1403:A1410"/>
    <mergeCell ref="A1267:A1274"/>
    <mergeCell ref="A1275:A1282"/>
    <mergeCell ref="A1283:A1290"/>
    <mergeCell ref="A1291:A1298"/>
    <mergeCell ref="A1299:A1306"/>
    <mergeCell ref="A1307:A1314"/>
    <mergeCell ref="A1315:A1322"/>
    <mergeCell ref="A1227:A1234"/>
    <mergeCell ref="A1235:A1242"/>
    <mergeCell ref="A1243:A1250"/>
    <mergeCell ref="A1251:A1258"/>
    <mergeCell ref="A1259:A1266"/>
    <mergeCell ref="A1219:A1226"/>
    <mergeCell ref="A1171:A1178"/>
    <mergeCell ref="A1179:A1186"/>
    <mergeCell ref="A1187:A1194"/>
    <mergeCell ref="A1195:A1202"/>
    <mergeCell ref="A1203:A1210"/>
    <mergeCell ref="A1211:A1218"/>
    <mergeCell ref="A1115:A1122"/>
    <mergeCell ref="A1123:A1130"/>
    <mergeCell ref="A1131:A1138"/>
    <mergeCell ref="A1139:A1146"/>
    <mergeCell ref="A1147:A1154"/>
    <mergeCell ref="A1163:A1170"/>
    <mergeCell ref="A1155:A1162"/>
    <mergeCell ref="A1067:A1074"/>
    <mergeCell ref="A1075:A1082"/>
    <mergeCell ref="A1083:A1090"/>
    <mergeCell ref="A1091:A1098"/>
    <mergeCell ref="A1099:A1106"/>
    <mergeCell ref="A1107:A1114"/>
    <mergeCell ref="A1019:A1026"/>
    <mergeCell ref="A1027:A1034"/>
    <mergeCell ref="A1035:A1042"/>
    <mergeCell ref="A1043:A1050"/>
    <mergeCell ref="A1051:A1058"/>
    <mergeCell ref="A1059:A1066"/>
    <mergeCell ref="A971:A978"/>
    <mergeCell ref="A979:A986"/>
    <mergeCell ref="A987:A994"/>
    <mergeCell ref="A995:A1002"/>
    <mergeCell ref="A1003:A1010"/>
    <mergeCell ref="A1011:A1018"/>
    <mergeCell ref="A923:A930"/>
    <mergeCell ref="A931:A938"/>
    <mergeCell ref="A939:A946"/>
    <mergeCell ref="A947:A954"/>
    <mergeCell ref="A955:A962"/>
    <mergeCell ref="A963:A970"/>
    <mergeCell ref="A875:A882"/>
    <mergeCell ref="A883:A890"/>
    <mergeCell ref="A891:A898"/>
    <mergeCell ref="A899:A906"/>
    <mergeCell ref="A907:A914"/>
    <mergeCell ref="A915:A922"/>
    <mergeCell ref="A827:A834"/>
    <mergeCell ref="A835:A842"/>
    <mergeCell ref="A843:A850"/>
    <mergeCell ref="A851:A858"/>
    <mergeCell ref="A859:A866"/>
    <mergeCell ref="A867:A874"/>
    <mergeCell ref="A803:A810"/>
    <mergeCell ref="A811:A818"/>
    <mergeCell ref="A819:A826"/>
    <mergeCell ref="A691:A698"/>
    <mergeCell ref="A699:A706"/>
    <mergeCell ref="A707:A714"/>
    <mergeCell ref="A715:A722"/>
    <mergeCell ref="A723:A730"/>
    <mergeCell ref="A731:A738"/>
    <mergeCell ref="A739:A746"/>
    <mergeCell ref="A683:A690"/>
    <mergeCell ref="A763:A770"/>
    <mergeCell ref="A771:A778"/>
    <mergeCell ref="A779:A786"/>
    <mergeCell ref="A787:A794"/>
    <mergeCell ref="A795:A802"/>
    <mergeCell ref="A747:A754"/>
    <mergeCell ref="A755:A762"/>
    <mergeCell ref="A635:A642"/>
    <mergeCell ref="A643:A650"/>
    <mergeCell ref="A651:A658"/>
    <mergeCell ref="A659:A666"/>
    <mergeCell ref="A667:A674"/>
    <mergeCell ref="A675:A682"/>
    <mergeCell ref="A579:A586"/>
    <mergeCell ref="A587:A594"/>
    <mergeCell ref="A603:A610"/>
    <mergeCell ref="A611:A618"/>
    <mergeCell ref="A619:A626"/>
    <mergeCell ref="A627:A634"/>
    <mergeCell ref="A531:A538"/>
    <mergeCell ref="A539:A546"/>
    <mergeCell ref="A547:A554"/>
    <mergeCell ref="A555:A562"/>
    <mergeCell ref="A563:A570"/>
    <mergeCell ref="A571:A578"/>
    <mergeCell ref="A123:A130"/>
    <mergeCell ref="A99:A106"/>
    <mergeCell ref="A75:A82"/>
    <mergeCell ref="A307:A314"/>
    <mergeCell ref="A515:A522"/>
    <mergeCell ref="A523:A530"/>
    <mergeCell ref="A355:A362"/>
    <mergeCell ref="A459:A466"/>
    <mergeCell ref="A43:A50"/>
    <mergeCell ref="A155:A162"/>
    <mergeCell ref="A67:A74"/>
    <mergeCell ref="A107:A114"/>
    <mergeCell ref="A115:A122"/>
    <mergeCell ref="A131:A138"/>
    <mergeCell ref="A227:A234"/>
    <mergeCell ref="A235:A242"/>
    <mergeCell ref="A251:A258"/>
    <mergeCell ref="A11:A18"/>
    <mergeCell ref="A19:A26"/>
    <mergeCell ref="A27:A34"/>
    <mergeCell ref="A35:A42"/>
    <mergeCell ref="A83:A90"/>
    <mergeCell ref="A91:A98"/>
    <mergeCell ref="A59:A66"/>
    <mergeCell ref="A51:A58"/>
    <mergeCell ref="A1691:A1698"/>
    <mergeCell ref="A1683:A1690"/>
    <mergeCell ref="A595:A602"/>
    <mergeCell ref="A387:A394"/>
    <mergeCell ref="A1675:A1682"/>
    <mergeCell ref="A1667:A1674"/>
    <mergeCell ref="A419:A426"/>
    <mergeCell ref="A1515:A1522"/>
    <mergeCell ref="A427:A434"/>
    <mergeCell ref="A435:A442"/>
    <mergeCell ref="A1715:A1722"/>
    <mergeCell ref="A211:A218"/>
    <mergeCell ref="A219:A226"/>
    <mergeCell ref="A1707:A1714"/>
    <mergeCell ref="A371:A378"/>
    <mergeCell ref="A395:A402"/>
    <mergeCell ref="A403:A410"/>
    <mergeCell ref="A411:A418"/>
    <mergeCell ref="A283:A290"/>
    <mergeCell ref="A1699:A1706"/>
    <mergeCell ref="A179:A186"/>
    <mergeCell ref="A171:A178"/>
    <mergeCell ref="A467:A474"/>
    <mergeCell ref="A475:A482"/>
    <mergeCell ref="A483:A490"/>
    <mergeCell ref="A491:A498"/>
    <mergeCell ref="A363:A370"/>
    <mergeCell ref="A379:A386"/>
    <mergeCell ref="A347:A354"/>
    <mergeCell ref="A259:A266"/>
    <mergeCell ref="A139:A146"/>
    <mergeCell ref="A195:A202"/>
    <mergeCell ref="A203:A210"/>
    <mergeCell ref="A243:A250"/>
    <mergeCell ref="A147:A154"/>
    <mergeCell ref="A291:A298"/>
    <mergeCell ref="A267:A274"/>
    <mergeCell ref="A275:A282"/>
    <mergeCell ref="A187:A194"/>
    <mergeCell ref="A163:A170"/>
    <mergeCell ref="A1483:A1490"/>
    <mergeCell ref="A299:A306"/>
    <mergeCell ref="A315:A322"/>
    <mergeCell ref="A323:A330"/>
    <mergeCell ref="A331:A338"/>
    <mergeCell ref="A339:A346"/>
    <mergeCell ref="A499:A506"/>
    <mergeCell ref="A507:A514"/>
    <mergeCell ref="A443:A450"/>
    <mergeCell ref="A451:A458"/>
  </mergeCells>
  <phoneticPr fontId="0" type="noConversion"/>
  <printOptions horizontalCentered="1" verticalCentered="1"/>
  <pageMargins left="0.43307086614173229" right="0.15748031496062992" top="0.43307086614173229" bottom="0.43307086614173229" header="0.43307086614173229" footer="0.27559055118110237"/>
  <pageSetup paperSize="9" scale="43" firstPageNumber="12" fitToWidth="2" fitToHeight="40" pageOrder="overThenDown" orientation="landscape" useFirstPageNumber="1" r:id="rId1"/>
  <headerFooter alignWithMargins="0">
    <oddFooter>&amp;C&amp;16&amp;P</oddFooter>
  </headerFooter>
  <rowBreaks count="42" manualBreakCount="42">
    <brk id="50" max="16383" man="1"/>
    <brk id="90" max="16383" man="1"/>
    <brk id="130" max="16383" man="1"/>
    <brk id="170" max="16383" man="1"/>
    <brk id="210" max="38" man="1"/>
    <brk id="250" max="16383" man="1"/>
    <brk id="290" max="16383" man="1"/>
    <brk id="330" max="38" man="1"/>
    <brk id="370" max="38" man="1"/>
    <brk id="410" max="38" man="1"/>
    <brk id="450" max="38" man="1"/>
    <brk id="490" max="38" man="1"/>
    <brk id="530" max="38" man="1"/>
    <brk id="570" max="38" man="1"/>
    <brk id="610" max="38" man="1"/>
    <brk id="650" max="38" man="1"/>
    <brk id="690" max="38" man="1"/>
    <brk id="730" max="38" man="1"/>
    <brk id="770" max="38" man="1"/>
    <brk id="810" max="38" man="1"/>
    <brk id="850" max="38" man="1"/>
    <brk id="890" max="38" man="1"/>
    <brk id="930" max="38" man="1"/>
    <brk id="970" max="38" man="1"/>
    <brk id="1010" max="38" man="1"/>
    <brk id="1050" max="38" man="1"/>
    <brk id="1090" max="38" man="1"/>
    <brk id="1130" max="38" man="1"/>
    <brk id="1170" max="38" man="1"/>
    <brk id="1210" max="38" man="1"/>
    <brk id="1250" max="38" man="1"/>
    <brk id="1290" max="16383" man="1"/>
    <brk id="1330" max="16383" man="1"/>
    <brk id="1370" max="16383" man="1"/>
    <brk id="1410" max="16383" man="1"/>
    <brk id="1450" max="16383" man="1"/>
    <brk id="1490" max="16383" man="1"/>
    <brk id="1530" max="16383" man="1"/>
    <brk id="1570" max="16383" man="1"/>
    <brk id="1610" max="16383" man="1"/>
    <brk id="1650" max="16383" man="1"/>
    <brk id="1690" max="16383" man="1"/>
  </rowBreaks>
  <colBreaks count="1" manualBreakCount="1">
    <brk id="20" max="1048575" man="1"/>
  </colBreaks>
  <ignoredErrors>
    <ignoredError sqref="AM1625" formulaRange="1"/>
    <ignoredError sqref="B1626" numberStoredAsText="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topLeftCell="A10" zoomScale="85" zoomScaleNormal="85" workbookViewId="0">
      <selection activeCell="B18" sqref="B18"/>
    </sheetView>
  </sheetViews>
  <sheetFormatPr defaultRowHeight="12.75" x14ac:dyDescent="0.2"/>
  <cols>
    <col min="1" max="1" width="16.42578125" style="78" customWidth="1"/>
    <col min="2" max="2" width="87.7109375" style="78" customWidth="1"/>
    <col min="3" max="16384" width="9.140625" style="79"/>
  </cols>
  <sheetData>
    <row r="1" spans="1:2" x14ac:dyDescent="0.2">
      <c r="A1" s="717" t="s">
        <v>386</v>
      </c>
      <c r="B1" s="718"/>
    </row>
    <row r="2" spans="1:2" x14ac:dyDescent="0.2">
      <c r="A2" s="350"/>
      <c r="B2" s="350"/>
    </row>
    <row r="3" spans="1:2" s="167" customFormat="1" ht="69.75" customHeight="1" x14ac:dyDescent="0.2">
      <c r="A3" s="391" t="s">
        <v>95</v>
      </c>
      <c r="B3" s="418" t="s">
        <v>26</v>
      </c>
    </row>
    <row r="4" spans="1:2" s="167" customFormat="1" ht="19.5" customHeight="1" x14ac:dyDescent="0.2">
      <c r="A4" s="394" t="s">
        <v>379</v>
      </c>
      <c r="B4" s="394" t="s">
        <v>387</v>
      </c>
    </row>
    <row r="5" spans="1:2" ht="57" customHeight="1" x14ac:dyDescent="0.2">
      <c r="A5" s="394" t="s">
        <v>538</v>
      </c>
      <c r="B5" s="356" t="s">
        <v>427</v>
      </c>
    </row>
    <row r="6" spans="1:2" s="167" customFormat="1" ht="20.25" customHeight="1" x14ac:dyDescent="0.2">
      <c r="A6" s="394" t="s">
        <v>13</v>
      </c>
      <c r="B6" s="394" t="s">
        <v>371</v>
      </c>
    </row>
    <row r="7" spans="1:2" s="167" customFormat="1" ht="19.5" customHeight="1" x14ac:dyDescent="0.2">
      <c r="A7" s="201" t="s">
        <v>563</v>
      </c>
      <c r="B7" s="394" t="s">
        <v>391</v>
      </c>
    </row>
    <row r="8" spans="1:2" s="167" customFormat="1" ht="20.25" customHeight="1" x14ac:dyDescent="0.2">
      <c r="A8" s="201" t="s">
        <v>565</v>
      </c>
      <c r="B8" s="201" t="s">
        <v>389</v>
      </c>
    </row>
    <row r="9" spans="1:2" ht="56.25" customHeight="1" x14ac:dyDescent="0.2">
      <c r="A9" s="394" t="s">
        <v>568</v>
      </c>
      <c r="B9" s="356" t="s">
        <v>507</v>
      </c>
    </row>
    <row r="10" spans="1:2" s="167" customFormat="1" ht="30" customHeight="1" x14ac:dyDescent="0.2">
      <c r="A10" s="394" t="s">
        <v>570</v>
      </c>
      <c r="B10" s="394" t="s">
        <v>436</v>
      </c>
    </row>
    <row r="11" spans="1:2" s="167" customFormat="1" ht="44.25" customHeight="1" x14ac:dyDescent="0.2">
      <c r="A11" s="391" t="s">
        <v>574</v>
      </c>
      <c r="B11" s="356" t="s">
        <v>53</v>
      </c>
    </row>
    <row r="12" spans="1:2" s="167" customFormat="1" ht="56.25" customHeight="1" x14ac:dyDescent="0.2">
      <c r="A12" s="394" t="s">
        <v>575</v>
      </c>
      <c r="B12" s="394" t="s">
        <v>485</v>
      </c>
    </row>
    <row r="13" spans="1:2" s="167" customFormat="1" ht="20.25" customHeight="1" x14ac:dyDescent="0.2">
      <c r="A13" s="394" t="s">
        <v>579</v>
      </c>
      <c r="B13" s="201" t="s">
        <v>388</v>
      </c>
    </row>
    <row r="14" spans="1:2" s="167" customFormat="1" ht="18.75" customHeight="1" x14ac:dyDescent="0.2">
      <c r="A14" s="394" t="s">
        <v>580</v>
      </c>
      <c r="B14" s="391" t="s">
        <v>383</v>
      </c>
    </row>
    <row r="15" spans="1:2" s="167" customFormat="1" ht="45" customHeight="1" x14ac:dyDescent="0.2">
      <c r="A15" s="394" t="s">
        <v>582</v>
      </c>
      <c r="B15" s="394" t="s">
        <v>52</v>
      </c>
    </row>
    <row r="16" spans="1:2" s="167" customFormat="1" ht="30" customHeight="1" x14ac:dyDescent="0.2">
      <c r="A16" s="394" t="s">
        <v>584</v>
      </c>
      <c r="B16" s="356" t="s">
        <v>368</v>
      </c>
    </row>
    <row r="17" spans="1:3" s="167" customFormat="1" ht="30" customHeight="1" x14ac:dyDescent="0.2">
      <c r="A17" s="394" t="s">
        <v>586</v>
      </c>
      <c r="B17" s="356" t="s">
        <v>390</v>
      </c>
    </row>
    <row r="18" spans="1:3" s="167" customFormat="1" ht="30" customHeight="1" x14ac:dyDescent="0.2">
      <c r="A18" s="394" t="s">
        <v>588</v>
      </c>
      <c r="B18" s="356" t="s">
        <v>491</v>
      </c>
    </row>
    <row r="19" spans="1:3" s="167" customFormat="1" ht="30" customHeight="1" x14ac:dyDescent="0.2">
      <c r="A19" s="394" t="s">
        <v>590</v>
      </c>
      <c r="B19" s="356" t="s">
        <v>30</v>
      </c>
    </row>
    <row r="20" spans="1:3" s="167" customFormat="1" ht="20.25" customHeight="1" x14ac:dyDescent="0.2">
      <c r="A20" s="201" t="s">
        <v>592</v>
      </c>
      <c r="B20" s="200" t="s">
        <v>405</v>
      </c>
    </row>
    <row r="21" spans="1:3" ht="43.5" customHeight="1" x14ac:dyDescent="0.2">
      <c r="A21" s="394" t="s">
        <v>594</v>
      </c>
      <c r="B21" s="356" t="s">
        <v>467</v>
      </c>
    </row>
    <row r="22" spans="1:3" s="167" customFormat="1" ht="20.25" customHeight="1" x14ac:dyDescent="0.2">
      <c r="A22" s="391" t="s">
        <v>596</v>
      </c>
      <c r="B22" s="391" t="s">
        <v>12</v>
      </c>
      <c r="C22" s="84"/>
    </row>
    <row r="23" spans="1:3" s="167" customFormat="1" ht="30" customHeight="1" x14ac:dyDescent="0.2">
      <c r="A23" s="394" t="s">
        <v>784</v>
      </c>
      <c r="B23" s="356" t="s">
        <v>723</v>
      </c>
    </row>
    <row r="35" spans="1:2" x14ac:dyDescent="0.2">
      <c r="A35" s="84"/>
      <c r="B35" s="319"/>
    </row>
  </sheetData>
  <mergeCells count="1">
    <mergeCell ref="A1:B1"/>
  </mergeCells>
  <phoneticPr fontId="0" type="noConversion"/>
  <pageMargins left="0.74803149606299213" right="0.59055118110236227" top="0.82677165354330717" bottom="0.98425196850393704" header="0.51181102362204722" footer="0.51181102362204722"/>
  <pageSetup scale="75" firstPageNumber="98" orientation="portrait" useFirstPageNumber="1"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47"/>
  <sheetViews>
    <sheetView zoomScale="70" zoomScaleNormal="70" workbookViewId="0">
      <pane xSplit="2" ySplit="6" topLeftCell="Q11" activePane="bottomRight" state="frozen"/>
      <selection pane="topRight" activeCell="C1" sqref="C1"/>
      <selection pane="bottomLeft" activeCell="A11" sqref="A11"/>
      <selection pane="bottomRight" activeCell="V16" sqref="V16"/>
    </sheetView>
  </sheetViews>
  <sheetFormatPr defaultRowHeight="15" x14ac:dyDescent="0.2"/>
  <cols>
    <col min="1" max="1" width="27.140625" style="548" customWidth="1"/>
    <col min="3" max="36" width="12.5703125" customWidth="1"/>
    <col min="37" max="37" width="13" bestFit="1" customWidth="1"/>
  </cols>
  <sheetData>
    <row r="1" spans="1:37" s="3" customFormat="1" ht="26.25" x14ac:dyDescent="0.2">
      <c r="A1" s="546"/>
      <c r="B1" s="26"/>
      <c r="C1" s="557" t="s">
        <v>704</v>
      </c>
      <c r="D1" s="557"/>
      <c r="E1" s="557"/>
      <c r="F1" s="557"/>
      <c r="G1" s="557"/>
      <c r="H1" s="557"/>
      <c r="I1" s="557"/>
      <c r="J1" s="557"/>
      <c r="K1" s="557"/>
      <c r="L1" s="557"/>
      <c r="M1" s="557"/>
      <c r="N1" s="557"/>
      <c r="O1" s="557"/>
      <c r="P1" s="557"/>
      <c r="Q1" s="557"/>
      <c r="R1" s="557"/>
      <c r="S1" s="557"/>
      <c r="T1" s="557"/>
      <c r="U1" s="557" t="s">
        <v>705</v>
      </c>
      <c r="V1" s="557"/>
      <c r="W1" s="557"/>
      <c r="X1" s="557"/>
      <c r="Y1" s="557"/>
      <c r="Z1" s="557"/>
      <c r="AA1" s="557"/>
      <c r="AB1" s="557"/>
      <c r="AC1" s="569"/>
      <c r="AD1" s="557"/>
      <c r="AE1" s="557"/>
      <c r="AF1" s="557"/>
      <c r="AG1" s="557"/>
      <c r="AH1" s="557"/>
      <c r="AI1" s="557"/>
      <c r="AJ1" s="557"/>
      <c r="AK1" s="570"/>
    </row>
    <row r="2" spans="1:37" s="3" customFormat="1" ht="18.75" x14ac:dyDescent="0.2">
      <c r="A2" s="546"/>
      <c r="B2" s="26"/>
      <c r="C2" s="558" t="s">
        <v>288</v>
      </c>
      <c r="D2" s="558"/>
      <c r="E2" s="558"/>
      <c r="F2" s="558"/>
      <c r="G2" s="558"/>
      <c r="H2" s="558"/>
      <c r="I2" s="558"/>
      <c r="J2" s="558"/>
      <c r="K2" s="558"/>
      <c r="L2" s="558"/>
      <c r="M2" s="558"/>
      <c r="N2" s="558"/>
      <c r="O2" s="558"/>
      <c r="P2" s="558"/>
      <c r="Q2" s="558"/>
      <c r="R2" s="558"/>
      <c r="S2" s="558"/>
      <c r="T2" s="558"/>
      <c r="U2" s="558" t="s">
        <v>288</v>
      </c>
      <c r="V2" s="558"/>
      <c r="W2" s="558"/>
      <c r="X2" s="558"/>
      <c r="Y2" s="558"/>
      <c r="Z2" s="558"/>
      <c r="AA2" s="558"/>
      <c r="AB2" s="558"/>
      <c r="AC2" s="558"/>
      <c r="AD2" s="558"/>
      <c r="AE2" s="558"/>
      <c r="AF2" s="558"/>
      <c r="AG2" s="558"/>
      <c r="AH2" s="558"/>
      <c r="AI2" s="558"/>
      <c r="AJ2" s="558"/>
      <c r="AK2" s="558"/>
    </row>
    <row r="3" spans="1:37" s="3" customFormat="1" ht="16.5" thickBot="1" x14ac:dyDescent="0.3">
      <c r="A3" s="547"/>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3" customFormat="1" ht="19.5" thickTop="1" x14ac:dyDescent="0.3">
      <c r="A4" s="583"/>
      <c r="B4" s="584"/>
      <c r="C4" s="724"/>
      <c r="D4" s="724"/>
      <c r="E4" s="585"/>
      <c r="F4" s="585"/>
      <c r="G4" s="585"/>
      <c r="H4" s="585"/>
      <c r="I4" s="585"/>
      <c r="J4" s="585"/>
      <c r="K4" s="585"/>
      <c r="L4" s="585"/>
      <c r="M4" s="585"/>
      <c r="N4" s="585"/>
      <c r="O4" s="585"/>
      <c r="P4" s="585"/>
      <c r="Q4" s="585"/>
      <c r="R4" s="585"/>
      <c r="S4" s="585"/>
      <c r="T4" s="662"/>
      <c r="U4" s="585"/>
      <c r="V4" s="585"/>
      <c r="W4" s="585"/>
      <c r="X4" s="585"/>
      <c r="Y4" s="585"/>
      <c r="Z4" s="585"/>
      <c r="AA4" s="585"/>
      <c r="AB4" s="585"/>
      <c r="AC4" s="585"/>
      <c r="AD4" s="585"/>
      <c r="AE4" s="585"/>
      <c r="AF4" s="585"/>
      <c r="AG4" s="585"/>
      <c r="AH4" s="585"/>
      <c r="AI4" s="585"/>
      <c r="AJ4" s="585"/>
      <c r="AK4" s="571"/>
    </row>
    <row r="5" spans="1:37" s="65" customFormat="1" ht="38.25" thickBot="1" x14ac:dyDescent="0.35">
      <c r="A5" s="586"/>
      <c r="B5" s="545"/>
      <c r="C5" s="555" t="s">
        <v>84</v>
      </c>
      <c r="D5" s="544" t="s">
        <v>41</v>
      </c>
      <c r="E5" s="544" t="s">
        <v>87</v>
      </c>
      <c r="F5" s="544" t="s">
        <v>693</v>
      </c>
      <c r="G5" s="544" t="s">
        <v>89</v>
      </c>
      <c r="H5" s="544" t="s">
        <v>42</v>
      </c>
      <c r="I5" s="544" t="s">
        <v>315</v>
      </c>
      <c r="J5" s="544" t="s">
        <v>312</v>
      </c>
      <c r="K5" s="544" t="s">
        <v>86</v>
      </c>
      <c r="L5" s="544" t="s">
        <v>94</v>
      </c>
      <c r="M5" s="544" t="s">
        <v>58</v>
      </c>
      <c r="N5" s="544" t="s">
        <v>297</v>
      </c>
      <c r="O5" s="544" t="s">
        <v>92</v>
      </c>
      <c r="P5" s="544" t="s">
        <v>317</v>
      </c>
      <c r="Q5" s="544" t="s">
        <v>318</v>
      </c>
      <c r="R5" s="544" t="s">
        <v>296</v>
      </c>
      <c r="S5" s="544" t="s">
        <v>316</v>
      </c>
      <c r="T5" s="663" t="s">
        <v>88</v>
      </c>
      <c r="U5" s="544" t="s">
        <v>319</v>
      </c>
      <c r="V5" s="544" t="s">
        <v>692</v>
      </c>
      <c r="W5" s="555" t="s">
        <v>695</v>
      </c>
      <c r="X5" s="544" t="s">
        <v>311</v>
      </c>
      <c r="Y5" s="544" t="s">
        <v>691</v>
      </c>
      <c r="Z5" s="544" t="s">
        <v>100</v>
      </c>
      <c r="AA5" s="544" t="s">
        <v>314</v>
      </c>
      <c r="AB5" s="544" t="s">
        <v>61</v>
      </c>
      <c r="AC5" s="544" t="s">
        <v>313</v>
      </c>
      <c r="AD5" s="544" t="s">
        <v>298</v>
      </c>
      <c r="AE5" s="544" t="s">
        <v>320</v>
      </c>
      <c r="AF5" s="544" t="s">
        <v>310</v>
      </c>
      <c r="AG5" s="544" t="s">
        <v>90</v>
      </c>
      <c r="AH5" s="544" t="s">
        <v>96</v>
      </c>
      <c r="AI5" s="544" t="s">
        <v>93</v>
      </c>
      <c r="AJ5" s="544" t="s">
        <v>493</v>
      </c>
      <c r="AK5" s="587" t="s">
        <v>97</v>
      </c>
    </row>
    <row r="6" spans="1:37" s="61" customFormat="1" ht="19.5" thickTop="1" x14ac:dyDescent="0.3">
      <c r="A6" s="588"/>
      <c r="B6" s="589"/>
      <c r="C6" s="590"/>
      <c r="D6" s="590"/>
      <c r="E6" s="590"/>
      <c r="F6" s="590"/>
      <c r="G6" s="590"/>
      <c r="H6" s="590"/>
      <c r="I6" s="590"/>
      <c r="J6" s="590"/>
      <c r="K6" s="590"/>
      <c r="L6" s="590"/>
      <c r="M6" s="590"/>
      <c r="N6" s="590"/>
      <c r="O6" s="590"/>
      <c r="P6" s="590"/>
      <c r="Q6" s="590"/>
      <c r="R6" s="590"/>
      <c r="S6" s="590"/>
      <c r="T6" s="664"/>
      <c r="U6" s="590"/>
      <c r="V6" s="590"/>
      <c r="W6" s="590"/>
      <c r="X6" s="590"/>
      <c r="Y6" s="590"/>
      <c r="Z6" s="590"/>
      <c r="AA6" s="590"/>
      <c r="AB6" s="590"/>
      <c r="AC6" s="590"/>
      <c r="AD6" s="590"/>
      <c r="AE6" s="590"/>
      <c r="AF6" s="590"/>
      <c r="AG6" s="590"/>
      <c r="AH6" s="590"/>
      <c r="AI6" s="590"/>
      <c r="AJ6" s="590"/>
      <c r="AK6" s="591"/>
    </row>
    <row r="7" spans="1:37" s="61" customFormat="1" ht="18.75" customHeight="1" x14ac:dyDescent="0.3">
      <c r="A7" s="719" t="s">
        <v>700</v>
      </c>
      <c r="B7" s="551" t="s">
        <v>293</v>
      </c>
      <c r="C7" s="552">
        <v>16151</v>
      </c>
      <c r="D7" s="552"/>
      <c r="E7" s="552">
        <v>17267.863000000001</v>
      </c>
      <c r="F7" s="552">
        <v>0</v>
      </c>
      <c r="G7" s="552">
        <v>85</v>
      </c>
      <c r="H7" s="552">
        <v>236</v>
      </c>
      <c r="I7" s="552">
        <v>1088</v>
      </c>
      <c r="J7" s="552"/>
      <c r="K7" s="552">
        <v>623</v>
      </c>
      <c r="L7" s="552">
        <v>362</v>
      </c>
      <c r="M7" s="552">
        <v>8616</v>
      </c>
      <c r="N7" s="552">
        <v>0</v>
      </c>
      <c r="O7" s="552">
        <v>0</v>
      </c>
      <c r="P7" s="552">
        <v>404</v>
      </c>
      <c r="Q7" s="552">
        <v>929</v>
      </c>
      <c r="R7" s="552">
        <v>66886</v>
      </c>
      <c r="S7" s="552">
        <v>348.2</v>
      </c>
      <c r="T7" s="563">
        <v>4103</v>
      </c>
      <c r="U7" s="655">
        <v>0</v>
      </c>
      <c r="V7" s="552">
        <v>4527</v>
      </c>
      <c r="W7" s="552">
        <v>5662.5910000000003</v>
      </c>
      <c r="X7" s="552">
        <v>65720</v>
      </c>
      <c r="Y7" s="552">
        <v>32548</v>
      </c>
      <c r="Z7" s="552">
        <v>127</v>
      </c>
      <c r="AA7" s="552">
        <v>100</v>
      </c>
      <c r="AB7" s="552">
        <v>3649</v>
      </c>
      <c r="AC7" s="552">
        <v>82583</v>
      </c>
      <c r="AD7" s="552">
        <v>29</v>
      </c>
      <c r="AE7" s="552">
        <v>642.38785800000005</v>
      </c>
      <c r="AF7" s="552">
        <v>177326.41699999999</v>
      </c>
      <c r="AG7" s="552">
        <v>11429.48</v>
      </c>
      <c r="AH7" s="552"/>
      <c r="AI7" s="552">
        <v>130</v>
      </c>
      <c r="AJ7" s="552"/>
      <c r="AK7" s="592">
        <f t="shared" ref="AK7:AK46" si="0">SUM(C7:AJ7)</f>
        <v>501572.93885799998</v>
      </c>
    </row>
    <row r="8" spans="1:37" s="61" customFormat="1" ht="18.75" customHeight="1" x14ac:dyDescent="0.3">
      <c r="A8" s="720"/>
      <c r="B8" s="551" t="s">
        <v>294</v>
      </c>
      <c r="C8" s="552">
        <v>10945</v>
      </c>
      <c r="D8" s="552"/>
      <c r="E8" s="552">
        <v>21585.738000000001</v>
      </c>
      <c r="F8" s="552">
        <v>0</v>
      </c>
      <c r="G8" s="552">
        <v>1255</v>
      </c>
      <c r="H8" s="552">
        <v>234</v>
      </c>
      <c r="I8" s="552">
        <v>551</v>
      </c>
      <c r="J8" s="552"/>
      <c r="K8" s="552">
        <v>563</v>
      </c>
      <c r="L8" s="552">
        <v>446</v>
      </c>
      <c r="M8" s="552">
        <v>23784</v>
      </c>
      <c r="N8" s="552">
        <v>0</v>
      </c>
      <c r="O8" s="552">
        <v>2024</v>
      </c>
      <c r="P8" s="552">
        <v>238</v>
      </c>
      <c r="Q8" s="552">
        <v>1080</v>
      </c>
      <c r="R8" s="552">
        <v>97800</v>
      </c>
      <c r="S8" s="552">
        <v>15.7</v>
      </c>
      <c r="T8" s="567">
        <v>2950</v>
      </c>
      <c r="U8" s="656">
        <v>0</v>
      </c>
      <c r="V8" s="552">
        <v>10418</v>
      </c>
      <c r="W8" s="552">
        <v>0</v>
      </c>
      <c r="X8" s="552">
        <v>71132</v>
      </c>
      <c r="Y8" s="552">
        <v>40550</v>
      </c>
      <c r="Z8" s="552">
        <v>4023.1</v>
      </c>
      <c r="AA8" s="552">
        <v>424</v>
      </c>
      <c r="AB8" s="552">
        <v>1092</v>
      </c>
      <c r="AC8" s="552">
        <v>84098</v>
      </c>
      <c r="AD8" s="552">
        <v>313</v>
      </c>
      <c r="AE8" s="552">
        <v>373.06367041198502</v>
      </c>
      <c r="AF8" s="552">
        <v>200874.45</v>
      </c>
      <c r="AG8" s="552">
        <v>12092.227000000001</v>
      </c>
      <c r="AH8" s="552"/>
      <c r="AI8" s="552">
        <v>9</v>
      </c>
      <c r="AJ8" s="552">
        <v>629.35384615384612</v>
      </c>
      <c r="AK8" s="592">
        <f t="shared" si="0"/>
        <v>589499.63251656585</v>
      </c>
    </row>
    <row r="9" spans="1:37" s="61" customFormat="1" ht="18.75" customHeight="1" x14ac:dyDescent="0.3">
      <c r="A9" s="720"/>
      <c r="B9" s="559" t="s">
        <v>326</v>
      </c>
      <c r="C9" s="560">
        <v>36945</v>
      </c>
      <c r="D9" s="560"/>
      <c r="E9" s="560">
        <v>48846.686000000002</v>
      </c>
      <c r="F9" s="560">
        <v>3094</v>
      </c>
      <c r="G9" s="560">
        <v>0</v>
      </c>
      <c r="H9" s="560">
        <v>123</v>
      </c>
      <c r="I9" s="560">
        <v>1071</v>
      </c>
      <c r="J9" s="560">
        <v>10512</v>
      </c>
      <c r="K9" s="560">
        <v>3206</v>
      </c>
      <c r="L9" s="560">
        <v>351.7</v>
      </c>
      <c r="M9" s="560">
        <v>26863</v>
      </c>
      <c r="N9" s="560">
        <v>2502</v>
      </c>
      <c r="O9" s="560">
        <v>0</v>
      </c>
      <c r="P9" s="560">
        <v>203</v>
      </c>
      <c r="Q9" s="560">
        <v>73</v>
      </c>
      <c r="R9" s="560">
        <v>245161</v>
      </c>
      <c r="S9" s="560">
        <v>1137</v>
      </c>
      <c r="T9" s="565">
        <v>6098</v>
      </c>
      <c r="U9" s="657">
        <v>923</v>
      </c>
      <c r="V9" s="560">
        <v>8125</v>
      </c>
      <c r="W9" s="560">
        <v>3923.453</v>
      </c>
      <c r="X9" s="560">
        <v>80520</v>
      </c>
      <c r="Y9" s="560">
        <v>66910</v>
      </c>
      <c r="Z9" s="560">
        <v>4567</v>
      </c>
      <c r="AA9" s="560">
        <v>850</v>
      </c>
      <c r="AB9" s="560">
        <v>2931</v>
      </c>
      <c r="AC9" s="560">
        <v>103958</v>
      </c>
      <c r="AD9" s="560">
        <v>33</v>
      </c>
      <c r="AE9" s="560">
        <v>76.141248303934873</v>
      </c>
      <c r="AF9" s="560">
        <v>200500.745</v>
      </c>
      <c r="AG9" s="560">
        <v>33271.843000000001</v>
      </c>
      <c r="AH9" s="560"/>
      <c r="AI9" s="560">
        <v>12</v>
      </c>
      <c r="AJ9" s="560">
        <v>0</v>
      </c>
      <c r="AK9" s="593">
        <f t="shared" si="0"/>
        <v>892787.56824830384</v>
      </c>
    </row>
    <row r="10" spans="1:37" s="61" customFormat="1" ht="18.75" customHeight="1" x14ac:dyDescent="0.3">
      <c r="A10" s="720"/>
      <c r="B10" s="561" t="s">
        <v>327</v>
      </c>
      <c r="C10" s="562">
        <v>57315</v>
      </c>
      <c r="D10" s="562"/>
      <c r="E10" s="562">
        <v>37576.868999999999</v>
      </c>
      <c r="F10" s="562">
        <v>4213</v>
      </c>
      <c r="G10" s="562">
        <v>319</v>
      </c>
      <c r="H10" s="562">
        <v>285</v>
      </c>
      <c r="I10" s="562">
        <v>14</v>
      </c>
      <c r="J10" s="562"/>
      <c r="K10" s="562">
        <v>4416</v>
      </c>
      <c r="L10" s="562">
        <v>2563.34</v>
      </c>
      <c r="M10" s="562">
        <v>64906</v>
      </c>
      <c r="N10" s="562">
        <v>3358</v>
      </c>
      <c r="O10" s="562">
        <v>1216</v>
      </c>
      <c r="P10" s="562">
        <v>546</v>
      </c>
      <c r="Q10" s="562">
        <v>381</v>
      </c>
      <c r="R10" s="562">
        <v>440766</v>
      </c>
      <c r="S10" s="562">
        <v>2094.9</v>
      </c>
      <c r="T10" s="566">
        <v>3420</v>
      </c>
      <c r="U10" s="658">
        <v>571</v>
      </c>
      <c r="V10" s="562">
        <v>17097</v>
      </c>
      <c r="W10" s="562">
        <v>3252.5619999999999</v>
      </c>
      <c r="X10" s="562">
        <v>86130</v>
      </c>
      <c r="Y10" s="562">
        <v>72506</v>
      </c>
      <c r="Z10" s="562">
        <v>7746</v>
      </c>
      <c r="AA10" s="562">
        <v>1550</v>
      </c>
      <c r="AB10" s="562">
        <v>13983</v>
      </c>
      <c r="AC10" s="562">
        <v>140530</v>
      </c>
      <c r="AD10" s="562">
        <v>266</v>
      </c>
      <c r="AE10" s="562"/>
      <c r="AF10" s="562">
        <v>263940.27399999998</v>
      </c>
      <c r="AG10" s="562">
        <v>82710.675000000003</v>
      </c>
      <c r="AH10" s="562"/>
      <c r="AI10" s="562">
        <v>883</v>
      </c>
      <c r="AJ10" s="562">
        <v>158.49618320610685</v>
      </c>
      <c r="AK10" s="594">
        <f t="shared" si="0"/>
        <v>1314714.1161832062</v>
      </c>
    </row>
    <row r="11" spans="1:37" s="61" customFormat="1" ht="18.75" customHeight="1" x14ac:dyDescent="0.3">
      <c r="A11" s="720"/>
      <c r="B11" s="551" t="s">
        <v>361</v>
      </c>
      <c r="C11" s="552">
        <v>36308</v>
      </c>
      <c r="D11" s="552"/>
      <c r="E11" s="552">
        <v>52517.525999999998</v>
      </c>
      <c r="F11" s="552">
        <v>18</v>
      </c>
      <c r="G11" s="552">
        <v>314</v>
      </c>
      <c r="H11" s="552">
        <v>244</v>
      </c>
      <c r="I11" s="552">
        <v>618</v>
      </c>
      <c r="J11" s="552">
        <v>1776</v>
      </c>
      <c r="K11" s="552">
        <v>6118</v>
      </c>
      <c r="L11" s="552">
        <v>810.31</v>
      </c>
      <c r="M11" s="552">
        <v>82952</v>
      </c>
      <c r="N11" s="552">
        <v>4610</v>
      </c>
      <c r="O11" s="552">
        <v>0</v>
      </c>
      <c r="P11" s="552">
        <v>711</v>
      </c>
      <c r="Q11" s="552">
        <v>411</v>
      </c>
      <c r="R11" s="552">
        <v>356757</v>
      </c>
      <c r="S11" s="552">
        <v>3035.1</v>
      </c>
      <c r="T11" s="567">
        <v>6785</v>
      </c>
      <c r="U11" s="656">
        <v>1137</v>
      </c>
      <c r="V11" s="552">
        <v>33591</v>
      </c>
      <c r="W11" s="552">
        <v>9219.3870000000006</v>
      </c>
      <c r="X11" s="552">
        <v>79571</v>
      </c>
      <c r="Y11" s="552">
        <v>112970</v>
      </c>
      <c r="Z11" s="552">
        <v>1650.7</v>
      </c>
      <c r="AA11" s="552">
        <v>285</v>
      </c>
      <c r="AB11" s="552">
        <v>5175</v>
      </c>
      <c r="AC11" s="552">
        <v>163358</v>
      </c>
      <c r="AD11" s="552">
        <v>88</v>
      </c>
      <c r="AE11" s="552"/>
      <c r="AF11" s="552">
        <v>262840</v>
      </c>
      <c r="AG11" s="552">
        <v>92969.706999999995</v>
      </c>
      <c r="AH11" s="552"/>
      <c r="AI11" s="552"/>
      <c r="AJ11" s="552">
        <v>592.80991735537191</v>
      </c>
      <c r="AK11" s="592">
        <f t="shared" si="0"/>
        <v>1317432.5399173554</v>
      </c>
    </row>
    <row r="12" spans="1:37" s="61" customFormat="1" ht="18.75" customHeight="1" x14ac:dyDescent="0.3">
      <c r="A12" s="720"/>
      <c r="B12" s="549" t="s">
        <v>362</v>
      </c>
      <c r="C12" s="552">
        <v>58189</v>
      </c>
      <c r="D12" s="552">
        <v>2057</v>
      </c>
      <c r="E12" s="552">
        <v>54513</v>
      </c>
      <c r="F12" s="552">
        <v>10598</v>
      </c>
      <c r="G12" s="552">
        <v>333</v>
      </c>
      <c r="H12" s="552">
        <v>391</v>
      </c>
      <c r="I12" s="552">
        <v>1287</v>
      </c>
      <c r="J12" s="552">
        <v>62657</v>
      </c>
      <c r="K12" s="552">
        <v>17008</v>
      </c>
      <c r="L12" s="552">
        <v>2960.02</v>
      </c>
      <c r="M12" s="552">
        <v>94608</v>
      </c>
      <c r="N12" s="552">
        <v>4400</v>
      </c>
      <c r="O12" s="552">
        <v>0</v>
      </c>
      <c r="P12" s="552">
        <v>1258</v>
      </c>
      <c r="Q12" s="552">
        <v>307</v>
      </c>
      <c r="R12" s="552">
        <v>317883</v>
      </c>
      <c r="S12" s="552">
        <v>5750.9</v>
      </c>
      <c r="T12" s="567">
        <v>5556</v>
      </c>
      <c r="U12" s="656">
        <v>1438</v>
      </c>
      <c r="V12" s="552">
        <v>28305</v>
      </c>
      <c r="W12" s="552">
        <v>3622.19</v>
      </c>
      <c r="X12" s="552">
        <v>84649</v>
      </c>
      <c r="Y12" s="552">
        <v>127665</v>
      </c>
      <c r="Z12" s="552">
        <v>22518</v>
      </c>
      <c r="AA12" s="552">
        <v>1883</v>
      </c>
      <c r="AB12" s="552">
        <v>22899</v>
      </c>
      <c r="AC12" s="552">
        <v>147263</v>
      </c>
      <c r="AD12" s="552">
        <v>329</v>
      </c>
      <c r="AE12" s="552"/>
      <c r="AF12" s="552">
        <v>253735</v>
      </c>
      <c r="AG12" s="552">
        <v>78004.497000000003</v>
      </c>
      <c r="AH12" s="552"/>
      <c r="AI12" s="552">
        <v>1</v>
      </c>
      <c r="AJ12" s="552">
        <v>1490.5803571428571</v>
      </c>
      <c r="AK12" s="592">
        <f t="shared" si="0"/>
        <v>1413558.1873571428</v>
      </c>
    </row>
    <row r="13" spans="1:37" s="61" customFormat="1" ht="18.75" customHeight="1" x14ac:dyDescent="0.3">
      <c r="A13" s="720"/>
      <c r="B13" s="559" t="s">
        <v>402</v>
      </c>
      <c r="C13" s="560">
        <v>60058.015910000002</v>
      </c>
      <c r="D13" s="560">
        <v>1232</v>
      </c>
      <c r="E13" s="560">
        <v>84108</v>
      </c>
      <c r="F13" s="560">
        <v>7196</v>
      </c>
      <c r="G13" s="560"/>
      <c r="H13" s="560"/>
      <c r="I13" s="560">
        <v>582</v>
      </c>
      <c r="J13" s="560">
        <v>52196</v>
      </c>
      <c r="K13" s="560">
        <v>13520</v>
      </c>
      <c r="L13" s="560">
        <v>2683.6394500000001</v>
      </c>
      <c r="M13" s="560"/>
      <c r="N13" s="560">
        <v>295</v>
      </c>
      <c r="O13" s="560">
        <v>2140</v>
      </c>
      <c r="P13" s="560">
        <v>2446</v>
      </c>
      <c r="Q13" s="560"/>
      <c r="R13" s="560">
        <v>352917</v>
      </c>
      <c r="S13" s="560">
        <v>10565.12</v>
      </c>
      <c r="T13" s="565">
        <v>4622</v>
      </c>
      <c r="U13" s="657">
        <v>509</v>
      </c>
      <c r="V13" s="560">
        <v>33729</v>
      </c>
      <c r="W13" s="560">
        <v>6777.5730000000003</v>
      </c>
      <c r="X13" s="560">
        <v>130146</v>
      </c>
      <c r="Y13" s="560">
        <v>152411</v>
      </c>
      <c r="Z13" s="560">
        <v>12297</v>
      </c>
      <c r="AA13" s="560">
        <v>2861</v>
      </c>
      <c r="AB13" s="560">
        <v>19990</v>
      </c>
      <c r="AC13" s="560">
        <v>184829</v>
      </c>
      <c r="AD13" s="560">
        <v>44</v>
      </c>
      <c r="AE13" s="560">
        <v>369.55751000000004</v>
      </c>
      <c r="AF13" s="560">
        <v>361499.897</v>
      </c>
      <c r="AG13" s="560">
        <v>46784.786</v>
      </c>
      <c r="AH13" s="560">
        <v>500</v>
      </c>
      <c r="AI13" s="560">
        <v>851.92982456140362</v>
      </c>
      <c r="AJ13" s="560">
        <v>2086.9214285714284</v>
      </c>
      <c r="AK13" s="593">
        <f t="shared" si="0"/>
        <v>1550247.4401231327</v>
      </c>
    </row>
    <row r="14" spans="1:37" s="61" customFormat="1" ht="18.75" customHeight="1" x14ac:dyDescent="0.3">
      <c r="A14" s="725"/>
      <c r="B14" s="561" t="s">
        <v>403</v>
      </c>
      <c r="C14" s="562">
        <v>72619.000329999995</v>
      </c>
      <c r="D14" s="562">
        <v>1556</v>
      </c>
      <c r="E14" s="562">
        <v>257170</v>
      </c>
      <c r="F14" s="562">
        <v>13693</v>
      </c>
      <c r="G14" s="562"/>
      <c r="H14" s="562"/>
      <c r="I14" s="562">
        <v>787</v>
      </c>
      <c r="J14" s="562">
        <v>72297</v>
      </c>
      <c r="K14" s="562">
        <v>22646.9</v>
      </c>
      <c r="L14" s="562">
        <v>380.58702</v>
      </c>
      <c r="M14" s="562"/>
      <c r="N14" s="562">
        <v>2992</v>
      </c>
      <c r="O14" s="562"/>
      <c r="P14" s="562">
        <v>1714</v>
      </c>
      <c r="Q14" s="562"/>
      <c r="R14" s="562">
        <v>404324</v>
      </c>
      <c r="S14" s="562">
        <v>15885.73</v>
      </c>
      <c r="T14" s="566">
        <v>12278</v>
      </c>
      <c r="U14" s="658">
        <v>3068</v>
      </c>
      <c r="V14" s="562">
        <v>8944</v>
      </c>
      <c r="W14" s="562">
        <v>3653.4749999999999</v>
      </c>
      <c r="X14" s="562">
        <v>126948</v>
      </c>
      <c r="Y14" s="562">
        <v>144416</v>
      </c>
      <c r="Z14" s="562">
        <v>10997</v>
      </c>
      <c r="AA14" s="562">
        <v>0</v>
      </c>
      <c r="AB14" s="562">
        <v>27873</v>
      </c>
      <c r="AC14" s="562">
        <v>194398</v>
      </c>
      <c r="AD14" s="562">
        <v>352</v>
      </c>
      <c r="AE14" s="562"/>
      <c r="AF14" s="562">
        <v>349663.96100000001</v>
      </c>
      <c r="AG14" s="562">
        <v>46784.786</v>
      </c>
      <c r="AH14" s="562"/>
      <c r="AI14" s="562">
        <v>2660.9478672985783</v>
      </c>
      <c r="AJ14" s="562">
        <v>2075.8928571428569</v>
      </c>
      <c r="AK14" s="594">
        <f t="shared" si="0"/>
        <v>1800178.2800744418</v>
      </c>
    </row>
    <row r="15" spans="1:37" s="61" customFormat="1" ht="18.75" customHeight="1" x14ac:dyDescent="0.3">
      <c r="A15" s="719" t="s">
        <v>701</v>
      </c>
      <c r="B15" s="551" t="s">
        <v>293</v>
      </c>
      <c r="C15" s="552">
        <v>0</v>
      </c>
      <c r="D15" s="552"/>
      <c r="E15" s="552">
        <v>120888.39600000001</v>
      </c>
      <c r="F15" s="552">
        <v>4445</v>
      </c>
      <c r="G15" s="552"/>
      <c r="H15" s="552">
        <v>63</v>
      </c>
      <c r="I15" s="552"/>
      <c r="J15" s="552"/>
      <c r="K15" s="552">
        <v>2428</v>
      </c>
      <c r="L15" s="552">
        <v>8786</v>
      </c>
      <c r="M15" s="552"/>
      <c r="N15" s="552">
        <v>465</v>
      </c>
      <c r="O15" s="552">
        <v>5353</v>
      </c>
      <c r="P15" s="552">
        <v>284</v>
      </c>
      <c r="Q15" s="552">
        <v>2379.1</v>
      </c>
      <c r="R15" s="552">
        <v>25558</v>
      </c>
      <c r="S15" s="552"/>
      <c r="T15" s="563">
        <v>39377</v>
      </c>
      <c r="U15" s="656">
        <v>0</v>
      </c>
      <c r="V15" s="552">
        <v>11593</v>
      </c>
      <c r="W15" s="552">
        <v>1948.6180000000002</v>
      </c>
      <c r="X15" s="552"/>
      <c r="Y15" s="552">
        <v>14553</v>
      </c>
      <c r="Z15" s="552">
        <v>734</v>
      </c>
      <c r="AA15" s="552"/>
      <c r="AB15" s="552"/>
      <c r="AC15" s="552"/>
      <c r="AD15" s="552">
        <v>250</v>
      </c>
      <c r="AE15" s="552">
        <v>1005</v>
      </c>
      <c r="AF15" s="552">
        <v>1607.4690000000001</v>
      </c>
      <c r="AG15" s="552">
        <v>52729.029000000002</v>
      </c>
      <c r="AH15" s="552"/>
      <c r="AI15" s="552">
        <v>202</v>
      </c>
      <c r="AJ15" s="552"/>
      <c r="AK15" s="595">
        <f t="shared" si="0"/>
        <v>294648.61200000002</v>
      </c>
    </row>
    <row r="16" spans="1:37" s="61" customFormat="1" ht="18.75" customHeight="1" x14ac:dyDescent="0.3">
      <c r="A16" s="720"/>
      <c r="B16" s="549" t="s">
        <v>294</v>
      </c>
      <c r="C16" s="550">
        <v>0</v>
      </c>
      <c r="D16" s="552"/>
      <c r="E16" s="550">
        <v>201745.90204000002</v>
      </c>
      <c r="F16" s="550">
        <v>9176</v>
      </c>
      <c r="G16" s="550"/>
      <c r="H16" s="550">
        <v>60</v>
      </c>
      <c r="I16" s="550"/>
      <c r="J16" s="550">
        <v>60</v>
      </c>
      <c r="K16" s="550">
        <v>5224</v>
      </c>
      <c r="L16" s="550">
        <v>1323</v>
      </c>
      <c r="M16" s="550"/>
      <c r="N16" s="550">
        <v>287</v>
      </c>
      <c r="O16" s="550">
        <v>7510</v>
      </c>
      <c r="P16" s="550">
        <v>2441</v>
      </c>
      <c r="Q16" s="550">
        <v>2379.1</v>
      </c>
      <c r="R16" s="550">
        <v>35664</v>
      </c>
      <c r="S16" s="550"/>
      <c r="T16" s="564">
        <v>76944</v>
      </c>
      <c r="U16" s="659">
        <v>0</v>
      </c>
      <c r="V16" s="550">
        <v>6178</v>
      </c>
      <c r="W16" s="550">
        <v>1685.181</v>
      </c>
      <c r="X16" s="550">
        <v>17630.468000000001</v>
      </c>
      <c r="Y16" s="550">
        <v>22410</v>
      </c>
      <c r="Z16" s="550">
        <v>1582</v>
      </c>
      <c r="AA16" s="550"/>
      <c r="AB16" s="550"/>
      <c r="AC16" s="550"/>
      <c r="AD16" s="550">
        <v>627</v>
      </c>
      <c r="AE16" s="550">
        <v>1242.5</v>
      </c>
      <c r="AF16" s="550">
        <v>5028.7150000000001</v>
      </c>
      <c r="AG16" s="550">
        <v>45596.83</v>
      </c>
      <c r="AH16" s="550"/>
      <c r="AI16" s="550">
        <v>0</v>
      </c>
      <c r="AJ16" s="550"/>
      <c r="AK16" s="592">
        <f t="shared" si="0"/>
        <v>444794.69604000007</v>
      </c>
    </row>
    <row r="17" spans="1:37" s="61" customFormat="1" ht="18.75" customHeight="1" x14ac:dyDescent="0.3">
      <c r="A17" s="720"/>
      <c r="B17" s="559" t="s">
        <v>326</v>
      </c>
      <c r="C17" s="560">
        <v>0</v>
      </c>
      <c r="D17" s="560"/>
      <c r="E17" s="560">
        <v>40553.95031</v>
      </c>
      <c r="F17" s="560">
        <v>6237</v>
      </c>
      <c r="G17" s="560"/>
      <c r="H17" s="560">
        <v>101</v>
      </c>
      <c r="I17" s="560"/>
      <c r="J17" s="560">
        <v>1600</v>
      </c>
      <c r="K17" s="560">
        <v>6913</v>
      </c>
      <c r="L17" s="560">
        <v>1279.2</v>
      </c>
      <c r="M17" s="560"/>
      <c r="N17" s="560">
        <v>98</v>
      </c>
      <c r="O17" s="560">
        <v>1413</v>
      </c>
      <c r="P17" s="560">
        <v>1693</v>
      </c>
      <c r="Q17" s="560">
        <v>1139.6999999999998</v>
      </c>
      <c r="R17" s="560">
        <v>31980</v>
      </c>
      <c r="S17" s="560"/>
      <c r="T17" s="565">
        <v>27723</v>
      </c>
      <c r="U17" s="657">
        <v>0</v>
      </c>
      <c r="V17" s="560">
        <v>17552</v>
      </c>
      <c r="W17" s="560">
        <v>49372.518000000004</v>
      </c>
      <c r="X17" s="560">
        <v>10274.536</v>
      </c>
      <c r="Y17" s="560">
        <v>20626</v>
      </c>
      <c r="Z17" s="560">
        <v>16564</v>
      </c>
      <c r="AA17" s="560"/>
      <c r="AB17" s="560">
        <v>16</v>
      </c>
      <c r="AC17" s="560"/>
      <c r="AD17" s="560">
        <v>125</v>
      </c>
      <c r="AE17" s="560">
        <v>590</v>
      </c>
      <c r="AF17" s="560">
        <v>1129.5070000000001</v>
      </c>
      <c r="AG17" s="560">
        <v>131995.33499999999</v>
      </c>
      <c r="AH17" s="560">
        <v>167</v>
      </c>
      <c r="AI17" s="560">
        <v>0</v>
      </c>
      <c r="AJ17" s="560"/>
      <c r="AK17" s="593">
        <f t="shared" si="0"/>
        <v>369142.74631000002</v>
      </c>
    </row>
    <row r="18" spans="1:37" s="61" customFormat="1" ht="18.75" customHeight="1" x14ac:dyDescent="0.3">
      <c r="A18" s="720"/>
      <c r="B18" s="561" t="s">
        <v>327</v>
      </c>
      <c r="C18" s="562">
        <v>0</v>
      </c>
      <c r="D18" s="562"/>
      <c r="E18" s="562">
        <v>29989.425560000003</v>
      </c>
      <c r="F18" s="562">
        <v>2832</v>
      </c>
      <c r="G18" s="562"/>
      <c r="H18" s="562">
        <v>42</v>
      </c>
      <c r="I18" s="562"/>
      <c r="J18" s="562">
        <v>2275</v>
      </c>
      <c r="K18" s="562">
        <v>4604</v>
      </c>
      <c r="L18" s="562">
        <v>6580.17</v>
      </c>
      <c r="M18" s="562"/>
      <c r="N18" s="562">
        <v>76</v>
      </c>
      <c r="O18" s="562">
        <v>429</v>
      </c>
      <c r="P18" s="562">
        <v>1616</v>
      </c>
      <c r="Q18" s="562">
        <v>1139.6999999999998</v>
      </c>
      <c r="R18" s="562">
        <v>35423</v>
      </c>
      <c r="S18" s="562"/>
      <c r="T18" s="566">
        <v>31049</v>
      </c>
      <c r="U18" s="658">
        <v>0</v>
      </c>
      <c r="V18" s="562">
        <v>8012</v>
      </c>
      <c r="W18" s="562">
        <v>51442.549000000006</v>
      </c>
      <c r="X18" s="562">
        <v>3621.125</v>
      </c>
      <c r="Y18" s="562">
        <v>66149</v>
      </c>
      <c r="Z18" s="562">
        <v>10322</v>
      </c>
      <c r="AA18" s="562"/>
      <c r="AB18" s="562">
        <v>0</v>
      </c>
      <c r="AC18" s="562"/>
      <c r="AD18" s="562">
        <v>1266</v>
      </c>
      <c r="AE18" s="562">
        <v>926</v>
      </c>
      <c r="AF18" s="562">
        <v>9181.9189999999999</v>
      </c>
      <c r="AG18" s="562">
        <v>94767.74</v>
      </c>
      <c r="AH18" s="562">
        <v>191</v>
      </c>
      <c r="AI18" s="562">
        <v>25</v>
      </c>
      <c r="AJ18" s="562"/>
      <c r="AK18" s="594">
        <f t="shared" si="0"/>
        <v>361959.62855999998</v>
      </c>
    </row>
    <row r="19" spans="1:37" s="61" customFormat="1" ht="18.75" customHeight="1" x14ac:dyDescent="0.3">
      <c r="A19" s="720"/>
      <c r="B19" s="551" t="s">
        <v>361</v>
      </c>
      <c r="C19" s="552">
        <v>6829</v>
      </c>
      <c r="D19" s="552"/>
      <c r="E19" s="553">
        <v>84091.979370000001</v>
      </c>
      <c r="F19" s="552">
        <v>2785</v>
      </c>
      <c r="G19" s="552"/>
      <c r="H19" s="552">
        <v>15</v>
      </c>
      <c r="I19" s="552"/>
      <c r="J19" s="552">
        <v>19941</v>
      </c>
      <c r="K19" s="552">
        <v>6324</v>
      </c>
      <c r="L19" s="552">
        <v>5592.75</v>
      </c>
      <c r="M19" s="552">
        <v>43051</v>
      </c>
      <c r="N19" s="552">
        <v>270</v>
      </c>
      <c r="O19" s="552">
        <v>597</v>
      </c>
      <c r="P19" s="552">
        <v>4979</v>
      </c>
      <c r="Q19" s="552">
        <v>256</v>
      </c>
      <c r="R19" s="552">
        <v>52324</v>
      </c>
      <c r="S19" s="552"/>
      <c r="T19" s="567">
        <v>15886</v>
      </c>
      <c r="U19" s="656">
        <v>18</v>
      </c>
      <c r="V19" s="552">
        <v>18769</v>
      </c>
      <c r="W19" s="552">
        <v>42964.858</v>
      </c>
      <c r="X19" s="552">
        <v>50981.491999999998</v>
      </c>
      <c r="Y19" s="552">
        <v>164704</v>
      </c>
      <c r="Z19" s="552">
        <v>10374</v>
      </c>
      <c r="AA19" s="552">
        <v>1462</v>
      </c>
      <c r="AB19" s="552">
        <v>200</v>
      </c>
      <c r="AC19" s="552">
        <v>2329</v>
      </c>
      <c r="AD19" s="552">
        <v>410</v>
      </c>
      <c r="AE19" s="552">
        <v>1139</v>
      </c>
      <c r="AF19" s="552">
        <v>218139</v>
      </c>
      <c r="AG19" s="552">
        <v>121588.09</v>
      </c>
      <c r="AH19" s="552">
        <v>214</v>
      </c>
      <c r="AI19" s="552">
        <v>0</v>
      </c>
      <c r="AJ19" s="552"/>
      <c r="AK19" s="592">
        <f t="shared" si="0"/>
        <v>876234.16937000002</v>
      </c>
    </row>
    <row r="20" spans="1:37" s="61" customFormat="1" ht="18.75" customHeight="1" x14ac:dyDescent="0.3">
      <c r="A20" s="720"/>
      <c r="B20" s="549" t="s">
        <v>362</v>
      </c>
      <c r="C20" s="552">
        <v>7292</v>
      </c>
      <c r="D20" s="552"/>
      <c r="E20" s="552">
        <v>91013</v>
      </c>
      <c r="F20" s="552">
        <v>3283</v>
      </c>
      <c r="G20" s="552"/>
      <c r="H20" s="552">
        <v>0</v>
      </c>
      <c r="I20" s="552"/>
      <c r="J20" s="552">
        <v>104277</v>
      </c>
      <c r="K20" s="552">
        <v>5112</v>
      </c>
      <c r="L20" s="552">
        <v>4543.1000000000004</v>
      </c>
      <c r="M20" s="552">
        <v>56909</v>
      </c>
      <c r="N20" s="552">
        <v>330</v>
      </c>
      <c r="O20" s="552">
        <v>0</v>
      </c>
      <c r="P20" s="552">
        <v>3185</v>
      </c>
      <c r="Q20" s="552">
        <v>696</v>
      </c>
      <c r="R20" s="552">
        <v>72020</v>
      </c>
      <c r="S20" s="552"/>
      <c r="T20" s="567">
        <v>41862</v>
      </c>
      <c r="U20" s="656">
        <v>0</v>
      </c>
      <c r="V20" s="552">
        <v>21532</v>
      </c>
      <c r="W20" s="552">
        <v>37217.430000000008</v>
      </c>
      <c r="X20" s="552">
        <v>64032.097000000002</v>
      </c>
      <c r="Y20" s="552">
        <v>221555</v>
      </c>
      <c r="Z20" s="552">
        <v>22481</v>
      </c>
      <c r="AA20" s="552">
        <v>1714</v>
      </c>
      <c r="AB20" s="552">
        <v>1430</v>
      </c>
      <c r="AC20" s="552">
        <v>6058</v>
      </c>
      <c r="AD20" s="552">
        <v>701</v>
      </c>
      <c r="AE20" s="552">
        <v>876</v>
      </c>
      <c r="AF20" s="552">
        <v>140723</v>
      </c>
      <c r="AG20" s="552">
        <v>399220.39199999999</v>
      </c>
      <c r="AH20" s="552">
        <v>69</v>
      </c>
      <c r="AI20" s="552">
        <v>1119</v>
      </c>
      <c r="AJ20" s="552"/>
      <c r="AK20" s="592">
        <f t="shared" si="0"/>
        <v>1309250.0189999999</v>
      </c>
    </row>
    <row r="21" spans="1:37" s="61" customFormat="1" ht="18.75" customHeight="1" x14ac:dyDescent="0.3">
      <c r="A21" s="720"/>
      <c r="B21" s="559" t="s">
        <v>402</v>
      </c>
      <c r="C21" s="560">
        <v>34857.047879999998</v>
      </c>
      <c r="D21" s="560"/>
      <c r="E21" s="560">
        <v>114654.2</v>
      </c>
      <c r="F21" s="560">
        <v>2082</v>
      </c>
      <c r="G21" s="560"/>
      <c r="H21" s="560"/>
      <c r="I21" s="560"/>
      <c r="J21" s="560">
        <v>36372</v>
      </c>
      <c r="K21" s="560">
        <v>33677</v>
      </c>
      <c r="L21" s="560">
        <v>3048.0504000000001</v>
      </c>
      <c r="M21" s="560"/>
      <c r="N21" s="560">
        <v>667</v>
      </c>
      <c r="O21" s="560">
        <v>1948</v>
      </c>
      <c r="P21" s="560">
        <v>1520</v>
      </c>
      <c r="Q21" s="560">
        <v>1703</v>
      </c>
      <c r="R21" s="560">
        <v>76839</v>
      </c>
      <c r="S21" s="560">
        <v>7187.97</v>
      </c>
      <c r="T21" s="565">
        <v>34037</v>
      </c>
      <c r="U21" s="657"/>
      <c r="V21" s="560">
        <v>35487</v>
      </c>
      <c r="W21" s="560">
        <v>37646.915000000001</v>
      </c>
      <c r="X21" s="560">
        <v>67845.933999999994</v>
      </c>
      <c r="Y21" s="560">
        <v>241553</v>
      </c>
      <c r="Z21" s="560">
        <v>16735</v>
      </c>
      <c r="AA21" s="560">
        <v>2388.1000000000004</v>
      </c>
      <c r="AB21" s="560">
        <v>0</v>
      </c>
      <c r="AC21" s="560">
        <v>4958</v>
      </c>
      <c r="AD21" s="560">
        <v>702</v>
      </c>
      <c r="AE21" s="560">
        <v>1959.52575</v>
      </c>
      <c r="AF21" s="560">
        <v>230884.171</v>
      </c>
      <c r="AG21" s="560">
        <v>117176.212</v>
      </c>
      <c r="AH21" s="560"/>
      <c r="AI21" s="560">
        <v>4583.3333333333339</v>
      </c>
      <c r="AJ21" s="560"/>
      <c r="AK21" s="593">
        <f t="shared" si="0"/>
        <v>1110511.4593633332</v>
      </c>
    </row>
    <row r="22" spans="1:37" s="61" customFormat="1" ht="18.75" customHeight="1" x14ac:dyDescent="0.3">
      <c r="A22" s="725"/>
      <c r="B22" s="561" t="s">
        <v>403</v>
      </c>
      <c r="C22" s="562">
        <v>39251.682910000003</v>
      </c>
      <c r="D22" s="562"/>
      <c r="E22" s="562">
        <v>100878</v>
      </c>
      <c r="F22" s="562">
        <v>2635</v>
      </c>
      <c r="G22" s="562"/>
      <c r="H22" s="562"/>
      <c r="I22" s="562"/>
      <c r="J22" s="562">
        <v>21581</v>
      </c>
      <c r="K22" s="562">
        <v>45618.2</v>
      </c>
      <c r="L22" s="562">
        <v>1412.4229599999999</v>
      </c>
      <c r="M22" s="562"/>
      <c r="N22" s="562">
        <v>1300</v>
      </c>
      <c r="O22" s="562">
        <v>170</v>
      </c>
      <c r="P22" s="562">
        <v>1906</v>
      </c>
      <c r="Q22" s="562">
        <v>3566</v>
      </c>
      <c r="R22" s="562">
        <v>30481</v>
      </c>
      <c r="S22" s="562">
        <v>12807.39</v>
      </c>
      <c r="T22" s="566">
        <v>45708</v>
      </c>
      <c r="U22" s="658"/>
      <c r="V22" s="562">
        <v>20797</v>
      </c>
      <c r="W22" s="562">
        <v>27930.502</v>
      </c>
      <c r="X22" s="562">
        <v>61515.942999999999</v>
      </c>
      <c r="Y22" s="562">
        <v>283320</v>
      </c>
      <c r="Z22" s="562">
        <v>26493</v>
      </c>
      <c r="AA22" s="562">
        <v>2217.2000000000003</v>
      </c>
      <c r="AB22" s="562">
        <v>1545</v>
      </c>
      <c r="AC22" s="562">
        <v>7272</v>
      </c>
      <c r="AD22" s="562">
        <v>1374</v>
      </c>
      <c r="AE22" s="562">
        <v>2220.049</v>
      </c>
      <c r="AF22" s="562">
        <v>219187.59100000004</v>
      </c>
      <c r="AG22" s="562">
        <v>117176.212</v>
      </c>
      <c r="AH22" s="562"/>
      <c r="AI22" s="562">
        <v>1175.9431279620853</v>
      </c>
      <c r="AJ22" s="562">
        <v>1927</v>
      </c>
      <c r="AK22" s="594">
        <f t="shared" si="0"/>
        <v>1081466.135997962</v>
      </c>
    </row>
    <row r="23" spans="1:37" s="61" customFormat="1" ht="18.75" customHeight="1" x14ac:dyDescent="0.3">
      <c r="A23" s="719" t="s">
        <v>702</v>
      </c>
      <c r="B23" s="551" t="s">
        <v>293</v>
      </c>
      <c r="C23" s="552">
        <v>88022</v>
      </c>
      <c r="D23" s="552"/>
      <c r="E23" s="552">
        <v>2991.2431499999998</v>
      </c>
      <c r="F23" s="552">
        <v>1387</v>
      </c>
      <c r="G23" s="552"/>
      <c r="H23" s="552">
        <v>695</v>
      </c>
      <c r="I23" s="552"/>
      <c r="J23" s="552"/>
      <c r="K23" s="552">
        <v>1343</v>
      </c>
      <c r="L23" s="552">
        <v>732</v>
      </c>
      <c r="M23" s="552">
        <v>125446</v>
      </c>
      <c r="N23" s="552">
        <v>525</v>
      </c>
      <c r="O23" s="552">
        <v>158</v>
      </c>
      <c r="P23" s="552">
        <v>5628</v>
      </c>
      <c r="Q23" s="552">
        <v>1415.5</v>
      </c>
      <c r="R23" s="552">
        <v>768</v>
      </c>
      <c r="S23" s="552"/>
      <c r="T23" s="567">
        <v>2555</v>
      </c>
      <c r="U23" s="656">
        <v>0</v>
      </c>
      <c r="V23" s="552">
        <v>11507.595160000001</v>
      </c>
      <c r="W23" s="552">
        <v>2180.9549999999999</v>
      </c>
      <c r="X23" s="552">
        <v>14817.826000000001</v>
      </c>
      <c r="Y23" s="552">
        <v>40320</v>
      </c>
      <c r="Z23" s="552">
        <v>36469.351000000002</v>
      </c>
      <c r="AA23" s="552">
        <v>551</v>
      </c>
      <c r="AB23" s="552"/>
      <c r="AC23" s="552">
        <v>8065</v>
      </c>
      <c r="AD23" s="552">
        <v>514</v>
      </c>
      <c r="AE23" s="552">
        <v>47.9</v>
      </c>
      <c r="AF23" s="552">
        <v>3952.8020000000001</v>
      </c>
      <c r="AG23" s="552">
        <v>45152.406000000003</v>
      </c>
      <c r="AH23" s="552">
        <v>0</v>
      </c>
      <c r="AI23" s="552"/>
      <c r="AJ23" s="552"/>
      <c r="AK23" s="595">
        <f t="shared" si="0"/>
        <v>395244.57831000007</v>
      </c>
    </row>
    <row r="24" spans="1:37" s="61" customFormat="1" ht="18.75" customHeight="1" x14ac:dyDescent="0.3">
      <c r="A24" s="720"/>
      <c r="B24" s="549" t="s">
        <v>294</v>
      </c>
      <c r="C24" s="550">
        <v>60222</v>
      </c>
      <c r="D24" s="550"/>
      <c r="E24" s="550">
        <v>2949.5815400000001</v>
      </c>
      <c r="F24" s="550">
        <v>1046</v>
      </c>
      <c r="G24" s="550"/>
      <c r="H24" s="550">
        <v>1178</v>
      </c>
      <c r="I24" s="550"/>
      <c r="J24" s="550">
        <v>101</v>
      </c>
      <c r="K24" s="550">
        <v>1793</v>
      </c>
      <c r="L24" s="550">
        <v>2325</v>
      </c>
      <c r="M24" s="550">
        <v>147251</v>
      </c>
      <c r="N24" s="550">
        <v>601</v>
      </c>
      <c r="O24" s="550">
        <v>2032</v>
      </c>
      <c r="P24" s="550">
        <v>3256</v>
      </c>
      <c r="Q24" s="550">
        <v>1415.5</v>
      </c>
      <c r="R24" s="550">
        <v>18484</v>
      </c>
      <c r="S24" s="550"/>
      <c r="T24" s="564">
        <v>3144</v>
      </c>
      <c r="U24" s="659">
        <v>23</v>
      </c>
      <c r="V24" s="550">
        <v>9054</v>
      </c>
      <c r="W24" s="550">
        <v>1199.9750000000001</v>
      </c>
      <c r="X24" s="550">
        <v>16584.84</v>
      </c>
      <c r="Y24" s="550">
        <v>24412</v>
      </c>
      <c r="Z24" s="550">
        <v>53813.487000000001</v>
      </c>
      <c r="AA24" s="550">
        <v>456</v>
      </c>
      <c r="AB24" s="550">
        <v>70</v>
      </c>
      <c r="AC24" s="550">
        <v>13762</v>
      </c>
      <c r="AD24" s="550">
        <v>625</v>
      </c>
      <c r="AE24" s="550">
        <v>0</v>
      </c>
      <c r="AF24" s="550">
        <v>16435.478999999999</v>
      </c>
      <c r="AG24" s="550">
        <v>105200.42400000001</v>
      </c>
      <c r="AH24" s="550">
        <v>0</v>
      </c>
      <c r="AI24" s="550">
        <v>388</v>
      </c>
      <c r="AJ24" s="550"/>
      <c r="AK24" s="592">
        <f t="shared" si="0"/>
        <v>487822.28654</v>
      </c>
    </row>
    <row r="25" spans="1:37" s="61" customFormat="1" ht="18.75" customHeight="1" x14ac:dyDescent="0.3">
      <c r="A25" s="720"/>
      <c r="B25" s="559" t="s">
        <v>326</v>
      </c>
      <c r="C25" s="560">
        <v>73054</v>
      </c>
      <c r="D25" s="560"/>
      <c r="E25" s="560">
        <v>2671.27196</v>
      </c>
      <c r="F25" s="560">
        <v>2404</v>
      </c>
      <c r="G25" s="560"/>
      <c r="H25" s="560">
        <v>918</v>
      </c>
      <c r="I25" s="560">
        <v>2</v>
      </c>
      <c r="J25" s="560">
        <v>101</v>
      </c>
      <c r="K25" s="560">
        <v>2097</v>
      </c>
      <c r="L25" s="560">
        <v>2435.7999999999997</v>
      </c>
      <c r="M25" s="560">
        <v>249546</v>
      </c>
      <c r="N25" s="560">
        <v>440</v>
      </c>
      <c r="O25" s="560">
        <v>283</v>
      </c>
      <c r="P25" s="560">
        <v>2820</v>
      </c>
      <c r="Q25" s="560">
        <v>1964</v>
      </c>
      <c r="R25" s="560">
        <v>98293</v>
      </c>
      <c r="S25" s="560"/>
      <c r="T25" s="565">
        <v>16734</v>
      </c>
      <c r="U25" s="657">
        <v>20</v>
      </c>
      <c r="V25" s="560">
        <v>11265</v>
      </c>
      <c r="W25" s="560">
        <v>938.39300000000003</v>
      </c>
      <c r="X25" s="560">
        <v>13808.679</v>
      </c>
      <c r="Y25" s="560">
        <v>40124</v>
      </c>
      <c r="Z25" s="560">
        <v>48528.654000000002</v>
      </c>
      <c r="AA25" s="560">
        <v>669</v>
      </c>
      <c r="AB25" s="560">
        <v>40</v>
      </c>
      <c r="AC25" s="560">
        <v>917</v>
      </c>
      <c r="AD25" s="560">
        <v>797</v>
      </c>
      <c r="AE25" s="560">
        <v>2713.7042062415198</v>
      </c>
      <c r="AF25" s="560">
        <v>21307.571</v>
      </c>
      <c r="AG25" s="560">
        <v>45033.925999999999</v>
      </c>
      <c r="AH25" s="560">
        <v>284</v>
      </c>
      <c r="AI25" s="560">
        <v>33</v>
      </c>
      <c r="AJ25" s="560"/>
      <c r="AK25" s="593">
        <f t="shared" si="0"/>
        <v>640242.9991662415</v>
      </c>
    </row>
    <row r="26" spans="1:37" s="61" customFormat="1" ht="18.75" customHeight="1" x14ac:dyDescent="0.3">
      <c r="A26" s="720"/>
      <c r="B26" s="561" t="s">
        <v>327</v>
      </c>
      <c r="C26" s="562">
        <v>155180</v>
      </c>
      <c r="D26" s="562"/>
      <c r="E26" s="562">
        <v>5374.9687400000003</v>
      </c>
      <c r="F26" s="562">
        <v>220</v>
      </c>
      <c r="G26" s="562"/>
      <c r="H26" s="562">
        <v>2129</v>
      </c>
      <c r="I26" s="562"/>
      <c r="J26" s="562"/>
      <c r="K26" s="562">
        <v>240</v>
      </c>
      <c r="L26" s="562">
        <v>616.4</v>
      </c>
      <c r="M26" s="562">
        <v>376804</v>
      </c>
      <c r="N26" s="562">
        <v>481</v>
      </c>
      <c r="O26" s="562">
        <v>235</v>
      </c>
      <c r="P26" s="562">
        <v>2526</v>
      </c>
      <c r="Q26" s="562">
        <v>1964.1499999999999</v>
      </c>
      <c r="R26" s="562">
        <v>206820</v>
      </c>
      <c r="S26" s="562"/>
      <c r="T26" s="566">
        <v>12129</v>
      </c>
      <c r="U26" s="658">
        <v>6</v>
      </c>
      <c r="V26" s="562">
        <v>4718</v>
      </c>
      <c r="W26" s="562">
        <v>3171.0549999999998</v>
      </c>
      <c r="X26" s="562">
        <v>22509.898000000001</v>
      </c>
      <c r="Y26" s="562">
        <v>104835</v>
      </c>
      <c r="Z26" s="562">
        <v>74417.699000000008</v>
      </c>
      <c r="AA26" s="562">
        <v>767</v>
      </c>
      <c r="AB26" s="562">
        <v>15</v>
      </c>
      <c r="AC26" s="562">
        <v>14911</v>
      </c>
      <c r="AD26" s="562">
        <v>626</v>
      </c>
      <c r="AE26" s="562">
        <v>60.091964497041424</v>
      </c>
      <c r="AF26" s="562">
        <v>28182.922999999999</v>
      </c>
      <c r="AG26" s="562">
        <v>95959.854999999996</v>
      </c>
      <c r="AH26" s="562">
        <v>118</v>
      </c>
      <c r="AI26" s="562">
        <v>19</v>
      </c>
      <c r="AJ26" s="562"/>
      <c r="AK26" s="594">
        <f t="shared" si="0"/>
        <v>1115036.0407044971</v>
      </c>
    </row>
    <row r="27" spans="1:37" s="61" customFormat="1" ht="18.75" customHeight="1" x14ac:dyDescent="0.3">
      <c r="A27" s="720"/>
      <c r="B27" s="551" t="s">
        <v>361</v>
      </c>
      <c r="C27" s="552">
        <v>85006</v>
      </c>
      <c r="D27" s="552"/>
      <c r="E27" s="552">
        <v>9425.8292599999986</v>
      </c>
      <c r="F27" s="552">
        <v>1562</v>
      </c>
      <c r="G27" s="552"/>
      <c r="H27" s="552">
        <v>2914</v>
      </c>
      <c r="I27" s="552">
        <v>20</v>
      </c>
      <c r="J27" s="552"/>
      <c r="K27" s="552">
        <v>215</v>
      </c>
      <c r="L27" s="552">
        <v>1492.25</v>
      </c>
      <c r="M27" s="552">
        <v>97097</v>
      </c>
      <c r="N27" s="552">
        <v>246</v>
      </c>
      <c r="O27" s="552">
        <v>302</v>
      </c>
      <c r="P27" s="552">
        <v>3508</v>
      </c>
      <c r="Q27" s="552">
        <v>9325</v>
      </c>
      <c r="R27" s="552">
        <v>160963</v>
      </c>
      <c r="S27" s="552"/>
      <c r="T27" s="567">
        <v>9750</v>
      </c>
      <c r="U27" s="656">
        <v>11</v>
      </c>
      <c r="V27" s="552">
        <v>1709</v>
      </c>
      <c r="W27" s="552">
        <v>5582.4679999999989</v>
      </c>
      <c r="X27" s="552">
        <v>12965.964</v>
      </c>
      <c r="Y27" s="552">
        <v>60678</v>
      </c>
      <c r="Z27" s="552">
        <v>26386.550379999997</v>
      </c>
      <c r="AA27" s="552">
        <v>638</v>
      </c>
      <c r="AB27" s="552">
        <v>2604</v>
      </c>
      <c r="AC27" s="552">
        <v>12503</v>
      </c>
      <c r="AD27" s="552">
        <v>744</v>
      </c>
      <c r="AE27" s="552">
        <v>0</v>
      </c>
      <c r="AF27" s="552">
        <v>54991</v>
      </c>
      <c r="AG27" s="552">
        <v>145322.08199999999</v>
      </c>
      <c r="AH27" s="552">
        <v>93</v>
      </c>
      <c r="AI27" s="552">
        <v>0</v>
      </c>
      <c r="AJ27" s="552"/>
      <c r="AK27" s="592">
        <f t="shared" si="0"/>
        <v>706054.14363999991</v>
      </c>
    </row>
    <row r="28" spans="1:37" s="61" customFormat="1" ht="18.75" customHeight="1" x14ac:dyDescent="0.3">
      <c r="A28" s="720"/>
      <c r="B28" s="549" t="s">
        <v>362</v>
      </c>
      <c r="C28" s="552">
        <v>169769</v>
      </c>
      <c r="D28" s="552"/>
      <c r="E28" s="552">
        <v>9908.2999999999993</v>
      </c>
      <c r="F28" s="552">
        <v>731</v>
      </c>
      <c r="G28" s="552"/>
      <c r="H28" s="552">
        <v>208</v>
      </c>
      <c r="I28" s="552"/>
      <c r="J28" s="552"/>
      <c r="K28" s="552">
        <v>1422</v>
      </c>
      <c r="L28" s="552">
        <v>374.84</v>
      </c>
      <c r="M28" s="552">
        <v>64197</v>
      </c>
      <c r="N28" s="552">
        <v>245</v>
      </c>
      <c r="O28" s="552">
        <v>1397</v>
      </c>
      <c r="P28" s="552">
        <v>3151</v>
      </c>
      <c r="Q28" s="552">
        <v>-78</v>
      </c>
      <c r="R28" s="552">
        <v>156739</v>
      </c>
      <c r="S28" s="552"/>
      <c r="T28" s="567">
        <v>17978</v>
      </c>
      <c r="U28" s="656">
        <v>65</v>
      </c>
      <c r="V28" s="552">
        <v>3276</v>
      </c>
      <c r="W28" s="552">
        <v>5211.7209999999995</v>
      </c>
      <c r="X28" s="552">
        <v>26832.715999999997</v>
      </c>
      <c r="Y28" s="552">
        <v>149763</v>
      </c>
      <c r="Z28" s="552">
        <v>32302.639999999999</v>
      </c>
      <c r="AA28" s="552">
        <v>1471</v>
      </c>
      <c r="AB28" s="552">
        <v>602</v>
      </c>
      <c r="AC28" s="552">
        <v>4696</v>
      </c>
      <c r="AD28" s="552">
        <v>616</v>
      </c>
      <c r="AE28" s="552">
        <v>297</v>
      </c>
      <c r="AF28" s="552">
        <v>52459</v>
      </c>
      <c r="AG28" s="552">
        <v>174387.29399999999</v>
      </c>
      <c r="AH28" s="552">
        <v>27</v>
      </c>
      <c r="AI28" s="552">
        <v>117</v>
      </c>
      <c r="AJ28" s="552"/>
      <c r="AK28" s="592">
        <f t="shared" si="0"/>
        <v>878165.51100000006</v>
      </c>
    </row>
    <row r="29" spans="1:37" s="61" customFormat="1" ht="18.75" customHeight="1" x14ac:dyDescent="0.3">
      <c r="A29" s="720"/>
      <c r="B29" s="559" t="s">
        <v>402</v>
      </c>
      <c r="C29" s="560">
        <v>101827.70222000002</v>
      </c>
      <c r="D29" s="560"/>
      <c r="E29" s="560">
        <v>17393</v>
      </c>
      <c r="F29" s="560">
        <v>290</v>
      </c>
      <c r="G29" s="560"/>
      <c r="H29" s="560"/>
      <c r="I29" s="560">
        <v>80</v>
      </c>
      <c r="J29" s="560">
        <v>1009</v>
      </c>
      <c r="K29" s="560">
        <v>8344</v>
      </c>
      <c r="L29" s="560">
        <v>6513.8599899999999</v>
      </c>
      <c r="M29" s="560"/>
      <c r="N29" s="560">
        <v>287</v>
      </c>
      <c r="O29" s="560">
        <v>4495</v>
      </c>
      <c r="P29" s="560">
        <v>2270</v>
      </c>
      <c r="Q29" s="560">
        <v>3999</v>
      </c>
      <c r="R29" s="560">
        <v>245498</v>
      </c>
      <c r="S29" s="560">
        <v>1222.1400000000001</v>
      </c>
      <c r="T29" s="565">
        <v>9298</v>
      </c>
      <c r="U29" s="657"/>
      <c r="V29" s="560">
        <v>2744</v>
      </c>
      <c r="W29" s="560">
        <v>7342.3770000000004</v>
      </c>
      <c r="X29" s="560">
        <v>35943.786</v>
      </c>
      <c r="Y29" s="560">
        <v>164701</v>
      </c>
      <c r="Z29" s="560">
        <v>46773</v>
      </c>
      <c r="AA29" s="560">
        <v>1438.8999999999999</v>
      </c>
      <c r="AB29" s="560">
        <v>1585</v>
      </c>
      <c r="AC29" s="560">
        <v>15281</v>
      </c>
      <c r="AD29" s="560">
        <v>820</v>
      </c>
      <c r="AE29" s="560">
        <v>1492.41299</v>
      </c>
      <c r="AF29" s="560">
        <v>148027.68100000001</v>
      </c>
      <c r="AG29" s="560">
        <v>368602.60499999998</v>
      </c>
      <c r="AH29" s="560"/>
      <c r="AI29" s="560">
        <v>245.17543859649126</v>
      </c>
      <c r="AJ29" s="560"/>
      <c r="AK29" s="593">
        <f t="shared" si="0"/>
        <v>1197523.6396385962</v>
      </c>
    </row>
    <row r="30" spans="1:37" s="61" customFormat="1" ht="18.75" customHeight="1" x14ac:dyDescent="0.3">
      <c r="A30" s="725"/>
      <c r="B30" s="561" t="s">
        <v>403</v>
      </c>
      <c r="C30" s="562">
        <v>47179.307549999998</v>
      </c>
      <c r="D30" s="562">
        <v>100</v>
      </c>
      <c r="E30" s="562">
        <v>5696.8</v>
      </c>
      <c r="F30" s="562">
        <v>576</v>
      </c>
      <c r="G30" s="562"/>
      <c r="H30" s="562"/>
      <c r="I30" s="562">
        <v>50</v>
      </c>
      <c r="J30" s="562">
        <v>1290</v>
      </c>
      <c r="K30" s="562">
        <v>13854</v>
      </c>
      <c r="L30" s="562">
        <v>6910.8961206999993</v>
      </c>
      <c r="M30" s="562"/>
      <c r="N30" s="562">
        <v>546</v>
      </c>
      <c r="O30" s="562">
        <v>827</v>
      </c>
      <c r="P30" s="562">
        <v>3789</v>
      </c>
      <c r="Q30" s="562">
        <v>2041</v>
      </c>
      <c r="R30" s="562">
        <v>341225</v>
      </c>
      <c r="S30" s="562">
        <v>1566.98</v>
      </c>
      <c r="T30" s="566">
        <v>18647</v>
      </c>
      <c r="U30" s="658"/>
      <c r="V30" s="562">
        <v>1902</v>
      </c>
      <c r="W30" s="562">
        <v>4545.9589999999998</v>
      </c>
      <c r="X30" s="562">
        <v>37904.661</v>
      </c>
      <c r="Y30" s="562">
        <v>129462</v>
      </c>
      <c r="Z30" s="562">
        <v>38380</v>
      </c>
      <c r="AA30" s="562">
        <v>1800.7</v>
      </c>
      <c r="AB30" s="562">
        <v>1549</v>
      </c>
      <c r="AC30" s="562">
        <v>14236</v>
      </c>
      <c r="AD30" s="562">
        <v>567</v>
      </c>
      <c r="AE30" s="562">
        <v>666.37285493506499</v>
      </c>
      <c r="AF30" s="562">
        <v>104587.041</v>
      </c>
      <c r="AG30" s="562">
        <v>368602.60499999998</v>
      </c>
      <c r="AH30" s="562"/>
      <c r="AI30" s="562">
        <v>193.8388625592417</v>
      </c>
      <c r="AJ30" s="562"/>
      <c r="AK30" s="594">
        <f t="shared" si="0"/>
        <v>1148696.1613881942</v>
      </c>
    </row>
    <row r="31" spans="1:37" s="61" customFormat="1" ht="18.75" customHeight="1" x14ac:dyDescent="0.3">
      <c r="A31" s="719" t="s">
        <v>703</v>
      </c>
      <c r="B31" s="551" t="s">
        <v>293</v>
      </c>
      <c r="C31" s="552">
        <v>3980</v>
      </c>
      <c r="D31" s="552"/>
      <c r="E31" s="552">
        <v>26343</v>
      </c>
      <c r="F31" s="552">
        <v>281</v>
      </c>
      <c r="G31" s="552"/>
      <c r="H31" s="552">
        <v>1812</v>
      </c>
      <c r="I31" s="552"/>
      <c r="J31" s="552"/>
      <c r="K31" s="552">
        <v>7365</v>
      </c>
      <c r="L31" s="552">
        <v>102</v>
      </c>
      <c r="M31" s="552"/>
      <c r="N31" s="552">
        <v>214</v>
      </c>
      <c r="O31" s="552"/>
      <c r="P31" s="552">
        <v>5467</v>
      </c>
      <c r="Q31" s="552">
        <v>0</v>
      </c>
      <c r="R31" s="552">
        <v>9420</v>
      </c>
      <c r="S31" s="552">
        <v>1894.9999999999998</v>
      </c>
      <c r="T31" s="567">
        <v>8344</v>
      </c>
      <c r="U31" s="656"/>
      <c r="V31" s="552">
        <v>62550</v>
      </c>
      <c r="W31" s="552">
        <v>285.87</v>
      </c>
      <c r="X31" s="552">
        <v>5591.01</v>
      </c>
      <c r="Y31" s="552">
        <v>5920</v>
      </c>
      <c r="Z31" s="552">
        <v>84</v>
      </c>
      <c r="AA31" s="552"/>
      <c r="AB31" s="552">
        <v>463</v>
      </c>
      <c r="AC31" s="552">
        <v>6745</v>
      </c>
      <c r="AD31" s="552">
        <v>1254</v>
      </c>
      <c r="AE31" s="552"/>
      <c r="AF31" s="552">
        <v>136529</v>
      </c>
      <c r="AG31" s="552">
        <v>139909.08499999996</v>
      </c>
      <c r="AH31" s="552"/>
      <c r="AI31" s="552"/>
      <c r="AJ31" s="552"/>
      <c r="AK31" s="595">
        <f t="shared" si="0"/>
        <v>424553.96499999997</v>
      </c>
    </row>
    <row r="32" spans="1:37" s="61" customFormat="1" ht="18.75" customHeight="1" x14ac:dyDescent="0.3">
      <c r="A32" s="720"/>
      <c r="B32" s="549" t="s">
        <v>294</v>
      </c>
      <c r="C32" s="550">
        <v>2986</v>
      </c>
      <c r="D32" s="550"/>
      <c r="E32" s="550">
        <v>43122</v>
      </c>
      <c r="F32" s="550">
        <v>137</v>
      </c>
      <c r="G32" s="550"/>
      <c r="H32" s="550">
        <v>3644</v>
      </c>
      <c r="I32" s="550"/>
      <c r="J32" s="550"/>
      <c r="K32" s="550">
        <v>5949</v>
      </c>
      <c r="L32" s="550">
        <v>1588</v>
      </c>
      <c r="M32" s="550"/>
      <c r="N32" s="550">
        <v>65</v>
      </c>
      <c r="O32" s="550"/>
      <c r="P32" s="550">
        <v>4277</v>
      </c>
      <c r="Q32" s="550"/>
      <c r="R32" s="550">
        <v>23580</v>
      </c>
      <c r="S32" s="550">
        <v>2072</v>
      </c>
      <c r="T32" s="564">
        <v>9478</v>
      </c>
      <c r="U32" s="659"/>
      <c r="V32" s="550">
        <v>53990</v>
      </c>
      <c r="W32" s="550">
        <v>303.90699999999998</v>
      </c>
      <c r="X32" s="550">
        <v>3487.17</v>
      </c>
      <c r="Y32" s="550">
        <v>6162</v>
      </c>
      <c r="Z32" s="550">
        <v>791</v>
      </c>
      <c r="AA32" s="550"/>
      <c r="AB32" s="550">
        <v>780</v>
      </c>
      <c r="AC32" s="550">
        <v>720</v>
      </c>
      <c r="AD32" s="550">
        <v>2037</v>
      </c>
      <c r="AE32" s="550"/>
      <c r="AF32" s="550">
        <v>1019688</v>
      </c>
      <c r="AG32" s="550">
        <v>103718.834</v>
      </c>
      <c r="AH32" s="550"/>
      <c r="AI32" s="550"/>
      <c r="AJ32" s="550"/>
      <c r="AK32" s="592">
        <f t="shared" si="0"/>
        <v>1288575.9110000001</v>
      </c>
    </row>
    <row r="33" spans="1:37" s="61" customFormat="1" ht="18.75" customHeight="1" x14ac:dyDescent="0.3">
      <c r="A33" s="720"/>
      <c r="B33" s="559" t="s">
        <v>326</v>
      </c>
      <c r="C33" s="560">
        <v>5599</v>
      </c>
      <c r="D33" s="560"/>
      <c r="E33" s="560">
        <v>28641</v>
      </c>
      <c r="F33" s="560">
        <v>75</v>
      </c>
      <c r="G33" s="560"/>
      <c r="H33" s="560">
        <v>2761</v>
      </c>
      <c r="I33" s="560"/>
      <c r="J33" s="560"/>
      <c r="K33" s="560">
        <v>3193</v>
      </c>
      <c r="L33" s="560">
        <v>1126.0999999999999</v>
      </c>
      <c r="M33" s="560"/>
      <c r="N33" s="560">
        <v>80</v>
      </c>
      <c r="O33" s="560"/>
      <c r="P33" s="560">
        <v>3819</v>
      </c>
      <c r="Q33" s="560">
        <v>36.75</v>
      </c>
      <c r="R33" s="560">
        <v>55196</v>
      </c>
      <c r="S33" s="560">
        <v>3562.3</v>
      </c>
      <c r="T33" s="565">
        <v>12057</v>
      </c>
      <c r="U33" s="657"/>
      <c r="V33" s="560">
        <v>97474</v>
      </c>
      <c r="W33" s="560">
        <v>1136.9320000000002</v>
      </c>
      <c r="X33" s="560">
        <v>5757.9170000000013</v>
      </c>
      <c r="Y33" s="560">
        <v>5997</v>
      </c>
      <c r="Z33" s="560">
        <v>3673</v>
      </c>
      <c r="AA33" s="560"/>
      <c r="AB33" s="560">
        <v>804</v>
      </c>
      <c r="AC33" s="560">
        <v>4202</v>
      </c>
      <c r="AD33" s="560">
        <v>1944</v>
      </c>
      <c r="AE33" s="560"/>
      <c r="AF33" s="560">
        <v>1145957</v>
      </c>
      <c r="AG33" s="560">
        <v>77019.676000000036</v>
      </c>
      <c r="AH33" s="560"/>
      <c r="AI33" s="560"/>
      <c r="AJ33" s="560"/>
      <c r="AK33" s="593">
        <f t="shared" si="0"/>
        <v>1460111.675</v>
      </c>
    </row>
    <row r="34" spans="1:37" s="61" customFormat="1" ht="18.75" customHeight="1" x14ac:dyDescent="0.3">
      <c r="A34" s="720"/>
      <c r="B34" s="561" t="s">
        <v>327</v>
      </c>
      <c r="C34" s="562">
        <v>6296</v>
      </c>
      <c r="D34" s="562"/>
      <c r="E34" s="562">
        <v>37209</v>
      </c>
      <c r="F34" s="562">
        <v>1063</v>
      </c>
      <c r="G34" s="562"/>
      <c r="H34" s="562">
        <v>4740</v>
      </c>
      <c r="I34" s="562"/>
      <c r="J34" s="562"/>
      <c r="K34" s="562">
        <v>7754</v>
      </c>
      <c r="L34" s="562">
        <v>26.09</v>
      </c>
      <c r="M34" s="562"/>
      <c r="N34" s="562">
        <v>337</v>
      </c>
      <c r="O34" s="562"/>
      <c r="P34" s="562">
        <v>4127</v>
      </c>
      <c r="Q34" s="562">
        <v>36.75</v>
      </c>
      <c r="R34" s="562">
        <v>58499</v>
      </c>
      <c r="S34" s="562">
        <v>3018.4</v>
      </c>
      <c r="T34" s="566">
        <v>14799</v>
      </c>
      <c r="U34" s="658"/>
      <c r="V34" s="562">
        <v>90260</v>
      </c>
      <c r="W34" s="562">
        <v>2762.4580000000001</v>
      </c>
      <c r="X34" s="562">
        <v>8345.58</v>
      </c>
      <c r="Y34" s="562">
        <v>9750</v>
      </c>
      <c r="Z34" s="562">
        <v>-14378</v>
      </c>
      <c r="AA34" s="562"/>
      <c r="AB34" s="562">
        <v>692</v>
      </c>
      <c r="AC34" s="562">
        <v>8115</v>
      </c>
      <c r="AD34" s="562">
        <v>2417</v>
      </c>
      <c r="AE34" s="562"/>
      <c r="AF34" s="562">
        <v>89528</v>
      </c>
      <c r="AG34" s="562">
        <v>169459.43700000003</v>
      </c>
      <c r="AH34" s="562"/>
      <c r="AI34" s="562"/>
      <c r="AJ34" s="562"/>
      <c r="AK34" s="594">
        <f t="shared" si="0"/>
        <v>504856.71500000003</v>
      </c>
    </row>
    <row r="35" spans="1:37" s="61" customFormat="1" ht="18.75" customHeight="1" x14ac:dyDescent="0.3">
      <c r="A35" s="720"/>
      <c r="B35" s="551" t="s">
        <v>361</v>
      </c>
      <c r="C35" s="552">
        <v>17038</v>
      </c>
      <c r="D35" s="552"/>
      <c r="E35" s="552">
        <v>66727</v>
      </c>
      <c r="F35" s="552">
        <v>1073</v>
      </c>
      <c r="G35" s="552"/>
      <c r="H35" s="552">
        <v>3850</v>
      </c>
      <c r="I35" s="552"/>
      <c r="J35" s="552"/>
      <c r="K35" s="552">
        <v>8956</v>
      </c>
      <c r="L35" s="552">
        <v>155.52000000000001</v>
      </c>
      <c r="M35" s="552">
        <v>83677</v>
      </c>
      <c r="N35" s="552">
        <v>197</v>
      </c>
      <c r="O35" s="552"/>
      <c r="P35" s="552">
        <v>3046</v>
      </c>
      <c r="Q35" s="552">
        <v>100.8</v>
      </c>
      <c r="R35" s="552">
        <v>55265</v>
      </c>
      <c r="S35" s="552">
        <v>3553.0000000000005</v>
      </c>
      <c r="T35" s="567">
        <v>15792</v>
      </c>
      <c r="U35" s="656"/>
      <c r="V35" s="552">
        <v>84599</v>
      </c>
      <c r="W35" s="552">
        <v>5241.6570000000002</v>
      </c>
      <c r="X35" s="552">
        <v>10381.969999999999</v>
      </c>
      <c r="Y35" s="552">
        <v>19733</v>
      </c>
      <c r="Z35" s="552">
        <v>1040</v>
      </c>
      <c r="AA35" s="552">
        <v>2100</v>
      </c>
      <c r="AB35" s="552">
        <v>1164</v>
      </c>
      <c r="AC35" s="552">
        <v>6241</v>
      </c>
      <c r="AD35" s="552">
        <v>2834</v>
      </c>
      <c r="AE35" s="552"/>
      <c r="AF35" s="552">
        <v>18129</v>
      </c>
      <c r="AG35" s="552">
        <v>161153.98300000004</v>
      </c>
      <c r="AH35" s="552"/>
      <c r="AI35" s="552">
        <v>605</v>
      </c>
      <c r="AJ35" s="552"/>
      <c r="AK35" s="592">
        <f t="shared" si="0"/>
        <v>572652.93000000005</v>
      </c>
    </row>
    <row r="36" spans="1:37" s="61" customFormat="1" ht="18.75" customHeight="1" x14ac:dyDescent="0.3">
      <c r="A36" s="720"/>
      <c r="B36" s="549" t="s">
        <v>362</v>
      </c>
      <c r="C36" s="550">
        <v>25440</v>
      </c>
      <c r="D36" s="550"/>
      <c r="E36" s="550">
        <v>57089</v>
      </c>
      <c r="F36" s="550">
        <v>370</v>
      </c>
      <c r="G36" s="550"/>
      <c r="H36" s="550">
        <v>7653</v>
      </c>
      <c r="I36" s="550"/>
      <c r="J36" s="550"/>
      <c r="K36" s="550">
        <v>15263</v>
      </c>
      <c r="L36" s="550">
        <v>5.35</v>
      </c>
      <c r="M36" s="550">
        <v>130707</v>
      </c>
      <c r="N36" s="550">
        <v>179</v>
      </c>
      <c r="O36" s="550"/>
      <c r="P36" s="550">
        <v>2291</v>
      </c>
      <c r="Q36" s="550">
        <v>95.2</v>
      </c>
      <c r="R36" s="550">
        <v>129125</v>
      </c>
      <c r="S36" s="550">
        <v>4470.8999999999996</v>
      </c>
      <c r="T36" s="564">
        <v>17938</v>
      </c>
      <c r="U36" s="659"/>
      <c r="V36" s="550">
        <v>134930</v>
      </c>
      <c r="W36" s="550">
        <v>3406.7489999999998</v>
      </c>
      <c r="X36" s="550">
        <v>10189.125000000004</v>
      </c>
      <c r="Y36" s="550">
        <v>22920</v>
      </c>
      <c r="Z36" s="550">
        <v>-455</v>
      </c>
      <c r="AA36" s="550">
        <v>1142</v>
      </c>
      <c r="AB36" s="550">
        <v>894</v>
      </c>
      <c r="AC36" s="550">
        <v>12225</v>
      </c>
      <c r="AD36" s="550">
        <v>5004</v>
      </c>
      <c r="AE36" s="552">
        <v>66</v>
      </c>
      <c r="AF36" s="550">
        <v>46726</v>
      </c>
      <c r="AG36" s="550">
        <v>142250.83000000005</v>
      </c>
      <c r="AH36" s="550"/>
      <c r="AI36" s="550">
        <v>151</v>
      </c>
      <c r="AJ36" s="550"/>
      <c r="AK36" s="592">
        <f t="shared" si="0"/>
        <v>770076.1540000001</v>
      </c>
    </row>
    <row r="37" spans="1:37" s="61" customFormat="1" ht="18.75" customHeight="1" x14ac:dyDescent="0.3">
      <c r="A37" s="720"/>
      <c r="B37" s="559" t="s">
        <v>402</v>
      </c>
      <c r="C37" s="560">
        <v>14129.41569</v>
      </c>
      <c r="D37" s="560"/>
      <c r="E37" s="560">
        <v>71645</v>
      </c>
      <c r="F37" s="560">
        <v>171</v>
      </c>
      <c r="G37" s="560"/>
      <c r="H37" s="560"/>
      <c r="I37" s="560"/>
      <c r="J37" s="560"/>
      <c r="K37" s="560">
        <v>7306</v>
      </c>
      <c r="L37" s="560">
        <v>35.656730000000003</v>
      </c>
      <c r="M37" s="560"/>
      <c r="N37" s="560">
        <v>290</v>
      </c>
      <c r="O37" s="560">
        <v>3956</v>
      </c>
      <c r="P37" s="560">
        <v>5527</v>
      </c>
      <c r="Q37" s="560">
        <v>3</v>
      </c>
      <c r="R37" s="560">
        <v>250013</v>
      </c>
      <c r="S37" s="560">
        <v>11516.470000000001</v>
      </c>
      <c r="T37" s="565">
        <v>16630</v>
      </c>
      <c r="U37" s="657"/>
      <c r="V37" s="560">
        <v>110080</v>
      </c>
      <c r="W37" s="560">
        <v>6459.5020000000004</v>
      </c>
      <c r="X37" s="560">
        <v>9832</v>
      </c>
      <c r="Y37" s="560">
        <v>30962</v>
      </c>
      <c r="Z37" s="560">
        <v>4710</v>
      </c>
      <c r="AA37" s="560">
        <v>706</v>
      </c>
      <c r="AB37" s="560">
        <v>2066</v>
      </c>
      <c r="AC37" s="560">
        <v>19484</v>
      </c>
      <c r="AD37" s="560">
        <v>7788</v>
      </c>
      <c r="AE37" s="560">
        <v>35.76538</v>
      </c>
      <c r="AF37" s="560">
        <v>14402.626</v>
      </c>
      <c r="AG37" s="560">
        <v>85467.458499999993</v>
      </c>
      <c r="AH37" s="560"/>
      <c r="AI37" s="560">
        <v>3.2456140350877196</v>
      </c>
      <c r="AJ37" s="560"/>
      <c r="AK37" s="593">
        <f t="shared" si="0"/>
        <v>673219.13991403498</v>
      </c>
    </row>
    <row r="38" spans="1:37" s="61" customFormat="1" ht="19.5" customHeight="1" thickBot="1" x14ac:dyDescent="0.35">
      <c r="A38" s="721"/>
      <c r="B38" s="561" t="s">
        <v>403</v>
      </c>
      <c r="C38" s="562">
        <v>15538.31502</v>
      </c>
      <c r="D38" s="562"/>
      <c r="E38" s="562">
        <v>117167</v>
      </c>
      <c r="F38" s="562">
        <v>352</v>
      </c>
      <c r="G38" s="562"/>
      <c r="H38" s="562"/>
      <c r="I38" s="562"/>
      <c r="J38" s="562">
        <v>126</v>
      </c>
      <c r="K38" s="562">
        <v>7450</v>
      </c>
      <c r="L38" s="562">
        <v>19.23077</v>
      </c>
      <c r="M38" s="562"/>
      <c r="N38" s="562">
        <v>222</v>
      </c>
      <c r="O38" s="562">
        <v>1950</v>
      </c>
      <c r="P38" s="562">
        <v>4930</v>
      </c>
      <c r="Q38" s="562">
        <v>1880</v>
      </c>
      <c r="R38" s="562">
        <v>376109</v>
      </c>
      <c r="S38" s="562">
        <v>9602.19</v>
      </c>
      <c r="T38" s="566">
        <v>22334</v>
      </c>
      <c r="U38" s="658"/>
      <c r="V38" s="562">
        <v>142247</v>
      </c>
      <c r="W38" s="562">
        <v>4733.0940000000001</v>
      </c>
      <c r="X38" s="562">
        <v>19486</v>
      </c>
      <c r="Y38" s="562">
        <v>32779</v>
      </c>
      <c r="Z38" s="562">
        <v>4663</v>
      </c>
      <c r="AA38" s="562">
        <v>796</v>
      </c>
      <c r="AB38" s="562">
        <v>2182</v>
      </c>
      <c r="AC38" s="562">
        <v>5031</v>
      </c>
      <c r="AD38" s="562">
        <v>7367</v>
      </c>
      <c r="AE38" s="562">
        <v>140</v>
      </c>
      <c r="AF38" s="562">
        <v>148309</v>
      </c>
      <c r="AG38" s="562">
        <v>85467.458499999993</v>
      </c>
      <c r="AH38" s="562"/>
      <c r="AI38" s="562">
        <v>92.417061611374407</v>
      </c>
      <c r="AJ38" s="562"/>
      <c r="AK38" s="594">
        <f t="shared" si="0"/>
        <v>1010972.7053516114</v>
      </c>
    </row>
    <row r="39" spans="1:37" s="61" customFormat="1" ht="19.5" customHeight="1" thickTop="1" x14ac:dyDescent="0.3">
      <c r="A39" s="722" t="s">
        <v>694</v>
      </c>
      <c r="B39" s="556" t="s">
        <v>293</v>
      </c>
      <c r="C39" s="554">
        <f t="shared" ref="C39:C46" si="1">+C7+C15+C23+C31</f>
        <v>108153</v>
      </c>
      <c r="D39" s="554">
        <f t="shared" ref="D39:AJ39" si="2">+D7+D15+D23+D31</f>
        <v>0</v>
      </c>
      <c r="E39" s="554">
        <f t="shared" si="2"/>
        <v>167490.50215000001</v>
      </c>
      <c r="F39" s="554">
        <f t="shared" si="2"/>
        <v>6113</v>
      </c>
      <c r="G39" s="554">
        <f t="shared" si="2"/>
        <v>85</v>
      </c>
      <c r="H39" s="554">
        <f t="shared" si="2"/>
        <v>2806</v>
      </c>
      <c r="I39" s="554">
        <f t="shared" si="2"/>
        <v>1088</v>
      </c>
      <c r="J39" s="554">
        <f t="shared" si="2"/>
        <v>0</v>
      </c>
      <c r="K39" s="554">
        <f t="shared" si="2"/>
        <v>11759</v>
      </c>
      <c r="L39" s="554">
        <f t="shared" si="2"/>
        <v>9982</v>
      </c>
      <c r="M39" s="554">
        <f t="shared" si="2"/>
        <v>134062</v>
      </c>
      <c r="N39" s="554">
        <f t="shared" si="2"/>
        <v>1204</v>
      </c>
      <c r="O39" s="554">
        <f t="shared" si="2"/>
        <v>5511</v>
      </c>
      <c r="P39" s="554">
        <f t="shared" si="2"/>
        <v>11783</v>
      </c>
      <c r="Q39" s="554">
        <f t="shared" si="2"/>
        <v>4723.6000000000004</v>
      </c>
      <c r="R39" s="554">
        <f t="shared" si="2"/>
        <v>102632</v>
      </c>
      <c r="S39" s="554">
        <f t="shared" si="2"/>
        <v>2243.1999999999998</v>
      </c>
      <c r="T39" s="568">
        <f t="shared" si="2"/>
        <v>54379</v>
      </c>
      <c r="U39" s="660">
        <f t="shared" si="2"/>
        <v>0</v>
      </c>
      <c r="V39" s="554">
        <f t="shared" si="2"/>
        <v>90177.595159999997</v>
      </c>
      <c r="W39" s="554">
        <f t="shared" si="2"/>
        <v>10078.034000000001</v>
      </c>
      <c r="X39" s="554">
        <f t="shared" si="2"/>
        <v>86128.835999999996</v>
      </c>
      <c r="Y39" s="554">
        <f t="shared" si="2"/>
        <v>93341</v>
      </c>
      <c r="Z39" s="554">
        <f t="shared" si="2"/>
        <v>37414.351000000002</v>
      </c>
      <c r="AA39" s="554">
        <f t="shared" si="2"/>
        <v>651</v>
      </c>
      <c r="AB39" s="554">
        <f t="shared" si="2"/>
        <v>4112</v>
      </c>
      <c r="AC39" s="554">
        <f t="shared" si="2"/>
        <v>97393</v>
      </c>
      <c r="AD39" s="554">
        <f t="shared" si="2"/>
        <v>2047</v>
      </c>
      <c r="AE39" s="554">
        <f t="shared" si="2"/>
        <v>1695.2878580000001</v>
      </c>
      <c r="AF39" s="554">
        <f t="shared" si="2"/>
        <v>319415.68799999997</v>
      </c>
      <c r="AG39" s="554">
        <f t="shared" si="2"/>
        <v>249219.99999999997</v>
      </c>
      <c r="AH39" s="554">
        <f t="shared" si="2"/>
        <v>0</v>
      </c>
      <c r="AI39" s="554">
        <f t="shared" si="2"/>
        <v>332</v>
      </c>
      <c r="AJ39" s="554">
        <f t="shared" si="2"/>
        <v>0</v>
      </c>
      <c r="AK39" s="596">
        <f t="shared" si="0"/>
        <v>1616020.0941679999</v>
      </c>
    </row>
    <row r="40" spans="1:37" s="61" customFormat="1" ht="18.75" customHeight="1" x14ac:dyDescent="0.3">
      <c r="A40" s="720"/>
      <c r="B40" s="549" t="s">
        <v>294</v>
      </c>
      <c r="C40" s="550">
        <f t="shared" si="1"/>
        <v>74153</v>
      </c>
      <c r="D40" s="550">
        <f t="shared" ref="D40:AJ40" si="3">+D8+D16+D24+D32</f>
        <v>0</v>
      </c>
      <c r="E40" s="550">
        <f t="shared" si="3"/>
        <v>269403.22158000001</v>
      </c>
      <c r="F40" s="550">
        <f t="shared" si="3"/>
        <v>10359</v>
      </c>
      <c r="G40" s="550">
        <f t="shared" si="3"/>
        <v>1255</v>
      </c>
      <c r="H40" s="550">
        <f t="shared" si="3"/>
        <v>5116</v>
      </c>
      <c r="I40" s="550">
        <f t="shared" si="3"/>
        <v>551</v>
      </c>
      <c r="J40" s="550">
        <f t="shared" si="3"/>
        <v>161</v>
      </c>
      <c r="K40" s="550">
        <f t="shared" si="3"/>
        <v>13529</v>
      </c>
      <c r="L40" s="550">
        <f t="shared" si="3"/>
        <v>5682</v>
      </c>
      <c r="M40" s="550">
        <f t="shared" si="3"/>
        <v>171035</v>
      </c>
      <c r="N40" s="550">
        <f t="shared" si="3"/>
        <v>953</v>
      </c>
      <c r="O40" s="550">
        <f t="shared" si="3"/>
        <v>11566</v>
      </c>
      <c r="P40" s="550">
        <f t="shared" si="3"/>
        <v>10212</v>
      </c>
      <c r="Q40" s="550">
        <f t="shared" si="3"/>
        <v>4874.6000000000004</v>
      </c>
      <c r="R40" s="550">
        <f t="shared" si="3"/>
        <v>175528</v>
      </c>
      <c r="S40" s="550">
        <f t="shared" si="3"/>
        <v>2087.6999999999998</v>
      </c>
      <c r="T40" s="564">
        <f t="shared" si="3"/>
        <v>92516</v>
      </c>
      <c r="U40" s="659">
        <f t="shared" si="3"/>
        <v>23</v>
      </c>
      <c r="V40" s="550">
        <f t="shared" si="3"/>
        <v>79640</v>
      </c>
      <c r="W40" s="550">
        <f t="shared" si="3"/>
        <v>3189.0630000000001</v>
      </c>
      <c r="X40" s="550">
        <f t="shared" si="3"/>
        <v>108834.47799999999</v>
      </c>
      <c r="Y40" s="550">
        <f t="shared" si="3"/>
        <v>93534</v>
      </c>
      <c r="Z40" s="550">
        <f t="shared" si="3"/>
        <v>60209.587</v>
      </c>
      <c r="AA40" s="550">
        <f t="shared" si="3"/>
        <v>880</v>
      </c>
      <c r="AB40" s="550">
        <f t="shared" si="3"/>
        <v>1942</v>
      </c>
      <c r="AC40" s="550">
        <f t="shared" si="3"/>
        <v>98580</v>
      </c>
      <c r="AD40" s="550">
        <f t="shared" si="3"/>
        <v>3602</v>
      </c>
      <c r="AE40" s="550">
        <f t="shared" si="3"/>
        <v>1615.563670411985</v>
      </c>
      <c r="AF40" s="550">
        <f t="shared" si="3"/>
        <v>1242026.6440000001</v>
      </c>
      <c r="AG40" s="550">
        <f t="shared" si="3"/>
        <v>266608.31500000006</v>
      </c>
      <c r="AH40" s="550">
        <f t="shared" si="3"/>
        <v>0</v>
      </c>
      <c r="AI40" s="550">
        <f t="shared" si="3"/>
        <v>397</v>
      </c>
      <c r="AJ40" s="550">
        <f t="shared" si="3"/>
        <v>629.35384615384612</v>
      </c>
      <c r="AK40" s="592">
        <f t="shared" si="0"/>
        <v>2810692.5260965656</v>
      </c>
    </row>
    <row r="41" spans="1:37" s="61" customFormat="1" ht="18.75" customHeight="1" x14ac:dyDescent="0.3">
      <c r="A41" s="720"/>
      <c r="B41" s="559" t="s">
        <v>326</v>
      </c>
      <c r="C41" s="560">
        <f t="shared" si="1"/>
        <v>115598</v>
      </c>
      <c r="D41" s="560">
        <f t="shared" ref="D41:AJ41" si="4">+D9+D17+D25+D33</f>
        <v>0</v>
      </c>
      <c r="E41" s="560">
        <f t="shared" si="4"/>
        <v>120712.90827</v>
      </c>
      <c r="F41" s="560">
        <f t="shared" si="4"/>
        <v>11810</v>
      </c>
      <c r="G41" s="560">
        <f t="shared" si="4"/>
        <v>0</v>
      </c>
      <c r="H41" s="560">
        <f t="shared" si="4"/>
        <v>3903</v>
      </c>
      <c r="I41" s="560">
        <f t="shared" si="4"/>
        <v>1073</v>
      </c>
      <c r="J41" s="560">
        <f t="shared" si="4"/>
        <v>12213</v>
      </c>
      <c r="K41" s="560">
        <f t="shared" si="4"/>
        <v>15409</v>
      </c>
      <c r="L41" s="560">
        <f t="shared" si="4"/>
        <v>5192.7999999999993</v>
      </c>
      <c r="M41" s="560">
        <f t="shared" si="4"/>
        <v>276409</v>
      </c>
      <c r="N41" s="560">
        <f t="shared" si="4"/>
        <v>3120</v>
      </c>
      <c r="O41" s="560">
        <f t="shared" si="4"/>
        <v>1696</v>
      </c>
      <c r="P41" s="560">
        <f t="shared" si="4"/>
        <v>8535</v>
      </c>
      <c r="Q41" s="560">
        <f t="shared" si="4"/>
        <v>3213.45</v>
      </c>
      <c r="R41" s="560">
        <f t="shared" si="4"/>
        <v>430630</v>
      </c>
      <c r="S41" s="560">
        <f t="shared" si="4"/>
        <v>4699.3</v>
      </c>
      <c r="T41" s="565">
        <f t="shared" si="4"/>
        <v>62612</v>
      </c>
      <c r="U41" s="657">
        <f t="shared" si="4"/>
        <v>943</v>
      </c>
      <c r="V41" s="560">
        <f t="shared" si="4"/>
        <v>134416</v>
      </c>
      <c r="W41" s="560">
        <f t="shared" si="4"/>
        <v>55371.296000000002</v>
      </c>
      <c r="X41" s="560">
        <f t="shared" si="4"/>
        <v>110361.132</v>
      </c>
      <c r="Y41" s="560">
        <f t="shared" si="4"/>
        <v>133657</v>
      </c>
      <c r="Z41" s="560">
        <f t="shared" si="4"/>
        <v>73332.65400000001</v>
      </c>
      <c r="AA41" s="560">
        <f t="shared" si="4"/>
        <v>1519</v>
      </c>
      <c r="AB41" s="560">
        <f t="shared" si="4"/>
        <v>3791</v>
      </c>
      <c r="AC41" s="560">
        <f t="shared" si="4"/>
        <v>109077</v>
      </c>
      <c r="AD41" s="560">
        <f t="shared" si="4"/>
        <v>2899</v>
      </c>
      <c r="AE41" s="560">
        <f t="shared" si="4"/>
        <v>3379.8454545454547</v>
      </c>
      <c r="AF41" s="560">
        <f t="shared" si="4"/>
        <v>1368894.8230000001</v>
      </c>
      <c r="AG41" s="560">
        <f t="shared" si="4"/>
        <v>287320.78000000003</v>
      </c>
      <c r="AH41" s="560">
        <f t="shared" si="4"/>
        <v>451</v>
      </c>
      <c r="AI41" s="560">
        <f t="shared" si="4"/>
        <v>45</v>
      </c>
      <c r="AJ41" s="560">
        <f t="shared" si="4"/>
        <v>0</v>
      </c>
      <c r="AK41" s="593">
        <f t="shared" si="0"/>
        <v>3362284.9887245456</v>
      </c>
    </row>
    <row r="42" spans="1:37" s="61" customFormat="1" ht="18.75" customHeight="1" x14ac:dyDescent="0.3">
      <c r="A42" s="720"/>
      <c r="B42" s="561" t="s">
        <v>327</v>
      </c>
      <c r="C42" s="562">
        <f t="shared" si="1"/>
        <v>218791</v>
      </c>
      <c r="D42" s="562">
        <f t="shared" ref="D42:AJ42" si="5">+D10+D18+D26+D34</f>
        <v>0</v>
      </c>
      <c r="E42" s="562">
        <f t="shared" si="5"/>
        <v>110150.26330000001</v>
      </c>
      <c r="F42" s="562">
        <f t="shared" si="5"/>
        <v>8328</v>
      </c>
      <c r="G42" s="562">
        <f t="shared" si="5"/>
        <v>319</v>
      </c>
      <c r="H42" s="562">
        <f t="shared" si="5"/>
        <v>7196</v>
      </c>
      <c r="I42" s="562">
        <f t="shared" si="5"/>
        <v>14</v>
      </c>
      <c r="J42" s="562">
        <f t="shared" si="5"/>
        <v>2275</v>
      </c>
      <c r="K42" s="562">
        <f t="shared" si="5"/>
        <v>17014</v>
      </c>
      <c r="L42" s="562">
        <f t="shared" si="5"/>
        <v>9786</v>
      </c>
      <c r="M42" s="562">
        <f t="shared" si="5"/>
        <v>441710</v>
      </c>
      <c r="N42" s="562">
        <f t="shared" si="5"/>
        <v>4252</v>
      </c>
      <c r="O42" s="562">
        <f t="shared" si="5"/>
        <v>1880</v>
      </c>
      <c r="P42" s="562">
        <f t="shared" si="5"/>
        <v>8815</v>
      </c>
      <c r="Q42" s="562">
        <f t="shared" si="5"/>
        <v>3521.5999999999995</v>
      </c>
      <c r="R42" s="562">
        <f t="shared" si="5"/>
        <v>741508</v>
      </c>
      <c r="S42" s="562">
        <f t="shared" si="5"/>
        <v>5113.3</v>
      </c>
      <c r="T42" s="566">
        <f t="shared" si="5"/>
        <v>61397</v>
      </c>
      <c r="U42" s="658">
        <f t="shared" si="5"/>
        <v>577</v>
      </c>
      <c r="V42" s="562">
        <f t="shared" si="5"/>
        <v>120087</v>
      </c>
      <c r="W42" s="562">
        <f t="shared" si="5"/>
        <v>60628.624000000003</v>
      </c>
      <c r="X42" s="562">
        <f t="shared" si="5"/>
        <v>120606.603</v>
      </c>
      <c r="Y42" s="562">
        <f t="shared" si="5"/>
        <v>253240</v>
      </c>
      <c r="Z42" s="562">
        <f t="shared" si="5"/>
        <v>78107.699000000008</v>
      </c>
      <c r="AA42" s="562">
        <f t="shared" si="5"/>
        <v>2317</v>
      </c>
      <c r="AB42" s="562">
        <f t="shared" si="5"/>
        <v>14690</v>
      </c>
      <c r="AC42" s="562">
        <f t="shared" si="5"/>
        <v>163556</v>
      </c>
      <c r="AD42" s="562">
        <f t="shared" si="5"/>
        <v>4575</v>
      </c>
      <c r="AE42" s="562">
        <f t="shared" si="5"/>
        <v>986.09196449704143</v>
      </c>
      <c r="AF42" s="562">
        <f t="shared" si="5"/>
        <v>390833.11599999998</v>
      </c>
      <c r="AG42" s="562">
        <f t="shared" si="5"/>
        <v>442897.70700000005</v>
      </c>
      <c r="AH42" s="562">
        <f t="shared" si="5"/>
        <v>309</v>
      </c>
      <c r="AI42" s="562">
        <f t="shared" si="5"/>
        <v>927</v>
      </c>
      <c r="AJ42" s="562">
        <f t="shared" si="5"/>
        <v>158.49618320610685</v>
      </c>
      <c r="AK42" s="594">
        <f t="shared" si="0"/>
        <v>3296566.5004477035</v>
      </c>
    </row>
    <row r="43" spans="1:37" s="61" customFormat="1" ht="18.75" customHeight="1" x14ac:dyDescent="0.3">
      <c r="A43" s="720"/>
      <c r="B43" s="551" t="s">
        <v>361</v>
      </c>
      <c r="C43" s="552">
        <f t="shared" si="1"/>
        <v>145181</v>
      </c>
      <c r="D43" s="552">
        <f t="shared" ref="D43:AJ43" si="6">+D11+D19+D27+D35</f>
        <v>0</v>
      </c>
      <c r="E43" s="552">
        <f t="shared" si="6"/>
        <v>212762.33463</v>
      </c>
      <c r="F43" s="552">
        <f t="shared" si="6"/>
        <v>5438</v>
      </c>
      <c r="G43" s="552">
        <f t="shared" si="6"/>
        <v>314</v>
      </c>
      <c r="H43" s="552">
        <f t="shared" si="6"/>
        <v>7023</v>
      </c>
      <c r="I43" s="552">
        <f t="shared" si="6"/>
        <v>638</v>
      </c>
      <c r="J43" s="552">
        <f t="shared" si="6"/>
        <v>21717</v>
      </c>
      <c r="K43" s="552">
        <f t="shared" si="6"/>
        <v>21613</v>
      </c>
      <c r="L43" s="552">
        <f t="shared" si="6"/>
        <v>8050.83</v>
      </c>
      <c r="M43" s="552">
        <f t="shared" si="6"/>
        <v>306777</v>
      </c>
      <c r="N43" s="552">
        <f t="shared" si="6"/>
        <v>5323</v>
      </c>
      <c r="O43" s="552">
        <f t="shared" si="6"/>
        <v>899</v>
      </c>
      <c r="P43" s="552">
        <f t="shared" si="6"/>
        <v>12244</v>
      </c>
      <c r="Q43" s="552">
        <f t="shared" si="6"/>
        <v>10092.799999999999</v>
      </c>
      <c r="R43" s="552">
        <f t="shared" si="6"/>
        <v>625309</v>
      </c>
      <c r="S43" s="552">
        <f t="shared" si="6"/>
        <v>6588.1</v>
      </c>
      <c r="T43" s="567">
        <f t="shared" si="6"/>
        <v>48213</v>
      </c>
      <c r="U43" s="656">
        <f t="shared" si="6"/>
        <v>1166</v>
      </c>
      <c r="V43" s="552">
        <f t="shared" si="6"/>
        <v>138668</v>
      </c>
      <c r="W43" s="552">
        <f t="shared" si="6"/>
        <v>63008.37</v>
      </c>
      <c r="X43" s="552">
        <f t="shared" si="6"/>
        <v>153900.42600000001</v>
      </c>
      <c r="Y43" s="552">
        <f t="shared" si="6"/>
        <v>358085</v>
      </c>
      <c r="Z43" s="552">
        <f t="shared" si="6"/>
        <v>39451.250379999998</v>
      </c>
      <c r="AA43" s="552">
        <f t="shared" si="6"/>
        <v>4485</v>
      </c>
      <c r="AB43" s="552">
        <f t="shared" si="6"/>
        <v>9143</v>
      </c>
      <c r="AC43" s="552">
        <f t="shared" si="6"/>
        <v>184431</v>
      </c>
      <c r="AD43" s="552">
        <f t="shared" si="6"/>
        <v>4076</v>
      </c>
      <c r="AE43" s="552">
        <f t="shared" si="6"/>
        <v>1139</v>
      </c>
      <c r="AF43" s="552">
        <f t="shared" si="6"/>
        <v>554099</v>
      </c>
      <c r="AG43" s="552">
        <f t="shared" si="6"/>
        <v>521033.86199999996</v>
      </c>
      <c r="AH43" s="552">
        <f t="shared" si="6"/>
        <v>307</v>
      </c>
      <c r="AI43" s="552">
        <f t="shared" si="6"/>
        <v>605</v>
      </c>
      <c r="AJ43" s="552">
        <f t="shared" si="6"/>
        <v>592.80991735537191</v>
      </c>
      <c r="AK43" s="592">
        <f t="shared" si="0"/>
        <v>3472373.7829273553</v>
      </c>
    </row>
    <row r="44" spans="1:37" s="61" customFormat="1" ht="18.75" customHeight="1" x14ac:dyDescent="0.3">
      <c r="A44" s="720"/>
      <c r="B44" s="549" t="s">
        <v>362</v>
      </c>
      <c r="C44" s="550">
        <f t="shared" si="1"/>
        <v>260690</v>
      </c>
      <c r="D44" s="550">
        <f t="shared" ref="D44:AJ44" si="7">+D12+D20+D28+D36</f>
        <v>2057</v>
      </c>
      <c r="E44" s="550">
        <f t="shared" si="7"/>
        <v>212523.3</v>
      </c>
      <c r="F44" s="550">
        <f t="shared" si="7"/>
        <v>14982</v>
      </c>
      <c r="G44" s="550">
        <f t="shared" si="7"/>
        <v>333</v>
      </c>
      <c r="H44" s="550">
        <f t="shared" si="7"/>
        <v>8252</v>
      </c>
      <c r="I44" s="550">
        <f t="shared" si="7"/>
        <v>1287</v>
      </c>
      <c r="J44" s="550">
        <f t="shared" si="7"/>
        <v>166934</v>
      </c>
      <c r="K44" s="550">
        <f t="shared" si="7"/>
        <v>38805</v>
      </c>
      <c r="L44" s="550">
        <f t="shared" si="7"/>
        <v>7883.3100000000013</v>
      </c>
      <c r="M44" s="550">
        <f t="shared" si="7"/>
        <v>346421</v>
      </c>
      <c r="N44" s="550">
        <f t="shared" si="7"/>
        <v>5154</v>
      </c>
      <c r="O44" s="550">
        <f t="shared" si="7"/>
        <v>1397</v>
      </c>
      <c r="P44" s="550">
        <f t="shared" si="7"/>
        <v>9885</v>
      </c>
      <c r="Q44" s="550">
        <f t="shared" si="7"/>
        <v>1020.2</v>
      </c>
      <c r="R44" s="550">
        <f t="shared" si="7"/>
        <v>675767</v>
      </c>
      <c r="S44" s="550">
        <f t="shared" si="7"/>
        <v>10221.799999999999</v>
      </c>
      <c r="T44" s="564">
        <f t="shared" si="7"/>
        <v>83334</v>
      </c>
      <c r="U44" s="659">
        <f t="shared" si="7"/>
        <v>1503</v>
      </c>
      <c r="V44" s="550">
        <f t="shared" si="7"/>
        <v>188043</v>
      </c>
      <c r="W44" s="550">
        <f t="shared" si="7"/>
        <v>49458.090000000011</v>
      </c>
      <c r="X44" s="550">
        <f t="shared" si="7"/>
        <v>185702.93799999999</v>
      </c>
      <c r="Y44" s="550">
        <f t="shared" si="7"/>
        <v>521903</v>
      </c>
      <c r="Z44" s="550">
        <f t="shared" si="7"/>
        <v>76846.64</v>
      </c>
      <c r="AA44" s="550">
        <f t="shared" si="7"/>
        <v>6210</v>
      </c>
      <c r="AB44" s="550">
        <f t="shared" si="7"/>
        <v>25825</v>
      </c>
      <c r="AC44" s="550">
        <f t="shared" si="7"/>
        <v>170242</v>
      </c>
      <c r="AD44" s="550">
        <f t="shared" si="7"/>
        <v>6650</v>
      </c>
      <c r="AE44" s="550">
        <f t="shared" si="7"/>
        <v>1239</v>
      </c>
      <c r="AF44" s="550">
        <f t="shared" si="7"/>
        <v>493643</v>
      </c>
      <c r="AG44" s="550">
        <f t="shared" si="7"/>
        <v>793863.01300000004</v>
      </c>
      <c r="AH44" s="550">
        <f t="shared" si="7"/>
        <v>96</v>
      </c>
      <c r="AI44" s="550">
        <f t="shared" si="7"/>
        <v>1388</v>
      </c>
      <c r="AJ44" s="550">
        <f t="shared" si="7"/>
        <v>1490.5803571428571</v>
      </c>
      <c r="AK44" s="592">
        <f t="shared" si="0"/>
        <v>4371049.8713571429</v>
      </c>
    </row>
    <row r="45" spans="1:37" s="61" customFormat="1" ht="18.75" customHeight="1" x14ac:dyDescent="0.3">
      <c r="A45" s="720"/>
      <c r="B45" s="559" t="s">
        <v>402</v>
      </c>
      <c r="C45" s="560">
        <f t="shared" si="1"/>
        <v>210872.18170000002</v>
      </c>
      <c r="D45" s="560">
        <f t="shared" ref="D45:AJ45" si="8">+D13+D21+D29+D37</f>
        <v>1232</v>
      </c>
      <c r="E45" s="560">
        <f t="shared" si="8"/>
        <v>287800.2</v>
      </c>
      <c r="F45" s="560">
        <f t="shared" si="8"/>
        <v>9739</v>
      </c>
      <c r="G45" s="560">
        <f t="shared" si="8"/>
        <v>0</v>
      </c>
      <c r="H45" s="560">
        <f t="shared" si="8"/>
        <v>0</v>
      </c>
      <c r="I45" s="560">
        <f t="shared" si="8"/>
        <v>662</v>
      </c>
      <c r="J45" s="560">
        <f t="shared" si="8"/>
        <v>89577</v>
      </c>
      <c r="K45" s="560">
        <f t="shared" si="8"/>
        <v>62847</v>
      </c>
      <c r="L45" s="560">
        <f t="shared" si="8"/>
        <v>12281.20657</v>
      </c>
      <c r="M45" s="560">
        <f t="shared" si="8"/>
        <v>0</v>
      </c>
      <c r="N45" s="560">
        <f t="shared" si="8"/>
        <v>1539</v>
      </c>
      <c r="O45" s="560">
        <f t="shared" si="8"/>
        <v>12539</v>
      </c>
      <c r="P45" s="560">
        <f t="shared" si="8"/>
        <v>11763</v>
      </c>
      <c r="Q45" s="560">
        <f t="shared" si="8"/>
        <v>5705</v>
      </c>
      <c r="R45" s="560">
        <f t="shared" si="8"/>
        <v>925267</v>
      </c>
      <c r="S45" s="560">
        <f t="shared" si="8"/>
        <v>30491.7</v>
      </c>
      <c r="T45" s="565">
        <f t="shared" si="8"/>
        <v>64587</v>
      </c>
      <c r="U45" s="657">
        <f t="shared" si="8"/>
        <v>509</v>
      </c>
      <c r="V45" s="560">
        <f t="shared" si="8"/>
        <v>182040</v>
      </c>
      <c r="W45" s="560">
        <f t="shared" si="8"/>
        <v>58226.366999999998</v>
      </c>
      <c r="X45" s="560">
        <f t="shared" si="8"/>
        <v>243767.72</v>
      </c>
      <c r="Y45" s="560">
        <f t="shared" si="8"/>
        <v>589627</v>
      </c>
      <c r="Z45" s="560">
        <f t="shared" si="8"/>
        <v>80515</v>
      </c>
      <c r="AA45" s="560">
        <f t="shared" si="8"/>
        <v>7394</v>
      </c>
      <c r="AB45" s="560">
        <f t="shared" si="8"/>
        <v>23641</v>
      </c>
      <c r="AC45" s="560">
        <f t="shared" si="8"/>
        <v>224552</v>
      </c>
      <c r="AD45" s="560">
        <f t="shared" si="8"/>
        <v>9354</v>
      </c>
      <c r="AE45" s="560">
        <f t="shared" si="8"/>
        <v>3857.26163</v>
      </c>
      <c r="AF45" s="560">
        <f t="shared" si="8"/>
        <v>754814.375</v>
      </c>
      <c r="AG45" s="560">
        <f t="shared" si="8"/>
        <v>618031.06149999995</v>
      </c>
      <c r="AH45" s="560">
        <f t="shared" si="8"/>
        <v>500</v>
      </c>
      <c r="AI45" s="560">
        <f t="shared" si="8"/>
        <v>5683.6842105263167</v>
      </c>
      <c r="AJ45" s="560">
        <f t="shared" si="8"/>
        <v>2086.9214285714284</v>
      </c>
      <c r="AK45" s="593">
        <f t="shared" si="0"/>
        <v>4531501.6790390983</v>
      </c>
    </row>
    <row r="46" spans="1:37" s="61" customFormat="1" ht="19.5" customHeight="1" thickBot="1" x14ac:dyDescent="0.35">
      <c r="A46" s="723"/>
      <c r="B46" s="597" t="s">
        <v>403</v>
      </c>
      <c r="C46" s="598">
        <f t="shared" si="1"/>
        <v>174588.30581000002</v>
      </c>
      <c r="D46" s="598">
        <f t="shared" ref="D46:AJ46" si="9">+D14+D22+D30+D38</f>
        <v>1656</v>
      </c>
      <c r="E46" s="598">
        <f t="shared" si="9"/>
        <v>480911.8</v>
      </c>
      <c r="F46" s="598">
        <f t="shared" si="9"/>
        <v>17256</v>
      </c>
      <c r="G46" s="598">
        <f t="shared" si="9"/>
        <v>0</v>
      </c>
      <c r="H46" s="598">
        <f t="shared" si="9"/>
        <v>0</v>
      </c>
      <c r="I46" s="598">
        <f t="shared" si="9"/>
        <v>837</v>
      </c>
      <c r="J46" s="598">
        <f t="shared" si="9"/>
        <v>95294</v>
      </c>
      <c r="K46" s="598">
        <f t="shared" si="9"/>
        <v>89569.1</v>
      </c>
      <c r="L46" s="598">
        <f t="shared" si="9"/>
        <v>8723.1368706999983</v>
      </c>
      <c r="M46" s="598">
        <f t="shared" si="9"/>
        <v>0</v>
      </c>
      <c r="N46" s="598">
        <f t="shared" si="9"/>
        <v>5060</v>
      </c>
      <c r="O46" s="598">
        <f t="shared" si="9"/>
        <v>2947</v>
      </c>
      <c r="P46" s="598">
        <f t="shared" si="9"/>
        <v>12339</v>
      </c>
      <c r="Q46" s="598">
        <f t="shared" si="9"/>
        <v>7487</v>
      </c>
      <c r="R46" s="598">
        <f t="shared" si="9"/>
        <v>1152139</v>
      </c>
      <c r="S46" s="598">
        <f t="shared" si="9"/>
        <v>39862.29</v>
      </c>
      <c r="T46" s="599">
        <f t="shared" si="9"/>
        <v>98967</v>
      </c>
      <c r="U46" s="661">
        <f t="shared" si="9"/>
        <v>3068</v>
      </c>
      <c r="V46" s="598">
        <f t="shared" si="9"/>
        <v>173890</v>
      </c>
      <c r="W46" s="598">
        <f t="shared" si="9"/>
        <v>40863.03</v>
      </c>
      <c r="X46" s="598">
        <f t="shared" si="9"/>
        <v>245854.60399999999</v>
      </c>
      <c r="Y46" s="598">
        <f t="shared" si="9"/>
        <v>589977</v>
      </c>
      <c r="Z46" s="598">
        <f t="shared" si="9"/>
        <v>80533</v>
      </c>
      <c r="AA46" s="598">
        <f t="shared" si="9"/>
        <v>4813.9000000000005</v>
      </c>
      <c r="AB46" s="598">
        <f t="shared" si="9"/>
        <v>33149</v>
      </c>
      <c r="AC46" s="598">
        <f t="shared" si="9"/>
        <v>220937</v>
      </c>
      <c r="AD46" s="598">
        <f t="shared" si="9"/>
        <v>9660</v>
      </c>
      <c r="AE46" s="598">
        <f t="shared" si="9"/>
        <v>3026.4218549350649</v>
      </c>
      <c r="AF46" s="598">
        <f t="shared" si="9"/>
        <v>821747.59299999999</v>
      </c>
      <c r="AG46" s="598">
        <f t="shared" si="9"/>
        <v>618031.06149999995</v>
      </c>
      <c r="AH46" s="598">
        <f t="shared" si="9"/>
        <v>0</v>
      </c>
      <c r="AI46" s="598">
        <f t="shared" si="9"/>
        <v>4123.1469194312795</v>
      </c>
      <c r="AJ46" s="598">
        <f t="shared" si="9"/>
        <v>4002.8928571428569</v>
      </c>
      <c r="AK46" s="600">
        <f t="shared" si="0"/>
        <v>5041313.2828122089</v>
      </c>
    </row>
    <row r="47" spans="1:37" ht="15.75" thickTop="1" x14ac:dyDescent="0.2"/>
  </sheetData>
  <protectedRanges>
    <protectedRange sqref="N7:N24 N29:N30 N37:N38" name="Range1_11"/>
    <protectedRange sqref="J7:J30 J33:J38" name="Range1_14"/>
    <protectedRange sqref="Q7:Q30 O33:O38 O7:O30 Q33:Q38" name="Range1_21"/>
    <protectedRange sqref="AF7:AF30 AF33:AF38" name="Range1_3_1"/>
    <protectedRange sqref="W7:W30 W33:W38" name="Range1_4_1"/>
    <protectedRange sqref="S7:S30 S33:S38" name="Range1_5_1"/>
    <protectedRange sqref="H7:H30 H33:H38" name="Range1_7_1"/>
    <protectedRange sqref="D33:D38 D7:D30" name="Range1_9_1"/>
    <protectedRange sqref="N25:N28" name="Range1"/>
    <protectedRange sqref="N33:N36" name="Range1_1"/>
    <protectedRange sqref="AD7:AD30 AD33:AD38" name="Range1_15_1"/>
    <protectedRange sqref="B7:B46" name="Range1_18_2"/>
    <protectedRange sqref="F7:F30 F33:F38" name="Range1_2_1"/>
  </protectedRanges>
  <mergeCells count="6">
    <mergeCell ref="A31:A38"/>
    <mergeCell ref="A39:A46"/>
    <mergeCell ref="C4:D4"/>
    <mergeCell ref="A7:A14"/>
    <mergeCell ref="A15:A22"/>
    <mergeCell ref="A23:A30"/>
  </mergeCells>
  <printOptions horizontalCentered="1"/>
  <pageMargins left="0.70866141732283472" right="0.70866141732283472" top="0.74803149606299213" bottom="0.74803149606299213" header="0.31496062992125984" footer="0.31496062992125984"/>
  <pageSetup scale="47" firstPageNumber="99" fitToWidth="2" orientation="landscape" useFirstPageNumber="1" r:id="rId1"/>
  <headerFooter alignWithMargins="0">
    <oddFooter>&amp;C&amp;16&amp;P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activeCell="B5" sqref="B5"/>
    </sheetView>
  </sheetViews>
  <sheetFormatPr defaultRowHeight="12.75" x14ac:dyDescent="0.2"/>
  <cols>
    <col min="1" max="1" width="3" style="78" bestFit="1" customWidth="1"/>
    <col min="2" max="2" width="80.85546875" style="78" customWidth="1"/>
    <col min="3" max="16384" width="9.140625" style="258"/>
  </cols>
  <sheetData>
    <row r="1" spans="1:5" x14ac:dyDescent="0.2">
      <c r="A1" s="338" t="s">
        <v>696</v>
      </c>
      <c r="B1" s="258"/>
    </row>
    <row r="4" spans="1:5" ht="30" customHeight="1" x14ac:dyDescent="0.2">
      <c r="A4" s="84" t="s">
        <v>95</v>
      </c>
      <c r="B4" s="581" t="s">
        <v>697</v>
      </c>
      <c r="C4" s="572"/>
      <c r="D4" s="572"/>
      <c r="E4" s="572"/>
    </row>
    <row r="5" spans="1:5" ht="18" customHeight="1" x14ac:dyDescent="0.2">
      <c r="A5" s="573"/>
      <c r="B5" s="582" t="s">
        <v>698</v>
      </c>
      <c r="C5" s="574"/>
      <c r="D5" s="574"/>
      <c r="E5" s="574"/>
    </row>
    <row r="6" spans="1:5" ht="18" customHeight="1" x14ac:dyDescent="0.2">
      <c r="A6" s="573"/>
      <c r="B6" s="582" t="s">
        <v>706</v>
      </c>
      <c r="C6" s="574"/>
      <c r="D6" s="574"/>
      <c r="E6" s="574"/>
    </row>
    <row r="7" spans="1:5" ht="30" customHeight="1" x14ac:dyDescent="0.2">
      <c r="A7" s="84"/>
      <c r="B7" s="581" t="s">
        <v>707</v>
      </c>
      <c r="C7" s="572"/>
      <c r="D7" s="572"/>
      <c r="E7" s="572"/>
    </row>
    <row r="8" spans="1:5" ht="30" customHeight="1" x14ac:dyDescent="0.2">
      <c r="A8" s="84"/>
      <c r="B8" s="581" t="s">
        <v>708</v>
      </c>
      <c r="C8" s="572"/>
      <c r="D8" s="572"/>
      <c r="E8" s="572"/>
    </row>
    <row r="9" spans="1:5" ht="30" customHeight="1" x14ac:dyDescent="0.2">
      <c r="A9" s="84"/>
      <c r="B9" s="581" t="s">
        <v>709</v>
      </c>
      <c r="C9" s="572"/>
      <c r="D9" s="572"/>
      <c r="E9" s="572"/>
    </row>
    <row r="10" spans="1:5" x14ac:dyDescent="0.2">
      <c r="A10" s="575"/>
      <c r="B10" s="575"/>
    </row>
    <row r="11" spans="1:5" x14ac:dyDescent="0.2">
      <c r="A11" s="573"/>
      <c r="B11" s="576" t="s">
        <v>699</v>
      </c>
    </row>
    <row r="12" spans="1:5" x14ac:dyDescent="0.2">
      <c r="A12" s="573"/>
      <c r="B12" s="576"/>
    </row>
    <row r="13" spans="1:5" x14ac:dyDescent="0.2">
      <c r="A13" s="577"/>
      <c r="B13" s="576"/>
    </row>
    <row r="14" spans="1:5" x14ac:dyDescent="0.2">
      <c r="A14" s="575"/>
      <c r="B14" s="575"/>
    </row>
    <row r="15" spans="1:5" x14ac:dyDescent="0.2">
      <c r="A15" s="577"/>
      <c r="B15" s="576"/>
    </row>
    <row r="16" spans="1:5" x14ac:dyDescent="0.2">
      <c r="A16" s="575"/>
      <c r="B16" s="575"/>
    </row>
    <row r="17" spans="1:2" x14ac:dyDescent="0.2">
      <c r="A17" s="577"/>
      <c r="B17" s="576"/>
    </row>
    <row r="18" spans="1:2" x14ac:dyDescent="0.2">
      <c r="A18" s="577"/>
      <c r="B18" s="576"/>
    </row>
    <row r="20" spans="1:2" x14ac:dyDescent="0.2">
      <c r="B20" s="576"/>
    </row>
    <row r="24" spans="1:2" x14ac:dyDescent="0.2">
      <c r="A24" s="578"/>
    </row>
    <row r="25" spans="1:2" x14ac:dyDescent="0.2">
      <c r="A25" s="578"/>
      <c r="B25" s="579"/>
    </row>
    <row r="26" spans="1:2" x14ac:dyDescent="0.2">
      <c r="A26" s="578"/>
      <c r="B26" s="579"/>
    </row>
    <row r="27" spans="1:2" x14ac:dyDescent="0.2">
      <c r="A27" s="578"/>
      <c r="B27" s="579"/>
    </row>
    <row r="28" spans="1:2" x14ac:dyDescent="0.2">
      <c r="A28" s="580"/>
      <c r="B28" s="85"/>
    </row>
    <row r="29" spans="1:2" x14ac:dyDescent="0.2">
      <c r="A29" s="578"/>
      <c r="B29" s="579"/>
    </row>
  </sheetData>
  <pageMargins left="0.70866141732283472" right="0.70866141732283472" top="0.74803149606299213" bottom="0.74803149606299213" header="0.31496062992125984" footer="0.31496062992125984"/>
  <pageSetup firstPageNumber="101" orientation="portrait" useFirstPageNumber="1" r:id="rId1"/>
  <headerFooter alignWithMargins="0">
    <oddFooter>&amp;C&amp;12&amp;P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3"/>
  <sheetViews>
    <sheetView zoomScale="75" zoomScaleNormal="75" zoomScaleSheetLayoutView="85" workbookViewId="0">
      <pane xSplit="1" ySplit="5" topLeftCell="W6" activePane="bottomRight" state="frozen"/>
      <selection pane="topRight" activeCell="B1" sqref="B1"/>
      <selection pane="bottomLeft" activeCell="A6" sqref="A6"/>
      <selection pane="bottomRight" activeCell="AF11" sqref="AF11"/>
    </sheetView>
  </sheetViews>
  <sheetFormatPr defaultColWidth="17.140625" defaultRowHeight="18.75" x14ac:dyDescent="0.2"/>
  <cols>
    <col min="1" max="1" width="30.7109375" style="65" customWidth="1"/>
    <col min="2" max="2" width="15.140625" style="71" customWidth="1"/>
    <col min="3" max="3" width="16.140625" style="71" customWidth="1"/>
    <col min="4" max="4" width="15.140625" style="71" customWidth="1"/>
    <col min="5" max="5" width="16.140625" style="71" customWidth="1"/>
    <col min="6" max="6" width="15.7109375" style="71" customWidth="1"/>
    <col min="7" max="8" width="15.140625" style="71" customWidth="1"/>
    <col min="9" max="11" width="16.42578125" style="71" customWidth="1"/>
    <col min="12" max="12" width="15.140625" style="71" customWidth="1"/>
    <col min="13" max="13" width="17.140625" style="71" customWidth="1"/>
    <col min="14" max="15" width="15.7109375" style="71" customWidth="1"/>
    <col min="16" max="16" width="15.140625" style="71" customWidth="1"/>
    <col min="17" max="17" width="15.7109375" style="71" customWidth="1"/>
    <col min="18" max="18" width="17.85546875" style="71" customWidth="1"/>
    <col min="19" max="19" width="16.140625" style="71" customWidth="1"/>
    <col min="20" max="20" width="15.140625" style="71" customWidth="1"/>
    <col min="21" max="21" width="16.5703125" style="71" customWidth="1"/>
    <col min="22" max="23" width="15.7109375" style="71" customWidth="1"/>
    <col min="24" max="24" width="15.140625" style="71" customWidth="1"/>
    <col min="25" max="25" width="15.7109375" style="71" customWidth="1"/>
    <col min="26" max="26" width="17.85546875" style="71" customWidth="1"/>
    <col min="27" max="27" width="16.140625" style="71" customWidth="1"/>
    <col min="28" max="28" width="15.140625" style="71" customWidth="1"/>
    <col min="29" max="29" width="16.5703125" style="71" customWidth="1"/>
    <col min="30" max="30" width="15.140625" style="71" customWidth="1"/>
    <col min="31" max="31" width="16.140625" style="71" customWidth="1"/>
    <col min="32" max="32" width="15.140625" style="71" customWidth="1"/>
    <col min="33" max="33" width="16.42578125" style="71" customWidth="1"/>
    <col min="34" max="16384" width="17.140625" style="420"/>
  </cols>
  <sheetData>
    <row r="1" spans="1:33" ht="27" customHeight="1" x14ac:dyDescent="0.2">
      <c r="A1" s="71"/>
      <c r="B1" s="182" t="s">
        <v>406</v>
      </c>
      <c r="C1" s="182"/>
      <c r="D1" s="182"/>
      <c r="E1" s="182"/>
      <c r="F1" s="182"/>
      <c r="G1" s="182"/>
      <c r="H1" s="182"/>
      <c r="I1" s="182"/>
      <c r="J1" s="182" t="s">
        <v>406</v>
      </c>
      <c r="K1" s="182"/>
      <c r="L1" s="182"/>
      <c r="M1" s="182"/>
      <c r="N1" s="182"/>
      <c r="O1" s="182"/>
      <c r="P1" s="182"/>
      <c r="Q1" s="182"/>
      <c r="R1" s="182" t="s">
        <v>406</v>
      </c>
      <c r="S1" s="182"/>
      <c r="T1" s="182"/>
      <c r="U1" s="182"/>
      <c r="V1" s="182"/>
      <c r="W1" s="182"/>
      <c r="X1" s="182"/>
      <c r="Y1" s="182"/>
      <c r="Z1" s="182" t="s">
        <v>406</v>
      </c>
      <c r="AA1" s="182"/>
      <c r="AB1" s="182"/>
      <c r="AC1" s="182"/>
      <c r="AD1" s="182"/>
      <c r="AE1" s="182"/>
      <c r="AF1" s="182"/>
      <c r="AG1" s="182"/>
    </row>
    <row r="2" spans="1:33" ht="18.75" customHeight="1" x14ac:dyDescent="0.3">
      <c r="A2" s="71"/>
      <c r="B2" s="183" t="s">
        <v>82</v>
      </c>
      <c r="C2" s="183"/>
      <c r="D2" s="183"/>
      <c r="E2" s="183"/>
      <c r="F2" s="183"/>
      <c r="G2" s="183"/>
      <c r="H2" s="183"/>
      <c r="I2" s="183"/>
      <c r="J2" s="183" t="s">
        <v>82</v>
      </c>
      <c r="K2" s="183"/>
      <c r="L2" s="183"/>
      <c r="M2" s="183"/>
      <c r="N2" s="183"/>
      <c r="O2" s="183"/>
      <c r="P2" s="183"/>
      <c r="Q2" s="183"/>
      <c r="R2" s="183" t="s">
        <v>82</v>
      </c>
      <c r="S2" s="183"/>
      <c r="T2" s="183"/>
      <c r="U2" s="183"/>
      <c r="V2" s="183"/>
      <c r="W2" s="183"/>
      <c r="X2" s="183"/>
      <c r="Y2" s="183"/>
      <c r="Z2" s="183" t="s">
        <v>82</v>
      </c>
      <c r="AA2" s="183"/>
      <c r="AB2" s="183"/>
      <c r="AC2" s="183"/>
      <c r="AD2" s="183"/>
      <c r="AE2" s="183"/>
      <c r="AF2" s="183"/>
      <c r="AG2" s="183"/>
    </row>
    <row r="3" spans="1:33" ht="19.5" thickBot="1" x14ac:dyDescent="0.25">
      <c r="A3" s="73"/>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row>
    <row r="4" spans="1:33" s="421" customFormat="1" ht="18.75" customHeight="1" x14ac:dyDescent="0.2">
      <c r="A4" s="191" t="s">
        <v>83</v>
      </c>
      <c r="B4" s="726">
        <v>2002</v>
      </c>
      <c r="C4" s="727"/>
      <c r="D4" s="727"/>
      <c r="E4" s="728"/>
      <c r="F4" s="726">
        <v>2003</v>
      </c>
      <c r="G4" s="727"/>
      <c r="H4" s="727"/>
      <c r="I4" s="728"/>
      <c r="J4" s="726">
        <v>2004</v>
      </c>
      <c r="K4" s="727"/>
      <c r="L4" s="727"/>
      <c r="M4" s="728"/>
      <c r="N4" s="726">
        <v>2005</v>
      </c>
      <c r="O4" s="727"/>
      <c r="P4" s="727"/>
      <c r="Q4" s="728"/>
      <c r="R4" s="726">
        <v>2006</v>
      </c>
      <c r="S4" s="727"/>
      <c r="T4" s="727"/>
      <c r="U4" s="728"/>
      <c r="V4" s="726">
        <v>2007</v>
      </c>
      <c r="W4" s="727"/>
      <c r="X4" s="727"/>
      <c r="Y4" s="728"/>
      <c r="Z4" s="726">
        <v>2008</v>
      </c>
      <c r="AA4" s="727"/>
      <c r="AB4" s="727"/>
      <c r="AC4" s="728"/>
      <c r="AD4" s="726">
        <v>2009</v>
      </c>
      <c r="AE4" s="727"/>
      <c r="AF4" s="727"/>
      <c r="AG4" s="728"/>
    </row>
    <row r="5" spans="1:33" ht="19.5" customHeight="1" thickBot="1" x14ac:dyDescent="0.25">
      <c r="A5" s="192"/>
      <c r="B5" s="422" t="s">
        <v>323</v>
      </c>
      <c r="C5" s="423" t="s">
        <v>324</v>
      </c>
      <c r="D5" s="423" t="s">
        <v>322</v>
      </c>
      <c r="E5" s="424" t="s">
        <v>325</v>
      </c>
      <c r="F5" s="422" t="s">
        <v>323</v>
      </c>
      <c r="G5" s="423" t="s">
        <v>324</v>
      </c>
      <c r="H5" s="425" t="s">
        <v>322</v>
      </c>
      <c r="I5" s="426" t="s">
        <v>325</v>
      </c>
      <c r="J5" s="422" t="s">
        <v>323</v>
      </c>
      <c r="K5" s="423" t="s">
        <v>324</v>
      </c>
      <c r="L5" s="423" t="s">
        <v>322</v>
      </c>
      <c r="M5" s="424" t="s">
        <v>325</v>
      </c>
      <c r="N5" s="422" t="s">
        <v>323</v>
      </c>
      <c r="O5" s="423" t="s">
        <v>324</v>
      </c>
      <c r="P5" s="423" t="s">
        <v>322</v>
      </c>
      <c r="Q5" s="424" t="s">
        <v>325</v>
      </c>
      <c r="R5" s="422" t="s">
        <v>323</v>
      </c>
      <c r="S5" s="423" t="s">
        <v>324</v>
      </c>
      <c r="T5" s="423" t="s">
        <v>322</v>
      </c>
      <c r="U5" s="424" t="s">
        <v>325</v>
      </c>
      <c r="V5" s="422" t="s">
        <v>323</v>
      </c>
      <c r="W5" s="423" t="s">
        <v>324</v>
      </c>
      <c r="X5" s="423" t="s">
        <v>322</v>
      </c>
      <c r="Y5" s="424" t="s">
        <v>325</v>
      </c>
      <c r="Z5" s="422" t="s">
        <v>323</v>
      </c>
      <c r="AA5" s="423" t="s">
        <v>324</v>
      </c>
      <c r="AB5" s="423" t="s">
        <v>322</v>
      </c>
      <c r="AC5" s="424" t="s">
        <v>325</v>
      </c>
      <c r="AD5" s="422" t="s">
        <v>323</v>
      </c>
      <c r="AE5" s="423" t="s">
        <v>324</v>
      </c>
      <c r="AF5" s="423" t="s">
        <v>322</v>
      </c>
      <c r="AG5" s="424" t="s">
        <v>325</v>
      </c>
    </row>
    <row r="6" spans="1:33" ht="33" customHeight="1" x14ac:dyDescent="0.3">
      <c r="A6" s="193" t="s">
        <v>84</v>
      </c>
      <c r="B6" s="196"/>
      <c r="C6" s="129"/>
      <c r="D6" s="129"/>
      <c r="E6" s="195">
        <v>2203432500</v>
      </c>
      <c r="F6" s="196"/>
      <c r="G6" s="129"/>
      <c r="H6" s="129"/>
      <c r="I6" s="195">
        <v>2203432500</v>
      </c>
      <c r="J6" s="196"/>
      <c r="K6" s="129"/>
      <c r="L6" s="129"/>
      <c r="M6" s="195">
        <v>2659397000</v>
      </c>
      <c r="N6" s="196"/>
      <c r="O6" s="129"/>
      <c r="P6" s="129"/>
      <c r="Q6" s="195">
        <v>2659397000</v>
      </c>
      <c r="R6" s="196"/>
      <c r="S6" s="129"/>
      <c r="T6" s="129"/>
      <c r="U6" s="195">
        <v>2976978000</v>
      </c>
      <c r="V6" s="196"/>
      <c r="W6" s="129"/>
      <c r="X6" s="129"/>
      <c r="Y6" s="195">
        <v>3867587000</v>
      </c>
      <c r="Z6" s="196"/>
      <c r="AA6" s="129"/>
      <c r="AB6" s="129"/>
      <c r="AC6" s="195">
        <v>4138652000</v>
      </c>
      <c r="AD6" s="196"/>
      <c r="AE6" s="129"/>
      <c r="AF6" s="129"/>
      <c r="AG6" s="195">
        <f>9275034000-4138652000</f>
        <v>5136382000</v>
      </c>
    </row>
    <row r="7" spans="1:33" ht="45.75" customHeight="1" x14ac:dyDescent="0.3">
      <c r="A7" s="427" t="s">
        <v>598</v>
      </c>
      <c r="B7" s="428">
        <v>2514351000</v>
      </c>
      <c r="C7" s="429">
        <v>53718000</v>
      </c>
      <c r="D7" s="429">
        <v>3573000</v>
      </c>
      <c r="E7" s="430">
        <v>2571642000</v>
      </c>
      <c r="F7" s="428">
        <v>2440429000</v>
      </c>
      <c r="G7" s="429">
        <v>54643000</v>
      </c>
      <c r="H7" s="429">
        <v>5751000</v>
      </c>
      <c r="I7" s="430">
        <v>2500823000</v>
      </c>
      <c r="J7" s="428">
        <v>2905443000</v>
      </c>
      <c r="K7" s="429">
        <v>21067000</v>
      </c>
      <c r="L7" s="429">
        <v>7297000</v>
      </c>
      <c r="M7" s="430">
        <v>2933807000</v>
      </c>
      <c r="N7" s="428">
        <v>4042326300</v>
      </c>
      <c r="O7" s="429">
        <v>23445700</v>
      </c>
      <c r="P7" s="429">
        <v>8534000</v>
      </c>
      <c r="Q7" s="430">
        <v>4074306000</v>
      </c>
      <c r="R7" s="428">
        <v>4553020000</v>
      </c>
      <c r="S7" s="429">
        <v>21199000</v>
      </c>
      <c r="T7" s="429">
        <v>8540000</v>
      </c>
      <c r="U7" s="430">
        <v>4582759000</v>
      </c>
      <c r="V7" s="428">
        <v>5119536000</v>
      </c>
      <c r="W7" s="429">
        <v>21415000</v>
      </c>
      <c r="X7" s="429">
        <v>7162000</v>
      </c>
      <c r="Y7" s="430">
        <v>5148113000</v>
      </c>
      <c r="Z7" s="428">
        <f>AC7-AB7-AA7</f>
        <v>6233214000</v>
      </c>
      <c r="AA7" s="429">
        <f>32607000-AB7</f>
        <v>23951000</v>
      </c>
      <c r="AB7" s="429">
        <v>8656000</v>
      </c>
      <c r="AC7" s="430">
        <v>6265821000</v>
      </c>
      <c r="AD7" s="428">
        <f>AG7-AE7-AF7</f>
        <v>7087014000</v>
      </c>
      <c r="AE7" s="429">
        <f>33544000-AF7</f>
        <v>24765000</v>
      </c>
      <c r="AF7" s="429">
        <v>8779000</v>
      </c>
      <c r="AG7" s="430">
        <v>7120558000</v>
      </c>
    </row>
    <row r="8" spans="1:33" ht="33" customHeight="1" x14ac:dyDescent="0.3">
      <c r="A8" s="194" t="s">
        <v>41</v>
      </c>
      <c r="B8" s="196">
        <v>71727256</v>
      </c>
      <c r="C8" s="129"/>
      <c r="D8" s="129"/>
      <c r="E8" s="195">
        <f>SUM(B8:D8)</f>
        <v>71727256</v>
      </c>
      <c r="F8" s="196">
        <v>86660008</v>
      </c>
      <c r="G8" s="129"/>
      <c r="H8" s="129"/>
      <c r="I8" s="195">
        <f>SUM(F8:H8)</f>
        <v>86660008</v>
      </c>
      <c r="J8" s="196">
        <v>83720338</v>
      </c>
      <c r="K8" s="129"/>
      <c r="L8" s="129"/>
      <c r="M8" s="195">
        <f>SUM(J8:L8)</f>
        <v>83720338</v>
      </c>
      <c r="N8" s="196">
        <v>102501901</v>
      </c>
      <c r="O8" s="129">
        <f>81035+15053.86+85292.61</f>
        <v>181381.47</v>
      </c>
      <c r="P8" s="129"/>
      <c r="Q8" s="195">
        <f>SUM(N8:P8)</f>
        <v>102683282.47</v>
      </c>
      <c r="R8" s="196">
        <v>95282268</v>
      </c>
      <c r="S8" s="129">
        <v>145301</v>
      </c>
      <c r="T8" s="129"/>
      <c r="U8" s="195">
        <f>SUM(R8:T8)</f>
        <v>95427569</v>
      </c>
      <c r="V8" s="196">
        <v>98353172</v>
      </c>
      <c r="W8" s="129">
        <v>398809</v>
      </c>
      <c r="X8" s="129"/>
      <c r="Y8" s="195">
        <f>SUM(V8:X8)</f>
        <v>98751981</v>
      </c>
      <c r="Z8" s="196">
        <v>102891400</v>
      </c>
      <c r="AA8" s="129">
        <v>3107022</v>
      </c>
      <c r="AB8" s="129"/>
      <c r="AC8" s="195">
        <f>SUM(Z8+AA8)</f>
        <v>105998422</v>
      </c>
      <c r="AD8" s="196">
        <v>103823546</v>
      </c>
      <c r="AE8" s="129">
        <v>1257384</v>
      </c>
      <c r="AF8" s="129"/>
      <c r="AG8" s="195">
        <f>SUM(AD8+AE8)</f>
        <v>105080930</v>
      </c>
    </row>
    <row r="9" spans="1:33" ht="33" customHeight="1" x14ac:dyDescent="0.3">
      <c r="A9" s="427" t="s">
        <v>87</v>
      </c>
      <c r="B9" s="428">
        <v>389927000</v>
      </c>
      <c r="C9" s="429">
        <v>309978000</v>
      </c>
      <c r="D9" s="429"/>
      <c r="E9" s="430">
        <f>D9+C9+B9</f>
        <v>699905000</v>
      </c>
      <c r="F9" s="428">
        <v>389928000</v>
      </c>
      <c r="G9" s="429">
        <v>309977000</v>
      </c>
      <c r="H9" s="429"/>
      <c r="I9" s="430">
        <f>SUM(F9:H9)</f>
        <v>699905000</v>
      </c>
      <c r="J9" s="428">
        <v>454147000</v>
      </c>
      <c r="K9" s="429">
        <v>317406000</v>
      </c>
      <c r="L9" s="429"/>
      <c r="M9" s="430">
        <f>SUM(J9:L9)</f>
        <v>771553000</v>
      </c>
      <c r="N9" s="428">
        <v>454147000</v>
      </c>
      <c r="O9" s="429">
        <v>317406000</v>
      </c>
      <c r="P9" s="429"/>
      <c r="Q9" s="430">
        <f>SUM(N9:P9)</f>
        <v>771553000</v>
      </c>
      <c r="R9" s="428">
        <v>462787500</v>
      </c>
      <c r="S9" s="429">
        <v>424510500</v>
      </c>
      <c r="T9" s="429"/>
      <c r="U9" s="430">
        <f>SUM(R9:T9)</f>
        <v>887298000</v>
      </c>
      <c r="V9" s="428">
        <v>462787500</v>
      </c>
      <c r="W9" s="429">
        <v>424510500</v>
      </c>
      <c r="X9" s="429"/>
      <c r="Y9" s="430">
        <f>SUM(V9:X9)</f>
        <v>887298000</v>
      </c>
      <c r="Z9" s="428">
        <v>526878000</v>
      </c>
      <c r="AA9" s="429">
        <v>567654000</v>
      </c>
      <c r="AB9" s="429"/>
      <c r="AC9" s="430">
        <f>SUM(Z9:AB9)</f>
        <v>1094532000</v>
      </c>
      <c r="AD9" s="428">
        <v>526878000</v>
      </c>
      <c r="AE9" s="429">
        <v>567654000</v>
      </c>
      <c r="AF9" s="429"/>
      <c r="AG9" s="430">
        <f>SUM(AD9:AF9)</f>
        <v>1094532000</v>
      </c>
    </row>
    <row r="10" spans="1:33" ht="33" customHeight="1" x14ac:dyDescent="0.3">
      <c r="A10" s="193" t="s">
        <v>599</v>
      </c>
      <c r="B10" s="196">
        <v>214117270</v>
      </c>
      <c r="C10" s="129">
        <v>113362524</v>
      </c>
      <c r="D10" s="129"/>
      <c r="E10" s="195">
        <f>D10+C10+B10</f>
        <v>327479794</v>
      </c>
      <c r="F10" s="196">
        <v>254891282</v>
      </c>
      <c r="G10" s="129">
        <v>118225582</v>
      </c>
      <c r="H10" s="129"/>
      <c r="I10" s="195">
        <f>SUM(F10:H10)</f>
        <v>373116864</v>
      </c>
      <c r="J10" s="196">
        <v>283969489</v>
      </c>
      <c r="K10" s="129">
        <v>113085394</v>
      </c>
      <c r="L10" s="129"/>
      <c r="M10" s="195">
        <f>SUM(J10:L10)</f>
        <v>397054883</v>
      </c>
      <c r="N10" s="196">
        <v>312841242</v>
      </c>
      <c r="O10" s="129">
        <v>120832431</v>
      </c>
      <c r="P10" s="129"/>
      <c r="Q10" s="195">
        <f>SUM(N10:P10)</f>
        <v>433673673</v>
      </c>
      <c r="R10" s="197">
        <v>316949837.69</v>
      </c>
      <c r="S10" s="198">
        <f>84958327+39879303+22014216+4456663</f>
        <v>151308509</v>
      </c>
      <c r="T10" s="198"/>
      <c r="U10" s="199">
        <f>SUM(R10:T10)</f>
        <v>468258346.69</v>
      </c>
      <c r="V10" s="196">
        <v>370981829.39999998</v>
      </c>
      <c r="W10" s="129">
        <f>86292497.78+51881034+16316947+1566401</f>
        <v>156056879.78</v>
      </c>
      <c r="X10" s="129"/>
      <c r="Y10" s="195">
        <f>SUM(V10:X10)</f>
        <v>527038709.17999995</v>
      </c>
      <c r="Z10" s="197">
        <v>386524692</v>
      </c>
      <c r="AA10" s="198">
        <v>147167250</v>
      </c>
      <c r="AB10" s="198"/>
      <c r="AC10" s="199">
        <f>SUM(Z10:AB10)</f>
        <v>533691942</v>
      </c>
      <c r="AD10" s="197">
        <v>402919454</v>
      </c>
      <c r="AE10" s="198">
        <v>167136802</v>
      </c>
      <c r="AF10" s="198"/>
      <c r="AG10" s="199">
        <f>SUM(AD10:AF10)</f>
        <v>570056256</v>
      </c>
    </row>
    <row r="11" spans="1:33" ht="33" customHeight="1" x14ac:dyDescent="0.3">
      <c r="A11" s="427" t="s">
        <v>562</v>
      </c>
      <c r="B11" s="428">
        <v>54818000</v>
      </c>
      <c r="C11" s="429">
        <v>89976000</v>
      </c>
      <c r="D11" s="429"/>
      <c r="E11" s="430">
        <f>D11+C11+B11</f>
        <v>144794000</v>
      </c>
      <c r="F11" s="428">
        <v>58363000</v>
      </c>
      <c r="G11" s="429">
        <v>139397000</v>
      </c>
      <c r="H11" s="429"/>
      <c r="I11" s="430">
        <f>SUM(F11:H11)</f>
        <v>197760000</v>
      </c>
      <c r="J11" s="428">
        <v>60444000</v>
      </c>
      <c r="K11" s="429">
        <v>124496000</v>
      </c>
      <c r="L11" s="429"/>
      <c r="M11" s="430">
        <f>SUM(J11:L11)</f>
        <v>184940000</v>
      </c>
      <c r="N11" s="428">
        <v>60458000</v>
      </c>
      <c r="O11" s="429">
        <v>125209000</v>
      </c>
      <c r="P11" s="429"/>
      <c r="Q11" s="430">
        <f>SUM(N11:P11)</f>
        <v>185667000</v>
      </c>
      <c r="R11" s="428">
        <v>63118000</v>
      </c>
      <c r="S11" s="429">
        <f>+U11-R11</f>
        <v>159933000</v>
      </c>
      <c r="T11" s="429"/>
      <c r="U11" s="430">
        <v>223051000</v>
      </c>
      <c r="V11" s="428">
        <v>69678000</v>
      </c>
      <c r="W11" s="429">
        <f>+Y11-V11</f>
        <v>206214000</v>
      </c>
      <c r="X11" s="429"/>
      <c r="Y11" s="430">
        <v>275892000</v>
      </c>
      <c r="Z11" s="428">
        <v>57073000</v>
      </c>
      <c r="AA11" s="429">
        <v>131678000</v>
      </c>
      <c r="AB11" s="429"/>
      <c r="AC11" s="430">
        <v>188751000</v>
      </c>
      <c r="AD11" s="428">
        <v>73047000</v>
      </c>
      <c r="AE11" s="429">
        <v>171983000</v>
      </c>
      <c r="AF11" s="429"/>
      <c r="AG11" s="430">
        <v>245030000</v>
      </c>
    </row>
    <row r="12" spans="1:33" ht="33" customHeight="1" x14ac:dyDescent="0.3">
      <c r="A12" s="194" t="s">
        <v>42</v>
      </c>
      <c r="B12" s="197">
        <v>12124126</v>
      </c>
      <c r="C12" s="198">
        <v>3091189</v>
      </c>
      <c r="D12" s="198"/>
      <c r="E12" s="199">
        <v>15215315</v>
      </c>
      <c r="F12" s="197">
        <v>14498480</v>
      </c>
      <c r="G12" s="198">
        <v>3563743</v>
      </c>
      <c r="H12" s="198"/>
      <c r="I12" s="199">
        <v>18062223</v>
      </c>
      <c r="J12" s="197">
        <v>16577305</v>
      </c>
      <c r="K12" s="198">
        <v>3592989</v>
      </c>
      <c r="L12" s="198"/>
      <c r="M12" s="199">
        <v>20170294</v>
      </c>
      <c r="N12" s="197">
        <v>18508846.900000002</v>
      </c>
      <c r="O12" s="198">
        <v>5796928.9000000004</v>
      </c>
      <c r="P12" s="198"/>
      <c r="Q12" s="199"/>
      <c r="R12" s="197">
        <v>19246514.710000001</v>
      </c>
      <c r="S12" s="198">
        <v>5933308.3399999999</v>
      </c>
      <c r="T12" s="198"/>
      <c r="U12" s="199">
        <v>25179823.050000001</v>
      </c>
      <c r="V12" s="197">
        <v>20829401.600000001</v>
      </c>
      <c r="W12" s="198">
        <v>7717563.8400000008</v>
      </c>
      <c r="X12" s="198"/>
      <c r="Y12" s="199">
        <v>28546965.440000001</v>
      </c>
      <c r="Z12" s="197"/>
      <c r="AA12" s="198"/>
      <c r="AB12" s="198"/>
      <c r="AC12" s="199"/>
      <c r="AD12" s="197"/>
      <c r="AE12" s="198"/>
      <c r="AF12" s="198"/>
      <c r="AG12" s="199"/>
    </row>
    <row r="13" spans="1:33" ht="33" customHeight="1" x14ac:dyDescent="0.3">
      <c r="A13" s="427" t="s">
        <v>659</v>
      </c>
      <c r="B13" s="428">
        <v>126726000</v>
      </c>
      <c r="C13" s="429">
        <v>6636000</v>
      </c>
      <c r="D13" s="429"/>
      <c r="E13" s="430">
        <f>+B13+C13+D13</f>
        <v>133362000</v>
      </c>
      <c r="F13" s="428">
        <f>284314000-B13</f>
        <v>157588000</v>
      </c>
      <c r="G13" s="429">
        <f>13533000-C13</f>
        <v>6897000</v>
      </c>
      <c r="H13" s="429"/>
      <c r="I13" s="430">
        <f>SUM(F13:H13)</f>
        <v>164485000</v>
      </c>
      <c r="J13" s="428">
        <v>148352000</v>
      </c>
      <c r="K13" s="429">
        <v>3290000</v>
      </c>
      <c r="L13" s="429"/>
      <c r="M13" s="430">
        <f>SUM(J13:L13)</f>
        <v>151642000</v>
      </c>
      <c r="N13" s="428">
        <f>302656000-J13</f>
        <v>154304000</v>
      </c>
      <c r="O13" s="429">
        <f>4706000-K13</f>
        <v>1416000</v>
      </c>
      <c r="P13" s="429"/>
      <c r="Q13" s="430">
        <f>SUM(N13:P13)</f>
        <v>155720000</v>
      </c>
      <c r="R13" s="428">
        <v>161098000</v>
      </c>
      <c r="S13" s="429">
        <v>1691000</v>
      </c>
      <c r="T13" s="429"/>
      <c r="U13" s="430">
        <f>SUM(R13:T13)</f>
        <v>162789000</v>
      </c>
      <c r="V13" s="428">
        <f>350670000-R13</f>
        <v>189572000</v>
      </c>
      <c r="W13" s="429">
        <f>3493000-S13</f>
        <v>1802000</v>
      </c>
      <c r="X13" s="429"/>
      <c r="Y13" s="430">
        <f>SUM(V13:X13)</f>
        <v>191374000</v>
      </c>
      <c r="Z13" s="428">
        <v>189424000</v>
      </c>
      <c r="AA13" s="429">
        <v>1992000</v>
      </c>
      <c r="AB13" s="429"/>
      <c r="AC13" s="430">
        <f>+Z13+AA13+AB13</f>
        <v>191416000</v>
      </c>
      <c r="AD13" s="428">
        <f>379782000-Z13</f>
        <v>190358000</v>
      </c>
      <c r="AE13" s="429">
        <f>3472000-AA13</f>
        <v>1480000</v>
      </c>
      <c r="AF13" s="429"/>
      <c r="AG13" s="430">
        <f>+AD13+AE13+AF13</f>
        <v>191838000</v>
      </c>
    </row>
    <row r="14" spans="1:33" ht="33" customHeight="1" x14ac:dyDescent="0.3">
      <c r="A14" s="194" t="s">
        <v>660</v>
      </c>
      <c r="B14" s="197">
        <v>81381000</v>
      </c>
      <c r="C14" s="198">
        <v>6849000</v>
      </c>
      <c r="D14" s="198"/>
      <c r="E14" s="199">
        <f>SUM(B14:D14)</f>
        <v>88230000</v>
      </c>
      <c r="F14" s="197">
        <v>92504000</v>
      </c>
      <c r="G14" s="198">
        <v>7915000</v>
      </c>
      <c r="H14" s="198"/>
      <c r="I14" s="199">
        <f>SUM(F14:H14)</f>
        <v>100419000</v>
      </c>
      <c r="J14" s="197">
        <v>104082000</v>
      </c>
      <c r="K14" s="198">
        <v>9526000</v>
      </c>
      <c r="L14" s="198"/>
      <c r="M14" s="199">
        <f>SUM(J14:L14)</f>
        <v>113608000</v>
      </c>
      <c r="N14" s="197">
        <v>106843000</v>
      </c>
      <c r="O14" s="198">
        <v>8741000</v>
      </c>
      <c r="P14" s="198"/>
      <c r="Q14" s="199">
        <f>SUM(N14:P14)</f>
        <v>115584000</v>
      </c>
      <c r="R14" s="197">
        <v>122014000</v>
      </c>
      <c r="S14" s="198">
        <v>10555000</v>
      </c>
      <c r="T14" s="198"/>
      <c r="U14" s="199">
        <f>+R14+S14</f>
        <v>132569000</v>
      </c>
      <c r="V14" s="197">
        <v>140700000</v>
      </c>
      <c r="W14" s="198">
        <v>11462000</v>
      </c>
      <c r="X14" s="198"/>
      <c r="Y14" s="199">
        <f>+W14+V14</f>
        <v>152162000</v>
      </c>
      <c r="Z14" s="197">
        <v>148505000</v>
      </c>
      <c r="AA14" s="198">
        <f>+AC14-Z14</f>
        <v>13992000</v>
      </c>
      <c r="AB14" s="198"/>
      <c r="AC14" s="199">
        <v>162497000</v>
      </c>
      <c r="AD14" s="197">
        <v>147089000</v>
      </c>
      <c r="AE14" s="198">
        <f>+AG14-AD14</f>
        <v>10078000</v>
      </c>
      <c r="AF14" s="198"/>
      <c r="AG14" s="199">
        <v>157167000</v>
      </c>
    </row>
    <row r="15" spans="1:33" ht="33" customHeight="1" x14ac:dyDescent="0.3">
      <c r="A15" s="427" t="s">
        <v>86</v>
      </c>
      <c r="B15" s="428">
        <v>254836000</v>
      </c>
      <c r="C15" s="429">
        <v>132057500</v>
      </c>
      <c r="D15" s="429"/>
      <c r="E15" s="430">
        <v>386893500</v>
      </c>
      <c r="F15" s="428">
        <v>254836000</v>
      </c>
      <c r="G15" s="429">
        <v>132057500</v>
      </c>
      <c r="H15" s="429"/>
      <c r="I15" s="430">
        <v>386893500</v>
      </c>
      <c r="J15" s="428">
        <v>248524000</v>
      </c>
      <c r="K15" s="429">
        <v>129421000</v>
      </c>
      <c r="L15" s="429"/>
      <c r="M15" s="430">
        <f>SUM(J15:L15)</f>
        <v>377945000</v>
      </c>
      <c r="N15" s="428">
        <v>280552000</v>
      </c>
      <c r="O15" s="429">
        <v>173633000</v>
      </c>
      <c r="P15" s="429"/>
      <c r="Q15" s="430">
        <f>SUM(N15:P15)</f>
        <v>454185000</v>
      </c>
      <c r="R15" s="428">
        <v>263755000</v>
      </c>
      <c r="S15" s="429">
        <v>180676000</v>
      </c>
      <c r="T15" s="429"/>
      <c r="U15" s="430">
        <f>SUM(R15+S15)</f>
        <v>444431000</v>
      </c>
      <c r="V15" s="428">
        <v>329913000</v>
      </c>
      <c r="W15" s="429">
        <f>188720000+240000</f>
        <v>188960000</v>
      </c>
      <c r="X15" s="429"/>
      <c r="Y15" s="430">
        <f>SUM(V15+W15)</f>
        <v>518873000</v>
      </c>
      <c r="Z15" s="428">
        <v>297586385</v>
      </c>
      <c r="AA15" s="429">
        <v>206682988</v>
      </c>
      <c r="AB15" s="429"/>
      <c r="AC15" s="430">
        <f>Z15+AA15+AB15</f>
        <v>504269373</v>
      </c>
      <c r="AD15" s="428">
        <v>343105475</v>
      </c>
      <c r="AE15" s="429">
        <v>243445012</v>
      </c>
      <c r="AF15" s="429"/>
      <c r="AG15" s="430">
        <f>AD15+AE15+AF15</f>
        <v>586550487</v>
      </c>
    </row>
    <row r="16" spans="1:33" ht="33" customHeight="1" x14ac:dyDescent="0.3">
      <c r="A16" s="194" t="s">
        <v>661</v>
      </c>
      <c r="B16" s="197">
        <v>29720562</v>
      </c>
      <c r="C16" s="198">
        <v>12871916</v>
      </c>
      <c r="D16" s="198"/>
      <c r="E16" s="199">
        <f>D16+C16+B16</f>
        <v>42592478</v>
      </c>
      <c r="F16" s="197">
        <v>34922999.968999997</v>
      </c>
      <c r="G16" s="198">
        <v>14148341</v>
      </c>
      <c r="H16" s="198"/>
      <c r="I16" s="199">
        <f>SUM(F16:H16)</f>
        <v>49071340.968999997</v>
      </c>
      <c r="J16" s="197">
        <v>40794645</v>
      </c>
      <c r="K16" s="198">
        <v>14103312</v>
      </c>
      <c r="L16" s="198"/>
      <c r="M16" s="199">
        <f>SUM(J16:L16)</f>
        <v>54897957</v>
      </c>
      <c r="N16" s="197">
        <v>41818079</v>
      </c>
      <c r="O16" s="198">
        <v>13357086</v>
      </c>
      <c r="P16" s="198"/>
      <c r="Q16" s="199">
        <f>SUM(N16:P16)</f>
        <v>55175165</v>
      </c>
      <c r="R16" s="197">
        <v>42971885.490000002</v>
      </c>
      <c r="S16" s="198">
        <v>12649753.050000001</v>
      </c>
      <c r="T16" s="198"/>
      <c r="U16" s="199">
        <v>55621638.540000007</v>
      </c>
      <c r="V16" s="197">
        <v>48892083.829999998</v>
      </c>
      <c r="W16" s="198">
        <v>14428859.789999999</v>
      </c>
      <c r="X16" s="198"/>
      <c r="Y16" s="199">
        <v>63320943.619999997</v>
      </c>
      <c r="Z16" s="197">
        <v>46958749.009999998</v>
      </c>
      <c r="AA16" s="198">
        <v>11994341.219999999</v>
      </c>
      <c r="AB16" s="198"/>
      <c r="AC16" s="199">
        <f>Z16+AA16+AB16</f>
        <v>58953090.229999997</v>
      </c>
      <c r="AD16" s="197">
        <v>44883397.479999997</v>
      </c>
      <c r="AE16" s="198">
        <v>13474641.49</v>
      </c>
      <c r="AF16" s="198"/>
      <c r="AG16" s="199">
        <f>AD16+AE16+AF16</f>
        <v>58358038.969999999</v>
      </c>
    </row>
    <row r="17" spans="1:33" ht="33" customHeight="1" x14ac:dyDescent="0.3">
      <c r="A17" s="427" t="s">
        <v>58</v>
      </c>
      <c r="B17" s="428"/>
      <c r="C17" s="429"/>
      <c r="D17" s="429"/>
      <c r="E17" s="430">
        <f>22952228+349648007</f>
        <v>372600235</v>
      </c>
      <c r="F17" s="428"/>
      <c r="G17" s="429"/>
      <c r="H17" s="429"/>
      <c r="I17" s="430">
        <f>413488644+27077281</f>
        <v>440565925</v>
      </c>
      <c r="J17" s="428"/>
      <c r="K17" s="429"/>
      <c r="L17" s="429"/>
      <c r="M17" s="430">
        <f>29879816+607927098</f>
        <v>637806914</v>
      </c>
      <c r="N17" s="428"/>
      <c r="O17" s="429"/>
      <c r="P17" s="429"/>
      <c r="Q17" s="430">
        <f>30013358+922019824</f>
        <v>952033182</v>
      </c>
      <c r="R17" s="428">
        <v>30082750</v>
      </c>
      <c r="S17" s="429">
        <v>703195932</v>
      </c>
      <c r="T17" s="429"/>
      <c r="U17" s="430">
        <f>SUM(R17:T17)</f>
        <v>733278682</v>
      </c>
      <c r="V17" s="428">
        <v>31953375</v>
      </c>
      <c r="W17" s="429">
        <v>751831795</v>
      </c>
      <c r="X17" s="429"/>
      <c r="Y17" s="430">
        <f>SUM(V17:X17)</f>
        <v>783785170</v>
      </c>
      <c r="Z17" s="428"/>
      <c r="AA17" s="429"/>
      <c r="AB17" s="429"/>
      <c r="AC17" s="430"/>
      <c r="AD17" s="428"/>
      <c r="AE17" s="429"/>
      <c r="AF17" s="429"/>
      <c r="AG17" s="430"/>
    </row>
    <row r="18" spans="1:33" ht="33" customHeight="1" x14ac:dyDescent="0.3">
      <c r="A18" s="194" t="s">
        <v>297</v>
      </c>
      <c r="B18" s="197">
        <v>19138000</v>
      </c>
      <c r="C18" s="198">
        <f>16913000+1737000+1972000+760000</f>
        <v>21382000</v>
      </c>
      <c r="D18" s="198"/>
      <c r="E18" s="199">
        <f>SUM(B18:D18)</f>
        <v>40520000</v>
      </c>
      <c r="F18" s="197">
        <f>41911000-B18</f>
        <v>22773000</v>
      </c>
      <c r="G18" s="198">
        <f>36925000+3315000+4873000+2134000-C18</f>
        <v>25865000</v>
      </c>
      <c r="H18" s="198"/>
      <c r="I18" s="199">
        <f>SUM(F18:H18)</f>
        <v>48638000</v>
      </c>
      <c r="J18" s="197">
        <v>24650000</v>
      </c>
      <c r="K18" s="198">
        <f>24486000+588000+2793000+1732000</f>
        <v>29599000</v>
      </c>
      <c r="L18" s="198"/>
      <c r="M18" s="199">
        <f>SUM(J18:L18)</f>
        <v>54249000</v>
      </c>
      <c r="N18" s="197">
        <f>51514000-J18</f>
        <v>26864000</v>
      </c>
      <c r="O18" s="198">
        <f>47493000+2338000+6157000+3479000-K18</f>
        <v>29868000</v>
      </c>
      <c r="P18" s="198"/>
      <c r="Q18" s="199">
        <f>SUM(N18:P18)</f>
        <v>56732000</v>
      </c>
      <c r="R18" s="197">
        <v>26422000</v>
      </c>
      <c r="S18" s="198">
        <f>29635000+3448000+2052000</f>
        <v>35135000</v>
      </c>
      <c r="T18" s="198"/>
      <c r="U18" s="199">
        <f>SUM(R18:T18)</f>
        <v>61557000</v>
      </c>
      <c r="V18" s="197">
        <f>54603000-R18</f>
        <v>28181000</v>
      </c>
      <c r="W18" s="198">
        <f>61678000+7441000+4033000-S18</f>
        <v>38017000</v>
      </c>
      <c r="X18" s="198"/>
      <c r="Y18" s="199">
        <f>SUM(V18:X18)</f>
        <v>66198000</v>
      </c>
      <c r="Z18" s="197">
        <v>29077000</v>
      </c>
      <c r="AA18" s="198">
        <v>37314000</v>
      </c>
      <c r="AB18" s="198"/>
      <c r="AC18" s="199">
        <v>66391000</v>
      </c>
      <c r="AD18" s="197">
        <v>32947000</v>
      </c>
      <c r="AE18" s="198">
        <v>38317000</v>
      </c>
      <c r="AF18" s="198"/>
      <c r="AG18" s="199">
        <v>71264000</v>
      </c>
    </row>
    <row r="19" spans="1:33" ht="33" customHeight="1" x14ac:dyDescent="0.3">
      <c r="A19" s="427" t="s">
        <v>662</v>
      </c>
      <c r="B19" s="428">
        <v>109566772</v>
      </c>
      <c r="C19" s="429">
        <v>36217785</v>
      </c>
      <c r="D19" s="429"/>
      <c r="E19" s="430">
        <f>D19+C19+B19</f>
        <v>145784557</v>
      </c>
      <c r="F19" s="428">
        <v>127850659</v>
      </c>
      <c r="G19" s="429">
        <v>37698162</v>
      </c>
      <c r="H19" s="429"/>
      <c r="I19" s="430">
        <f>H19+G19+F19</f>
        <v>165548821</v>
      </c>
      <c r="J19" s="428">
        <v>120789881</v>
      </c>
      <c r="K19" s="429">
        <v>26970485</v>
      </c>
      <c r="L19" s="429"/>
      <c r="M19" s="430">
        <f>L19+K19+J19</f>
        <v>147760366</v>
      </c>
      <c r="N19" s="428">
        <v>121980926</v>
      </c>
      <c r="O19" s="429">
        <v>18308242.109999999</v>
      </c>
      <c r="P19" s="429"/>
      <c r="Q19" s="430">
        <f>P19+O19+N19</f>
        <v>140289168.11000001</v>
      </c>
      <c r="R19" s="428">
        <v>117949607.73999999</v>
      </c>
      <c r="S19" s="429">
        <v>11188941.24</v>
      </c>
      <c r="T19" s="429"/>
      <c r="U19" s="430">
        <f>SUM(R19:T19)</f>
        <v>129138548.97999999</v>
      </c>
      <c r="V19" s="428">
        <v>123112759.28</v>
      </c>
      <c r="W19" s="429">
        <v>10221218.93</v>
      </c>
      <c r="X19" s="429"/>
      <c r="Y19" s="430">
        <f>SUM(V19:X19)</f>
        <v>133333978.21000001</v>
      </c>
      <c r="Z19" s="428">
        <f>146425050/1.25</f>
        <v>117140040</v>
      </c>
      <c r="AA19" s="429">
        <v>11089510.6</v>
      </c>
      <c r="AB19" s="429"/>
      <c r="AC19" s="430">
        <f>SUM(Z19:AB19)</f>
        <v>128229550.59999999</v>
      </c>
      <c r="AD19" s="428">
        <f>163687304/1.25</f>
        <v>130949843.2</v>
      </c>
      <c r="AE19" s="429">
        <v>9538469.7699999996</v>
      </c>
      <c r="AF19" s="429"/>
      <c r="AG19" s="430">
        <f>SUM(AD19:AF19)</f>
        <v>140488312.97</v>
      </c>
    </row>
    <row r="20" spans="1:33" ht="33" customHeight="1" x14ac:dyDescent="0.3">
      <c r="A20" s="194" t="s">
        <v>317</v>
      </c>
      <c r="B20" s="197">
        <v>79958550</v>
      </c>
      <c r="C20" s="198">
        <v>53291594</v>
      </c>
      <c r="D20" s="198"/>
      <c r="E20" s="199">
        <f>SUM(B20:D20)</f>
        <v>133250144</v>
      </c>
      <c r="F20" s="197">
        <v>91146429</v>
      </c>
      <c r="G20" s="198">
        <v>53866918</v>
      </c>
      <c r="H20" s="198"/>
      <c r="I20" s="199">
        <f>SUM(F20:G20)</f>
        <v>145013347</v>
      </c>
      <c r="J20" s="197">
        <v>81246238</v>
      </c>
      <c r="K20" s="198">
        <v>63255416</v>
      </c>
      <c r="L20" s="198"/>
      <c r="M20" s="199">
        <f>SUM(J20:L20)</f>
        <v>144501654</v>
      </c>
      <c r="N20" s="197">
        <v>94013586</v>
      </c>
      <c r="O20" s="198">
        <v>71073823</v>
      </c>
      <c r="P20" s="198"/>
      <c r="Q20" s="199">
        <f>SUM(N20:P20)</f>
        <v>165087409</v>
      </c>
      <c r="R20" s="197">
        <v>89830071</v>
      </c>
      <c r="S20" s="198">
        <v>87643204</v>
      </c>
      <c r="T20" s="198"/>
      <c r="U20" s="199">
        <f>SUM(R20:T20)</f>
        <v>177473275</v>
      </c>
      <c r="V20" s="197">
        <v>92329487</v>
      </c>
      <c r="W20" s="198">
        <v>104742069</v>
      </c>
      <c r="X20" s="198"/>
      <c r="Y20" s="199">
        <f>SUM(V20:X20)</f>
        <v>197071556</v>
      </c>
      <c r="Z20" s="197">
        <v>94033351</v>
      </c>
      <c r="AA20" s="198">
        <v>142010963</v>
      </c>
      <c r="AB20" s="198"/>
      <c r="AC20" s="199">
        <f>+SUM(Z20:AB20)</f>
        <v>236044314</v>
      </c>
      <c r="AD20" s="197">
        <f>195354047-Z20</f>
        <v>101320696</v>
      </c>
      <c r="AE20" s="198">
        <f>283318319-AA20</f>
        <v>141307356</v>
      </c>
      <c r="AF20" s="198"/>
      <c r="AG20" s="199">
        <f>+SUM(AD20:AF20)</f>
        <v>242628052</v>
      </c>
    </row>
    <row r="21" spans="1:33" ht="33" customHeight="1" x14ac:dyDescent="0.3">
      <c r="A21" s="427" t="s">
        <v>318</v>
      </c>
      <c r="B21" s="428">
        <f>157161039/2</f>
        <v>78580519.5</v>
      </c>
      <c r="C21" s="429">
        <f>(14875973+14236828+3384609)/2</f>
        <v>16248705</v>
      </c>
      <c r="D21" s="429"/>
      <c r="E21" s="430">
        <f>D21+C21+B21</f>
        <v>94829224.5</v>
      </c>
      <c r="F21" s="428">
        <f>157161039/2</f>
        <v>78580519.5</v>
      </c>
      <c r="G21" s="429">
        <f>(14875973+14236828+3384609)/2</f>
        <v>16248705</v>
      </c>
      <c r="H21" s="429"/>
      <c r="I21" s="430">
        <f>H21+G21+F21</f>
        <v>94829224.5</v>
      </c>
      <c r="J21" s="428">
        <f>265074816/2</f>
        <v>132537408</v>
      </c>
      <c r="K21" s="429">
        <f>(34785764+12068078+3924279)/2</f>
        <v>25389060.5</v>
      </c>
      <c r="L21" s="429"/>
      <c r="M21" s="430">
        <f>L21+K21+J21</f>
        <v>157926468.5</v>
      </c>
      <c r="N21" s="428">
        <f>265074816/2</f>
        <v>132537408</v>
      </c>
      <c r="O21" s="429">
        <f>(34785764+12068078+3924279)/2</f>
        <v>25389060.5</v>
      </c>
      <c r="P21" s="429"/>
      <c r="Q21" s="430">
        <f>P21+O21+N21</f>
        <v>157926468.5</v>
      </c>
      <c r="R21" s="428">
        <v>159139265</v>
      </c>
      <c r="S21" s="429">
        <v>40702577</v>
      </c>
      <c r="T21" s="429"/>
      <c r="U21" s="430">
        <f>+R21+S21</f>
        <v>199841842</v>
      </c>
      <c r="V21" s="428">
        <f>374453000-R21</f>
        <v>215313735</v>
      </c>
      <c r="W21" s="429">
        <f>64840000+1675000-S21</f>
        <v>25812423</v>
      </c>
      <c r="X21" s="429"/>
      <c r="Y21" s="430">
        <f>+V21+W21</f>
        <v>241126158</v>
      </c>
      <c r="Z21" s="428">
        <v>209961000</v>
      </c>
      <c r="AA21" s="429">
        <v>34729000</v>
      </c>
      <c r="AB21" s="429">
        <v>0</v>
      </c>
      <c r="AC21" s="430">
        <f>+Z21+AA21+AB21</f>
        <v>244690000</v>
      </c>
      <c r="AD21" s="428">
        <f>454282984-Z21</f>
        <v>244321984</v>
      </c>
      <c r="AE21" s="429">
        <f>69838263-AA21-AF21</f>
        <v>33959130</v>
      </c>
      <c r="AF21" s="429">
        <v>1150133</v>
      </c>
      <c r="AG21" s="430">
        <f>SUM(AD21:AF21)</f>
        <v>279431247</v>
      </c>
    </row>
    <row r="22" spans="1:33" ht="33" customHeight="1" x14ac:dyDescent="0.3">
      <c r="A22" s="194" t="s">
        <v>663</v>
      </c>
      <c r="B22" s="197">
        <v>666015000</v>
      </c>
      <c r="C22" s="198">
        <v>2261964000</v>
      </c>
      <c r="D22" s="198"/>
      <c r="E22" s="199">
        <f>D22+C22+B22</f>
        <v>2927979000</v>
      </c>
      <c r="F22" s="197">
        <v>745163000</v>
      </c>
      <c r="G22" s="198">
        <v>2559614000</v>
      </c>
      <c r="H22" s="198"/>
      <c r="I22" s="199">
        <f>SUM(F22:H22)</f>
        <v>3304777000</v>
      </c>
      <c r="J22" s="197">
        <v>835640000</v>
      </c>
      <c r="K22" s="198">
        <v>2893029000</v>
      </c>
      <c r="L22" s="198"/>
      <c r="M22" s="199">
        <f>SUM(J22:L22)</f>
        <v>3728669000</v>
      </c>
      <c r="N22" s="197">
        <v>848685000</v>
      </c>
      <c r="O22" s="198">
        <v>3724768000</v>
      </c>
      <c r="P22" s="198"/>
      <c r="Q22" s="199">
        <f>SUM(N22:P22)</f>
        <v>4573453000</v>
      </c>
      <c r="R22" s="197">
        <v>903389000</v>
      </c>
      <c r="S22" s="198">
        <v>3873373000</v>
      </c>
      <c r="T22" s="198"/>
      <c r="U22" s="199">
        <f>SUM(R22:T22)</f>
        <v>4776762000</v>
      </c>
      <c r="V22" s="197">
        <v>964824000</v>
      </c>
      <c r="W22" s="198">
        <v>3809712000</v>
      </c>
      <c r="X22" s="198"/>
      <c r="Y22" s="199">
        <f>SUM(V22:X22)</f>
        <v>4774536000</v>
      </c>
      <c r="Z22" s="197">
        <v>1052580000</v>
      </c>
      <c r="AA22" s="198">
        <f>4183994000+151316000</f>
        <v>4335310000</v>
      </c>
      <c r="AB22" s="198"/>
      <c r="AC22" s="199">
        <f>SUM(Z22:AB22)</f>
        <v>5387890000</v>
      </c>
      <c r="AD22" s="197">
        <v>1166574000</v>
      </c>
      <c r="AE22" s="198">
        <f>4177244000+182988000</f>
        <v>4360232000</v>
      </c>
      <c r="AF22" s="198"/>
      <c r="AG22" s="199">
        <f>SUM(AD22:AF22)</f>
        <v>5526806000</v>
      </c>
    </row>
    <row r="23" spans="1:33" ht="33" customHeight="1" x14ac:dyDescent="0.3">
      <c r="A23" s="427" t="s">
        <v>316</v>
      </c>
      <c r="B23" s="428">
        <v>47466000</v>
      </c>
      <c r="C23" s="429">
        <v>116199000</v>
      </c>
      <c r="D23" s="429"/>
      <c r="E23" s="430">
        <v>163665000</v>
      </c>
      <c r="F23" s="428">
        <v>62500000</v>
      </c>
      <c r="G23" s="429">
        <v>148368000</v>
      </c>
      <c r="H23" s="429"/>
      <c r="I23" s="430">
        <v>210868000</v>
      </c>
      <c r="J23" s="428">
        <v>50613000</v>
      </c>
      <c r="K23" s="429">
        <v>172097000</v>
      </c>
      <c r="L23" s="429"/>
      <c r="M23" s="430">
        <v>222710000</v>
      </c>
      <c r="N23" s="428">
        <v>75692000</v>
      </c>
      <c r="O23" s="429">
        <v>212128000</v>
      </c>
      <c r="P23" s="429"/>
      <c r="Q23" s="430">
        <v>287820000</v>
      </c>
      <c r="R23" s="428">
        <v>55180000</v>
      </c>
      <c r="S23" s="429">
        <v>196771000</v>
      </c>
      <c r="T23" s="429"/>
      <c r="U23" s="430">
        <v>251951000</v>
      </c>
      <c r="V23" s="428">
        <v>69690000</v>
      </c>
      <c r="W23" s="429">
        <v>220206000</v>
      </c>
      <c r="X23" s="429"/>
      <c r="Y23" s="430">
        <v>289896000</v>
      </c>
      <c r="Z23" s="428">
        <v>66890874</v>
      </c>
      <c r="AA23" s="429">
        <v>72494085</v>
      </c>
      <c r="AB23" s="429"/>
      <c r="AC23" s="430">
        <f>SUM(Z23:AB23)</f>
        <v>139384959</v>
      </c>
      <c r="AD23" s="428">
        <v>108824799</v>
      </c>
      <c r="AE23" s="429">
        <v>122157886</v>
      </c>
      <c r="AF23" s="429"/>
      <c r="AG23" s="430">
        <f>SUM(AD23:AF23)</f>
        <v>230982685</v>
      </c>
    </row>
    <row r="24" spans="1:33" ht="33" customHeight="1" x14ac:dyDescent="0.3">
      <c r="A24" s="194" t="s">
        <v>88</v>
      </c>
      <c r="B24" s="197">
        <v>258855000</v>
      </c>
      <c r="C24" s="198">
        <v>264378000</v>
      </c>
      <c r="D24" s="198"/>
      <c r="E24" s="199">
        <f>D24+C24+B24</f>
        <v>523233000</v>
      </c>
      <c r="F24" s="197">
        <v>300769000</v>
      </c>
      <c r="G24" s="198">
        <v>303039000</v>
      </c>
      <c r="H24" s="198"/>
      <c r="I24" s="199">
        <f>SUM(F24:H24)</f>
        <v>603808000</v>
      </c>
      <c r="J24" s="197">
        <v>284733000</v>
      </c>
      <c r="K24" s="198">
        <v>317336000</v>
      </c>
      <c r="L24" s="198"/>
      <c r="M24" s="199">
        <f>SUM(J24:L24)</f>
        <v>602069000</v>
      </c>
      <c r="N24" s="197">
        <v>336526000</v>
      </c>
      <c r="O24" s="198">
        <v>351251000</v>
      </c>
      <c r="P24" s="198"/>
      <c r="Q24" s="199">
        <f>SUM(N24:P24)</f>
        <v>687777000</v>
      </c>
      <c r="R24" s="197">
        <v>284443000</v>
      </c>
      <c r="S24" s="198">
        <v>290999000</v>
      </c>
      <c r="T24" s="198"/>
      <c r="U24" s="199">
        <f>SUM(R24:T24)</f>
        <v>575442000</v>
      </c>
      <c r="V24" s="197">
        <v>333815000</v>
      </c>
      <c r="W24" s="198">
        <v>228213000</v>
      </c>
      <c r="X24" s="198"/>
      <c r="Y24" s="199">
        <f>SUM(V24:X24)</f>
        <v>562028000</v>
      </c>
      <c r="Z24" s="197">
        <v>285569128.02999997</v>
      </c>
      <c r="AA24" s="198">
        <v>208765000</v>
      </c>
      <c r="AB24" s="198"/>
      <c r="AC24" s="199">
        <f>Z24+AA24</f>
        <v>494334128.02999997</v>
      </c>
      <c r="AD24" s="197">
        <v>356322846.59000003</v>
      </c>
      <c r="AE24" s="198">
        <v>178599000</v>
      </c>
      <c r="AF24" s="198"/>
      <c r="AG24" s="199">
        <f>AD24+AE24</f>
        <v>534921846.59000003</v>
      </c>
    </row>
    <row r="25" spans="1:33" ht="33" customHeight="1" x14ac:dyDescent="0.3">
      <c r="A25" s="427" t="s">
        <v>601</v>
      </c>
      <c r="B25" s="428">
        <v>13491070</v>
      </c>
      <c r="C25" s="429">
        <f>1333049+2164341+1526171</f>
        <v>5023561</v>
      </c>
      <c r="D25" s="429"/>
      <c r="E25" s="430">
        <f>SUM(B25:D25)</f>
        <v>18514631</v>
      </c>
      <c r="F25" s="428">
        <f>30646659-B25</f>
        <v>17155589</v>
      </c>
      <c r="G25" s="429">
        <f>2499105+4868836+3623988-C25</f>
        <v>5968368</v>
      </c>
      <c r="H25" s="429"/>
      <c r="I25" s="430">
        <f>SUM(F25:H25)</f>
        <v>23123957</v>
      </c>
      <c r="J25" s="428">
        <v>16520718</v>
      </c>
      <c r="K25" s="429">
        <f>1578591+5564986+1994521</f>
        <v>9138098</v>
      </c>
      <c r="L25" s="429"/>
      <c r="M25" s="430">
        <f>SUM(J25:L25)</f>
        <v>25658816</v>
      </c>
      <c r="N25" s="428">
        <f>37192832-J25</f>
        <v>20672114</v>
      </c>
      <c r="O25" s="429">
        <f>3440702+9052261+4479812-K25</f>
        <v>7834677</v>
      </c>
      <c r="P25" s="429"/>
      <c r="Q25" s="430">
        <f>SUM(N25:P25)</f>
        <v>28506791</v>
      </c>
      <c r="R25" s="428">
        <f>19102000</f>
        <v>19102000</v>
      </c>
      <c r="S25" s="429">
        <f>41347000-4366000-R25+1804786</f>
        <v>19683786</v>
      </c>
      <c r="T25" s="429"/>
      <c r="U25" s="430">
        <f>SUM(R25:T25)</f>
        <v>38785786</v>
      </c>
      <c r="V25" s="428">
        <f>46685000-R25</f>
        <v>27583000</v>
      </c>
      <c r="W25" s="429">
        <f>100168000-V25-U25</f>
        <v>33799214</v>
      </c>
      <c r="X25" s="429"/>
      <c r="Y25" s="430">
        <f>SUM(V25:X25)</f>
        <v>61382214</v>
      </c>
      <c r="Z25" s="428">
        <v>21526260</v>
      </c>
      <c r="AA25" s="429">
        <f>71186519-Z25</f>
        <v>49660259</v>
      </c>
      <c r="AB25" s="429"/>
      <c r="AC25" s="430">
        <f t="shared" ref="AC25:AC31" si="0">SUM(Z25:AB25)</f>
        <v>71186519</v>
      </c>
      <c r="AD25" s="428">
        <f>45892465-Z25</f>
        <v>24366205</v>
      </c>
      <c r="AE25" s="429">
        <f>171840479-AD25-AC25</f>
        <v>76287755</v>
      </c>
      <c r="AF25" s="429"/>
      <c r="AG25" s="430">
        <f t="shared" ref="AG25:AG31" si="1">SUM(AD25:AF25)</f>
        <v>100653960</v>
      </c>
    </row>
    <row r="26" spans="1:33" ht="33" customHeight="1" x14ac:dyDescent="0.3">
      <c r="A26" s="194" t="s">
        <v>577</v>
      </c>
      <c r="B26" s="197">
        <v>292950000</v>
      </c>
      <c r="C26" s="198">
        <v>117237000</v>
      </c>
      <c r="D26" s="198"/>
      <c r="E26" s="199">
        <f>D26+C26+B26</f>
        <v>410187000</v>
      </c>
      <c r="F26" s="197">
        <v>270560000</v>
      </c>
      <c r="G26" s="198">
        <v>109210000</v>
      </c>
      <c r="H26" s="198"/>
      <c r="I26" s="199">
        <f>SUM(F26:H26)</f>
        <v>379770000</v>
      </c>
      <c r="J26" s="197">
        <v>318561000</v>
      </c>
      <c r="K26" s="198">
        <v>132907000</v>
      </c>
      <c r="L26" s="198"/>
      <c r="M26" s="199">
        <f>SUM(J26:L26)</f>
        <v>451468000</v>
      </c>
      <c r="N26" s="197">
        <f>653309000-318561000</f>
        <v>334748000</v>
      </c>
      <c r="O26" s="198">
        <f>321494000-132907000</f>
        <v>188587000</v>
      </c>
      <c r="P26" s="198"/>
      <c r="Q26" s="199">
        <f>SUM(N26:P26)</f>
        <v>523335000</v>
      </c>
      <c r="R26" s="197">
        <v>357437000</v>
      </c>
      <c r="S26" s="198">
        <v>179184000</v>
      </c>
      <c r="T26" s="198"/>
      <c r="U26" s="199">
        <f>SUM(R26:T26)</f>
        <v>536621000</v>
      </c>
      <c r="V26" s="197">
        <v>385434000</v>
      </c>
      <c r="W26" s="198">
        <v>243580000</v>
      </c>
      <c r="X26" s="198"/>
      <c r="Y26" s="199">
        <f>SUM(V26:X26)</f>
        <v>629014000</v>
      </c>
      <c r="Z26" s="197">
        <v>452373000</v>
      </c>
      <c r="AA26" s="198">
        <v>249505000</v>
      </c>
      <c r="AB26" s="198"/>
      <c r="AC26" s="199">
        <f t="shared" si="0"/>
        <v>701878000</v>
      </c>
      <c r="AD26" s="197">
        <v>467280000</v>
      </c>
      <c r="AE26" s="198">
        <v>332822000</v>
      </c>
      <c r="AF26" s="198"/>
      <c r="AG26" s="199">
        <f t="shared" si="1"/>
        <v>800102000</v>
      </c>
    </row>
    <row r="27" spans="1:33" ht="33" customHeight="1" x14ac:dyDescent="0.3">
      <c r="A27" s="427" t="s">
        <v>578</v>
      </c>
      <c r="B27" s="428">
        <v>5894344.29</v>
      </c>
      <c r="C27" s="429">
        <v>21688844</v>
      </c>
      <c r="D27" s="429"/>
      <c r="E27" s="430">
        <f>SUM(B27:D27)</f>
        <v>27583188.289999999</v>
      </c>
      <c r="F27" s="428">
        <f>12416291.93-B27</f>
        <v>6521947.6399999997</v>
      </c>
      <c r="G27" s="429">
        <f>43461285-C27</f>
        <v>21772441</v>
      </c>
      <c r="H27" s="429"/>
      <c r="I27" s="430">
        <f>SUM(F27:H27)</f>
        <v>28294388.640000001</v>
      </c>
      <c r="J27" s="428">
        <v>6943152.3300000001</v>
      </c>
      <c r="K27" s="429">
        <v>61043000</v>
      </c>
      <c r="L27" s="429"/>
      <c r="M27" s="430">
        <f>SUM(J27:L27)</f>
        <v>67986152.329999998</v>
      </c>
      <c r="N27" s="428">
        <f>14991319.09-J27</f>
        <v>8048166.7599999998</v>
      </c>
      <c r="O27" s="429">
        <f>169283000-K27</f>
        <v>108240000</v>
      </c>
      <c r="P27" s="429"/>
      <c r="Q27" s="430">
        <f>SUM(N27:P27)</f>
        <v>116288166.76000001</v>
      </c>
      <c r="R27" s="428">
        <v>8216954.4100000001</v>
      </c>
      <c r="S27" s="429">
        <v>133718000</v>
      </c>
      <c r="T27" s="429"/>
      <c r="U27" s="430">
        <f>SUM(R27:T27)</f>
        <v>141934954.41</v>
      </c>
      <c r="V27" s="428">
        <f>18389923.68-R27</f>
        <v>10172969.27</v>
      </c>
      <c r="W27" s="429">
        <f>250409000-S27</f>
        <v>116691000</v>
      </c>
      <c r="X27" s="429"/>
      <c r="Y27" s="430">
        <f>SUM(V27:X27)</f>
        <v>126863969.27</v>
      </c>
      <c r="Z27" s="428">
        <f>9555197.4+613474.64+616049.88</f>
        <v>10784721.920000002</v>
      </c>
      <c r="AA27" s="429">
        <v>138522000</v>
      </c>
      <c r="AB27" s="429"/>
      <c r="AC27" s="430">
        <f t="shared" si="0"/>
        <v>149306721.92000002</v>
      </c>
      <c r="AD27" s="428">
        <f>20331244.53+1318934.97+1248811.08-Z27</f>
        <v>12114268.659999996</v>
      </c>
      <c r="AE27" s="429">
        <f>296357000-AA27</f>
        <v>157835000</v>
      </c>
      <c r="AF27" s="429"/>
      <c r="AG27" s="430">
        <f t="shared" si="1"/>
        <v>169949268.66</v>
      </c>
    </row>
    <row r="28" spans="1:33" ht="33" customHeight="1" x14ac:dyDescent="0.3">
      <c r="A28" s="194" t="s">
        <v>311</v>
      </c>
      <c r="B28" s="197">
        <v>21021000</v>
      </c>
      <c r="C28" s="198">
        <f>(698093-1952+200099+7205)*1000</f>
        <v>903445000</v>
      </c>
      <c r="D28" s="198">
        <v>1952000</v>
      </c>
      <c r="E28" s="199">
        <f>D28+C28+B28</f>
        <v>926418000</v>
      </c>
      <c r="F28" s="197">
        <v>28227000</v>
      </c>
      <c r="G28" s="198">
        <f>(714791+232598+7377-1227)*1000</f>
        <v>953539000</v>
      </c>
      <c r="H28" s="198">
        <v>1227000</v>
      </c>
      <c r="I28" s="199">
        <f>H28+G28+F28</f>
        <v>982993000</v>
      </c>
      <c r="J28" s="197">
        <v>27750000</v>
      </c>
      <c r="K28" s="198">
        <f>(869488+156760+8369-1418)*1000</f>
        <v>1033199000</v>
      </c>
      <c r="L28" s="198">
        <v>1418000</v>
      </c>
      <c r="M28" s="199">
        <f>L28+K28+J28</f>
        <v>1062367000</v>
      </c>
      <c r="N28" s="197">
        <v>38534000</v>
      </c>
      <c r="O28" s="198">
        <f>(835908+258475+8715-6625)*1000</f>
        <v>1096473000</v>
      </c>
      <c r="P28" s="198">
        <v>6625000</v>
      </c>
      <c r="Q28" s="199">
        <f>P28+O28+N28</f>
        <v>1141632000</v>
      </c>
      <c r="R28" s="197">
        <v>31458000</v>
      </c>
      <c r="S28" s="198">
        <f>863429000+196003000+9837000-7851000-200</f>
        <v>1061417800</v>
      </c>
      <c r="T28" s="198">
        <f>5908000+1943000</f>
        <v>7851000</v>
      </c>
      <c r="U28" s="199">
        <f>T28+S28+R28</f>
        <v>1100726800</v>
      </c>
      <c r="V28" s="197">
        <v>37043000</v>
      </c>
      <c r="W28" s="198">
        <f>969267000+326138000+9566000-7839000</f>
        <v>1297132000</v>
      </c>
      <c r="X28" s="198">
        <f>6468000+1371000</f>
        <v>7839000</v>
      </c>
      <c r="Y28" s="199">
        <f>X28+W28+V28</f>
        <v>1342014000</v>
      </c>
      <c r="Z28" s="197">
        <v>33854000</v>
      </c>
      <c r="AA28" s="198">
        <v>1553961000</v>
      </c>
      <c r="AB28" s="198">
        <v>9658000</v>
      </c>
      <c r="AC28" s="199">
        <f t="shared" si="0"/>
        <v>1597473000</v>
      </c>
      <c r="AD28" s="197">
        <v>46031000</v>
      </c>
      <c r="AE28" s="198">
        <v>1696195000</v>
      </c>
      <c r="AF28" s="198">
        <v>12270000</v>
      </c>
      <c r="AG28" s="199">
        <f t="shared" si="1"/>
        <v>1754496000</v>
      </c>
    </row>
    <row r="29" spans="1:33" ht="33" customHeight="1" x14ac:dyDescent="0.3">
      <c r="A29" s="427" t="s">
        <v>54</v>
      </c>
      <c r="B29" s="428">
        <v>571921000</v>
      </c>
      <c r="C29" s="429">
        <f>442059000+253327000-D29</f>
        <v>690702500</v>
      </c>
      <c r="D29" s="429">
        <v>4683500</v>
      </c>
      <c r="E29" s="430">
        <v>1267307000</v>
      </c>
      <c r="F29" s="428">
        <v>633968000</v>
      </c>
      <c r="G29" s="429">
        <f>481701000+353152000-H29</f>
        <v>830169329</v>
      </c>
      <c r="H29" s="429">
        <v>4683671</v>
      </c>
      <c r="I29" s="430">
        <v>1468821000</v>
      </c>
      <c r="J29" s="428">
        <v>654981000</v>
      </c>
      <c r="K29" s="429">
        <f>585476000+359023000-L29</f>
        <v>940759918.60000002</v>
      </c>
      <c r="L29" s="429">
        <v>3739081.4</v>
      </c>
      <c r="M29" s="430">
        <f>SUM(J29:L29)</f>
        <v>1599480000</v>
      </c>
      <c r="N29" s="428">
        <v>710372000</v>
      </c>
      <c r="O29" s="429">
        <f>815167000+665580000-P29</f>
        <v>1452363317.7</v>
      </c>
      <c r="P29" s="429">
        <v>28383682.300000001</v>
      </c>
      <c r="Q29" s="430">
        <f>SUM(N29:P29)</f>
        <v>2191119000</v>
      </c>
      <c r="R29" s="428">
        <v>751203283</v>
      </c>
      <c r="S29" s="429">
        <f>913220791+672318813-T29</f>
        <v>1573497325.79</v>
      </c>
      <c r="T29" s="429">
        <v>12042278.210000001</v>
      </c>
      <c r="U29" s="430">
        <f>SUM(R29:T29)</f>
        <v>2336742887</v>
      </c>
      <c r="V29" s="428">
        <v>993670471</v>
      </c>
      <c r="W29" s="429">
        <f>1080509679+692862578-X29</f>
        <v>1760700078.26</v>
      </c>
      <c r="X29" s="429">
        <v>12672178.74</v>
      </c>
      <c r="Y29" s="430">
        <f>SUM(V29:X29)</f>
        <v>2767042728</v>
      </c>
      <c r="Z29" s="428">
        <f>997616557+3866835</f>
        <v>1001483392</v>
      </c>
      <c r="AA29" s="429">
        <f>1315545380+746218607+15298200+2740812-AB29</f>
        <v>2068439106</v>
      </c>
      <c r="AB29" s="429">
        <v>11363893</v>
      </c>
      <c r="AC29" s="430">
        <f t="shared" si="0"/>
        <v>3081286391</v>
      </c>
      <c r="AD29" s="428">
        <f>1090146885+4080608-4985300</f>
        <v>1089242193</v>
      </c>
      <c r="AE29" s="429">
        <f>1477819292+696429541+834456+5566255+3884279+5581847-AF29</f>
        <v>2180531149</v>
      </c>
      <c r="AF29" s="429">
        <v>9584521</v>
      </c>
      <c r="AG29" s="430">
        <f t="shared" si="1"/>
        <v>3279357863</v>
      </c>
    </row>
    <row r="30" spans="1:33" ht="33" customHeight="1" x14ac:dyDescent="0.3">
      <c r="A30" s="194" t="s">
        <v>664</v>
      </c>
      <c r="B30" s="197">
        <v>64929794</v>
      </c>
      <c r="C30" s="198">
        <v>89142000</v>
      </c>
      <c r="D30" s="198"/>
      <c r="E30" s="199">
        <f>+B30+C30</f>
        <v>154071794</v>
      </c>
      <c r="F30" s="197">
        <v>75844297</v>
      </c>
      <c r="G30" s="198">
        <v>100937500</v>
      </c>
      <c r="H30" s="198"/>
      <c r="I30" s="199">
        <f>+F30+G30</f>
        <v>176781797</v>
      </c>
      <c r="J30" s="197">
        <v>72576700</v>
      </c>
      <c r="K30" s="198">
        <v>103679900</v>
      </c>
      <c r="L30" s="198"/>
      <c r="M30" s="199">
        <f>+J30+K30</f>
        <v>176256600</v>
      </c>
      <c r="N30" s="197">
        <v>91179277</v>
      </c>
      <c r="O30" s="198">
        <v>118139594</v>
      </c>
      <c r="P30" s="198"/>
      <c r="Q30" s="199">
        <f>+N30+O30</f>
        <v>209318871</v>
      </c>
      <c r="R30" s="197">
        <v>76624542</v>
      </c>
      <c r="S30" s="198">
        <v>120068115</v>
      </c>
      <c r="T30" s="198"/>
      <c r="U30" s="199">
        <v>196692657</v>
      </c>
      <c r="V30" s="197">
        <v>106461935</v>
      </c>
      <c r="W30" s="198">
        <v>120641622</v>
      </c>
      <c r="X30" s="198"/>
      <c r="Y30" s="199">
        <v>227103557</v>
      </c>
      <c r="Z30" s="197">
        <v>98864601.989999995</v>
      </c>
      <c r="AA30" s="198">
        <v>123575228</v>
      </c>
      <c r="AB30" s="198"/>
      <c r="AC30" s="199">
        <f t="shared" si="0"/>
        <v>222439829.99000001</v>
      </c>
      <c r="AD30" s="197">
        <v>106726343.92</v>
      </c>
      <c r="AE30" s="198">
        <v>139675609</v>
      </c>
      <c r="AF30" s="198"/>
      <c r="AG30" s="199">
        <f t="shared" si="1"/>
        <v>246401952.92000002</v>
      </c>
    </row>
    <row r="31" spans="1:33" ht="33" customHeight="1" x14ac:dyDescent="0.3">
      <c r="A31" s="427" t="s">
        <v>314</v>
      </c>
      <c r="B31" s="428"/>
      <c r="C31" s="429">
        <v>6610000</v>
      </c>
      <c r="D31" s="429"/>
      <c r="E31" s="430">
        <f>SUM(B31:D31)</f>
        <v>6610000</v>
      </c>
      <c r="F31" s="428"/>
      <c r="G31" s="429">
        <v>8742000</v>
      </c>
      <c r="H31" s="429"/>
      <c r="I31" s="430">
        <f>SUM(F31:H31)</f>
        <v>8742000</v>
      </c>
      <c r="J31" s="428"/>
      <c r="K31" s="429">
        <v>10368000</v>
      </c>
      <c r="L31" s="429"/>
      <c r="M31" s="430">
        <f>SUM(J31:L31)</f>
        <v>10368000</v>
      </c>
      <c r="N31" s="428"/>
      <c r="O31" s="429">
        <v>12157000</v>
      </c>
      <c r="P31" s="429"/>
      <c r="Q31" s="430">
        <f>SUM(N31:P31)</f>
        <v>12157000</v>
      </c>
      <c r="R31" s="428"/>
      <c r="S31" s="429">
        <v>13469811</v>
      </c>
      <c r="T31" s="429"/>
      <c r="U31" s="430">
        <f>SUM(R31:T31)</f>
        <v>13469811</v>
      </c>
      <c r="V31" s="428"/>
      <c r="W31" s="429">
        <f>27487626-S31</f>
        <v>14017815</v>
      </c>
      <c r="X31" s="429"/>
      <c r="Y31" s="430">
        <f>SUM(V31:X31)</f>
        <v>14017815</v>
      </c>
      <c r="Z31" s="428"/>
      <c r="AA31" s="429">
        <v>17698733</v>
      </c>
      <c r="AB31" s="429"/>
      <c r="AC31" s="430">
        <f t="shared" si="0"/>
        <v>17698733</v>
      </c>
      <c r="AD31" s="428"/>
      <c r="AE31" s="429">
        <v>17058000</v>
      </c>
      <c r="AF31" s="429"/>
      <c r="AG31" s="430">
        <f t="shared" si="1"/>
        <v>17058000</v>
      </c>
    </row>
    <row r="32" spans="1:33" ht="33" customHeight="1" x14ac:dyDescent="0.3">
      <c r="A32" s="194" t="s">
        <v>665</v>
      </c>
      <c r="B32" s="197"/>
      <c r="C32" s="198">
        <f>66270943+3333888</f>
        <v>69604831</v>
      </c>
      <c r="D32" s="198"/>
      <c r="E32" s="199">
        <f>SUM(B32:D32)</f>
        <v>69604831</v>
      </c>
      <c r="F32" s="197"/>
      <c r="G32" s="198">
        <f>71636591+3615281</f>
        <v>75251872</v>
      </c>
      <c r="H32" s="198"/>
      <c r="I32" s="199">
        <f>SUM(F32:H32)</f>
        <v>75251872</v>
      </c>
      <c r="J32" s="197"/>
      <c r="K32" s="198">
        <f>84494160+8523611</f>
        <v>93017771</v>
      </c>
      <c r="L32" s="198"/>
      <c r="M32" s="199">
        <f>SUM(J32:L32)</f>
        <v>93017771</v>
      </c>
      <c r="N32" s="197"/>
      <c r="O32" s="198">
        <f>82469438+11873785</f>
        <v>94343223</v>
      </c>
      <c r="P32" s="198"/>
      <c r="Q32" s="199">
        <f>SUM(N32:P32)</f>
        <v>94343223</v>
      </c>
      <c r="R32" s="197"/>
      <c r="S32" s="198">
        <v>114255876</v>
      </c>
      <c r="T32" s="198"/>
      <c r="U32" s="199">
        <f>SUM(R32:T32)</f>
        <v>114255876</v>
      </c>
      <c r="V32" s="197"/>
      <c r="W32" s="198">
        <v>149902924</v>
      </c>
      <c r="X32" s="198"/>
      <c r="Y32" s="199">
        <f>SUM(V32:X32)</f>
        <v>149902924</v>
      </c>
      <c r="Z32" s="197"/>
      <c r="AA32" s="198">
        <v>211687351</v>
      </c>
      <c r="AB32" s="198"/>
      <c r="AC32" s="199">
        <f>SUM(AA32:AB32)</f>
        <v>211687351</v>
      </c>
      <c r="AD32" s="197"/>
      <c r="AE32" s="198">
        <v>243447949</v>
      </c>
      <c r="AF32" s="198"/>
      <c r="AG32" s="199">
        <f>SUM(AE32:AF32)</f>
        <v>243447949</v>
      </c>
    </row>
    <row r="33" spans="1:33" ht="33" customHeight="1" x14ac:dyDescent="0.3">
      <c r="A33" s="427" t="s">
        <v>313</v>
      </c>
      <c r="B33" s="428">
        <v>13350544</v>
      </c>
      <c r="C33" s="429">
        <v>363073025</v>
      </c>
      <c r="D33" s="429">
        <v>17566598</v>
      </c>
      <c r="E33" s="430">
        <f>D33+C33+B33</f>
        <v>393990167</v>
      </c>
      <c r="F33" s="428">
        <v>16036021</v>
      </c>
      <c r="G33" s="429">
        <v>395932214</v>
      </c>
      <c r="H33" s="429">
        <v>18640506</v>
      </c>
      <c r="I33" s="430">
        <f>SUM(F33:H33)</f>
        <v>430608741</v>
      </c>
      <c r="J33" s="428">
        <v>17269721</v>
      </c>
      <c r="K33" s="429">
        <v>462080934</v>
      </c>
      <c r="L33" s="429">
        <v>23976809</v>
      </c>
      <c r="M33" s="430">
        <f>SUM(J33:L33)</f>
        <v>503327464</v>
      </c>
      <c r="N33" s="428">
        <v>18990496</v>
      </c>
      <c r="O33" s="429">
        <v>450032706</v>
      </c>
      <c r="P33" s="429">
        <v>1514466</v>
      </c>
      <c r="Q33" s="430">
        <f>SUM(N33:P33)</f>
        <v>470537668</v>
      </c>
      <c r="R33" s="428">
        <v>20906800</v>
      </c>
      <c r="S33" s="429">
        <v>583114783</v>
      </c>
      <c r="T33" s="429">
        <v>682506</v>
      </c>
      <c r="U33" s="430">
        <v>604704089</v>
      </c>
      <c r="V33" s="428">
        <v>20759923</v>
      </c>
      <c r="W33" s="429">
        <v>682238586</v>
      </c>
      <c r="X33" s="429">
        <v>555600</v>
      </c>
      <c r="Y33" s="430">
        <v>703554109</v>
      </c>
      <c r="Z33" s="428">
        <v>19294025</v>
      </c>
      <c r="AA33" s="429">
        <v>787049343.41456091</v>
      </c>
      <c r="AB33" s="429">
        <v>737500</v>
      </c>
      <c r="AC33" s="430">
        <f>SUM(Z33:AB33)</f>
        <v>807080868.41456091</v>
      </c>
      <c r="AD33" s="428">
        <v>20499513</v>
      </c>
      <c r="AE33" s="429">
        <v>749591032.9849999</v>
      </c>
      <c r="AF33" s="429">
        <v>1717299.219</v>
      </c>
      <c r="AG33" s="430">
        <f>SUM(AD33:AF33)</f>
        <v>771807845.20399988</v>
      </c>
    </row>
    <row r="34" spans="1:33" ht="33" customHeight="1" x14ac:dyDescent="0.3">
      <c r="A34" s="193" t="s">
        <v>497</v>
      </c>
      <c r="B34" s="196"/>
      <c r="C34" s="129">
        <v>43782000</v>
      </c>
      <c r="D34" s="129"/>
      <c r="E34" s="195">
        <f>C34</f>
        <v>43782000</v>
      </c>
      <c r="F34" s="196"/>
      <c r="G34" s="129">
        <f>65131000-C34</f>
        <v>21349000</v>
      </c>
      <c r="H34" s="129"/>
      <c r="I34" s="195">
        <f>G34</f>
        <v>21349000</v>
      </c>
      <c r="J34" s="196"/>
      <c r="K34" s="129">
        <f>40967000</f>
        <v>40967000</v>
      </c>
      <c r="L34" s="129"/>
      <c r="M34" s="195">
        <f>K34</f>
        <v>40967000</v>
      </c>
      <c r="N34" s="196"/>
      <c r="O34" s="129">
        <f>73379000-K34</f>
        <v>32412000</v>
      </c>
      <c r="P34" s="129"/>
      <c r="Q34" s="195">
        <f>O34</f>
        <v>32412000</v>
      </c>
      <c r="R34" s="196"/>
      <c r="S34" s="129">
        <v>37931000</v>
      </c>
      <c r="T34" s="129"/>
      <c r="U34" s="195">
        <f>S34</f>
        <v>37931000</v>
      </c>
      <c r="V34" s="196"/>
      <c r="W34" s="129">
        <f>79435000-S34</f>
        <v>41504000</v>
      </c>
      <c r="X34" s="129"/>
      <c r="Y34" s="195">
        <f>W34</f>
        <v>41504000</v>
      </c>
      <c r="Z34" s="196"/>
      <c r="AA34" s="129">
        <f>91334000</f>
        <v>91334000</v>
      </c>
      <c r="AB34" s="129"/>
      <c r="AC34" s="195">
        <f>AA34</f>
        <v>91334000</v>
      </c>
      <c r="AD34" s="196"/>
      <c r="AE34" s="129">
        <f>156401000-AA34</f>
        <v>65067000</v>
      </c>
      <c r="AF34" s="129"/>
      <c r="AG34" s="199">
        <f>AE34</f>
        <v>65067000</v>
      </c>
    </row>
    <row r="35" spans="1:33" ht="33" customHeight="1" x14ac:dyDescent="0.3">
      <c r="A35" s="427" t="s">
        <v>589</v>
      </c>
      <c r="B35" s="428">
        <v>8256000</v>
      </c>
      <c r="C35" s="429">
        <v>2345000</v>
      </c>
      <c r="D35" s="429"/>
      <c r="E35" s="430">
        <f>D35+C35+B35</f>
        <v>10601000</v>
      </c>
      <c r="F35" s="428">
        <v>8585000</v>
      </c>
      <c r="G35" s="429">
        <v>2622000</v>
      </c>
      <c r="H35" s="429"/>
      <c r="I35" s="430">
        <f>SUM(F35:H35)</f>
        <v>11207000</v>
      </c>
      <c r="J35" s="428">
        <v>12086000</v>
      </c>
      <c r="K35" s="429">
        <v>2341000</v>
      </c>
      <c r="L35" s="429"/>
      <c r="M35" s="430">
        <f>SUM(J35:L35)</f>
        <v>14427000</v>
      </c>
      <c r="N35" s="428">
        <v>13343000</v>
      </c>
      <c r="O35" s="429">
        <v>2169000</v>
      </c>
      <c r="P35" s="429"/>
      <c r="Q35" s="430">
        <f>SUM(N35:P35)</f>
        <v>15512000</v>
      </c>
      <c r="R35" s="428">
        <v>14493000</v>
      </c>
      <c r="S35" s="429">
        <v>2782000</v>
      </c>
      <c r="T35" s="429"/>
      <c r="U35" s="430">
        <f>SUM(R35:T35)</f>
        <v>17275000</v>
      </c>
      <c r="V35" s="428">
        <v>17691000</v>
      </c>
      <c r="W35" s="429">
        <v>3827000</v>
      </c>
      <c r="X35" s="429"/>
      <c r="Y35" s="430">
        <f>SUM(V35:X35)</f>
        <v>21518000</v>
      </c>
      <c r="Z35" s="428">
        <v>16963342</v>
      </c>
      <c r="AA35" s="429">
        <v>5664585.401316165</v>
      </c>
      <c r="AB35" s="429"/>
      <c r="AC35" s="430">
        <f>SUM(Z35:AB35)</f>
        <v>22627927.401316166</v>
      </c>
      <c r="AD35" s="428">
        <v>18961392</v>
      </c>
      <c r="AE35" s="429">
        <v>5623279.251253875</v>
      </c>
      <c r="AF35" s="429"/>
      <c r="AG35" s="430">
        <f>SUM(AD35:AF35)</f>
        <v>24584671.251253873</v>
      </c>
    </row>
    <row r="36" spans="1:33" ht="33" customHeight="1" x14ac:dyDescent="0.3">
      <c r="A36" s="193" t="s">
        <v>91</v>
      </c>
      <c r="B36" s="196"/>
      <c r="C36" s="129"/>
      <c r="D36" s="129"/>
      <c r="E36" s="195"/>
      <c r="F36" s="196"/>
      <c r="G36" s="129"/>
      <c r="H36" s="129"/>
      <c r="I36" s="195">
        <v>29558000</v>
      </c>
      <c r="J36" s="196"/>
      <c r="K36" s="129"/>
      <c r="L36" s="129"/>
      <c r="M36" s="195">
        <v>29558000</v>
      </c>
      <c r="N36" s="196"/>
      <c r="O36" s="129"/>
      <c r="P36" s="129"/>
      <c r="Q36" s="195">
        <f>69600/2/1.3*1000</f>
        <v>26769230.769230768</v>
      </c>
      <c r="R36" s="196"/>
      <c r="S36" s="129"/>
      <c r="T36" s="129"/>
      <c r="U36" s="195"/>
      <c r="V36" s="196"/>
      <c r="W36" s="129"/>
      <c r="X36" s="129"/>
      <c r="Y36" s="195"/>
      <c r="Z36" s="196"/>
      <c r="AA36" s="129"/>
      <c r="AB36" s="129"/>
      <c r="AC36" s="195"/>
      <c r="AD36" s="196"/>
      <c r="AE36" s="129"/>
      <c r="AF36" s="129"/>
      <c r="AG36" s="195"/>
    </row>
    <row r="37" spans="1:33" ht="33" customHeight="1" x14ac:dyDescent="0.3">
      <c r="A37" s="427" t="s">
        <v>310</v>
      </c>
      <c r="B37" s="428"/>
      <c r="C37" s="429">
        <f>+E37-D37</f>
        <v>1685732500</v>
      </c>
      <c r="D37" s="429">
        <v>853823000</v>
      </c>
      <c r="E37" s="430">
        <v>2539555500</v>
      </c>
      <c r="F37" s="428"/>
      <c r="G37" s="429">
        <f>+I37-H37</f>
        <v>1685732500</v>
      </c>
      <c r="H37" s="429">
        <v>853823000</v>
      </c>
      <c r="I37" s="430">
        <v>2539555500</v>
      </c>
      <c r="J37" s="428"/>
      <c r="K37" s="429">
        <v>3072775000</v>
      </c>
      <c r="L37" s="429"/>
      <c r="M37" s="430">
        <f>SUM(J37:L37)</f>
        <v>3072775000</v>
      </c>
      <c r="N37" s="428"/>
      <c r="O37" s="429">
        <v>3104376000</v>
      </c>
      <c r="P37" s="429"/>
      <c r="Q37" s="430">
        <f>SUM(N37:P37)</f>
        <v>3104376000</v>
      </c>
      <c r="R37" s="428"/>
      <c r="S37" s="429">
        <v>2463114000</v>
      </c>
      <c r="T37" s="429">
        <v>412539000</v>
      </c>
      <c r="U37" s="430">
        <f>R37+S37+T37</f>
        <v>2875653000</v>
      </c>
      <c r="V37" s="428"/>
      <c r="W37" s="429">
        <v>2514405000</v>
      </c>
      <c r="X37" s="429">
        <v>451883000</v>
      </c>
      <c r="Y37" s="430">
        <f>V37+W37+X37</f>
        <v>2966288000</v>
      </c>
      <c r="Z37" s="428"/>
      <c r="AA37" s="429">
        <v>3693500000</v>
      </c>
      <c r="AB37" s="429"/>
      <c r="AC37" s="430">
        <f>Z37+AA37+AB37</f>
        <v>3693500000</v>
      </c>
      <c r="AD37" s="428"/>
      <c r="AE37" s="429">
        <v>4228100000</v>
      </c>
      <c r="AF37" s="429"/>
      <c r="AG37" s="430">
        <f>AD37+AE37+AF37</f>
        <v>4228100000</v>
      </c>
    </row>
    <row r="38" spans="1:33" ht="33" customHeight="1" x14ac:dyDescent="0.3">
      <c r="A38" s="193" t="s">
        <v>90</v>
      </c>
      <c r="B38" s="196">
        <v>464097000</v>
      </c>
      <c r="C38" s="129">
        <v>765437150</v>
      </c>
      <c r="D38" s="129">
        <v>10887850</v>
      </c>
      <c r="E38" s="195">
        <f>SUM(B38:D38)</f>
        <v>1240422000</v>
      </c>
      <c r="F38" s="196">
        <v>366305000</v>
      </c>
      <c r="G38" s="129">
        <v>640703820</v>
      </c>
      <c r="H38" s="129">
        <v>69930180</v>
      </c>
      <c r="I38" s="195">
        <f>SUM(F38:H38)</f>
        <v>1076939000</v>
      </c>
      <c r="J38" s="196">
        <v>480093000</v>
      </c>
      <c r="K38" s="129">
        <v>994734950</v>
      </c>
      <c r="L38" s="129">
        <v>15909050</v>
      </c>
      <c r="M38" s="195">
        <f>SUM(J38:L38)</f>
        <v>1490737000</v>
      </c>
      <c r="N38" s="196">
        <v>391070000</v>
      </c>
      <c r="O38" s="129">
        <v>1114327471</v>
      </c>
      <c r="P38" s="129">
        <v>35821529</v>
      </c>
      <c r="Q38" s="195">
        <f>SUM(N38:P38)</f>
        <v>1541219000</v>
      </c>
      <c r="R38" s="196">
        <v>426688065</v>
      </c>
      <c r="S38" s="129">
        <f>+U38-R38-T38</f>
        <v>1360605425</v>
      </c>
      <c r="T38" s="129">
        <v>10305652</v>
      </c>
      <c r="U38" s="195">
        <v>1797599142</v>
      </c>
      <c r="V38" s="196">
        <f>898626066-426688065</f>
        <v>471938001</v>
      </c>
      <c r="W38" s="129">
        <f>+Y38-V38-X38</f>
        <v>1802356449</v>
      </c>
      <c r="X38" s="129">
        <v>37240991</v>
      </c>
      <c r="Y38" s="195">
        <f>4109134583-1797599142</f>
        <v>2311535441</v>
      </c>
      <c r="Z38" s="196">
        <v>452498843</v>
      </c>
      <c r="AA38" s="129">
        <v>1253778576</v>
      </c>
      <c r="AB38" s="129">
        <v>0</v>
      </c>
      <c r="AC38" s="195">
        <f>SUM(Z38:AB38)</f>
        <v>1706277419</v>
      </c>
      <c r="AD38" s="196">
        <f>952930705-Z38</f>
        <v>500431862</v>
      </c>
      <c r="AE38" s="129">
        <f>2912826817-126490981-AA38</f>
        <v>1532557260</v>
      </c>
      <c r="AF38" s="129">
        <v>126490981</v>
      </c>
      <c r="AG38" s="195">
        <f>SUM(AD38:AF38)</f>
        <v>2159480103</v>
      </c>
    </row>
    <row r="39" spans="1:33" ht="33" customHeight="1" x14ac:dyDescent="0.3">
      <c r="A39" s="427" t="s">
        <v>666</v>
      </c>
      <c r="B39" s="428">
        <v>207811000</v>
      </c>
      <c r="C39" s="429">
        <v>4154000</v>
      </c>
      <c r="D39" s="429"/>
      <c r="E39" s="430">
        <f>D39+C39+B39</f>
        <v>211965000</v>
      </c>
      <c r="F39" s="428">
        <v>238183000</v>
      </c>
      <c r="G39" s="429">
        <v>4761000</v>
      </c>
      <c r="H39" s="429"/>
      <c r="I39" s="430">
        <f>SUM(F39:H39)</f>
        <v>242944000</v>
      </c>
      <c r="J39" s="428">
        <v>224225000</v>
      </c>
      <c r="K39" s="429">
        <v>4043000</v>
      </c>
      <c r="L39" s="429"/>
      <c r="M39" s="430">
        <f>SUM(J39:L39)</f>
        <v>228268000</v>
      </c>
      <c r="N39" s="428">
        <v>195127000</v>
      </c>
      <c r="O39" s="429">
        <v>3518000</v>
      </c>
      <c r="P39" s="429"/>
      <c r="Q39" s="430">
        <f>SUM(N39:P39)</f>
        <v>198645000</v>
      </c>
      <c r="R39" s="428">
        <v>209121488</v>
      </c>
      <c r="S39" s="429">
        <v>5047623</v>
      </c>
      <c r="T39" s="429"/>
      <c r="U39" s="430">
        <f>SUM(R39:T39)</f>
        <v>214169111</v>
      </c>
      <c r="V39" s="428">
        <v>249623214</v>
      </c>
      <c r="W39" s="429">
        <v>5734355</v>
      </c>
      <c r="X39" s="429"/>
      <c r="Y39" s="430">
        <f>SUM(V39:X39)</f>
        <v>255357569</v>
      </c>
      <c r="Z39" s="428">
        <v>269311663</v>
      </c>
      <c r="AA39" s="429">
        <v>6477821</v>
      </c>
      <c r="AB39" s="429"/>
      <c r="AC39" s="430">
        <f>SUM(Z39:AB39)</f>
        <v>275789484</v>
      </c>
      <c r="AD39" s="428">
        <v>286503884</v>
      </c>
      <c r="AE39" s="429">
        <v>8070387</v>
      </c>
      <c r="AF39" s="429"/>
      <c r="AG39" s="430">
        <f>SUM(AD39:AF39)</f>
        <v>294574271</v>
      </c>
    </row>
    <row r="40" spans="1:33" s="19" customFormat="1" ht="33" customHeight="1" x14ac:dyDescent="0.3">
      <c r="A40" s="193" t="s">
        <v>93</v>
      </c>
      <c r="B40" s="196">
        <v>48024922</v>
      </c>
      <c r="C40" s="129">
        <v>22940278</v>
      </c>
      <c r="D40" s="129"/>
      <c r="E40" s="195">
        <f>D40+C40+B40</f>
        <v>70965200</v>
      </c>
      <c r="F40" s="196">
        <v>52116671</v>
      </c>
      <c r="G40" s="129">
        <v>22635214</v>
      </c>
      <c r="H40" s="129"/>
      <c r="I40" s="195">
        <f>SUM(F40:H40)</f>
        <v>74751885</v>
      </c>
      <c r="J40" s="196">
        <v>54730840</v>
      </c>
      <c r="K40" s="129">
        <v>21011633</v>
      </c>
      <c r="L40" s="129"/>
      <c r="M40" s="195">
        <f>SUM(J40:L40)</f>
        <v>75742473</v>
      </c>
      <c r="N40" s="196">
        <v>53977709</v>
      </c>
      <c r="O40" s="129">
        <v>19126487</v>
      </c>
      <c r="P40" s="129"/>
      <c r="Q40" s="195">
        <f>SUM(N40:P40)</f>
        <v>73104196</v>
      </c>
      <c r="R40" s="196">
        <f>ROUND(72088000/1.21,0)</f>
        <v>59576860</v>
      </c>
      <c r="S40" s="129">
        <f>ROUND(31060000/1.21,0)</f>
        <v>25669421</v>
      </c>
      <c r="T40" s="129"/>
      <c r="U40" s="195">
        <f>SUM(R40:T40)</f>
        <v>85246281</v>
      </c>
      <c r="V40" s="196">
        <f>ROUND(64488000/1.12,0)</f>
        <v>57578571</v>
      </c>
      <c r="W40" s="129">
        <f>ROUND(27140000/1.12,0)</f>
        <v>24232143</v>
      </c>
      <c r="X40" s="129"/>
      <c r="Y40" s="195">
        <f>SUM(V40:X40)</f>
        <v>81810714</v>
      </c>
      <c r="Z40" s="196">
        <f>ROUND((66161000-407000)/1.097,0)</f>
        <v>59939836</v>
      </c>
      <c r="AA40" s="129">
        <f>ROUND((84958000-65754000)/1.097,0)</f>
        <v>17505925</v>
      </c>
      <c r="AB40" s="129"/>
      <c r="AC40" s="195">
        <f>SUM(Z40:AB40)</f>
        <v>77445761</v>
      </c>
      <c r="AD40" s="196">
        <f>ROUND((67927000-541000)/1.001,0)</f>
        <v>67318681</v>
      </c>
      <c r="AE40" s="129">
        <f>ROUND((91808000-67386000)/1.001,0)</f>
        <v>24397602</v>
      </c>
      <c r="AF40" s="129"/>
      <c r="AG40" s="195">
        <f>SUM(AD40:AF40)</f>
        <v>91716283</v>
      </c>
    </row>
    <row r="41" spans="1:33" s="19" customFormat="1" ht="33" customHeight="1" thickBot="1" x14ac:dyDescent="0.35">
      <c r="A41" s="427" t="s">
        <v>493</v>
      </c>
      <c r="B41" s="428">
        <f>144197758/1.49</f>
        <v>96777018.791946307</v>
      </c>
      <c r="C41" s="429">
        <f>18675726.03/1.49</f>
        <v>12534044.315436242</v>
      </c>
      <c r="D41" s="429"/>
      <c r="E41" s="430">
        <f>B41+C41</f>
        <v>109311063.10738255</v>
      </c>
      <c r="F41" s="428">
        <f>154078369/1.3</f>
        <v>118521822.3076923</v>
      </c>
      <c r="G41" s="429">
        <f>22152901.26/1.3</f>
        <v>17040693.276923079</v>
      </c>
      <c r="H41" s="429"/>
      <c r="I41" s="430">
        <f>F41+G41</f>
        <v>135562515.58461538</v>
      </c>
      <c r="J41" s="428">
        <f>158824886/1.14</f>
        <v>139320075.43859652</v>
      </c>
      <c r="K41" s="429">
        <f>30601677.4/1.14</f>
        <v>26843576.666666668</v>
      </c>
      <c r="L41" s="429"/>
      <c r="M41" s="430">
        <f>SUM(J41:L41)</f>
        <v>166163652.10526317</v>
      </c>
      <c r="N41" s="428">
        <f>166738076/1.31</f>
        <v>127280974.04580152</v>
      </c>
      <c r="O41" s="429">
        <f>27706464.56/1.31</f>
        <v>21149972.946564883</v>
      </c>
      <c r="P41" s="429"/>
      <c r="Q41" s="430">
        <f>N41+O41</f>
        <v>148430946.9923664</v>
      </c>
      <c r="R41" s="428">
        <f>172466412/1.21</f>
        <v>142534224.79338843</v>
      </c>
      <c r="S41" s="429">
        <f>25971492.3/1.21</f>
        <v>21464043.223140497</v>
      </c>
      <c r="T41" s="429"/>
      <c r="U41" s="430">
        <f>R41+S41</f>
        <v>163998268.01652893</v>
      </c>
      <c r="V41" s="428">
        <f>173920118/1.12</f>
        <v>155285819.64285713</v>
      </c>
      <c r="W41" s="429">
        <f>27941414.95/1.12</f>
        <v>24947691.919642854</v>
      </c>
      <c r="X41" s="429"/>
      <c r="Y41" s="430">
        <f>V41+W41</f>
        <v>180233511.5625</v>
      </c>
      <c r="Z41" s="428">
        <v>164134857</v>
      </c>
      <c r="AA41" s="429">
        <f>28558882.25/1.12</f>
        <v>25499002.008928567</v>
      </c>
      <c r="AB41" s="429"/>
      <c r="AC41" s="430">
        <f>AD41+AA41</f>
        <v>189556234.1517857</v>
      </c>
      <c r="AD41" s="428">
        <f>183744100/1.12</f>
        <v>164057232.14285713</v>
      </c>
      <c r="AE41" s="429">
        <v>23994250</v>
      </c>
      <c r="AF41" s="429"/>
      <c r="AG41" s="430">
        <f>AE41+AD41</f>
        <v>188051482.14285713</v>
      </c>
    </row>
    <row r="42" spans="1:33" ht="33" customHeight="1" thickTop="1" thickBot="1" x14ac:dyDescent="0.25">
      <c r="A42" s="188" t="s">
        <v>97</v>
      </c>
      <c r="B42" s="187">
        <f t="shared" ref="B42:AG42" si="2">SUM(B6:B41)</f>
        <v>6817831748.5819464</v>
      </c>
      <c r="C42" s="185">
        <f t="shared" si="2"/>
        <v>8301672946.3154364</v>
      </c>
      <c r="D42" s="185">
        <f t="shared" si="2"/>
        <v>892485948</v>
      </c>
      <c r="E42" s="186">
        <f t="shared" si="2"/>
        <v>18588023377.897385</v>
      </c>
      <c r="F42" s="187">
        <f t="shared" si="2"/>
        <v>7045427725.4166927</v>
      </c>
      <c r="G42" s="185">
        <f t="shared" si="2"/>
        <v>8827890902.2769222</v>
      </c>
      <c r="H42" s="185">
        <f t="shared" si="2"/>
        <v>954055357</v>
      </c>
      <c r="I42" s="186">
        <f t="shared" si="2"/>
        <v>19500930409.693615</v>
      </c>
      <c r="J42" s="187">
        <f t="shared" si="2"/>
        <v>7901320510.7685966</v>
      </c>
      <c r="K42" s="185">
        <f t="shared" si="2"/>
        <v>11272573437.766666</v>
      </c>
      <c r="L42" s="185">
        <f t="shared" si="2"/>
        <v>52339940.399999999</v>
      </c>
      <c r="M42" s="186">
        <f t="shared" si="2"/>
        <v>22552995802.935265</v>
      </c>
      <c r="N42" s="187">
        <f t="shared" si="2"/>
        <v>9213942025.705801</v>
      </c>
      <c r="O42" s="185">
        <f t="shared" si="2"/>
        <v>13048054101.626566</v>
      </c>
      <c r="P42" s="185">
        <f t="shared" si="2"/>
        <v>80878677.299999997</v>
      </c>
      <c r="Q42" s="186">
        <f t="shared" si="2"/>
        <v>25956768441.601601</v>
      </c>
      <c r="R42" s="189">
        <f t="shared" si="2"/>
        <v>9884040916.8333874</v>
      </c>
      <c r="S42" s="184">
        <f t="shared" si="2"/>
        <v>13922633034.643141</v>
      </c>
      <c r="T42" s="184">
        <f t="shared" si="2"/>
        <v>451960436.20999998</v>
      </c>
      <c r="U42" s="190">
        <f t="shared" si="2"/>
        <v>27235612387.686531</v>
      </c>
      <c r="V42" s="187">
        <f t="shared" si="2"/>
        <v>11243704247.022858</v>
      </c>
      <c r="W42" s="185">
        <f t="shared" si="2"/>
        <v>15057430996.519644</v>
      </c>
      <c r="X42" s="185">
        <f t="shared" si="2"/>
        <v>517352769.74000001</v>
      </c>
      <c r="Y42" s="186">
        <f t="shared" si="2"/>
        <v>30686075013.282501</v>
      </c>
      <c r="Z42" s="189">
        <f t="shared" si="2"/>
        <v>12445335160.950001</v>
      </c>
      <c r="AA42" s="184">
        <f t="shared" si="2"/>
        <v>16243789089.644804</v>
      </c>
      <c r="AB42" s="184">
        <f t="shared" si="2"/>
        <v>30415393</v>
      </c>
      <c r="AC42" s="190">
        <f t="shared" si="2"/>
        <v>32858114018.737667</v>
      </c>
      <c r="AD42" s="189">
        <f t="shared" si="2"/>
        <v>13863911615.992857</v>
      </c>
      <c r="AE42" s="184">
        <f t="shared" si="2"/>
        <v>17566637954.496254</v>
      </c>
      <c r="AF42" s="184">
        <f t="shared" si="2"/>
        <v>159991934.21900001</v>
      </c>
      <c r="AG42" s="190">
        <f t="shared" si="2"/>
        <v>36726923504.708107</v>
      </c>
    </row>
    <row r="43" spans="1:33" ht="19.5" thickTop="1" x14ac:dyDescent="0.3">
      <c r="A43" s="70"/>
      <c r="I43" s="72"/>
    </row>
  </sheetData>
  <mergeCells count="8">
    <mergeCell ref="B4:E4"/>
    <mergeCell ref="F4:I4"/>
    <mergeCell ref="Z4:AC4"/>
    <mergeCell ref="AD4:AG4"/>
    <mergeCell ref="R4:U4"/>
    <mergeCell ref="V4:Y4"/>
    <mergeCell ref="J4:M4"/>
    <mergeCell ref="N4:Q4"/>
  </mergeCells>
  <phoneticPr fontId="0" type="noConversion"/>
  <printOptions horizontalCentered="1"/>
  <pageMargins left="0.70866141732283472" right="0.62992125984251968" top="0.70866141732283472" bottom="0.31496062992125984" header="0.43307086614173229" footer="0.43307086614173229"/>
  <pageSetup paperSize="9" scale="50" firstPageNumber="102" fitToWidth="3" fitToHeight="25" orientation="portrait" useFirstPageNumber="1" horizontalDpi="1200" verticalDpi="1200" r:id="rId1"/>
  <headerFooter alignWithMargins="0">
    <oddFooter>&amp;C&amp;16&amp;P</oddFooter>
  </headerFooter>
  <colBreaks count="3" manualBreakCount="3">
    <brk id="9" max="1048575" man="1"/>
    <brk id="17" max="1048575" man="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26</vt:i4>
      </vt:variant>
    </vt:vector>
  </HeadingPairs>
  <TitlesOfParts>
    <vt:vector size="46" baseType="lpstr">
      <vt:lpstr>1</vt:lpstr>
      <vt:lpstr>nt1</vt:lpstr>
      <vt:lpstr>2</vt:lpstr>
      <vt:lpstr>nt2</vt:lpstr>
      <vt:lpstr>2A</vt:lpstr>
      <vt:lpstr>nt2A</vt:lpstr>
      <vt:lpstr>2B</vt:lpstr>
      <vt:lpstr>nt2B</vt:lpstr>
      <vt:lpstr>3</vt:lpstr>
      <vt:lpstr>nt3</vt:lpstr>
      <vt:lpstr>4</vt:lpstr>
      <vt:lpstr>nt4</vt:lpstr>
      <vt:lpstr>5</vt:lpstr>
      <vt:lpstr>nt5</vt:lpstr>
      <vt:lpstr>6</vt:lpstr>
      <vt:lpstr>nt6</vt:lpstr>
      <vt:lpstr>7</vt:lpstr>
      <vt:lpstr>nt7</vt:lpstr>
      <vt:lpstr>8</vt:lpstr>
      <vt:lpstr>nt8</vt:lpstr>
      <vt:lpstr>'6'!heading3</vt:lpstr>
      <vt:lpstr>heading3</vt:lpstr>
      <vt:lpstr>'1'!Print_Area</vt:lpstr>
      <vt:lpstr>'2'!Print_Area</vt:lpstr>
      <vt:lpstr>'2A'!Print_Area</vt:lpstr>
      <vt:lpstr>'2B'!Print_Area</vt:lpstr>
      <vt:lpstr>'3'!Print_Area</vt:lpstr>
      <vt:lpstr>'5'!Print_Area</vt:lpstr>
      <vt:lpstr>'6'!Print_Area</vt:lpstr>
      <vt:lpstr>'7'!Print_Area</vt:lpstr>
      <vt:lpstr>nt1!Print_Area</vt:lpstr>
      <vt:lpstr>nt2!Print_Area</vt:lpstr>
      <vt:lpstr>nt3!Print_Area</vt:lpstr>
      <vt:lpstr>nt4!Print_Area</vt:lpstr>
      <vt:lpstr>nt5!Print_Area</vt:lpstr>
      <vt:lpstr>nt6!Print_Area</vt:lpstr>
      <vt:lpstr>nt7!Print_Area</vt:lpstr>
      <vt:lpstr>'2'!Print_Titles</vt:lpstr>
      <vt:lpstr>'2A'!Print_Titles</vt:lpstr>
      <vt:lpstr>'2B'!Print_Titles</vt:lpstr>
      <vt:lpstr>'3'!Print_Titles</vt:lpstr>
      <vt:lpstr>'5'!Print_Titles</vt:lpstr>
      <vt:lpstr>'6'!Print_Titles</vt:lpstr>
      <vt:lpstr>table2</vt:lpstr>
      <vt:lpstr>'6'!table3</vt:lpstr>
      <vt:lpstr>table3</vt:lpstr>
    </vt:vector>
  </TitlesOfParts>
  <Company>CEB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Susie Palmer</dc:creator>
  <cp:lastModifiedBy>Armands</cp:lastModifiedBy>
  <cp:lastPrinted>2010-08-05T15:11:11Z</cp:lastPrinted>
  <dcterms:created xsi:type="dcterms:W3CDTF">2004-07-21T18:30:55Z</dcterms:created>
  <dcterms:modified xsi:type="dcterms:W3CDTF">2011-03-09T16:35:30Z</dcterms:modified>
</cp:coreProperties>
</file>